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F2B3ED7B-B5A7-456D-9717-74DEA3FDE03B}" xr6:coauthVersionLast="47" xr6:coauthVersionMax="47" xr10:uidLastSave="{00000000-0000-0000-0000-000000000000}"/>
  <bookViews>
    <workbookView xWindow="-110" yWindow="-110" windowWidth="19420" windowHeight="10300" tabRatio="905" firstSheet="2" activeTab="2"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8" r:id="rId19"/>
    <sheet name="F4.2" sheetId="119" r:id="rId20"/>
    <sheet name="F4.3" sheetId="120" r:id="rId21"/>
    <sheet name="F5 (T)" sheetId="117" r:id="rId22"/>
    <sheet name="F5" sheetId="70" r:id="rId23"/>
    <sheet name="F5.1 (N)" sheetId="116"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4" r:id="rId36"/>
    <sheet name="F14.2" sheetId="105" r:id="rId37"/>
    <sheet name="F14.3" sheetId="106" r:id="rId38"/>
    <sheet name="F14.4" sheetId="107" r:id="rId39"/>
    <sheet name="F14.5" sheetId="108" r:id="rId40"/>
    <sheet name="F14.6" sheetId="109" r:id="rId41"/>
    <sheet name="F 14.7" sheetId="110" r:id="rId42"/>
    <sheet name="F14.8" sheetId="111" r:id="rId43"/>
    <sheet name="F14.9" sheetId="112" r:id="rId44"/>
    <sheet name="F15" sheetId="113" r:id="rId45"/>
    <sheet name="F16" sheetId="98" r:id="rId46"/>
    <sheet name="F17" sheetId="99" r:id="rId47"/>
    <sheet name="F18" sheetId="114" r:id="rId48"/>
    <sheet name="F19" sheetId="115"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21">#REF!</definedName>
    <definedName name="\a" localSheetId="23">#REF!</definedName>
    <definedName name="\a">#REF!</definedName>
    <definedName name="\b" localSheetId="21">#REF!</definedName>
    <definedName name="\b" localSheetId="23">#REF!</definedName>
    <definedName name="\b">#REF!</definedName>
    <definedName name="\c" localSheetId="21">#REF!</definedName>
    <definedName name="\c" localSheetId="23">#REF!</definedName>
    <definedName name="\c">#REF!</definedName>
    <definedName name="\d" localSheetId="21">#REF!</definedName>
    <definedName name="\d" localSheetId="23">#REF!</definedName>
    <definedName name="\d">#REF!</definedName>
    <definedName name="\e" localSheetId="21">#REF!</definedName>
    <definedName name="\e" localSheetId="23">#REF!</definedName>
    <definedName name="\e">#REF!</definedName>
    <definedName name="\f" localSheetId="21">#REF!</definedName>
    <definedName name="\f" localSheetId="23">#REF!</definedName>
    <definedName name="\f">#REF!</definedName>
    <definedName name="\g" localSheetId="21">#REF!</definedName>
    <definedName name="\g" localSheetId="23">#REF!</definedName>
    <definedName name="\g">#REF!</definedName>
    <definedName name="\j" localSheetId="21">#REF!</definedName>
    <definedName name="\j" localSheetId="23">#REF!</definedName>
    <definedName name="\j">#REF!</definedName>
    <definedName name="\k" localSheetId="21">#REF!</definedName>
    <definedName name="\k" localSheetId="23">#REF!</definedName>
    <definedName name="\k">#REF!</definedName>
    <definedName name="\m" localSheetId="21">#REF!</definedName>
    <definedName name="\m" localSheetId="23">#REF!</definedName>
    <definedName name="\m">#REF!</definedName>
    <definedName name="\n" localSheetId="21">#REF!</definedName>
    <definedName name="\n" localSheetId="23">#REF!</definedName>
    <definedName name="\n">#REF!</definedName>
    <definedName name="\o" localSheetId="21">#REF!</definedName>
    <definedName name="\o" localSheetId="23">#REF!</definedName>
    <definedName name="\o">#REF!</definedName>
    <definedName name="\p" localSheetId="21">#REF!</definedName>
    <definedName name="\p" localSheetId="23">#REF!</definedName>
    <definedName name="\p">#REF!</definedName>
    <definedName name="\s" localSheetId="21">#REF!</definedName>
    <definedName name="\s" localSheetId="23">#REF!</definedName>
    <definedName name="\s">#REF!</definedName>
    <definedName name="\t" localSheetId="21">#REF!</definedName>
    <definedName name="\t" localSheetId="23">#REF!</definedName>
    <definedName name="\t">#REF!</definedName>
    <definedName name="\w" localSheetId="21">#REF!</definedName>
    <definedName name="\w" localSheetId="23">#REF!</definedName>
    <definedName name="\w">#REF!</definedName>
    <definedName name="\x" localSheetId="21">#REF!</definedName>
    <definedName name="\x" localSheetId="23">#REF!</definedName>
    <definedName name="\x">#REF!</definedName>
    <definedName name="\z" localSheetId="21">#REF!</definedName>
    <definedName name="\z" localSheetId="23">#REF!</definedName>
    <definedName name="\z">#REF!</definedName>
    <definedName name="_" localSheetId="21">#REF!</definedName>
    <definedName name="_" localSheetId="23">#REF!</definedName>
    <definedName name="_">#REF!</definedName>
    <definedName name="_.._D__D__D__D_" localSheetId="21">#REF!</definedName>
    <definedName name="_.._D__D__D__D_" localSheetId="23">#REF!</definedName>
    <definedName name="_.._D__D__D__D_">#REF!</definedName>
    <definedName name="_________XL__ENTER_UNIT" localSheetId="21">#REF!</definedName>
    <definedName name="_________XL__ENTER_UNIT" localSheetId="23">#REF!</definedName>
    <definedName name="_________XL__ENTER_UNIT">#REF!</definedName>
    <definedName name="_______SCH6" localSheetId="21">'[1]04REL'!#REF!</definedName>
    <definedName name="_______SCH6" localSheetId="23">'[1]04REL'!#REF!</definedName>
    <definedName name="_______SCH6">'[1]04REL'!#REF!</definedName>
    <definedName name="_______XL__ENTER_UNIT" localSheetId="21">#REF!</definedName>
    <definedName name="_______XL__ENTER_UNIT" localSheetId="23">#REF!</definedName>
    <definedName name="_______XL__ENTER_UNIT">#REF!</definedName>
    <definedName name="______SCH6" localSheetId="21">'[1]04REL'!#REF!</definedName>
    <definedName name="______SCH6" localSheetId="23">'[1]04REL'!#REF!</definedName>
    <definedName name="______SCH6">'[1]04REL'!#REF!</definedName>
    <definedName name="______XL__ENTER_UNIT" localSheetId="21">#REF!</definedName>
    <definedName name="______XL__ENTER_UNIT" localSheetId="23">#REF!</definedName>
    <definedName name="______XL__ENTER_UNIT">#REF!</definedName>
    <definedName name="_____SCH6" localSheetId="21">'[1]04REL'!#REF!</definedName>
    <definedName name="_____SCH6" localSheetId="23">'[1]04REL'!#REF!</definedName>
    <definedName name="_____SCH6">'[1]04REL'!#REF!</definedName>
    <definedName name="____SCH6" localSheetId="21">'[1]04REL'!#REF!</definedName>
    <definedName name="____SCH6" localSheetId="23">'[1]04REL'!#REF!</definedName>
    <definedName name="____SCH6">'[1]04REL'!#REF!</definedName>
    <definedName name="____XL__ENTER_UNIT" localSheetId="21">#REF!</definedName>
    <definedName name="____XL__ENTER_UNIT" localSheetId="23">#REF!</definedName>
    <definedName name="____XL__ENTER_UNIT">#REF!</definedName>
    <definedName name="___INDEX_SHEET___ASAP_Utilities" localSheetId="21">#REF!</definedName>
    <definedName name="___INDEX_SHEET___ASAP_Utilities" localSheetId="23">#REF!</definedName>
    <definedName name="___INDEX_SHEET___ASAP_Utilities">#REF!</definedName>
    <definedName name="___SCH6" localSheetId="21">'[1]04REL'!#REF!</definedName>
    <definedName name="___SCH6" localSheetId="23">'[1]04REL'!#REF!</definedName>
    <definedName name="___SCH6">'[1]04REL'!#REF!</definedName>
    <definedName name="___XL__ENTER_UNIT" localSheetId="21">#REF!</definedName>
    <definedName name="___XL__ENTER_UNIT" localSheetId="23">#REF!</definedName>
    <definedName name="___XL__ENTER_UNIT">#REF!</definedName>
    <definedName name="__123Graph_A" localSheetId="46" hidden="1">[2]CE!#REF!</definedName>
    <definedName name="__123Graph_A" localSheetId="17" hidden="1">[2]CE!#REF!</definedName>
    <definedName name="__123Graph_A" localSheetId="21" hidden="1">[2]CE!#REF!</definedName>
    <definedName name="__123Graph_A" localSheetId="23" hidden="1">[2]CE!#REF!</definedName>
    <definedName name="__123Graph_A" hidden="1">[2]CE!#REF!</definedName>
    <definedName name="__123Graph_ASTNPLF" localSheetId="46" hidden="1">[2]CE!#REF!</definedName>
    <definedName name="__123Graph_ASTNPLF" localSheetId="17" hidden="1">[2]CE!#REF!</definedName>
    <definedName name="__123Graph_ASTNPLF" localSheetId="21" hidden="1">[2]CE!#REF!</definedName>
    <definedName name="__123Graph_ASTNPLF" localSheetId="23" hidden="1">[2]CE!#REF!</definedName>
    <definedName name="__123Graph_ASTNPLF" hidden="1">[2]CE!#REF!</definedName>
    <definedName name="__123Graph_B" localSheetId="46" hidden="1">[2]CE!#REF!</definedName>
    <definedName name="__123Graph_B" localSheetId="17" hidden="1">[2]CE!#REF!</definedName>
    <definedName name="__123Graph_B" localSheetId="21" hidden="1">[2]CE!#REF!</definedName>
    <definedName name="__123Graph_B" localSheetId="23" hidden="1">[2]CE!#REF!</definedName>
    <definedName name="__123Graph_B" hidden="1">[2]CE!#REF!</definedName>
    <definedName name="__123Graph_BSTNPLF" localSheetId="46" hidden="1">[2]CE!#REF!</definedName>
    <definedName name="__123Graph_BSTNPLF" localSheetId="17" hidden="1">[2]CE!#REF!</definedName>
    <definedName name="__123Graph_BSTNPLF" localSheetId="21" hidden="1">[2]CE!#REF!</definedName>
    <definedName name="__123Graph_BSTNPLF" localSheetId="23" hidden="1">[2]CE!#REF!</definedName>
    <definedName name="__123Graph_BSTNPLF" hidden="1">[2]CE!#REF!</definedName>
    <definedName name="__123Graph_C" localSheetId="46" hidden="1">[2]CE!#REF!</definedName>
    <definedName name="__123Graph_C" localSheetId="17" hidden="1">[2]CE!#REF!</definedName>
    <definedName name="__123Graph_C" localSheetId="21" hidden="1">[2]CE!#REF!</definedName>
    <definedName name="__123Graph_C" localSheetId="23" hidden="1">[2]CE!#REF!</definedName>
    <definedName name="__123Graph_C" hidden="1">[2]CE!#REF!</definedName>
    <definedName name="__123Graph_CSTNPLF" localSheetId="46" hidden="1">[2]CE!#REF!</definedName>
    <definedName name="__123Graph_CSTNPLF" localSheetId="17" hidden="1">[2]CE!#REF!</definedName>
    <definedName name="__123Graph_CSTNPLF" localSheetId="21" hidden="1">[2]CE!#REF!</definedName>
    <definedName name="__123Graph_CSTNPLF" localSheetId="23" hidden="1">[2]CE!#REF!</definedName>
    <definedName name="__123Graph_CSTNPLF" hidden="1">[2]CE!#REF!</definedName>
    <definedName name="__123Graph_X" localSheetId="46" hidden="1">[2]CE!#REF!</definedName>
    <definedName name="__123Graph_X" localSheetId="17" hidden="1">[2]CE!#REF!</definedName>
    <definedName name="__123Graph_X" localSheetId="21" hidden="1">[2]CE!#REF!</definedName>
    <definedName name="__123Graph_X" localSheetId="23" hidden="1">[2]CE!#REF!</definedName>
    <definedName name="__123Graph_X" hidden="1">[2]CE!#REF!</definedName>
    <definedName name="__123Graph_XSTNPLF" localSheetId="46" hidden="1">[2]CE!#REF!</definedName>
    <definedName name="__123Graph_XSTNPLF" localSheetId="17" hidden="1">[2]CE!#REF!</definedName>
    <definedName name="__123Graph_XSTNPLF" localSheetId="21" hidden="1">[2]CE!#REF!</definedName>
    <definedName name="__123Graph_XSTNPLF" localSheetId="23" hidden="1">[2]CE!#REF!</definedName>
    <definedName name="__123Graph_XSTNPLF" hidden="1">[2]CE!#REF!</definedName>
    <definedName name="__DOWN_10__GOTO" localSheetId="21">#REF!</definedName>
    <definedName name="__DOWN_10__GOTO" localSheetId="23">#REF!</definedName>
    <definedName name="__DOWN_10__GOTO">#REF!</definedName>
    <definedName name="__ES84__EW84_0." localSheetId="21">#REF!</definedName>
    <definedName name="__ES84__EW84_0." localSheetId="23">#REF!</definedName>
    <definedName name="__ES84__EW84_0.">#REF!</definedName>
    <definedName name="__GOTO_EP84__AV" localSheetId="21">#REF!</definedName>
    <definedName name="__GOTO_EP84__AV" localSheetId="23">#REF!</definedName>
    <definedName name="__GOTO_EP84__AV">#REF!</definedName>
    <definedName name="__SCH6" localSheetId="21">'[1]04REL'!#REF!</definedName>
    <definedName name="__SCH6" localSheetId="23">'[1]04REL'!#REF!</definedName>
    <definedName name="__SCH6">'[1]04REL'!#REF!</definedName>
    <definedName name="__SUM_CS57..CS6" localSheetId="21">#REF!</definedName>
    <definedName name="__SUM_CS57..CS6" localSheetId="23">#REF!</definedName>
    <definedName name="__SUM_CS57..CS6">#REF!</definedName>
    <definedName name="__SUM_CS65..CS7" localSheetId="21">#REF!</definedName>
    <definedName name="__SUM_CS65..CS7" localSheetId="23">#REF!</definedName>
    <definedName name="__SUM_CS65..CS7">#REF!</definedName>
    <definedName name="__SUM_FQ20..FQ2" localSheetId="21">#REF!</definedName>
    <definedName name="__SUM_FQ20..FQ2" localSheetId="23">#REF!</definedName>
    <definedName name="__SUM_FQ20..FQ2">#REF!</definedName>
    <definedName name="__SUM_FQ28..FQ3" localSheetId="21">#REF!</definedName>
    <definedName name="__SUM_FQ28..FQ3" localSheetId="23">#REF!</definedName>
    <definedName name="__SUM_FQ28..FQ3">#REF!</definedName>
    <definedName name="__XL__ENTER_UNIT" localSheetId="21">#REF!</definedName>
    <definedName name="__XL__ENTER_UNIT" localSheetId="23">#REF!</definedName>
    <definedName name="__XL__ENTER_UNIT">#REF!</definedName>
    <definedName name="_5" localSheetId="21">#REF!</definedName>
    <definedName name="_5" localSheetId="23">#REF!</definedName>
    <definedName name="_5">#REF!</definedName>
    <definedName name="_6" localSheetId="21">#REF!</definedName>
    <definedName name="_6" localSheetId="23">#REF!</definedName>
    <definedName name="_6">#REF!</definedName>
    <definedName name="_D___GOTO_GK112" localSheetId="21">#REF!</definedName>
    <definedName name="_D___GOTO_GK112" localSheetId="23">#REF!</definedName>
    <definedName name="_D___GOTO_GK112">#REF!</definedName>
    <definedName name="_D___GOTO_GK56_" localSheetId="21">#REF!</definedName>
    <definedName name="_D___GOTO_GK56_" localSheetId="23">#REF!</definedName>
    <definedName name="_D___GOTO_GK56_">#REF!</definedName>
    <definedName name="_D__D___L___GOT" localSheetId="21">#REF!</definedName>
    <definedName name="_D__D___L___GOT" localSheetId="23">#REF!</definedName>
    <definedName name="_D__D___L___GOT">#REF!</definedName>
    <definedName name="_D__D__D___D__D" localSheetId="21">#REF!</definedName>
    <definedName name="_D__D__D___D__D" localSheetId="23">#REF!</definedName>
    <definedName name="_D__D__D___D__D">#REF!</definedName>
    <definedName name="_D_19__U_19_" localSheetId="21">#REF!</definedName>
    <definedName name="_D_19__U_19_" localSheetId="23">#REF!</definedName>
    <definedName name="_D_19__U_19_">#REF!</definedName>
    <definedName name="_DOWN_9__RIGHT_" localSheetId="21">#REF!</definedName>
    <definedName name="_DOWN_9__RIGHT_" localSheetId="23">#REF!</definedName>
    <definedName name="_DOWN_9__RIGHT_">#REF!</definedName>
    <definedName name="_Fill" localSheetId="44" hidden="1">'F15'!#REF!</definedName>
    <definedName name="_Fill" localSheetId="46" hidden="1">#REF!</definedName>
    <definedName name="_Fill" localSheetId="17" hidden="1">#REF!</definedName>
    <definedName name="_Fill" localSheetId="21" hidden="1">#REF!</definedName>
    <definedName name="_Fill" localSheetId="23" hidden="1">#REF!</definedName>
    <definedName name="_Fill" hidden="1">#REF!</definedName>
    <definedName name="_xlnm._FilterDatabase" localSheetId="38" hidden="1">'F14.4'!$C$1:$C$60</definedName>
    <definedName name="_xlnm._FilterDatabase" localSheetId="4" hidden="1">'F2.1'!$A$10:$X$10</definedName>
    <definedName name="_xlnm._FilterDatabase" localSheetId="20" hidden="1">'F4.3'!#REF!</definedName>
    <definedName name="_FROM__R__R__08" localSheetId="21">#REF!</definedName>
    <definedName name="_FROM__R__R__08" localSheetId="23">#REF!</definedName>
    <definedName name="_FROM__R__R__08">#REF!</definedName>
    <definedName name="_FROM__R__R__16" localSheetId="21">#REF!</definedName>
    <definedName name="_FROM__R__R__16" localSheetId="23">#REF!</definedName>
    <definedName name="_FROM__R__R__16">#REF!</definedName>
    <definedName name="_GENERATION__R_" localSheetId="21">#REF!</definedName>
    <definedName name="_GENERATION__R_" localSheetId="23">#REF!</definedName>
    <definedName name="_GENERATION__R_">#REF!</definedName>
    <definedName name="_GOTO_BT49__R__" localSheetId="21">#REF!</definedName>
    <definedName name="_GOTO_BT49__R__" localSheetId="23">#REF!</definedName>
    <definedName name="_GOTO_BT49__R__">#REF!</definedName>
    <definedName name="_GOTO_CF11__?__" localSheetId="21">#REF!</definedName>
    <definedName name="_GOTO_CF11__?__" localSheetId="23">#REF!</definedName>
    <definedName name="_GOTO_CF11__?__">#REF!</definedName>
    <definedName name="_GOTO_EO75__WEK" localSheetId="21">#REF!</definedName>
    <definedName name="_GOTO_EO75__WEK" localSheetId="23">#REF!</definedName>
    <definedName name="_GOTO_EO75__WEK">#REF!</definedName>
    <definedName name="_GOTO_EP82__PEA" localSheetId="21">#REF!</definedName>
    <definedName name="_GOTO_EP82__PEA" localSheetId="23">#REF!</definedName>
    <definedName name="_GOTO_EP82__PEA">#REF!</definedName>
    <definedName name="_GOTO_EP86__PER" localSheetId="21">#REF!</definedName>
    <definedName name="_GOTO_EP86__PER" localSheetId="23">#REF!</definedName>
    <definedName name="_GOTO_EP86__PER">#REF!</definedName>
    <definedName name="_GOTO_FO112__RV" localSheetId="21">#REF!</definedName>
    <definedName name="_GOTO_FO112__RV" localSheetId="23">#REF!</definedName>
    <definedName name="_GOTO_FO112__RV">#REF!</definedName>
    <definedName name="_GOTO_FO56__RV_" localSheetId="21">#REF!</definedName>
    <definedName name="_GOTO_FO56__RV_" localSheetId="23">#REF!</definedName>
    <definedName name="_GOTO_FO56__RV_">#REF!</definedName>
    <definedName name="_HOME__GOTO_M14" localSheetId="21">#REF!</definedName>
    <definedName name="_HOME__GOTO_M14" localSheetId="23">#REF!</definedName>
    <definedName name="_HOME__GOTO_M14">#REF!</definedName>
    <definedName name="_Order1" hidden="1">255</definedName>
    <definedName name="_PLF__R__R___ES" localSheetId="21">#REF!</definedName>
    <definedName name="_PLF__R__R___ES" localSheetId="23">#REF!</definedName>
    <definedName name="_PLF__R__R___ES">#REF!</definedName>
    <definedName name="_RV_DOWN_6__LEF" localSheetId="21">#REF!</definedName>
    <definedName name="_RV_DOWN_6__LEF" localSheetId="23">#REF!</definedName>
    <definedName name="_RV_DOWN_6__LEF">#REF!</definedName>
    <definedName name="_SCH6" localSheetId="21">'[1]04REL'!#REF!</definedName>
    <definedName name="_SCH6" localSheetId="23">'[1]04REL'!#REF!</definedName>
    <definedName name="_SCH6">'[1]04REL'!#REF!</definedName>
    <definedName name="_SUM_DI14..DI21" localSheetId="21">#REF!</definedName>
    <definedName name="_SUM_DI14..DI21" localSheetId="23">#REF!</definedName>
    <definedName name="_SUM_DI14..DI21">#REF!</definedName>
    <definedName name="_SUM_DI22..DI29" localSheetId="21">#REF!</definedName>
    <definedName name="_SUM_DI22..DI29" localSheetId="23">#REF!</definedName>
    <definedName name="_SUM_DI22..DI29">#REF!</definedName>
    <definedName name="_U__END__U__D__" localSheetId="21">#REF!</definedName>
    <definedName name="_U__END__U__D__" localSheetId="23">#REF!</definedName>
    <definedName name="_U__END__U__D__">#REF!</definedName>
    <definedName name="_U__U__END__U__" localSheetId="21">#REF!</definedName>
    <definedName name="_U__U__END__U__" localSheetId="23">#REF!</definedName>
    <definedName name="_U__U__END__U__">#REF!</definedName>
    <definedName name="_U__U__U__U__U_" localSheetId="21">#REF!</definedName>
    <definedName name="_U__U__U__U__U_" localSheetId="23">#REF!</definedName>
    <definedName name="_U__U__U__U__U_">#REF!</definedName>
    <definedName name="_WGPD_GOTO_CO10" localSheetId="21">#REF!</definedName>
    <definedName name="_WGPD_GOTO_CO10" localSheetId="23">#REF!</definedName>
    <definedName name="_WGPD_GOTO_CO10">#REF!</definedName>
    <definedName name="A" localSheetId="21">#REF!</definedName>
    <definedName name="A" localSheetId="23">#REF!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21">#REF!</definedName>
    <definedName name="AV" localSheetId="23">#REF!</definedName>
    <definedName name="AV">#REF!</definedName>
    <definedName name="C_Data_1" localSheetId="21">'[5]2000-01'!#REF!</definedName>
    <definedName name="C_Data_1" localSheetId="23">'[5]2000-01'!#REF!</definedName>
    <definedName name="C_Data_1">'[5]2000-01'!#REF!</definedName>
    <definedName name="C_Data_2" localSheetId="21">'[5]2000-01'!#REF!</definedName>
    <definedName name="C_Data_2" localSheetId="23">'[5]2000-01'!#REF!</definedName>
    <definedName name="C_Data_2">'[5]2000-01'!#REF!</definedName>
    <definedName name="CM10_C_RIGHT___" localSheetId="21">#REF!</definedName>
    <definedName name="CM10_C_RIGHT___" localSheetId="23">#REF!</definedName>
    <definedName name="CM10_C_RIGHT___">#REF!</definedName>
    <definedName name="CV" localSheetId="21">#REF!</definedName>
    <definedName name="CV" localSheetId="23">#REF!</definedName>
    <definedName name="CV">#REF!</definedName>
    <definedName name="D">#N/A</definedName>
    <definedName name="Debt_Pct">[6]Assumptions!$B$13</definedName>
    <definedName name="dpc">'[7]dpc cost'!$D$1</definedName>
    <definedName name="E_315MVA_Addl_Page1" localSheetId="21">#REF!</definedName>
    <definedName name="E_315MVA_Addl_Page1" localSheetId="23">#REF!</definedName>
    <definedName name="E_315MVA_Addl_Page1">#REF!</definedName>
    <definedName name="E_315MVA_Addl_Page2" localSheetId="21">#REF!</definedName>
    <definedName name="E_315MVA_Addl_Page2" localSheetId="23">#REF!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21">#REF!</definedName>
    <definedName name="EscAGExp" localSheetId="23">#REF!</definedName>
    <definedName name="EscAGExp">#REF!</definedName>
    <definedName name="EscCoal" localSheetId="21">#REF!</definedName>
    <definedName name="EscCoal" localSheetId="23">#REF!</definedName>
    <definedName name="EscCoal">#REF!</definedName>
    <definedName name="EscDomGas" localSheetId="21">#REF!</definedName>
    <definedName name="EscDomGas" localSheetId="23">#REF!</definedName>
    <definedName name="EscDomGas">#REF!</definedName>
    <definedName name="EscEmpExp" localSheetId="21">#REF!</definedName>
    <definedName name="EscEmpExp" localSheetId="23">#REF!</definedName>
    <definedName name="EscEmpExp">#REF!</definedName>
    <definedName name="EscLNGas" localSheetId="21">#REF!</definedName>
    <definedName name="EscLNGas" localSheetId="23">#REF!</definedName>
    <definedName name="EscLNGas">#REF!</definedName>
    <definedName name="EscOil" localSheetId="21">#REF!</definedName>
    <definedName name="EscOil" localSheetId="23">#REF!</definedName>
    <definedName name="EscOil">#REF!</definedName>
    <definedName name="EscOtherIncome" localSheetId="21">#REF!</definedName>
    <definedName name="EscOtherIncome" localSheetId="23">#REF!</definedName>
    <definedName name="EscOtherIncome">#REF!</definedName>
    <definedName name="EscOtherVarCharge" localSheetId="21">#REF!</definedName>
    <definedName name="EscOtherVarCharge" localSheetId="23">#REF!</definedName>
    <definedName name="EscOtherVarCharge">#REF!</definedName>
    <definedName name="EscRMExp" localSheetId="21">#REF!</definedName>
    <definedName name="EscRMExp" localSheetId="23">#REF!</definedName>
    <definedName name="EscRMExp">#REF!</definedName>
    <definedName name="FAX" localSheetId="21">#REF!</definedName>
    <definedName name="FAX" localSheetId="23">#REF!</definedName>
    <definedName name="FAX">#REF!</definedName>
    <definedName name="FinCharge">[6]Assumptions!$B$25</definedName>
    <definedName name="Fuel_Exp_CY" localSheetId="21">#REF!</definedName>
    <definedName name="Fuel_Exp_CY" localSheetId="23">#REF!</definedName>
    <definedName name="Fuel_Exp_CY">#REF!</definedName>
    <definedName name="Fuel_Exp_EY" localSheetId="21">#REF!</definedName>
    <definedName name="Fuel_Exp_EY" localSheetId="23">#REF!</definedName>
    <definedName name="Fuel_Exp_EY">#REF!</definedName>
    <definedName name="Fuel_Exp_PY" localSheetId="21">#REF!</definedName>
    <definedName name="Fuel_Exp_PY" localSheetId="23">#REF!</definedName>
    <definedName name="Fuel_Exp_PY">#REF!</definedName>
    <definedName name="GR" localSheetId="21">#REF!</definedName>
    <definedName name="GR" localSheetId="23">#REF!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21">#REF!</definedName>
    <definedName name="IntRate12" localSheetId="23">#REF!</definedName>
    <definedName name="IntRate12">#REF!</definedName>
    <definedName name="IntRate13" localSheetId="21">#REF!</definedName>
    <definedName name="IntRate13" localSheetId="23">#REF!</definedName>
    <definedName name="IntRate13">#REF!</definedName>
    <definedName name="IntRateWC11" localSheetId="21">#REF!</definedName>
    <definedName name="IntRateWC11" localSheetId="23">#REF!</definedName>
    <definedName name="IntRateWC11">#REF!</definedName>
    <definedName name="IntRateWC12" localSheetId="21">#REF!</definedName>
    <definedName name="IntRateWC12" localSheetId="23">#REF!</definedName>
    <definedName name="IntRateWC12">#REF!</definedName>
    <definedName name="IntRateWC13" localSheetId="21">#REF!</definedName>
    <definedName name="IntRateWC13" localSheetId="23">#REF!</definedName>
    <definedName name="IntRateWC13">#REF!</definedName>
    <definedName name="Intt_Charge_cY" localSheetId="21">#REF!,#REF!</definedName>
    <definedName name="Intt_Charge_cY" localSheetId="23">#REF!,#REF!</definedName>
    <definedName name="Intt_Charge_cY">#REF!,#REF!</definedName>
    <definedName name="Intt_Charge_cy_1">'[10]A 3.7'!$H$35,'[10]A 3.7'!$H$44</definedName>
    <definedName name="Intt_Charge_eY" localSheetId="21">#REF!,#REF!</definedName>
    <definedName name="Intt_Charge_eY" localSheetId="23">#REF!,#REF!</definedName>
    <definedName name="Intt_Charge_eY">#REF!,#REF!</definedName>
    <definedName name="Intt_Charge_ey_1">'[10]A 3.7'!$I$35,'[10]A 3.7'!$I$44</definedName>
    <definedName name="Intt_Charge_PY" localSheetId="21">#REF!,#REF!</definedName>
    <definedName name="Intt_Charge_PY" localSheetId="23">#REF!,#REF!</definedName>
    <definedName name="Intt_Charge_PY">#REF!,#REF!</definedName>
    <definedName name="Intt_Charge_py_1">'[10]A 3.7'!$G$35,'[10]A 3.7'!$G$44</definedName>
    <definedName name="IsCircular" localSheetId="21">#REF!</definedName>
    <definedName name="IsCircular" localSheetId="23">#REF!</definedName>
    <definedName name="IsCircular">#REF!</definedName>
    <definedName name="K2000_">#N/A</definedName>
    <definedName name="LTR_M_NEW" localSheetId="21">#REF!</definedName>
    <definedName name="LTR_M_NEW" localSheetId="23">#REF!</definedName>
    <definedName name="LTR_M_NEW">#REF!</definedName>
    <definedName name="LTR_MOR" localSheetId="21">#REF!</definedName>
    <definedName name="LTR_MOR" localSheetId="23">#REF!</definedName>
    <definedName name="LTR_MOR">#REF!</definedName>
    <definedName name="new" localSheetId="44" hidden="1">[11]CE!#REF!</definedName>
    <definedName name="new" localSheetId="46" hidden="1">[11]CE!#REF!</definedName>
    <definedName name="new" localSheetId="17" hidden="1">[11]CE!#REF!</definedName>
    <definedName name="new" localSheetId="21" hidden="1">[11]CE!#REF!</definedName>
    <definedName name="new" localSheetId="23" hidden="1">[11]CE!#REF!</definedName>
    <definedName name="new" hidden="1">[11]CE!#REF!</definedName>
    <definedName name="O" localSheetId="21">#REF!</definedName>
    <definedName name="O" localSheetId="23">#REF!</definedName>
    <definedName name="O">#REF!</definedName>
    <definedName name="p" localSheetId="21">#REF!</definedName>
    <definedName name="p" localSheetId="23">#REF!</definedName>
    <definedName name="p">#REF!</definedName>
    <definedName name="PAGE1" localSheetId="21">#REF!</definedName>
    <definedName name="PAGE1" localSheetId="23">#REF!</definedName>
    <definedName name="PAGE1">#REF!</definedName>
    <definedName name="page10" localSheetId="21">#REF!</definedName>
    <definedName name="page10" localSheetId="23">#REF!</definedName>
    <definedName name="page10">#REF!</definedName>
    <definedName name="PAGE10_6" localSheetId="21">#REF!</definedName>
    <definedName name="PAGE10_6" localSheetId="23">#REF!</definedName>
    <definedName name="PAGE10_6">#REF!</definedName>
    <definedName name="PAGE11_6" localSheetId="21">#REF!</definedName>
    <definedName name="PAGE11_6" localSheetId="23">#REF!</definedName>
    <definedName name="PAGE11_6">#REF!</definedName>
    <definedName name="PAGE12_6" localSheetId="21">#REF!</definedName>
    <definedName name="PAGE12_6" localSheetId="23">#REF!</definedName>
    <definedName name="PAGE12_6">#REF!</definedName>
    <definedName name="PAGE14" localSheetId="21">#REF!</definedName>
    <definedName name="PAGE14" localSheetId="23">#REF!</definedName>
    <definedName name="PAGE14">#REF!</definedName>
    <definedName name="PAGE15" localSheetId="21">#REF!</definedName>
    <definedName name="PAGE15" localSheetId="23">#REF!</definedName>
    <definedName name="PAGE15">#REF!</definedName>
    <definedName name="PAGE16" localSheetId="21">#REF!</definedName>
    <definedName name="PAGE16" localSheetId="23">#REF!</definedName>
    <definedName name="PAGE16">#REF!</definedName>
    <definedName name="PAGE17" localSheetId="21">#REF!</definedName>
    <definedName name="PAGE17" localSheetId="23">#REF!</definedName>
    <definedName name="PAGE17">#REF!</definedName>
    <definedName name="PAGE18" localSheetId="21">#REF!</definedName>
    <definedName name="PAGE18" localSheetId="23">#REF!</definedName>
    <definedName name="PAGE18">#REF!</definedName>
    <definedName name="PAGE19" localSheetId="21">#REF!</definedName>
    <definedName name="PAGE19" localSheetId="23">#REF!</definedName>
    <definedName name="PAGE19">#REF!</definedName>
    <definedName name="PAGE2" localSheetId="21">#REF!</definedName>
    <definedName name="PAGE2" localSheetId="23">#REF!</definedName>
    <definedName name="PAGE2">#REF!</definedName>
    <definedName name="PAGE2_6" localSheetId="21">#REF!</definedName>
    <definedName name="PAGE2_6" localSheetId="23">#REF!</definedName>
    <definedName name="PAGE2_6">#REF!</definedName>
    <definedName name="PAGE20" localSheetId="21">#REF!</definedName>
    <definedName name="PAGE20" localSheetId="23">#REF!</definedName>
    <definedName name="PAGE20">#REF!</definedName>
    <definedName name="PAGE21" localSheetId="21">#REF!</definedName>
    <definedName name="PAGE21" localSheetId="23">#REF!</definedName>
    <definedName name="PAGE21">#REF!</definedName>
    <definedName name="PAGE210" localSheetId="21">#REF!</definedName>
    <definedName name="PAGE210" localSheetId="23">#REF!</definedName>
    <definedName name="PAGE210">#REF!</definedName>
    <definedName name="PAGE22" localSheetId="21">#REF!</definedName>
    <definedName name="PAGE22" localSheetId="23">#REF!</definedName>
    <definedName name="PAGE22">#REF!</definedName>
    <definedName name="PAGE23" localSheetId="21">#REF!</definedName>
    <definedName name="PAGE23" localSheetId="23">#REF!</definedName>
    <definedName name="PAGE23">#REF!</definedName>
    <definedName name="PAGE24" localSheetId="21">#REF!</definedName>
    <definedName name="PAGE24" localSheetId="23">#REF!</definedName>
    <definedName name="PAGE24">#REF!</definedName>
    <definedName name="PAGE25" localSheetId="21">#REF!</definedName>
    <definedName name="PAGE25" localSheetId="23">#REF!</definedName>
    <definedName name="PAGE25">#REF!</definedName>
    <definedName name="PAGE26" localSheetId="21">#REF!</definedName>
    <definedName name="PAGE26" localSheetId="23">#REF!</definedName>
    <definedName name="PAGE26">#REF!</definedName>
    <definedName name="PAGE27" localSheetId="21">#REF!</definedName>
    <definedName name="PAGE27" localSheetId="23">#REF!</definedName>
    <definedName name="PAGE27">#REF!</definedName>
    <definedName name="PAGE28" localSheetId="21">#REF!</definedName>
    <definedName name="PAGE28" localSheetId="23">#REF!</definedName>
    <definedName name="PAGE28">#REF!</definedName>
    <definedName name="PAGE29" localSheetId="21">#REF!</definedName>
    <definedName name="PAGE29" localSheetId="23">#REF!</definedName>
    <definedName name="PAGE29">#REF!</definedName>
    <definedName name="PAGE3_6" localSheetId="21">#REF!</definedName>
    <definedName name="PAGE3_6" localSheetId="23">#REF!</definedName>
    <definedName name="PAGE3_6">#REF!</definedName>
    <definedName name="page34" localSheetId="21">#REF!</definedName>
    <definedName name="page34" localSheetId="23">#REF!</definedName>
    <definedName name="page34">#REF!</definedName>
    <definedName name="Page35" localSheetId="21">#REF!</definedName>
    <definedName name="Page35" localSheetId="23">#REF!</definedName>
    <definedName name="Page35">#REF!</definedName>
    <definedName name="PAGE4_6" localSheetId="21">#REF!</definedName>
    <definedName name="PAGE4_6" localSheetId="23">#REF!</definedName>
    <definedName name="PAGE4_6">#REF!</definedName>
    <definedName name="PAGE5_6" localSheetId="21">#REF!</definedName>
    <definedName name="PAGE5_6" localSheetId="23">#REF!</definedName>
    <definedName name="PAGE5_6">#REF!</definedName>
    <definedName name="page50" localSheetId="21">#REF!</definedName>
    <definedName name="page50" localSheetId="23">#REF!</definedName>
    <definedName name="page50">#REF!</definedName>
    <definedName name="page51" localSheetId="21">#REF!</definedName>
    <definedName name="page51" localSheetId="23">#REF!</definedName>
    <definedName name="page51">#REF!</definedName>
    <definedName name="page52" localSheetId="21">#REF!</definedName>
    <definedName name="page52" localSheetId="23">#REF!</definedName>
    <definedName name="page52">#REF!</definedName>
    <definedName name="PAGE6" localSheetId="21">#REF!</definedName>
    <definedName name="PAGE6" localSheetId="23">#REF!</definedName>
    <definedName name="PAGE6">#REF!</definedName>
    <definedName name="PAGE6_6" localSheetId="21">#REF!</definedName>
    <definedName name="PAGE6_6" localSheetId="23">#REF!</definedName>
    <definedName name="PAGE6_6">#REF!</definedName>
    <definedName name="PAGE7" localSheetId="21">#REF!</definedName>
    <definedName name="PAGE7" localSheetId="23">#REF!</definedName>
    <definedName name="PAGE7">#REF!</definedName>
    <definedName name="PAGE7_6" localSheetId="21">#REF!</definedName>
    <definedName name="PAGE7_6" localSheetId="23">#REF!</definedName>
    <definedName name="PAGE7_6">#REF!</definedName>
    <definedName name="PAGE8" localSheetId="21">#REF!</definedName>
    <definedName name="PAGE8" localSheetId="23">#REF!</definedName>
    <definedName name="PAGE8">#REF!</definedName>
    <definedName name="PAGE8_6U1A" localSheetId="21">#REF!</definedName>
    <definedName name="PAGE8_6U1A" localSheetId="23">#REF!</definedName>
    <definedName name="PAGE8_6U1A">#REF!</definedName>
    <definedName name="PAGE8_6U1B" localSheetId="21">#REF!</definedName>
    <definedName name="PAGE8_6U1B" localSheetId="23">#REF!</definedName>
    <definedName name="PAGE8_6U1B">#REF!</definedName>
    <definedName name="PAGE8_6U2A" localSheetId="21">#REF!</definedName>
    <definedName name="PAGE8_6U2A" localSheetId="23">#REF!</definedName>
    <definedName name="PAGE8_6U2A">#REF!</definedName>
    <definedName name="PAGE8_6U2B" localSheetId="21">#REF!</definedName>
    <definedName name="PAGE8_6U2B" localSheetId="23">#REF!</definedName>
    <definedName name="PAGE8_6U2B">#REF!</definedName>
    <definedName name="PAGE8_6U3A" localSheetId="21">#REF!</definedName>
    <definedName name="PAGE8_6U3A" localSheetId="23">#REF!</definedName>
    <definedName name="PAGE8_6U3A">#REF!</definedName>
    <definedName name="PAGE8_6U3B" localSheetId="21">#REF!</definedName>
    <definedName name="PAGE8_6U3B" localSheetId="23">#REF!</definedName>
    <definedName name="PAGE8_6U3B">#REF!</definedName>
    <definedName name="PAGE9" localSheetId="21">#REF!</definedName>
    <definedName name="PAGE9" localSheetId="23">#REF!</definedName>
    <definedName name="PAGE9">#REF!</definedName>
    <definedName name="PAGE9_6" localSheetId="21">#REF!</definedName>
    <definedName name="PAGE9_6" localSheetId="23">#REF!</definedName>
    <definedName name="PAGE9_6">#REF!</definedName>
    <definedName name="Pop_Ratio" localSheetId="21">#REF!</definedName>
    <definedName name="Pop_Ratio" localSheetId="23">#REF!</definedName>
    <definedName name="Pop_Ratio">#REF!</definedName>
    <definedName name="PRF_1" localSheetId="21">#REF!</definedName>
    <definedName name="PRF_1" localSheetId="23">#REF!</definedName>
    <definedName name="PRF_1">#REF!</definedName>
    <definedName name="PRF_2_P1" localSheetId="21">#REF!</definedName>
    <definedName name="PRF_2_P1" localSheetId="23">#REF!</definedName>
    <definedName name="PRF_2_P1">#REF!</definedName>
    <definedName name="PRF_2_P2" localSheetId="21">#REF!</definedName>
    <definedName name="PRF_2_P2" localSheetId="23">#REF!</definedName>
    <definedName name="PRF_2_P2">#REF!</definedName>
    <definedName name="PRF_3_AN1" localSheetId="21">#REF!</definedName>
    <definedName name="PRF_3_AN1" localSheetId="23">#REF!</definedName>
    <definedName name="PRF_3_AN1">#REF!</definedName>
    <definedName name="PRF_3_AN2" localSheetId="21">#REF!</definedName>
    <definedName name="PRF_3_AN2" localSheetId="23">#REF!</definedName>
    <definedName name="PRF_3_AN2">#REF!</definedName>
    <definedName name="PRF_3_AN3" localSheetId="21">#REF!</definedName>
    <definedName name="PRF_3_AN3" localSheetId="23">#REF!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'F2.1'!$A$1:$X$62</definedName>
    <definedName name="_xlnm.Print_Area" localSheetId="5">'F2.2'!$A$1:$X$199</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'F3'!$A$1:$X$36</definedName>
    <definedName name="_xlnm.Print_Area" localSheetId="13">'F3.1'!$A$1:$AG$69</definedName>
    <definedName name="_xlnm.Print_Area" localSheetId="14">'F3.2'!$A$1:$M$79</definedName>
    <definedName name="_xlnm.Print_Area" localSheetId="18">'F4.1'!$A$1:$S$129</definedName>
    <definedName name="_xlnm.Print_Area" localSheetId="19">'F4.2'!$A$1:$BE$362</definedName>
    <definedName name="_xlnm.Print_Area" localSheetId="20">'F4.3'!$A$1:$N$2853</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21">#REF!</definedName>
    <definedName name="PRINT_AREA_MI" localSheetId="23">#REF!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8">'F4.1'!$A:$B,'F4.1'!$1:$6</definedName>
    <definedName name="_xlnm.Print_Titles" localSheetId="19">'F4.2'!$A:$B,'F4.2'!$1:$7</definedName>
    <definedName name="_xlnm.Print_Titles" localSheetId="20">'F4.3'!$1:$6</definedName>
    <definedName name="q">'[12]A 3.7'!$I$35,'[12]A 3.7'!$I$44</definedName>
    <definedName name="S" localSheetId="21">#REF!</definedName>
    <definedName name="S" localSheetId="23">#REF!</definedName>
    <definedName name="S">#REF!</definedName>
    <definedName name="SECOAL" localSheetId="21">#REF!</definedName>
    <definedName name="SECOAL" localSheetId="23">#REF!</definedName>
    <definedName name="SECOAL">#REF!</definedName>
    <definedName name="SEOREP" localSheetId="21">#REF!</definedName>
    <definedName name="SEOREP" localSheetId="23">#REF!</definedName>
    <definedName name="SEOREP">#REF!</definedName>
    <definedName name="SEREPORT" localSheetId="21">#REF!</definedName>
    <definedName name="SEREPORT" localSheetId="23">#REF!</definedName>
    <definedName name="SEREPORT">#REF!</definedName>
    <definedName name="shft1">[7]SUMMERY!$P$1</definedName>
    <definedName name="shftI">[13]SUMMERY!$P$1</definedName>
    <definedName name="t" localSheetId="21">#REF!</definedName>
    <definedName name="t" localSheetId="23">#REF!</definedName>
    <definedName name="t">#REF!</definedName>
    <definedName name="TaxPaid10">[6]Assumptions!$B$22</definedName>
    <definedName name="TaxRate11">[6]Assumptions!$B$20</definedName>
    <definedName name="Taxrate12" localSheetId="21">#REF!</definedName>
    <definedName name="Taxrate12" localSheetId="23">#REF!</definedName>
    <definedName name="Taxrate12">#REF!</definedName>
    <definedName name="TotalRoE10">[6]Assumptions!$B$23</definedName>
    <definedName name="tripping" localSheetId="21">#REF!</definedName>
    <definedName name="tripping" localSheetId="23">#REF!</definedName>
    <definedName name="tripping">#REF!</definedName>
    <definedName name="uNIT1" localSheetId="21">#REF!</definedName>
    <definedName name="uNIT1" localSheetId="23">#REF!</definedName>
    <definedName name="uNIT1">#REF!</definedName>
    <definedName name="uNIT2" localSheetId="21">#REF!</definedName>
    <definedName name="uNIT2" localSheetId="23">#REF!</definedName>
    <definedName name="uNIT2">#REF!</definedName>
    <definedName name="uNIT3" localSheetId="21">#REF!</definedName>
    <definedName name="uNIT3" localSheetId="23">#REF!</definedName>
    <definedName name="uNIT3">#REF!</definedName>
    <definedName name="W" localSheetId="21">#REF!</definedName>
    <definedName name="W" localSheetId="23">#REF!</definedName>
    <definedName name="W">#REF!</definedName>
    <definedName name="WEEK_1A" localSheetId="21">#REF!</definedName>
    <definedName name="WEEK_1A" localSheetId="23">#REF!</definedName>
    <definedName name="WEEK_1A">#REF!</definedName>
    <definedName name="WEEK_1B" localSheetId="21">#REF!</definedName>
    <definedName name="WEEK_1B" localSheetId="23">#REF!</definedName>
    <definedName name="WEEK_1B">#REF!</definedName>
    <definedName name="WEEK_2A" localSheetId="21">#REF!</definedName>
    <definedName name="WEEK_2A" localSheetId="23">#REF!</definedName>
    <definedName name="WEEK_2A">#REF!</definedName>
    <definedName name="WEEK_2B" localSheetId="21">#REF!</definedName>
    <definedName name="WEEK_2B" localSheetId="23">#REF!</definedName>
    <definedName name="WEEK_2B">#REF!</definedName>
    <definedName name="Working_capital_Rate_of_Interest_for_FY_10_11">[4]Assumption_PwC!$C$116</definedName>
    <definedName name="X1_" localSheetId="21">#REF!</definedName>
    <definedName name="X1_" localSheetId="23">#REF!</definedName>
    <definedName name="X1_">#REF!</definedName>
    <definedName name="X11__?___QUIT_" localSheetId="21">#REF!</definedName>
    <definedName name="X11__?___QUIT_" localSheetId="23">#REF!</definedName>
    <definedName name="X11__?___QUIT_">#REF!</definedName>
    <definedName name="xxxx" localSheetId="46" hidden="1">[14]CE!#REF!</definedName>
    <definedName name="xxxx" localSheetId="17" hidden="1">[14]CE!#REF!</definedName>
    <definedName name="xxxx" localSheetId="21" hidden="1">[14]CE!#REF!</definedName>
    <definedName name="xxxx" localSheetId="23" hidden="1">[14]CE!#REF!</definedName>
    <definedName name="xxxx" hidden="1">[14]CE!#REF!</definedName>
    <definedName name="YEAR" localSheetId="21">#REF!</definedName>
    <definedName name="YEAR" localSheetId="23">#REF!</definedName>
    <definedName name="YEAR">#REF!</definedName>
    <definedName name="Year1" localSheetId="21">#REF!</definedName>
    <definedName name="Year1" localSheetId="23">#REF!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8" i="118" l="1"/>
  <c r="S128" i="118" s="1"/>
  <c r="G128" i="118"/>
  <c r="G127" i="118"/>
  <c r="P127" i="118"/>
  <c r="S127" i="118" s="1"/>
  <c r="P126" i="118"/>
  <c r="S126" i="118" s="1"/>
  <c r="G126" i="118"/>
  <c r="G125" i="118"/>
  <c r="P125" i="118"/>
  <c r="S125" i="118" s="1"/>
  <c r="P124" i="118"/>
  <c r="S124" i="118" s="1"/>
  <c r="G124" i="118"/>
  <c r="P123" i="118"/>
  <c r="S123" i="118" s="1"/>
  <c r="G123" i="118"/>
  <c r="P122" i="118"/>
  <c r="S122" i="118" s="1"/>
  <c r="G122" i="118"/>
  <c r="G121" i="118"/>
  <c r="P121" i="118"/>
  <c r="S121" i="118" s="1"/>
  <c r="P120" i="118"/>
  <c r="S120" i="118" s="1"/>
  <c r="G120" i="118"/>
  <c r="P119" i="118"/>
  <c r="S119" i="118" s="1"/>
  <c r="G119" i="118"/>
  <c r="P118" i="118"/>
  <c r="S118" i="118" s="1"/>
  <c r="G118" i="118"/>
  <c r="G117" i="118"/>
  <c r="P117" i="118"/>
  <c r="S117" i="118" s="1"/>
  <c r="P116" i="118"/>
  <c r="S116" i="118" s="1"/>
  <c r="G116" i="118"/>
  <c r="P115" i="118"/>
  <c r="S115" i="118" s="1"/>
  <c r="G115" i="118"/>
  <c r="P114" i="118"/>
  <c r="S114" i="118" s="1"/>
  <c r="G114" i="118"/>
  <c r="G113" i="118"/>
  <c r="P113" i="118"/>
  <c r="S113" i="118" s="1"/>
  <c r="P112" i="118"/>
  <c r="S112" i="118" s="1"/>
  <c r="G112" i="118"/>
  <c r="P111" i="118"/>
  <c r="S111" i="118" s="1"/>
  <c r="G111" i="118"/>
  <c r="P110" i="118"/>
  <c r="S110" i="118" s="1"/>
  <c r="G110" i="118"/>
  <c r="G109" i="118"/>
  <c r="P109" i="118"/>
  <c r="S109" i="118" s="1"/>
  <c r="P108" i="118"/>
  <c r="S108" i="118" s="1"/>
  <c r="G108" i="118"/>
  <c r="P107" i="118"/>
  <c r="S107" i="118" s="1"/>
  <c r="G107" i="118"/>
  <c r="P106" i="118"/>
  <c r="S106" i="118" s="1"/>
  <c r="G106" i="118"/>
  <c r="G105" i="118"/>
  <c r="P105" i="118"/>
  <c r="S105" i="118" s="1"/>
  <c r="P104" i="118"/>
  <c r="S104" i="118" s="1"/>
  <c r="G104" i="118"/>
  <c r="P103" i="118"/>
  <c r="S103" i="118" s="1"/>
  <c r="G103" i="118"/>
  <c r="G102" i="118"/>
  <c r="P102" i="118"/>
  <c r="S102" i="118" s="1"/>
  <c r="G101" i="118"/>
  <c r="P101" i="118"/>
  <c r="S101" i="118" s="1"/>
  <c r="G100" i="118"/>
  <c r="P100" i="118"/>
  <c r="S100" i="118" s="1"/>
  <c r="P99" i="118"/>
  <c r="S99" i="118" s="1"/>
  <c r="G99" i="118"/>
  <c r="P98" i="118"/>
  <c r="S98" i="118" s="1"/>
  <c r="G98" i="118"/>
  <c r="G97" i="118"/>
  <c r="P97" i="118"/>
  <c r="S97" i="118" s="1"/>
  <c r="P96" i="118"/>
  <c r="S96" i="118" s="1"/>
  <c r="G96" i="118"/>
  <c r="G95" i="118"/>
  <c r="P95" i="118"/>
  <c r="S95" i="118" s="1"/>
  <c r="P94" i="118"/>
  <c r="S94" i="118" s="1"/>
  <c r="G94" i="118"/>
  <c r="G93" i="118"/>
  <c r="P93" i="118"/>
  <c r="S93" i="118" s="1"/>
  <c r="P92" i="118"/>
  <c r="S92" i="118" s="1"/>
  <c r="G92" i="118"/>
  <c r="P91" i="118"/>
  <c r="S91" i="118" s="1"/>
  <c r="G91" i="118"/>
  <c r="P90" i="118"/>
  <c r="S90" i="118" s="1"/>
  <c r="G90" i="118"/>
  <c r="P89" i="118"/>
  <c r="S89" i="118" s="1"/>
  <c r="G89" i="118"/>
  <c r="P88" i="118"/>
  <c r="S88" i="118" s="1"/>
  <c r="G88" i="118"/>
  <c r="G87" i="118"/>
  <c r="P87" i="118"/>
  <c r="S87" i="118" s="1"/>
  <c r="P86" i="118"/>
  <c r="S86" i="118" s="1"/>
  <c r="G86" i="118"/>
  <c r="G85" i="118"/>
  <c r="P85" i="118"/>
  <c r="S85" i="118" s="1"/>
  <c r="P84" i="118"/>
  <c r="S84" i="118" s="1"/>
  <c r="G84" i="118"/>
  <c r="P83" i="118"/>
  <c r="S83" i="118" s="1"/>
  <c r="G83" i="118"/>
  <c r="P82" i="118"/>
  <c r="S82" i="118" s="1"/>
  <c r="G82" i="118"/>
  <c r="G81" i="118"/>
  <c r="P81" i="118"/>
  <c r="S81" i="118" s="1"/>
  <c r="P80" i="118"/>
  <c r="S80" i="118" s="1"/>
  <c r="G80" i="118"/>
  <c r="G79" i="118"/>
  <c r="P79" i="118"/>
  <c r="S79" i="118" s="1"/>
  <c r="G78" i="118"/>
  <c r="P78" i="118"/>
  <c r="S78" i="118" s="1"/>
  <c r="G77" i="118"/>
  <c r="P77" i="118"/>
  <c r="S77" i="118" s="1"/>
  <c r="G76" i="118"/>
  <c r="P76" i="118"/>
  <c r="S76" i="118" s="1"/>
  <c r="P75" i="118"/>
  <c r="S75" i="118" s="1"/>
  <c r="G75" i="118"/>
  <c r="P74" i="118"/>
  <c r="S74" i="118" s="1"/>
  <c r="G74" i="118"/>
  <c r="P73" i="118"/>
  <c r="S73" i="118" s="1"/>
  <c r="G73" i="118"/>
  <c r="P72" i="118"/>
  <c r="S72" i="118" s="1"/>
  <c r="G72" i="118"/>
  <c r="G71" i="118"/>
  <c r="P71" i="118"/>
  <c r="S71" i="118" s="1"/>
  <c r="P70" i="118"/>
  <c r="S70" i="118" s="1"/>
  <c r="G70" i="118"/>
  <c r="G69" i="118"/>
  <c r="P69" i="118"/>
  <c r="S69" i="118" s="1"/>
  <c r="P68" i="118"/>
  <c r="S68" i="118" s="1"/>
  <c r="G68" i="118"/>
  <c r="P67" i="118"/>
  <c r="S67" i="118" s="1"/>
  <c r="G67" i="118"/>
  <c r="S66" i="118"/>
  <c r="P66" i="118"/>
  <c r="G66" i="118"/>
  <c r="P65" i="118"/>
  <c r="S65" i="118" s="1"/>
  <c r="G65" i="118"/>
  <c r="P64" i="118"/>
  <c r="S64" i="118" s="1"/>
  <c r="G64" i="118"/>
  <c r="G63" i="118"/>
  <c r="P63" i="118"/>
  <c r="S63" i="118" s="1"/>
  <c r="P62" i="118"/>
  <c r="S62" i="118" s="1"/>
  <c r="G62" i="118"/>
  <c r="G61" i="118"/>
  <c r="P61" i="118"/>
  <c r="S61" i="118" s="1"/>
  <c r="P60" i="118"/>
  <c r="S60" i="118" s="1"/>
  <c r="G60" i="118"/>
  <c r="P59" i="118"/>
  <c r="S59" i="118" s="1"/>
  <c r="G59" i="118"/>
  <c r="P58" i="118"/>
  <c r="S58" i="118" s="1"/>
  <c r="G58" i="118"/>
  <c r="G57" i="118"/>
  <c r="P57" i="118"/>
  <c r="S57" i="118" s="1"/>
  <c r="P56" i="118"/>
  <c r="S56" i="118" s="1"/>
  <c r="G56" i="118"/>
  <c r="G55" i="118"/>
  <c r="P55" i="118"/>
  <c r="S55" i="118" s="1"/>
  <c r="P54" i="118"/>
  <c r="S54" i="118" s="1"/>
  <c r="G54" i="118"/>
  <c r="G53" i="118"/>
  <c r="P53" i="118"/>
  <c r="S53" i="118" s="1"/>
  <c r="G52" i="118"/>
  <c r="P52" i="118"/>
  <c r="S52" i="118" s="1"/>
  <c r="P51" i="118"/>
  <c r="S51" i="118" s="1"/>
  <c r="G51" i="118"/>
  <c r="P50" i="118"/>
  <c r="S50" i="118" s="1"/>
  <c r="G50" i="118"/>
  <c r="P49" i="118"/>
  <c r="S49" i="118" s="1"/>
  <c r="G49" i="118"/>
  <c r="P48" i="118"/>
  <c r="S48" i="118" s="1"/>
  <c r="G48" i="118"/>
  <c r="G47" i="118"/>
  <c r="P47" i="118"/>
  <c r="S47" i="118" s="1"/>
  <c r="P46" i="118"/>
  <c r="S46" i="118" s="1"/>
  <c r="G46" i="118"/>
  <c r="G45" i="118"/>
  <c r="P45" i="118"/>
  <c r="S45" i="118" s="1"/>
  <c r="P44" i="118"/>
  <c r="S44" i="118" s="1"/>
  <c r="G44" i="118"/>
  <c r="P43" i="118"/>
  <c r="S43" i="118" s="1"/>
  <c r="G43" i="118"/>
  <c r="S42" i="118"/>
  <c r="P42" i="118"/>
  <c r="G42" i="118"/>
  <c r="P41" i="118"/>
  <c r="S41" i="118" s="1"/>
  <c r="G41" i="118"/>
  <c r="P40" i="118"/>
  <c r="S40" i="118" s="1"/>
  <c r="G40" i="118"/>
  <c r="G39" i="118"/>
  <c r="P39" i="118"/>
  <c r="S39" i="118" s="1"/>
  <c r="G38" i="118"/>
  <c r="P38" i="118"/>
  <c r="S38" i="118" s="1"/>
  <c r="G37" i="118"/>
  <c r="P37" i="118"/>
  <c r="S37" i="118" s="1"/>
  <c r="G36" i="118"/>
  <c r="P36" i="118"/>
  <c r="S36" i="118" s="1"/>
  <c r="P35" i="118"/>
  <c r="S35" i="118" s="1"/>
  <c r="G35" i="118"/>
  <c r="P34" i="118"/>
  <c r="S34" i="118" s="1"/>
  <c r="G34" i="118"/>
  <c r="G33" i="118"/>
  <c r="P33" i="118"/>
  <c r="S33" i="118" s="1"/>
  <c r="P32" i="118"/>
  <c r="S32" i="118" s="1"/>
  <c r="G32" i="118"/>
  <c r="G31" i="118"/>
  <c r="P31" i="118"/>
  <c r="S31" i="118" s="1"/>
  <c r="P30" i="118"/>
  <c r="S30" i="118" s="1"/>
  <c r="G30" i="118"/>
  <c r="G29" i="118"/>
  <c r="P29" i="118"/>
  <c r="S29" i="118" s="1"/>
  <c r="P28" i="118"/>
  <c r="S28" i="118" s="1"/>
  <c r="G28" i="118"/>
  <c r="P27" i="118"/>
  <c r="S27" i="118" s="1"/>
  <c r="G27" i="118"/>
  <c r="P26" i="118"/>
  <c r="S26" i="118" s="1"/>
  <c r="G26" i="118"/>
  <c r="P25" i="118"/>
  <c r="S25" i="118" s="1"/>
  <c r="G25" i="118"/>
  <c r="P24" i="118"/>
  <c r="S24" i="118" s="1"/>
  <c r="G24" i="118"/>
  <c r="G23" i="118"/>
  <c r="P23" i="118"/>
  <c r="S23" i="118" s="1"/>
  <c r="P22" i="118"/>
  <c r="S22" i="118" s="1"/>
  <c r="G22" i="118"/>
  <c r="G21" i="118"/>
  <c r="P21" i="118"/>
  <c r="S21" i="118" s="1"/>
  <c r="P20" i="118"/>
  <c r="S20" i="118" s="1"/>
  <c r="G20" i="118"/>
  <c r="P19" i="118"/>
  <c r="S19" i="118" s="1"/>
  <c r="G19" i="118"/>
  <c r="P18" i="118"/>
  <c r="S18" i="118" s="1"/>
  <c r="G18" i="118"/>
  <c r="G17" i="118"/>
  <c r="P17" i="118"/>
  <c r="S17" i="118" s="1"/>
  <c r="P16" i="118"/>
  <c r="S16" i="118" s="1"/>
  <c r="G16" i="118"/>
  <c r="G15" i="118"/>
  <c r="P15" i="118"/>
  <c r="S15" i="118" s="1"/>
  <c r="G14" i="118"/>
  <c r="P14" i="118"/>
  <c r="S14" i="118" s="1"/>
  <c r="G13" i="118"/>
  <c r="P13" i="118"/>
  <c r="S13" i="118" s="1"/>
  <c r="G12" i="118"/>
  <c r="P12" i="118"/>
  <c r="S12" i="118" s="1"/>
  <c r="S11" i="118"/>
  <c r="G11" i="118"/>
  <c r="S10" i="118"/>
  <c r="G10" i="118"/>
  <c r="AW364" i="119"/>
  <c r="AV364" i="119"/>
  <c r="AU364" i="119"/>
  <c r="BC362" i="119"/>
  <c r="BB362" i="119"/>
  <c r="BA362" i="119"/>
  <c r="AZ362" i="119"/>
  <c r="AY362" i="119"/>
  <c r="AX362" i="119"/>
  <c r="AW362" i="119"/>
  <c r="AV362" i="119"/>
  <c r="AU362" i="119"/>
  <c r="AQ362" i="119"/>
  <c r="AB362" i="119"/>
  <c r="AA362" i="119"/>
  <c r="Z362" i="119"/>
  <c r="Y362" i="119"/>
  <c r="X362" i="119"/>
  <c r="W362" i="119"/>
  <c r="V362" i="119"/>
  <c r="U362" i="119"/>
  <c r="P362" i="119"/>
  <c r="AT361" i="119"/>
  <c r="AG361" i="119"/>
  <c r="T361" i="119"/>
  <c r="AT359" i="119"/>
  <c r="AG359" i="119"/>
  <c r="T359" i="119"/>
  <c r="AT358" i="119"/>
  <c r="AG358" i="119"/>
  <c r="T358" i="119"/>
  <c r="AT357" i="119"/>
  <c r="AG357" i="119"/>
  <c r="T357" i="119"/>
  <c r="AT356" i="119"/>
  <c r="AG356" i="119"/>
  <c r="T356" i="119"/>
  <c r="AT355" i="119"/>
  <c r="AG355" i="119"/>
  <c r="T355" i="119"/>
  <c r="R355" i="119"/>
  <c r="Q355" i="119"/>
  <c r="AS354" i="119"/>
  <c r="AT354" i="119" s="1"/>
  <c r="AG354" i="119"/>
  <c r="S354" i="119"/>
  <c r="T354" i="119" s="1"/>
  <c r="R354" i="119"/>
  <c r="Q354" i="119"/>
  <c r="AT353" i="119"/>
  <c r="AG353" i="119"/>
  <c r="T353" i="119"/>
  <c r="AT352" i="119"/>
  <c r="AG352" i="119"/>
  <c r="T352" i="119"/>
  <c r="S352" i="119"/>
  <c r="AS351" i="119"/>
  <c r="AT351" i="119" s="1"/>
  <c r="AG351" i="119"/>
  <c r="S351" i="119"/>
  <c r="R351" i="119"/>
  <c r="Q351" i="119"/>
  <c r="T351" i="119" s="1"/>
  <c r="AT350" i="119"/>
  <c r="AS350" i="119"/>
  <c r="AG350" i="119"/>
  <c r="S350" i="119"/>
  <c r="R350" i="119"/>
  <c r="Q350" i="119"/>
  <c r="T350" i="119" s="1"/>
  <c r="AT349" i="119"/>
  <c r="AG349" i="119"/>
  <c r="T349" i="119"/>
  <c r="AT348" i="119"/>
  <c r="AG348" i="119"/>
  <c r="T348" i="119"/>
  <c r="AT347" i="119"/>
  <c r="AG347" i="119"/>
  <c r="T347" i="119"/>
  <c r="AT346" i="119"/>
  <c r="AG346" i="119"/>
  <c r="T346" i="119"/>
  <c r="AT345" i="119"/>
  <c r="AG345" i="119"/>
  <c r="T345" i="119"/>
  <c r="AT344" i="119"/>
  <c r="AG344" i="119"/>
  <c r="T344" i="119"/>
  <c r="AT343" i="119"/>
  <c r="AG343" i="119"/>
  <c r="T343" i="119"/>
  <c r="AT342" i="119"/>
  <c r="AG342" i="119"/>
  <c r="T342" i="119"/>
  <c r="AT341" i="119"/>
  <c r="AG341" i="119"/>
  <c r="T341" i="119"/>
  <c r="AT340" i="119"/>
  <c r="AG340" i="119"/>
  <c r="T340" i="119"/>
  <c r="AT339" i="119"/>
  <c r="AG339" i="119"/>
  <c r="T339" i="119"/>
  <c r="AT338" i="119"/>
  <c r="AG338" i="119"/>
  <c r="T338" i="119"/>
  <c r="AT337" i="119"/>
  <c r="AG337" i="119"/>
  <c r="T337" i="119"/>
  <c r="AT336" i="119"/>
  <c r="AG336" i="119"/>
  <c r="T336" i="119"/>
  <c r="AT335" i="119"/>
  <c r="AG335" i="119"/>
  <c r="T335" i="119"/>
  <c r="AT334" i="119"/>
  <c r="AG334" i="119"/>
  <c r="T334" i="119"/>
  <c r="AT333" i="119"/>
  <c r="AG333" i="119"/>
  <c r="T333" i="119"/>
  <c r="AT332" i="119"/>
  <c r="AG332" i="119"/>
  <c r="T332" i="119"/>
  <c r="AT331" i="119"/>
  <c r="AG331" i="119"/>
  <c r="T331" i="119"/>
  <c r="AT330" i="119"/>
  <c r="AG330" i="119"/>
  <c r="T330" i="119"/>
  <c r="AT329" i="119"/>
  <c r="AG329" i="119"/>
  <c r="T329" i="119"/>
  <c r="AT328" i="119"/>
  <c r="AG328" i="119"/>
  <c r="T328" i="119"/>
  <c r="AT327" i="119"/>
  <c r="AG327" i="119"/>
  <c r="T327" i="119"/>
  <c r="AT326" i="119"/>
  <c r="AG326" i="119"/>
  <c r="T326" i="119"/>
  <c r="AT325" i="119"/>
  <c r="AG325" i="119"/>
  <c r="T325" i="119"/>
  <c r="AT324" i="119"/>
  <c r="AG324" i="119"/>
  <c r="T324" i="119"/>
  <c r="AT323" i="119"/>
  <c r="AG323" i="119"/>
  <c r="T323" i="119"/>
  <c r="AT322" i="119"/>
  <c r="AG322" i="119"/>
  <c r="T322" i="119"/>
  <c r="AT321" i="119"/>
  <c r="AG321" i="119"/>
  <c r="T321" i="119"/>
  <c r="AT320" i="119"/>
  <c r="AG320" i="119"/>
  <c r="T320" i="119"/>
  <c r="AT319" i="119"/>
  <c r="AG319" i="119"/>
  <c r="T319" i="119"/>
  <c r="AT318" i="119"/>
  <c r="AG318" i="119"/>
  <c r="T318" i="119"/>
  <c r="AT317" i="119"/>
  <c r="AG317" i="119"/>
  <c r="T317" i="119"/>
  <c r="AT316" i="119"/>
  <c r="AG316" i="119"/>
  <c r="T316" i="119"/>
  <c r="AT315" i="119"/>
  <c r="AG315" i="119"/>
  <c r="T315" i="119"/>
  <c r="AT314" i="119"/>
  <c r="AG314" i="119"/>
  <c r="T314" i="119"/>
  <c r="AT313" i="119"/>
  <c r="AG313" i="119"/>
  <c r="T313" i="119"/>
  <c r="AT312" i="119"/>
  <c r="AG312" i="119"/>
  <c r="T312" i="119"/>
  <c r="AT311" i="119"/>
  <c r="AG311" i="119"/>
  <c r="T311" i="119"/>
  <c r="AT310" i="119"/>
  <c r="AG310" i="119"/>
  <c r="T310" i="119"/>
  <c r="AT309" i="119"/>
  <c r="AG309" i="119"/>
  <c r="T309" i="119"/>
  <c r="AT308" i="119"/>
  <c r="AG308" i="119"/>
  <c r="T308" i="119"/>
  <c r="AT307" i="119"/>
  <c r="AG307" i="119"/>
  <c r="T307" i="119"/>
  <c r="AT306" i="119"/>
  <c r="AG306" i="119"/>
  <c r="T306" i="119"/>
  <c r="AT305" i="119"/>
  <c r="AG305" i="119"/>
  <c r="T305" i="119"/>
  <c r="AT304" i="119"/>
  <c r="AG304" i="119"/>
  <c r="T304" i="119"/>
  <c r="AT303" i="119"/>
  <c r="AG303" i="119"/>
  <c r="T303" i="119"/>
  <c r="AT302" i="119"/>
  <c r="AG302" i="119"/>
  <c r="T302" i="119"/>
  <c r="AT301" i="119"/>
  <c r="AG301" i="119"/>
  <c r="T301" i="119"/>
  <c r="AT300" i="119"/>
  <c r="AG300" i="119"/>
  <c r="T300" i="119"/>
  <c r="AT299" i="119"/>
  <c r="AG299" i="119"/>
  <c r="T299" i="119"/>
  <c r="AT298" i="119"/>
  <c r="AG298" i="119"/>
  <c r="T298" i="119"/>
  <c r="AT297" i="119"/>
  <c r="AG297" i="119"/>
  <c r="T297" i="119"/>
  <c r="AT296" i="119"/>
  <c r="AG296" i="119"/>
  <c r="T296" i="119"/>
  <c r="AT295" i="119"/>
  <c r="AG295" i="119"/>
  <c r="T295" i="119"/>
  <c r="AT294" i="119"/>
  <c r="AG294" i="119"/>
  <c r="T294" i="119"/>
  <c r="AT293" i="119"/>
  <c r="AG293" i="119"/>
  <c r="T293" i="119"/>
  <c r="AT292" i="119"/>
  <c r="AG292" i="119"/>
  <c r="T292" i="119"/>
  <c r="AT291" i="119"/>
  <c r="AG291" i="119"/>
  <c r="T291" i="119"/>
  <c r="AT290" i="119"/>
  <c r="AG290" i="119"/>
  <c r="T290" i="119"/>
  <c r="AT289" i="119"/>
  <c r="AG289" i="119"/>
  <c r="T289" i="119"/>
  <c r="AT288" i="119"/>
  <c r="AG288" i="119"/>
  <c r="T288" i="119"/>
  <c r="AT287" i="119"/>
  <c r="AG287" i="119"/>
  <c r="T287" i="119"/>
  <c r="AT286" i="119"/>
  <c r="AG286" i="119"/>
  <c r="T286" i="119"/>
  <c r="AT285" i="119"/>
  <c r="AG285" i="119"/>
  <c r="T285" i="119"/>
  <c r="AT284" i="119"/>
  <c r="AG284" i="119"/>
  <c r="T284" i="119"/>
  <c r="AT283" i="119"/>
  <c r="AG283" i="119"/>
  <c r="T283" i="119"/>
  <c r="AT282" i="119"/>
  <c r="AG282" i="119"/>
  <c r="T282" i="119"/>
  <c r="AT281" i="119"/>
  <c r="AG281" i="119"/>
  <c r="T281" i="119"/>
  <c r="AT280" i="119"/>
  <c r="AG280" i="119"/>
  <c r="T280" i="119"/>
  <c r="AT279" i="119"/>
  <c r="AG279" i="119"/>
  <c r="T279" i="119"/>
  <c r="AT278" i="119"/>
  <c r="AG278" i="119"/>
  <c r="T278" i="119"/>
  <c r="AT277" i="119"/>
  <c r="AG277" i="119"/>
  <c r="T277" i="119"/>
  <c r="AT276" i="119"/>
  <c r="AG276" i="119"/>
  <c r="T276" i="119"/>
  <c r="AT275" i="119"/>
  <c r="AG275" i="119"/>
  <c r="T275" i="119"/>
  <c r="AT274" i="119"/>
  <c r="AG274" i="119"/>
  <c r="T274" i="119"/>
  <c r="AT273" i="119"/>
  <c r="AG273" i="119"/>
  <c r="T273" i="119"/>
  <c r="AT272" i="119"/>
  <c r="AG272" i="119"/>
  <c r="T272" i="119"/>
  <c r="AT271" i="119"/>
  <c r="AG271" i="119"/>
  <c r="T271" i="119"/>
  <c r="AT270" i="119"/>
  <c r="AG270" i="119"/>
  <c r="T270" i="119"/>
  <c r="AT269" i="119"/>
  <c r="AG269" i="119"/>
  <c r="T269" i="119"/>
  <c r="AT268" i="119"/>
  <c r="AG268" i="119"/>
  <c r="T268" i="119"/>
  <c r="AT267" i="119"/>
  <c r="AG267" i="119"/>
  <c r="T267" i="119"/>
  <c r="AT266" i="119"/>
  <c r="AG266" i="119"/>
  <c r="T266" i="119"/>
  <c r="AT265" i="119"/>
  <c r="AG265" i="119"/>
  <c r="T265" i="119"/>
  <c r="AT264" i="119"/>
  <c r="AG264" i="119"/>
  <c r="T264" i="119"/>
  <c r="AT263" i="119"/>
  <c r="AG263" i="119"/>
  <c r="T263" i="119"/>
  <c r="AT262" i="119"/>
  <c r="AG262" i="119"/>
  <c r="T262" i="119"/>
  <c r="AT261" i="119"/>
  <c r="AG261" i="119"/>
  <c r="T261" i="119"/>
  <c r="AT260" i="119"/>
  <c r="AG260" i="119"/>
  <c r="T260" i="119"/>
  <c r="AT259" i="119"/>
  <c r="AG259" i="119"/>
  <c r="T259" i="119"/>
  <c r="AT258" i="119"/>
  <c r="AG258" i="119"/>
  <c r="T258" i="119"/>
  <c r="AT257" i="119"/>
  <c r="AG257" i="119"/>
  <c r="T257" i="119"/>
  <c r="AT256" i="119"/>
  <c r="AG256" i="119"/>
  <c r="T256" i="119"/>
  <c r="AT255" i="119"/>
  <c r="AG255" i="119"/>
  <c r="T255" i="119"/>
  <c r="AT254" i="119"/>
  <c r="AG254" i="119"/>
  <c r="T254" i="119"/>
  <c r="AT253" i="119"/>
  <c r="AG253" i="119"/>
  <c r="T253" i="119"/>
  <c r="AT252" i="119"/>
  <c r="AG252" i="119"/>
  <c r="T252" i="119"/>
  <c r="AT251" i="119"/>
  <c r="AG251" i="119"/>
  <c r="T251" i="119"/>
  <c r="AT250" i="119"/>
  <c r="AG250" i="119"/>
  <c r="T250" i="119"/>
  <c r="AT249" i="119"/>
  <c r="AG249" i="119"/>
  <c r="T249" i="119"/>
  <c r="AT248" i="119"/>
  <c r="AG248" i="119"/>
  <c r="T248" i="119"/>
  <c r="AT247" i="119"/>
  <c r="AG247" i="119"/>
  <c r="T247" i="119"/>
  <c r="AT246" i="119"/>
  <c r="AG246" i="119"/>
  <c r="T246" i="119"/>
  <c r="AT245" i="119"/>
  <c r="AG245" i="119"/>
  <c r="T245" i="119"/>
  <c r="AT244" i="119"/>
  <c r="AG244" i="119"/>
  <c r="T244" i="119"/>
  <c r="AT243" i="119"/>
  <c r="AG243" i="119"/>
  <c r="T243" i="119"/>
  <c r="AT242" i="119"/>
  <c r="AG242" i="119"/>
  <c r="T242" i="119"/>
  <c r="AT241" i="119"/>
  <c r="AG241" i="119"/>
  <c r="T241" i="119"/>
  <c r="AT240" i="119"/>
  <c r="AG240" i="119"/>
  <c r="T240" i="119"/>
  <c r="AT239" i="119"/>
  <c r="AG239" i="119"/>
  <c r="T239" i="119"/>
  <c r="AT238" i="119"/>
  <c r="AG238" i="119"/>
  <c r="T238" i="119"/>
  <c r="AT237" i="119"/>
  <c r="AG237" i="119"/>
  <c r="T237" i="119"/>
  <c r="AT236" i="119"/>
  <c r="AG236" i="119"/>
  <c r="T236" i="119"/>
  <c r="AT235" i="119"/>
  <c r="AG235" i="119"/>
  <c r="T235" i="119"/>
  <c r="AT234" i="119"/>
  <c r="AG234" i="119"/>
  <c r="T234" i="119"/>
  <c r="AT233" i="119"/>
  <c r="AG233" i="119"/>
  <c r="T233" i="119"/>
  <c r="AT232" i="119"/>
  <c r="AG232" i="119"/>
  <c r="T232" i="119"/>
  <c r="AT231" i="119"/>
  <c r="AG231" i="119"/>
  <c r="T231" i="119"/>
  <c r="AT230" i="119"/>
  <c r="AG230" i="119"/>
  <c r="T230" i="119"/>
  <c r="AT229" i="119"/>
  <c r="AG229" i="119"/>
  <c r="T229" i="119"/>
  <c r="AT228" i="119"/>
  <c r="AG228" i="119"/>
  <c r="T228" i="119"/>
  <c r="AT227" i="119"/>
  <c r="AG227" i="119"/>
  <c r="T227" i="119"/>
  <c r="AT226" i="119"/>
  <c r="AG226" i="119"/>
  <c r="T226" i="119"/>
  <c r="AT225" i="119"/>
  <c r="AG225" i="119"/>
  <c r="T225" i="119"/>
  <c r="AT224" i="119"/>
  <c r="AG224" i="119"/>
  <c r="T224" i="119"/>
  <c r="AT223" i="119"/>
  <c r="AG223" i="119"/>
  <c r="T223" i="119"/>
  <c r="AT222" i="119"/>
  <c r="AG222" i="119"/>
  <c r="T222" i="119"/>
  <c r="AT221" i="119"/>
  <c r="AG221" i="119"/>
  <c r="T221" i="119"/>
  <c r="AT220" i="119"/>
  <c r="AG220" i="119"/>
  <c r="T220" i="119"/>
  <c r="AT219" i="119"/>
  <c r="AG219" i="119"/>
  <c r="T219" i="119"/>
  <c r="AT218" i="119"/>
  <c r="AG218" i="119"/>
  <c r="T218" i="119"/>
  <c r="AT217" i="119"/>
  <c r="AG217" i="119"/>
  <c r="T217" i="119"/>
  <c r="AT216" i="119"/>
  <c r="AG216" i="119"/>
  <c r="T216" i="119"/>
  <c r="AT215" i="119"/>
  <c r="AG215" i="119"/>
  <c r="T215" i="119"/>
  <c r="AT214" i="119"/>
  <c r="AG214" i="119"/>
  <c r="T214" i="119"/>
  <c r="AT213" i="119"/>
  <c r="AG213" i="119"/>
  <c r="T213" i="119"/>
  <c r="AT212" i="119"/>
  <c r="AG212" i="119"/>
  <c r="T212" i="119"/>
  <c r="AT211" i="119"/>
  <c r="AG211" i="119"/>
  <c r="T211" i="119"/>
  <c r="AT210" i="119"/>
  <c r="AG210" i="119"/>
  <c r="T210" i="119"/>
  <c r="AT209" i="119"/>
  <c r="AG209" i="119"/>
  <c r="T209" i="119"/>
  <c r="AT208" i="119"/>
  <c r="AG208" i="119"/>
  <c r="T208" i="119"/>
  <c r="AT207" i="119"/>
  <c r="AG207" i="119"/>
  <c r="T207" i="119"/>
  <c r="AT206" i="119"/>
  <c r="AG206" i="119"/>
  <c r="T206" i="119"/>
  <c r="AT205" i="119"/>
  <c r="AG205" i="119"/>
  <c r="T205" i="119"/>
  <c r="AT204" i="119"/>
  <c r="AG204" i="119"/>
  <c r="T204" i="119"/>
  <c r="AT203" i="119"/>
  <c r="AG203" i="119"/>
  <c r="T203" i="119"/>
  <c r="AT202" i="119"/>
  <c r="AG202" i="119"/>
  <c r="T202" i="119"/>
  <c r="AT201" i="119"/>
  <c r="AG201" i="119"/>
  <c r="T201" i="119"/>
  <c r="AT200" i="119"/>
  <c r="AG200" i="119"/>
  <c r="T200" i="119"/>
  <c r="AT199" i="119"/>
  <c r="AG199" i="119"/>
  <c r="T199" i="119"/>
  <c r="AT198" i="119"/>
  <c r="AG198" i="119"/>
  <c r="T198" i="119"/>
  <c r="AT197" i="119"/>
  <c r="AG197" i="119"/>
  <c r="T197" i="119"/>
  <c r="AT196" i="119"/>
  <c r="AG196" i="119"/>
  <c r="T196" i="119"/>
  <c r="AT195" i="119"/>
  <c r="AG195" i="119"/>
  <c r="T195" i="119"/>
  <c r="AT194" i="119"/>
  <c r="AG194" i="119"/>
  <c r="T194" i="119"/>
  <c r="AT193" i="119"/>
  <c r="AG193" i="119"/>
  <c r="T193" i="119"/>
  <c r="AT192" i="119"/>
  <c r="AG192" i="119"/>
  <c r="T192" i="119"/>
  <c r="AT191" i="119"/>
  <c r="AG191" i="119"/>
  <c r="T191" i="119"/>
  <c r="AT190" i="119"/>
  <c r="AG190" i="119"/>
  <c r="T190" i="119"/>
  <c r="AT189" i="119"/>
  <c r="AG189" i="119"/>
  <c r="T189" i="119"/>
  <c r="AT188" i="119"/>
  <c r="AG188" i="119"/>
  <c r="T188" i="119"/>
  <c r="AT187" i="119"/>
  <c r="AG187" i="119"/>
  <c r="T187" i="119"/>
  <c r="AT186" i="119"/>
  <c r="AG186" i="119"/>
  <c r="T186" i="119"/>
  <c r="AT185" i="119"/>
  <c r="AG185" i="119"/>
  <c r="T185" i="119"/>
  <c r="AT184" i="119"/>
  <c r="AG184" i="119"/>
  <c r="T184" i="119"/>
  <c r="AT183" i="119"/>
  <c r="AG183" i="119"/>
  <c r="T183" i="119"/>
  <c r="AT182" i="119"/>
  <c r="AG182" i="119"/>
  <c r="T182" i="119"/>
  <c r="AT181" i="119"/>
  <c r="AG181" i="119"/>
  <c r="T181" i="119"/>
  <c r="AT180" i="119"/>
  <c r="AG180" i="119"/>
  <c r="T180" i="119"/>
  <c r="AT179" i="119"/>
  <c r="AG179" i="119"/>
  <c r="T179" i="119"/>
  <c r="AT178" i="119"/>
  <c r="AG178" i="119"/>
  <c r="T178" i="119"/>
  <c r="AT177" i="119"/>
  <c r="AG177" i="119"/>
  <c r="T177" i="119"/>
  <c r="AT176" i="119"/>
  <c r="AG176" i="119"/>
  <c r="T176" i="119"/>
  <c r="AT175" i="119"/>
  <c r="AG175" i="119"/>
  <c r="T175" i="119"/>
  <c r="AT174" i="119"/>
  <c r="AG174" i="119"/>
  <c r="T174" i="119"/>
  <c r="AT173" i="119"/>
  <c r="AG173" i="119"/>
  <c r="T173" i="119"/>
  <c r="AT172" i="119"/>
  <c r="AG172" i="119"/>
  <c r="T172" i="119"/>
  <c r="AT171" i="119"/>
  <c r="AG171" i="119"/>
  <c r="T171" i="119"/>
  <c r="AT170" i="119"/>
  <c r="AG170" i="119"/>
  <c r="T170" i="119"/>
  <c r="AT169" i="119"/>
  <c r="AG169" i="119"/>
  <c r="T169" i="119"/>
  <c r="AT168" i="119"/>
  <c r="AG168" i="119"/>
  <c r="T168" i="119"/>
  <c r="AT167" i="119"/>
  <c r="AG167" i="119"/>
  <c r="T167" i="119"/>
  <c r="AT166" i="119"/>
  <c r="AG166" i="119"/>
  <c r="T166" i="119"/>
  <c r="AT165" i="119"/>
  <c r="AG165" i="119"/>
  <c r="T165" i="119"/>
  <c r="AT164" i="119"/>
  <c r="AG164" i="119"/>
  <c r="T164" i="119"/>
  <c r="AT163" i="119"/>
  <c r="AG163" i="119"/>
  <c r="T163" i="119"/>
  <c r="AT162" i="119"/>
  <c r="AG162" i="119"/>
  <c r="T162" i="119"/>
  <c r="AT161" i="119"/>
  <c r="AG161" i="119"/>
  <c r="T161" i="119"/>
  <c r="AT160" i="119"/>
  <c r="AG160" i="119"/>
  <c r="T160" i="119"/>
  <c r="AT159" i="119"/>
  <c r="AG159" i="119"/>
  <c r="T159" i="119"/>
  <c r="AT158" i="119"/>
  <c r="AG158" i="119"/>
  <c r="T158" i="119"/>
  <c r="AT157" i="119"/>
  <c r="AG157" i="119"/>
  <c r="T157" i="119"/>
  <c r="AT156" i="119"/>
  <c r="AG156" i="119"/>
  <c r="T156" i="119"/>
  <c r="AT155" i="119"/>
  <c r="AG155" i="119"/>
  <c r="T155" i="119"/>
  <c r="AT154" i="119"/>
  <c r="AG154" i="119"/>
  <c r="T154" i="119"/>
  <c r="AT153" i="119"/>
  <c r="AG153" i="119"/>
  <c r="T153" i="119"/>
  <c r="AT152" i="119"/>
  <c r="AG152" i="119"/>
  <c r="T152" i="119"/>
  <c r="AT151" i="119"/>
  <c r="AG151" i="119"/>
  <c r="T151" i="119"/>
  <c r="AT150" i="119"/>
  <c r="AG150" i="119"/>
  <c r="T150" i="119"/>
  <c r="AT149" i="119"/>
  <c r="AG149" i="119"/>
  <c r="T149" i="119"/>
  <c r="AT148" i="119"/>
  <c r="AG148" i="119"/>
  <c r="T148" i="119"/>
  <c r="AT147" i="119"/>
  <c r="AG147" i="119"/>
  <c r="T147" i="119"/>
  <c r="AT146" i="119"/>
  <c r="AG146" i="119"/>
  <c r="T146" i="119"/>
  <c r="AT145" i="119"/>
  <c r="AG145" i="119"/>
  <c r="T145" i="119"/>
  <c r="AT144" i="119"/>
  <c r="AG144" i="119"/>
  <c r="T144" i="119"/>
  <c r="AT143" i="119"/>
  <c r="AG143" i="119"/>
  <c r="T143" i="119"/>
  <c r="AT142" i="119"/>
  <c r="AG142" i="119"/>
  <c r="T142" i="119"/>
  <c r="AT141" i="119"/>
  <c r="AG141" i="119"/>
  <c r="T141" i="119"/>
  <c r="AT140" i="119"/>
  <c r="AG140" i="119"/>
  <c r="T140" i="119"/>
  <c r="AT139" i="119"/>
  <c r="AG139" i="119"/>
  <c r="T139" i="119"/>
  <c r="AT138" i="119"/>
  <c r="AG138" i="119"/>
  <c r="T138" i="119"/>
  <c r="AT137" i="119"/>
  <c r="AG137" i="119"/>
  <c r="T137" i="119"/>
  <c r="K137" i="119"/>
  <c r="AT136" i="119"/>
  <c r="AG136" i="119"/>
  <c r="T136" i="119"/>
  <c r="K136" i="119"/>
  <c r="AT135" i="119"/>
  <c r="AG135" i="119"/>
  <c r="T135" i="119"/>
  <c r="K135" i="119"/>
  <c r="AT134" i="119"/>
  <c r="AG134" i="119"/>
  <c r="T134" i="119"/>
  <c r="K134" i="119"/>
  <c r="AT133" i="119"/>
  <c r="AG133" i="119"/>
  <c r="T133" i="119"/>
  <c r="K133" i="119"/>
  <c r="AT132" i="119"/>
  <c r="AG132" i="119"/>
  <c r="T132" i="119"/>
  <c r="K132" i="119"/>
  <c r="AT131" i="119"/>
  <c r="AG131" i="119"/>
  <c r="T131" i="119"/>
  <c r="AT130" i="119"/>
  <c r="AG130" i="119"/>
  <c r="T130" i="119"/>
  <c r="AT129" i="119"/>
  <c r="AG129" i="119"/>
  <c r="T129" i="119"/>
  <c r="AT128" i="119"/>
  <c r="AG128" i="119"/>
  <c r="T128" i="119"/>
  <c r="AT127" i="119"/>
  <c r="AG127" i="119"/>
  <c r="T127" i="119"/>
  <c r="AT126" i="119"/>
  <c r="AG126" i="119"/>
  <c r="T126" i="119"/>
  <c r="AT125" i="119"/>
  <c r="AG125" i="119"/>
  <c r="T125" i="119"/>
  <c r="AT124" i="119"/>
  <c r="AG124" i="119"/>
  <c r="S124" i="119"/>
  <c r="R124" i="119"/>
  <c r="Q124" i="119"/>
  <c r="T124" i="119" s="1"/>
  <c r="AT123" i="119"/>
  <c r="AG123" i="119"/>
  <c r="T123" i="119"/>
  <c r="S123" i="119"/>
  <c r="R123" i="119"/>
  <c r="Q123" i="119"/>
  <c r="AT122" i="119"/>
  <c r="AG122" i="119"/>
  <c r="S122" i="119"/>
  <c r="R122" i="119"/>
  <c r="T122" i="119" s="1"/>
  <c r="Q122" i="119"/>
  <c r="AT121" i="119"/>
  <c r="AG121" i="119"/>
  <c r="S121" i="119"/>
  <c r="R121" i="119"/>
  <c r="Q121" i="119"/>
  <c r="AT120" i="119"/>
  <c r="AG120" i="119"/>
  <c r="S120" i="119"/>
  <c r="R120" i="119"/>
  <c r="Q120" i="119"/>
  <c r="T120" i="119" s="1"/>
  <c r="AT119" i="119"/>
  <c r="AG119" i="119"/>
  <c r="T119" i="119"/>
  <c r="S119" i="119"/>
  <c r="R119" i="119"/>
  <c r="Q119" i="119"/>
  <c r="AT118" i="119"/>
  <c r="AG118" i="119"/>
  <c r="S118" i="119"/>
  <c r="T118" i="119" s="1"/>
  <c r="R118" i="119"/>
  <c r="Q118" i="119"/>
  <c r="AT117" i="119"/>
  <c r="AG117" i="119"/>
  <c r="S117" i="119"/>
  <c r="R117" i="119"/>
  <c r="Q117" i="119"/>
  <c r="AT116" i="119"/>
  <c r="AG116" i="119"/>
  <c r="S116" i="119"/>
  <c r="R116" i="119"/>
  <c r="Q116" i="119"/>
  <c r="T116" i="119" s="1"/>
  <c r="AT115" i="119"/>
  <c r="AG115" i="119"/>
  <c r="T115" i="119"/>
  <c r="S115" i="119"/>
  <c r="R115" i="119"/>
  <c r="Q115" i="119"/>
  <c r="AT114" i="119"/>
  <c r="AG114" i="119"/>
  <c r="T114" i="119"/>
  <c r="AT113" i="119"/>
  <c r="AG113" i="119"/>
  <c r="T113" i="119"/>
  <c r="AT112" i="119"/>
  <c r="AG112" i="119"/>
  <c r="S112" i="119"/>
  <c r="R112" i="119"/>
  <c r="Q112" i="119"/>
  <c r="T112" i="119" s="1"/>
  <c r="AT111" i="119"/>
  <c r="AG111" i="119"/>
  <c r="T111" i="119"/>
  <c r="AT110" i="119"/>
  <c r="AG110" i="119"/>
  <c r="T110" i="119"/>
  <c r="AT109" i="119"/>
  <c r="AG109" i="119"/>
  <c r="T109" i="119"/>
  <c r="AT108" i="119"/>
  <c r="AG108" i="119"/>
  <c r="T108" i="119"/>
  <c r="AT107" i="119"/>
  <c r="AG107" i="119"/>
  <c r="T107" i="119"/>
  <c r="AT106" i="119"/>
  <c r="AG106" i="119"/>
  <c r="T106" i="119"/>
  <c r="G106" i="119"/>
  <c r="AT105" i="119"/>
  <c r="AG105" i="119"/>
  <c r="T105" i="119"/>
  <c r="AT104" i="119"/>
  <c r="AG104" i="119"/>
  <c r="T104" i="119"/>
  <c r="AT103" i="119"/>
  <c r="AG103" i="119"/>
  <c r="T103" i="119"/>
  <c r="AT102" i="119"/>
  <c r="AG102" i="119"/>
  <c r="T102" i="119"/>
  <c r="AT101" i="119"/>
  <c r="AG101" i="119"/>
  <c r="T101" i="119"/>
  <c r="AT100" i="119"/>
  <c r="AG100" i="119"/>
  <c r="T100" i="119"/>
  <c r="AT99" i="119"/>
  <c r="AG99" i="119"/>
  <c r="T99" i="119"/>
  <c r="E99" i="119"/>
  <c r="E100" i="119" s="1"/>
  <c r="E101" i="119" s="1"/>
  <c r="E102" i="119" s="1"/>
  <c r="E103" i="119" s="1"/>
  <c r="AT98" i="119"/>
  <c r="AG98" i="119"/>
  <c r="T98" i="119"/>
  <c r="E98" i="119"/>
  <c r="D98" i="119"/>
  <c r="D99" i="119" s="1"/>
  <c r="D100" i="119" s="1"/>
  <c r="D101" i="119" s="1"/>
  <c r="D102" i="119" s="1"/>
  <c r="D103" i="119" s="1"/>
  <c r="AT97" i="119"/>
  <c r="AG97" i="119"/>
  <c r="T97" i="119"/>
  <c r="G97" i="119"/>
  <c r="AT96" i="119"/>
  <c r="AG96" i="119"/>
  <c r="T96" i="119"/>
  <c r="E96" i="119"/>
  <c r="D96" i="119"/>
  <c r="AT95" i="119"/>
  <c r="AG95" i="119"/>
  <c r="T95" i="119"/>
  <c r="AT94" i="119"/>
  <c r="AG94" i="119"/>
  <c r="T94" i="119"/>
  <c r="E94" i="119"/>
  <c r="E95" i="119" s="1"/>
  <c r="AT93" i="119"/>
  <c r="AG93" i="119"/>
  <c r="T93" i="119"/>
  <c r="E93" i="119"/>
  <c r="D93" i="119"/>
  <c r="D94" i="119" s="1"/>
  <c r="D95" i="119" s="1"/>
  <c r="AT92" i="119"/>
  <c r="AG92" i="119"/>
  <c r="T92" i="119"/>
  <c r="E92" i="119"/>
  <c r="D92" i="119"/>
  <c r="AT91" i="119"/>
  <c r="AG91" i="119"/>
  <c r="T91" i="119"/>
  <c r="G91" i="119"/>
  <c r="AT90" i="119"/>
  <c r="AG90" i="119"/>
  <c r="T90" i="119"/>
  <c r="AT89" i="119"/>
  <c r="AG89" i="119"/>
  <c r="T89" i="119"/>
  <c r="AT88" i="119"/>
  <c r="AG88" i="119"/>
  <c r="T88" i="119"/>
  <c r="AT87" i="119"/>
  <c r="AG87" i="119"/>
  <c r="T87" i="119"/>
  <c r="AT86" i="119"/>
  <c r="AG86" i="119"/>
  <c r="T86" i="119"/>
  <c r="AT85" i="119"/>
  <c r="AG85" i="119"/>
  <c r="T85" i="119"/>
  <c r="AS84" i="119"/>
  <c r="AG84" i="119"/>
  <c r="S84" i="119"/>
  <c r="R84" i="119"/>
  <c r="T84" i="119" s="1"/>
  <c r="Q84" i="119"/>
  <c r="K84" i="119"/>
  <c r="F84" i="119"/>
  <c r="E84" i="119"/>
  <c r="D84" i="119"/>
  <c r="BF83" i="119"/>
  <c r="AT83" i="119"/>
  <c r="AG83" i="119"/>
  <c r="T83" i="119"/>
  <c r="K83" i="119"/>
  <c r="H83" i="119"/>
  <c r="G83" i="119"/>
  <c r="AR82" i="119"/>
  <c r="R82" i="119" s="1"/>
  <c r="AQ82" i="119"/>
  <c r="AG82" i="119"/>
  <c r="S82" i="119"/>
  <c r="F82" i="119"/>
  <c r="K82" i="119" s="1"/>
  <c r="E82" i="119"/>
  <c r="D82" i="119"/>
  <c r="BF81" i="119"/>
  <c r="AT81" i="119"/>
  <c r="AG81" i="119"/>
  <c r="T81" i="119"/>
  <c r="K81" i="119"/>
  <c r="H81" i="119"/>
  <c r="G81" i="119"/>
  <c r="BF80" i="119"/>
  <c r="AT80" i="119"/>
  <c r="AG80" i="119"/>
  <c r="T80" i="119"/>
  <c r="F80" i="119"/>
  <c r="K80" i="119" s="1"/>
  <c r="E80" i="119"/>
  <c r="AT79" i="119"/>
  <c r="BF79" i="119" s="1"/>
  <c r="AG79" i="119"/>
  <c r="T79" i="119"/>
  <c r="H79" i="119"/>
  <c r="H77" i="119" s="1"/>
  <c r="F79" i="119"/>
  <c r="K79" i="119" s="1"/>
  <c r="E79" i="119"/>
  <c r="AS78" i="119"/>
  <c r="AG78" i="119"/>
  <c r="T78" i="119"/>
  <c r="S78" i="119"/>
  <c r="R78" i="119"/>
  <c r="Q78" i="119"/>
  <c r="K78" i="119"/>
  <c r="F78" i="119"/>
  <c r="E78" i="119"/>
  <c r="D78" i="119"/>
  <c r="D79" i="119" s="1"/>
  <c r="D80" i="119" s="1"/>
  <c r="BF77" i="119"/>
  <c r="AT77" i="119"/>
  <c r="AG77" i="119"/>
  <c r="T77" i="119"/>
  <c r="K77" i="119"/>
  <c r="G77" i="119"/>
  <c r="AT76" i="119"/>
  <c r="BF76" i="119" s="1"/>
  <c r="AG76" i="119"/>
  <c r="T76" i="119"/>
  <c r="F76" i="119"/>
  <c r="K76" i="119" s="1"/>
  <c r="E76" i="119"/>
  <c r="D76" i="119"/>
  <c r="BF75" i="119"/>
  <c r="AT75" i="119"/>
  <c r="AG75" i="119"/>
  <c r="T75" i="119"/>
  <c r="K75" i="119"/>
  <c r="H75" i="119"/>
  <c r="G75" i="119"/>
  <c r="AT74" i="119"/>
  <c r="AG74" i="119"/>
  <c r="T74" i="119"/>
  <c r="AT73" i="119"/>
  <c r="BF73" i="119" s="1"/>
  <c r="AQ73" i="119"/>
  <c r="AG73" i="119"/>
  <c r="S73" i="119"/>
  <c r="R73" i="119"/>
  <c r="Q73" i="119"/>
  <c r="T73" i="119" s="1"/>
  <c r="F73" i="119"/>
  <c r="K73" i="119" s="1"/>
  <c r="E73" i="119"/>
  <c r="D73" i="119"/>
  <c r="BF72" i="119"/>
  <c r="AT72" i="119"/>
  <c r="AG72" i="119"/>
  <c r="T72" i="119"/>
  <c r="K72" i="119"/>
  <c r="H72" i="119"/>
  <c r="G72" i="119"/>
  <c r="AS71" i="119"/>
  <c r="AR71" i="119"/>
  <c r="R71" i="119" s="1"/>
  <c r="T71" i="119" s="1"/>
  <c r="AG71" i="119"/>
  <c r="S71" i="119"/>
  <c r="Q71" i="119"/>
  <c r="H71" i="119"/>
  <c r="G71" i="119"/>
  <c r="F71" i="119"/>
  <c r="K71" i="119" s="1"/>
  <c r="E71" i="119"/>
  <c r="D71" i="119"/>
  <c r="BF70" i="119"/>
  <c r="AT70" i="119"/>
  <c r="AG70" i="119"/>
  <c r="T70" i="119"/>
  <c r="K70" i="119"/>
  <c r="H70" i="119"/>
  <c r="G70" i="119"/>
  <c r="BF69" i="119"/>
  <c r="AT69" i="119"/>
  <c r="AG69" i="119"/>
  <c r="T69" i="119"/>
  <c r="D69" i="119"/>
  <c r="BF68" i="119"/>
  <c r="AT68" i="119"/>
  <c r="AG68" i="119"/>
  <c r="T68" i="119"/>
  <c r="H68" i="119"/>
  <c r="G68" i="119"/>
  <c r="F68" i="119"/>
  <c r="E68" i="119"/>
  <c r="E69" i="119" s="1"/>
  <c r="D68" i="119"/>
  <c r="BF67" i="119"/>
  <c r="AT67" i="119"/>
  <c r="AG67" i="119"/>
  <c r="T67" i="119"/>
  <c r="K67" i="119"/>
  <c r="H67" i="119"/>
  <c r="G67" i="119"/>
  <c r="BF66" i="119"/>
  <c r="AT66" i="119"/>
  <c r="AG66" i="119"/>
  <c r="T66" i="119"/>
  <c r="D66" i="119"/>
  <c r="AT65" i="119"/>
  <c r="BF65" i="119" s="1"/>
  <c r="AG65" i="119"/>
  <c r="T65" i="119"/>
  <c r="D65" i="119"/>
  <c r="AT64" i="119"/>
  <c r="BF64" i="119" s="1"/>
  <c r="AG64" i="119"/>
  <c r="T64" i="119"/>
  <c r="F64" i="119"/>
  <c r="K64" i="119" s="1"/>
  <c r="E64" i="119"/>
  <c r="E65" i="119" s="1"/>
  <c r="E66" i="119" s="1"/>
  <c r="D64" i="119"/>
  <c r="AT63" i="119"/>
  <c r="AG63" i="119"/>
  <c r="T63" i="119"/>
  <c r="AT62" i="119"/>
  <c r="BF62" i="119" s="1"/>
  <c r="AG62" i="119"/>
  <c r="T62" i="119"/>
  <c r="K62" i="119"/>
  <c r="F62" i="119"/>
  <c r="E62" i="119"/>
  <c r="D62" i="119"/>
  <c r="BF61" i="119"/>
  <c r="AT61" i="119"/>
  <c r="AG61" i="119"/>
  <c r="T61" i="119"/>
  <c r="K61" i="119"/>
  <c r="H61" i="119"/>
  <c r="G61" i="119"/>
  <c r="BF60" i="119"/>
  <c r="AT60" i="119"/>
  <c r="AG60" i="119"/>
  <c r="T60" i="119"/>
  <c r="BF59" i="119"/>
  <c r="AT59" i="119"/>
  <c r="AG59" i="119"/>
  <c r="T59" i="119"/>
  <c r="E59" i="119"/>
  <c r="E60" i="119" s="1"/>
  <c r="BF58" i="119"/>
  <c r="AT58" i="119"/>
  <c r="AG58" i="119"/>
  <c r="S58" i="119"/>
  <c r="T58" i="119" s="1"/>
  <c r="BF57" i="119"/>
  <c r="AT57" i="119"/>
  <c r="AG57" i="119"/>
  <c r="T57" i="119"/>
  <c r="K57" i="119"/>
  <c r="E57" i="119"/>
  <c r="E58" i="119" s="1"/>
  <c r="AT56" i="119"/>
  <c r="BF56" i="119" s="1"/>
  <c r="AG56" i="119"/>
  <c r="T56" i="119"/>
  <c r="F56" i="119"/>
  <c r="K56" i="119" s="1"/>
  <c r="E56" i="119"/>
  <c r="D56" i="119"/>
  <c r="D58" i="119" s="1"/>
  <c r="D59" i="119" s="1"/>
  <c r="D60" i="119" s="1"/>
  <c r="BF55" i="119"/>
  <c r="AT55" i="119"/>
  <c r="AG55" i="119"/>
  <c r="T55" i="119"/>
  <c r="K55" i="119"/>
  <c r="H55" i="119"/>
  <c r="G55" i="119"/>
  <c r="BF54" i="119"/>
  <c r="AT54" i="119"/>
  <c r="AG54" i="119"/>
  <c r="T54" i="119"/>
  <c r="AT53" i="119"/>
  <c r="BF53" i="119" s="1"/>
  <c r="AS53" i="119"/>
  <c r="AG53" i="119"/>
  <c r="S53" i="119"/>
  <c r="R53" i="119"/>
  <c r="Q53" i="119"/>
  <c r="T53" i="119" s="1"/>
  <c r="F53" i="119"/>
  <c r="F54" i="119" s="1"/>
  <c r="AT52" i="119"/>
  <c r="BF52" i="119" s="1"/>
  <c r="AG52" i="119"/>
  <c r="T52" i="119"/>
  <c r="F52" i="119"/>
  <c r="K52" i="119" s="1"/>
  <c r="E52" i="119"/>
  <c r="E53" i="119" s="1"/>
  <c r="E54" i="119" s="1"/>
  <c r="D52" i="119"/>
  <c r="D53" i="119" s="1"/>
  <c r="D54" i="119" s="1"/>
  <c r="BF51" i="119"/>
  <c r="AT51" i="119"/>
  <c r="AG51" i="119"/>
  <c r="T51" i="119"/>
  <c r="K51" i="119"/>
  <c r="H51" i="119"/>
  <c r="G51" i="119"/>
  <c r="BF50" i="119"/>
  <c r="AT50" i="119"/>
  <c r="AG50" i="119"/>
  <c r="T50" i="119"/>
  <c r="BF49" i="119"/>
  <c r="AT49" i="119"/>
  <c r="AG49" i="119"/>
  <c r="T49" i="119"/>
  <c r="F49" i="119"/>
  <c r="K49" i="119" s="1"/>
  <c r="BF48" i="119"/>
  <c r="AT48" i="119"/>
  <c r="AG48" i="119"/>
  <c r="T48" i="119"/>
  <c r="K48" i="119"/>
  <c r="F48" i="119"/>
  <c r="E48" i="119"/>
  <c r="E49" i="119" s="1"/>
  <c r="E50" i="119" s="1"/>
  <c r="D48" i="119"/>
  <c r="D49" i="119" s="1"/>
  <c r="D50" i="119" s="1"/>
  <c r="BF47" i="119"/>
  <c r="AT47" i="119"/>
  <c r="AG47" i="119"/>
  <c r="T47" i="119"/>
  <c r="K47" i="119"/>
  <c r="H47" i="119"/>
  <c r="G47" i="119"/>
  <c r="BF46" i="119"/>
  <c r="AT46" i="119"/>
  <c r="AG46" i="119"/>
  <c r="T46" i="119"/>
  <c r="E46" i="119"/>
  <c r="D46" i="119"/>
  <c r="AS45" i="119"/>
  <c r="AT45" i="119" s="1"/>
  <c r="BF45" i="119" s="1"/>
  <c r="AG45" i="119"/>
  <c r="S45" i="119"/>
  <c r="R45" i="119"/>
  <c r="Q45" i="119"/>
  <c r="T45" i="119" s="1"/>
  <c r="AR44" i="119"/>
  <c r="AR362" i="119" s="1"/>
  <c r="AG44" i="119"/>
  <c r="Q44" i="119"/>
  <c r="D44" i="119"/>
  <c r="D45" i="119" s="1"/>
  <c r="AT43" i="119"/>
  <c r="BF43" i="119" s="1"/>
  <c r="AG43" i="119"/>
  <c r="T43" i="119"/>
  <c r="D43" i="119"/>
  <c r="BF42" i="119"/>
  <c r="AT42" i="119"/>
  <c r="AQ42" i="119"/>
  <c r="AG42" i="119"/>
  <c r="S42" i="119"/>
  <c r="R42" i="119"/>
  <c r="Q42" i="119"/>
  <c r="T42" i="119" s="1"/>
  <c r="AT41" i="119"/>
  <c r="BF41" i="119" s="1"/>
  <c r="AG41" i="119"/>
  <c r="T41" i="119"/>
  <c r="AQ40" i="119"/>
  <c r="AG40" i="119"/>
  <c r="T40" i="119"/>
  <c r="Q40" i="119"/>
  <c r="AS39" i="119"/>
  <c r="AG39" i="119"/>
  <c r="R39" i="119"/>
  <c r="Q39" i="119"/>
  <c r="F39" i="119"/>
  <c r="E39" i="119"/>
  <c r="E40" i="119" s="1"/>
  <c r="E41" i="119" s="1"/>
  <c r="E42" i="119" s="1"/>
  <c r="E43" i="119" s="1"/>
  <c r="E44" i="119" s="1"/>
  <c r="E45" i="119" s="1"/>
  <c r="D39" i="119"/>
  <c r="D40" i="119" s="1"/>
  <c r="D41" i="119" s="1"/>
  <c r="D42" i="119" s="1"/>
  <c r="BF38" i="119"/>
  <c r="AT38" i="119"/>
  <c r="AG38" i="119"/>
  <c r="T38" i="119"/>
  <c r="K38" i="119"/>
  <c r="H38" i="119"/>
  <c r="G38" i="119"/>
  <c r="BF37" i="119"/>
  <c r="AT37" i="119"/>
  <c r="AG37" i="119"/>
  <c r="T37" i="119"/>
  <c r="D37" i="119"/>
  <c r="BF36" i="119"/>
  <c r="AT36" i="119"/>
  <c r="AG36" i="119"/>
  <c r="T36" i="119"/>
  <c r="AS35" i="119"/>
  <c r="S35" i="119" s="1"/>
  <c r="AG35" i="119"/>
  <c r="R35" i="119"/>
  <c r="Q35" i="119"/>
  <c r="E35" i="119"/>
  <c r="E36" i="119" s="1"/>
  <c r="E37" i="119" s="1"/>
  <c r="AS34" i="119"/>
  <c r="AG34" i="119"/>
  <c r="S34" i="119"/>
  <c r="T34" i="119" s="1"/>
  <c r="R34" i="119"/>
  <c r="Q34" i="119"/>
  <c r="AT33" i="119"/>
  <c r="BF33" i="119" s="1"/>
  <c r="AG33" i="119"/>
  <c r="T33" i="119"/>
  <c r="K33" i="119"/>
  <c r="F33" i="119"/>
  <c r="F34" i="119" s="1"/>
  <c r="K34" i="119" s="1"/>
  <c r="E33" i="119"/>
  <c r="E34" i="119" s="1"/>
  <c r="D33" i="119"/>
  <c r="D34" i="119" s="1"/>
  <c r="D35" i="119" s="1"/>
  <c r="D36" i="119" s="1"/>
  <c r="BF32" i="119"/>
  <c r="AT32" i="119"/>
  <c r="AG32" i="119"/>
  <c r="T32" i="119"/>
  <c r="K32" i="119"/>
  <c r="H32" i="119"/>
  <c r="G32" i="119"/>
  <c r="BF31" i="119"/>
  <c r="AT31" i="119"/>
  <c r="AG31" i="119"/>
  <c r="T31" i="119"/>
  <c r="F31" i="119"/>
  <c r="K31" i="119" s="1"/>
  <c r="D31" i="119"/>
  <c r="AS30" i="119"/>
  <c r="S30" i="119" s="1"/>
  <c r="AQ30" i="119"/>
  <c r="AG30" i="119"/>
  <c r="R30" i="119"/>
  <c r="Q30" i="119"/>
  <c r="T30" i="119" s="1"/>
  <c r="K30" i="119"/>
  <c r="H30" i="119"/>
  <c r="H29" i="119" s="1"/>
  <c r="G30" i="119"/>
  <c r="G29" i="119" s="1"/>
  <c r="F30" i="119"/>
  <c r="E30" i="119"/>
  <c r="E31" i="119" s="1"/>
  <c r="D30" i="119"/>
  <c r="BF29" i="119"/>
  <c r="AT29" i="119"/>
  <c r="AG29" i="119"/>
  <c r="T29" i="119"/>
  <c r="K29" i="119"/>
  <c r="BF28" i="119"/>
  <c r="AT28" i="119"/>
  <c r="AG28" i="119"/>
  <c r="T28" i="119"/>
  <c r="AS27" i="119"/>
  <c r="AG27" i="119"/>
  <c r="S27" i="119"/>
  <c r="R27" i="119"/>
  <c r="T27" i="119" s="1"/>
  <c r="Q27" i="119"/>
  <c r="AT26" i="119"/>
  <c r="BF26" i="119" s="1"/>
  <c r="AG26" i="119"/>
  <c r="T26" i="119"/>
  <c r="AP25" i="119"/>
  <c r="AP362" i="119" s="1"/>
  <c r="AG25" i="119"/>
  <c r="T25" i="119"/>
  <c r="P25" i="119"/>
  <c r="F25" i="119"/>
  <c r="D25" i="119"/>
  <c r="D26" i="119" s="1"/>
  <c r="D27" i="119" s="1"/>
  <c r="D28" i="119" s="1"/>
  <c r="BF24" i="119"/>
  <c r="AT24" i="119"/>
  <c r="AG24" i="119"/>
  <c r="T24" i="119"/>
  <c r="F24" i="119"/>
  <c r="K24" i="119" s="1"/>
  <c r="E24" i="119"/>
  <c r="E25" i="119" s="1"/>
  <c r="E26" i="119" s="1"/>
  <c r="E27" i="119" s="1"/>
  <c r="E28" i="119" s="1"/>
  <c r="D24" i="119"/>
  <c r="BF23" i="119"/>
  <c r="AT23" i="119"/>
  <c r="AG23" i="119"/>
  <c r="T23" i="119"/>
  <c r="K23" i="119"/>
  <c r="H23" i="119"/>
  <c r="G23" i="119"/>
  <c r="BF22" i="119"/>
  <c r="AT22" i="119"/>
  <c r="AG22" i="119"/>
  <c r="T22" i="119"/>
  <c r="E22" i="119"/>
  <c r="D22" i="119"/>
  <c r="AT21" i="119"/>
  <c r="BF21" i="119" s="1"/>
  <c r="AG21" i="119"/>
  <c r="T21" i="119"/>
  <c r="E21" i="119"/>
  <c r="D21" i="119"/>
  <c r="AT20" i="119"/>
  <c r="BF20" i="119" s="1"/>
  <c r="AS20" i="119"/>
  <c r="AR20" i="119"/>
  <c r="AQ20" i="119"/>
  <c r="AG20" i="119"/>
  <c r="S20" i="119"/>
  <c r="R20" i="119"/>
  <c r="Q20" i="119"/>
  <c r="T20" i="119" s="1"/>
  <c r="AT19" i="119"/>
  <c r="BF19" i="119" s="1"/>
  <c r="AQ19" i="119"/>
  <c r="Q19" i="119" s="1"/>
  <c r="AG19" i="119"/>
  <c r="S19" i="119"/>
  <c r="R19" i="119"/>
  <c r="F19" i="119"/>
  <c r="F20" i="119" s="1"/>
  <c r="E19" i="119"/>
  <c r="E20" i="119" s="1"/>
  <c r="D19" i="119"/>
  <c r="D20" i="119" s="1"/>
  <c r="BF18" i="119"/>
  <c r="AT18" i="119"/>
  <c r="AG18" i="119"/>
  <c r="T18" i="119"/>
  <c r="K18" i="119"/>
  <c r="H18" i="119"/>
  <c r="G18" i="119"/>
  <c r="BF17" i="119"/>
  <c r="AT17" i="119"/>
  <c r="AG17" i="119"/>
  <c r="T17" i="119"/>
  <c r="F17" i="119"/>
  <c r="K17" i="119" s="1"/>
  <c r="E17" i="119"/>
  <c r="D17" i="119"/>
  <c r="BF16" i="119"/>
  <c r="AT16" i="119"/>
  <c r="AG16" i="119"/>
  <c r="T16" i="119"/>
  <c r="K16" i="119"/>
  <c r="H16" i="119"/>
  <c r="G16" i="119"/>
  <c r="BF15" i="119"/>
  <c r="AT15" i="119"/>
  <c r="AG15" i="119"/>
  <c r="T15" i="119"/>
  <c r="AT14" i="119"/>
  <c r="BF14" i="119" s="1"/>
  <c r="AG14" i="119"/>
  <c r="T14" i="119"/>
  <c r="AT13" i="119"/>
  <c r="BF13" i="119" s="1"/>
  <c r="AG13" i="119"/>
  <c r="T13" i="119"/>
  <c r="E13" i="119"/>
  <c r="E14" i="119" s="1"/>
  <c r="E15" i="119" s="1"/>
  <c r="BF12" i="119"/>
  <c r="AT12" i="119"/>
  <c r="AG12" i="119"/>
  <c r="T12" i="119"/>
  <c r="F12" i="119"/>
  <c r="K12" i="119" s="1"/>
  <c r="E12" i="119"/>
  <c r="D12" i="119"/>
  <c r="D13" i="119" s="1"/>
  <c r="D14" i="119" s="1"/>
  <c r="D15" i="119" s="1"/>
  <c r="BF11" i="119"/>
  <c r="AT11" i="119"/>
  <c r="AG11" i="119"/>
  <c r="T11" i="119"/>
  <c r="K11" i="119"/>
  <c r="H11" i="119"/>
  <c r="G11" i="119"/>
  <c r="BF10" i="119"/>
  <c r="AT10" i="119"/>
  <c r="AG10" i="119"/>
  <c r="T10" i="119"/>
  <c r="L2861" i="120"/>
  <c r="K2861" i="120"/>
  <c r="M2860" i="120"/>
  <c r="M2859" i="120"/>
  <c r="M2858" i="120"/>
  <c r="M2857" i="120"/>
  <c r="M2856" i="120"/>
  <c r="M2855" i="120"/>
  <c r="M2854" i="120"/>
  <c r="M2853" i="120"/>
  <c r="M2852" i="120"/>
  <c r="M2851" i="120"/>
  <c r="M2850" i="120"/>
  <c r="M2849" i="120"/>
  <c r="M2848" i="120"/>
  <c r="M2847" i="120"/>
  <c r="M2846" i="120"/>
  <c r="M2845" i="120"/>
  <c r="M2844" i="120"/>
  <c r="M2843" i="120"/>
  <c r="M2842" i="120"/>
  <c r="M2841" i="120"/>
  <c r="M2840" i="120"/>
  <c r="M2839" i="120"/>
  <c r="M2838" i="120"/>
  <c r="M2837" i="120"/>
  <c r="M2836" i="120"/>
  <c r="M2835" i="120"/>
  <c r="M2834" i="120"/>
  <c r="M2833" i="120"/>
  <c r="M2832" i="120"/>
  <c r="M2831" i="120"/>
  <c r="M2830" i="120"/>
  <c r="M2829" i="120"/>
  <c r="M2828" i="120"/>
  <c r="M2827" i="120"/>
  <c r="M2826" i="120"/>
  <c r="M2825" i="120"/>
  <c r="M2824" i="120"/>
  <c r="M2823" i="120"/>
  <c r="M2822" i="120"/>
  <c r="M2821" i="120"/>
  <c r="M2820" i="120"/>
  <c r="M2819" i="120"/>
  <c r="M2818" i="120"/>
  <c r="M2817" i="120"/>
  <c r="M2816" i="120"/>
  <c r="M2815" i="120"/>
  <c r="M2814" i="120"/>
  <c r="M2813" i="120"/>
  <c r="M2812" i="120"/>
  <c r="M2811" i="120"/>
  <c r="M2810" i="120"/>
  <c r="M2809" i="120"/>
  <c r="M2808" i="120"/>
  <c r="M2807" i="120"/>
  <c r="M2806" i="120"/>
  <c r="M2805" i="120"/>
  <c r="M2804" i="120"/>
  <c r="M2803" i="120"/>
  <c r="M2802" i="120"/>
  <c r="M2801" i="120"/>
  <c r="M2800" i="120"/>
  <c r="M2799" i="120"/>
  <c r="M2798" i="120"/>
  <c r="M2797" i="120"/>
  <c r="M2796" i="120"/>
  <c r="M2795" i="120"/>
  <c r="M2794" i="120"/>
  <c r="M2793" i="120"/>
  <c r="M2792" i="120"/>
  <c r="M2791" i="120"/>
  <c r="M2790" i="120"/>
  <c r="M2789" i="120"/>
  <c r="M2788" i="120"/>
  <c r="M2787" i="120"/>
  <c r="M2786" i="120"/>
  <c r="M2785" i="120"/>
  <c r="M2784" i="120"/>
  <c r="M2783" i="120"/>
  <c r="M2782" i="120"/>
  <c r="M2781" i="120"/>
  <c r="M2780" i="120"/>
  <c r="M2779" i="120"/>
  <c r="M2778" i="120"/>
  <c r="M2777" i="120"/>
  <c r="M2776" i="120"/>
  <c r="M2775" i="120"/>
  <c r="M2774" i="120"/>
  <c r="M2773" i="120"/>
  <c r="M2772" i="120"/>
  <c r="M2771" i="120"/>
  <c r="M2770" i="120"/>
  <c r="M2769" i="120"/>
  <c r="M2768" i="120"/>
  <c r="M2767" i="120"/>
  <c r="M2766" i="120"/>
  <c r="M2765" i="120"/>
  <c r="M2764" i="120"/>
  <c r="M2763" i="120"/>
  <c r="M2762" i="120"/>
  <c r="M2761" i="120"/>
  <c r="M2760" i="120"/>
  <c r="M2759" i="120"/>
  <c r="M2758" i="120"/>
  <c r="M2757" i="120"/>
  <c r="M2756" i="120"/>
  <c r="M2755" i="120"/>
  <c r="M2754" i="120"/>
  <c r="M2753" i="120"/>
  <c r="M2752" i="120"/>
  <c r="M2751" i="120"/>
  <c r="M2750" i="120"/>
  <c r="M2749" i="120"/>
  <c r="M2748" i="120"/>
  <c r="M2747" i="120"/>
  <c r="M2746" i="120"/>
  <c r="M2745" i="120"/>
  <c r="M2744" i="120"/>
  <c r="M2743" i="120"/>
  <c r="M2742" i="120"/>
  <c r="M2741" i="120"/>
  <c r="M2740" i="120"/>
  <c r="M2739" i="120"/>
  <c r="M2738" i="120"/>
  <c r="M2737" i="120"/>
  <c r="M2736" i="120"/>
  <c r="M2735" i="120"/>
  <c r="M2734" i="120"/>
  <c r="M2733" i="120"/>
  <c r="M2732" i="120"/>
  <c r="M2731" i="120"/>
  <c r="M2730" i="120"/>
  <c r="M2729" i="120"/>
  <c r="M2728" i="120"/>
  <c r="M2727" i="120"/>
  <c r="M2726" i="120"/>
  <c r="M2725" i="120"/>
  <c r="M2724" i="120"/>
  <c r="M2723" i="120"/>
  <c r="M2722" i="120"/>
  <c r="M2721" i="120"/>
  <c r="M2720" i="120"/>
  <c r="M2719" i="120"/>
  <c r="M2718" i="120"/>
  <c r="M2717" i="120"/>
  <c r="M2716" i="120"/>
  <c r="M2715" i="120"/>
  <c r="M2714" i="120"/>
  <c r="M2713" i="120"/>
  <c r="M2712" i="120"/>
  <c r="M2711" i="120"/>
  <c r="M2710" i="120"/>
  <c r="M2709" i="120"/>
  <c r="M2708" i="120"/>
  <c r="M2707" i="120"/>
  <c r="M2706" i="120"/>
  <c r="M2705" i="120"/>
  <c r="M2704" i="120"/>
  <c r="M2703" i="120"/>
  <c r="M2702" i="120"/>
  <c r="M2701" i="120"/>
  <c r="M2700" i="120"/>
  <c r="M2699" i="120"/>
  <c r="M2698" i="120"/>
  <c r="M2697" i="120"/>
  <c r="M2696" i="120"/>
  <c r="M2695" i="120"/>
  <c r="M2694" i="120"/>
  <c r="M2693" i="120"/>
  <c r="M2692" i="120"/>
  <c r="M2691" i="120"/>
  <c r="M2690" i="120"/>
  <c r="M2689" i="120"/>
  <c r="M2688" i="120"/>
  <c r="M2687" i="120"/>
  <c r="M2686" i="120"/>
  <c r="M2685" i="120"/>
  <c r="M2684" i="120"/>
  <c r="M2683" i="120"/>
  <c r="M2682" i="120"/>
  <c r="M2681" i="120"/>
  <c r="M2680" i="120"/>
  <c r="M2679" i="120"/>
  <c r="M2678" i="120"/>
  <c r="M2677" i="120"/>
  <c r="M2676" i="120"/>
  <c r="M2675" i="120"/>
  <c r="M2674" i="120"/>
  <c r="M2673" i="120"/>
  <c r="M2672" i="120"/>
  <c r="M2671" i="120"/>
  <c r="M2670" i="120"/>
  <c r="M2669" i="120"/>
  <c r="M2668" i="120"/>
  <c r="M2667" i="120"/>
  <c r="M2666" i="120"/>
  <c r="M2665" i="120"/>
  <c r="M2664" i="120"/>
  <c r="M2663" i="120"/>
  <c r="M2662" i="120"/>
  <c r="M2661" i="120"/>
  <c r="M2660" i="120"/>
  <c r="M2659" i="120"/>
  <c r="M2658" i="120"/>
  <c r="M2657" i="120"/>
  <c r="M2656" i="120"/>
  <c r="M2655" i="120"/>
  <c r="M2654" i="120"/>
  <c r="M2653" i="120"/>
  <c r="M2652" i="120"/>
  <c r="M2651" i="120"/>
  <c r="M2650" i="120"/>
  <c r="M2649" i="120"/>
  <c r="M2648" i="120"/>
  <c r="M2647" i="120"/>
  <c r="M2646" i="120"/>
  <c r="M2645" i="120"/>
  <c r="M2644" i="120"/>
  <c r="M2643" i="120"/>
  <c r="M2642" i="120"/>
  <c r="M2641" i="120"/>
  <c r="M2640" i="120"/>
  <c r="M2639" i="120"/>
  <c r="M2638" i="120"/>
  <c r="M2637" i="120"/>
  <c r="M2636" i="120"/>
  <c r="M2635" i="120"/>
  <c r="M2634" i="120"/>
  <c r="M2633" i="120"/>
  <c r="M2632" i="120"/>
  <c r="M2631" i="120"/>
  <c r="M2630" i="120"/>
  <c r="M2629" i="120"/>
  <c r="M2628" i="120"/>
  <c r="M2627" i="120"/>
  <c r="M2626" i="120"/>
  <c r="M2625" i="120"/>
  <c r="M2624" i="120"/>
  <c r="M2623" i="120"/>
  <c r="M2622" i="120"/>
  <c r="M2621" i="120"/>
  <c r="M2620" i="120"/>
  <c r="M2619" i="120"/>
  <c r="M2618" i="120"/>
  <c r="M2617" i="120"/>
  <c r="M2616" i="120"/>
  <c r="M2615" i="120"/>
  <c r="M2614" i="120"/>
  <c r="M2613" i="120"/>
  <c r="M2612" i="120"/>
  <c r="M2611" i="120"/>
  <c r="M2610" i="120"/>
  <c r="M2609" i="120"/>
  <c r="M2608" i="120"/>
  <c r="M2607" i="120"/>
  <c r="M2606" i="120"/>
  <c r="M2605" i="120"/>
  <c r="M2604" i="120"/>
  <c r="M2603" i="120"/>
  <c r="M2602" i="120"/>
  <c r="M2601" i="120"/>
  <c r="M2600" i="120"/>
  <c r="M2599" i="120"/>
  <c r="M2598" i="120"/>
  <c r="M2597" i="120"/>
  <c r="M2596" i="120"/>
  <c r="O2596" i="120" s="1"/>
  <c r="M2595" i="120"/>
  <c r="M2594" i="120"/>
  <c r="O2593" i="120"/>
  <c r="P2593" i="120" s="1"/>
  <c r="M2593" i="120"/>
  <c r="M2592" i="120"/>
  <c r="M2591" i="120"/>
  <c r="M2590" i="120"/>
  <c r="M2589" i="120"/>
  <c r="M2588" i="120"/>
  <c r="M2587" i="120"/>
  <c r="M2586" i="120"/>
  <c r="M2585" i="120"/>
  <c r="M2584" i="120"/>
  <c r="M2583" i="120"/>
  <c r="M2582" i="120"/>
  <c r="O2582" i="120" s="1"/>
  <c r="P2582" i="120" s="1"/>
  <c r="M2581" i="120"/>
  <c r="M2580" i="120"/>
  <c r="M2579" i="120"/>
  <c r="O2578" i="120"/>
  <c r="P2578" i="120" s="1"/>
  <c r="M2578" i="120"/>
  <c r="M2577" i="120"/>
  <c r="M2576" i="120"/>
  <c r="M2575" i="120"/>
  <c r="M2574" i="120"/>
  <c r="M2573" i="120"/>
  <c r="M2572" i="120"/>
  <c r="M2571" i="120"/>
  <c r="P2570" i="120"/>
  <c r="M2570" i="120"/>
  <c r="O2570" i="120" s="1"/>
  <c r="M2569" i="120"/>
  <c r="M2568" i="120"/>
  <c r="M2567" i="120"/>
  <c r="M2566" i="120"/>
  <c r="M2565" i="120"/>
  <c r="O2565" i="120" s="1"/>
  <c r="M2564" i="120"/>
  <c r="M2563" i="120"/>
  <c r="M2562" i="120"/>
  <c r="M2561" i="120"/>
  <c r="M2560" i="120"/>
  <c r="M2559" i="120"/>
  <c r="O2558" i="120"/>
  <c r="M2558" i="120"/>
  <c r="M2557" i="120"/>
  <c r="M2556" i="120"/>
  <c r="M2555" i="120"/>
  <c r="M2554" i="120"/>
  <c r="O2554" i="120" s="1"/>
  <c r="M2553" i="120"/>
  <c r="O2553" i="120" s="1"/>
  <c r="M2552" i="120"/>
  <c r="O2551" i="120"/>
  <c r="P2551" i="120" s="1"/>
  <c r="M2551" i="120"/>
  <c r="M2550" i="120"/>
  <c r="M2549" i="120"/>
  <c r="O2549" i="120" s="1"/>
  <c r="M2548" i="120"/>
  <c r="M2547" i="120"/>
  <c r="O2547" i="120" s="1"/>
  <c r="P2547" i="120" s="1"/>
  <c r="O2546" i="120"/>
  <c r="M2546" i="120"/>
  <c r="M2545" i="120"/>
  <c r="M2544" i="120"/>
  <c r="O2543" i="120"/>
  <c r="P2543" i="120" s="1"/>
  <c r="M2543" i="120"/>
  <c r="M2542" i="120"/>
  <c r="O2542" i="120" s="1"/>
  <c r="P2542" i="120" s="1"/>
  <c r="M2541" i="120"/>
  <c r="M2540" i="120"/>
  <c r="M2539" i="120"/>
  <c r="M2538" i="120"/>
  <c r="O2538" i="120" s="1"/>
  <c r="M2537" i="120"/>
  <c r="M2536" i="120"/>
  <c r="M2535" i="120"/>
  <c r="O2535" i="120" s="1"/>
  <c r="P2535" i="120" s="1"/>
  <c r="M2534" i="120"/>
  <c r="O2534" i="120" s="1"/>
  <c r="M2533" i="120"/>
  <c r="M2532" i="120"/>
  <c r="M2531" i="120"/>
  <c r="O2531" i="120" s="1"/>
  <c r="M2530" i="120"/>
  <c r="M2529" i="120"/>
  <c r="O2529" i="120" s="1"/>
  <c r="M2528" i="120"/>
  <c r="O2528" i="120" s="1"/>
  <c r="M2527" i="120"/>
  <c r="M2526" i="120"/>
  <c r="M2525" i="120"/>
  <c r="M2524" i="120"/>
  <c r="M2523" i="120"/>
  <c r="M2522" i="120"/>
  <c r="M2521" i="120"/>
  <c r="M2520" i="120"/>
  <c r="O2520" i="120" s="1"/>
  <c r="M2519" i="120"/>
  <c r="M2518" i="120"/>
  <c r="M2517" i="120"/>
  <c r="M2516" i="120"/>
  <c r="M2515" i="120"/>
  <c r="M2514" i="120"/>
  <c r="M2513" i="120"/>
  <c r="M2512" i="120"/>
  <c r="O2512" i="120" s="1"/>
  <c r="M2511" i="120"/>
  <c r="M2510" i="120"/>
  <c r="M2509" i="120"/>
  <c r="L2504" i="120"/>
  <c r="K2504" i="120"/>
  <c r="M2503" i="120"/>
  <c r="M2502" i="120"/>
  <c r="M2501" i="120"/>
  <c r="M2500" i="120"/>
  <c r="M2499" i="120"/>
  <c r="M2498" i="120"/>
  <c r="M2497" i="120"/>
  <c r="M2496" i="120"/>
  <c r="M2495" i="120"/>
  <c r="M2494" i="120"/>
  <c r="M2493" i="120"/>
  <c r="M2492" i="120"/>
  <c r="M2491" i="120"/>
  <c r="M2490" i="120"/>
  <c r="M2489" i="120"/>
  <c r="M2488" i="120"/>
  <c r="M2487" i="120"/>
  <c r="M2486" i="120"/>
  <c r="M2485" i="120"/>
  <c r="M2484" i="120"/>
  <c r="M2483" i="120"/>
  <c r="M2482" i="120"/>
  <c r="M2481" i="120"/>
  <c r="M2480" i="120"/>
  <c r="M2479" i="120"/>
  <c r="M2478" i="120"/>
  <c r="M2477" i="120"/>
  <c r="M2476" i="120"/>
  <c r="M2475" i="120"/>
  <c r="M2474" i="120"/>
  <c r="M2473" i="120"/>
  <c r="M2472" i="120"/>
  <c r="M2471" i="120"/>
  <c r="M2470" i="120"/>
  <c r="M2469" i="120"/>
  <c r="M2468" i="120"/>
  <c r="M2467" i="120"/>
  <c r="M2466" i="120"/>
  <c r="M2465" i="120"/>
  <c r="M2464" i="120"/>
  <c r="M2463" i="120"/>
  <c r="M2462" i="120"/>
  <c r="M2461" i="120"/>
  <c r="M2460" i="120"/>
  <c r="M2459" i="120"/>
  <c r="M2458" i="120"/>
  <c r="M2457" i="120"/>
  <c r="M2456" i="120"/>
  <c r="M2455" i="120"/>
  <c r="M2454" i="120"/>
  <c r="M2453" i="120"/>
  <c r="M2452" i="120"/>
  <c r="M2451" i="120"/>
  <c r="M2450" i="120"/>
  <c r="M2449" i="120"/>
  <c r="M2448" i="120"/>
  <c r="M2447" i="120"/>
  <c r="M2446" i="120"/>
  <c r="M2445" i="120"/>
  <c r="M2444" i="120"/>
  <c r="M2443" i="120"/>
  <c r="M2442" i="120"/>
  <c r="M2441" i="120"/>
  <c r="M2440" i="120"/>
  <c r="M2439" i="120"/>
  <c r="M2438" i="120"/>
  <c r="M2437" i="120"/>
  <c r="M2436" i="120"/>
  <c r="M2435" i="120"/>
  <c r="M2434" i="120"/>
  <c r="M2433" i="120"/>
  <c r="M2432" i="120"/>
  <c r="M2431" i="120"/>
  <c r="M2430" i="120"/>
  <c r="M2429" i="120"/>
  <c r="M2428" i="120"/>
  <c r="M2427" i="120"/>
  <c r="M2426" i="120"/>
  <c r="M2425" i="120"/>
  <c r="M2424" i="120"/>
  <c r="M2423" i="120"/>
  <c r="M2422" i="120"/>
  <c r="M2421" i="120"/>
  <c r="M2420" i="120"/>
  <c r="M2419" i="120"/>
  <c r="M2418" i="120"/>
  <c r="M2417" i="120"/>
  <c r="M2416" i="120"/>
  <c r="M2415" i="120"/>
  <c r="M2414" i="120"/>
  <c r="M2413" i="120"/>
  <c r="M2412" i="120"/>
  <c r="M2411" i="120"/>
  <c r="M2410" i="120"/>
  <c r="M2409" i="120"/>
  <c r="M2408" i="120"/>
  <c r="M2407" i="120"/>
  <c r="M2406" i="120"/>
  <c r="M2405" i="120"/>
  <c r="M2404" i="120"/>
  <c r="M2403" i="120"/>
  <c r="M2402" i="120"/>
  <c r="M2401" i="120"/>
  <c r="M2400" i="120"/>
  <c r="M2399" i="120"/>
  <c r="M2398" i="120"/>
  <c r="M2397" i="120"/>
  <c r="M2396" i="120"/>
  <c r="M2395" i="120"/>
  <c r="M2394" i="120"/>
  <c r="M2393" i="120"/>
  <c r="M2392" i="120"/>
  <c r="M2391" i="120"/>
  <c r="M2390" i="120"/>
  <c r="M2389" i="120"/>
  <c r="M2388" i="120"/>
  <c r="M2387" i="120"/>
  <c r="M2386" i="120"/>
  <c r="M2385" i="120"/>
  <c r="M2384" i="120"/>
  <c r="M2383" i="120"/>
  <c r="M2382" i="120"/>
  <c r="M2381" i="120"/>
  <c r="M2380" i="120"/>
  <c r="M2379" i="120"/>
  <c r="M2378" i="120"/>
  <c r="M2377" i="120"/>
  <c r="M2376" i="120"/>
  <c r="M2375" i="120"/>
  <c r="M2374" i="120"/>
  <c r="M2373" i="120"/>
  <c r="M2372" i="120"/>
  <c r="M2371" i="120"/>
  <c r="M2370" i="120"/>
  <c r="M2369" i="120"/>
  <c r="M2368" i="120"/>
  <c r="M2367" i="120"/>
  <c r="M2366" i="120"/>
  <c r="M2365" i="120"/>
  <c r="M2364" i="120"/>
  <c r="M2363" i="120"/>
  <c r="M2362" i="120"/>
  <c r="M2361" i="120"/>
  <c r="M2360" i="120"/>
  <c r="M2359" i="120"/>
  <c r="M2358" i="120"/>
  <c r="M2357" i="120"/>
  <c r="M2356" i="120"/>
  <c r="M2355" i="120"/>
  <c r="M2354" i="120"/>
  <c r="M2353" i="120"/>
  <c r="M2352" i="120"/>
  <c r="M2351" i="120"/>
  <c r="M2350" i="120"/>
  <c r="M2349" i="120"/>
  <c r="M2348" i="120"/>
  <c r="M2347" i="120"/>
  <c r="M2346" i="120"/>
  <c r="M2345" i="120"/>
  <c r="M2344" i="120"/>
  <c r="M2343" i="120"/>
  <c r="M2342" i="120"/>
  <c r="M2341" i="120"/>
  <c r="M2340" i="120"/>
  <c r="M2339" i="120"/>
  <c r="M2338" i="120"/>
  <c r="M2337" i="120"/>
  <c r="M2336" i="120"/>
  <c r="M2335" i="120"/>
  <c r="M2334" i="120"/>
  <c r="M2333" i="120"/>
  <c r="M2332" i="120"/>
  <c r="M2331" i="120"/>
  <c r="M2330" i="120"/>
  <c r="M2329" i="120"/>
  <c r="M2328" i="120"/>
  <c r="M2327" i="120"/>
  <c r="M2326" i="120"/>
  <c r="M2325" i="120"/>
  <c r="M2324" i="120"/>
  <c r="M2323" i="120"/>
  <c r="M2322" i="120"/>
  <c r="M2321" i="120"/>
  <c r="M2320" i="120"/>
  <c r="M2319" i="120"/>
  <c r="M2318" i="120"/>
  <c r="M2317" i="120"/>
  <c r="M2316" i="120"/>
  <c r="M2315" i="120"/>
  <c r="M2314" i="120"/>
  <c r="M2313" i="120"/>
  <c r="M2312" i="120"/>
  <c r="M2311" i="120"/>
  <c r="M2310" i="120"/>
  <c r="M2309" i="120"/>
  <c r="M2308" i="120"/>
  <c r="M2307" i="120"/>
  <c r="M2306" i="120"/>
  <c r="M2305" i="120"/>
  <c r="M2304" i="120"/>
  <c r="M2303" i="120"/>
  <c r="M2302" i="120"/>
  <c r="M2301" i="120"/>
  <c r="M2300" i="120"/>
  <c r="M2299" i="120"/>
  <c r="M2298" i="120"/>
  <c r="M2297" i="120"/>
  <c r="M2296" i="120"/>
  <c r="M2295" i="120"/>
  <c r="M2294" i="120"/>
  <c r="M2293" i="120"/>
  <c r="M2292" i="120"/>
  <c r="M2291" i="120"/>
  <c r="M2290" i="120"/>
  <c r="M2289" i="120"/>
  <c r="M2288" i="120"/>
  <c r="M2287" i="120"/>
  <c r="M2286" i="120"/>
  <c r="M2285" i="120"/>
  <c r="M2284" i="120"/>
  <c r="M2283" i="120"/>
  <c r="M2282" i="120"/>
  <c r="M2281" i="120"/>
  <c r="M2280" i="120"/>
  <c r="M2279" i="120"/>
  <c r="M2278" i="120"/>
  <c r="M2277" i="120"/>
  <c r="M2276" i="120"/>
  <c r="M2275" i="120"/>
  <c r="M2274" i="120"/>
  <c r="M2273" i="120"/>
  <c r="M2272" i="120"/>
  <c r="M2271" i="120"/>
  <c r="M2270" i="120"/>
  <c r="M2269" i="120"/>
  <c r="M2268" i="120"/>
  <c r="M2267" i="120"/>
  <c r="M2266" i="120"/>
  <c r="M2265" i="120"/>
  <c r="M2264" i="120"/>
  <c r="M2263" i="120"/>
  <c r="M2262" i="120"/>
  <c r="M2261" i="120"/>
  <c r="M2260" i="120"/>
  <c r="M2259" i="120"/>
  <c r="M2258" i="120"/>
  <c r="M2257" i="120"/>
  <c r="M2256" i="120"/>
  <c r="M2255" i="120"/>
  <c r="M2254" i="120"/>
  <c r="M2253" i="120"/>
  <c r="M2252" i="120"/>
  <c r="M2251" i="120"/>
  <c r="M2250" i="120"/>
  <c r="M2249" i="120"/>
  <c r="M2248" i="120"/>
  <c r="M2247" i="120"/>
  <c r="M2246" i="120"/>
  <c r="M2245" i="120"/>
  <c r="M2244" i="120"/>
  <c r="M2243" i="120"/>
  <c r="M2242" i="120"/>
  <c r="M2241" i="120"/>
  <c r="M2240" i="120"/>
  <c r="O2240" i="120" s="1"/>
  <c r="O2239" i="120"/>
  <c r="P2239" i="120" s="1"/>
  <c r="M2239" i="120"/>
  <c r="M2238" i="120"/>
  <c r="M2237" i="120"/>
  <c r="M2236" i="120"/>
  <c r="M2235" i="120"/>
  <c r="M2234" i="120"/>
  <c r="M2233" i="120"/>
  <c r="M2232" i="120"/>
  <c r="M2231" i="120"/>
  <c r="M2230" i="120"/>
  <c r="M2229" i="120"/>
  <c r="M2228" i="120"/>
  <c r="M2227" i="120"/>
  <c r="M2226" i="120"/>
  <c r="O2226" i="120" s="1"/>
  <c r="M2225" i="120"/>
  <c r="M2224" i="120"/>
  <c r="M2223" i="120"/>
  <c r="M2222" i="120"/>
  <c r="M2221" i="120"/>
  <c r="M2220" i="120"/>
  <c r="M2219" i="120"/>
  <c r="P2218" i="120"/>
  <c r="M2218" i="120"/>
  <c r="O2218" i="120" s="1"/>
  <c r="M2217" i="120"/>
  <c r="M2216" i="120"/>
  <c r="M2215" i="120"/>
  <c r="O2215" i="120" s="1"/>
  <c r="M2214" i="120"/>
  <c r="M2213" i="120"/>
  <c r="M2212" i="120"/>
  <c r="M2211" i="120"/>
  <c r="M2210" i="120"/>
  <c r="O2210" i="120" s="1"/>
  <c r="P2210" i="120" s="1"/>
  <c r="M2209" i="120"/>
  <c r="M2208" i="120"/>
  <c r="M2207" i="120"/>
  <c r="O2207" i="120" s="1"/>
  <c r="O2206" i="120"/>
  <c r="P2206" i="120" s="1"/>
  <c r="M2206" i="120"/>
  <c r="M2205" i="120"/>
  <c r="M2204" i="120"/>
  <c r="M2203" i="120"/>
  <c r="M2202" i="120"/>
  <c r="M2201" i="120"/>
  <c r="M2200" i="120"/>
  <c r="O2200" i="120" s="1"/>
  <c r="O2199" i="120"/>
  <c r="P2199" i="120" s="1"/>
  <c r="M2199" i="120"/>
  <c r="M2198" i="120"/>
  <c r="M2197" i="120"/>
  <c r="M2196" i="120"/>
  <c r="M2195" i="120"/>
  <c r="M2194" i="120"/>
  <c r="O2194" i="120" s="1"/>
  <c r="M2193" i="120"/>
  <c r="M2192" i="120"/>
  <c r="O2192" i="120" s="1"/>
  <c r="M2191" i="120"/>
  <c r="M2190" i="120"/>
  <c r="M2189" i="120"/>
  <c r="O2189" i="120" s="1"/>
  <c r="M2188" i="120"/>
  <c r="M2187" i="120"/>
  <c r="M2186" i="120"/>
  <c r="M2185" i="120"/>
  <c r="M2184" i="120"/>
  <c r="O2184" i="120" s="1"/>
  <c r="M2183" i="120"/>
  <c r="O2183" i="120" s="1"/>
  <c r="P2183" i="120" s="1"/>
  <c r="M2182" i="120"/>
  <c r="M2181" i="120"/>
  <c r="M2180" i="120"/>
  <c r="P2179" i="120"/>
  <c r="O2179" i="120"/>
  <c r="M2179" i="120"/>
  <c r="M2178" i="120"/>
  <c r="O2178" i="120" s="1"/>
  <c r="M2177" i="120"/>
  <c r="M2176" i="120"/>
  <c r="O2176" i="120" s="1"/>
  <c r="M2175" i="120"/>
  <c r="M2174" i="120"/>
  <c r="M2173" i="120"/>
  <c r="O2173" i="120" s="1"/>
  <c r="M2172" i="120"/>
  <c r="O2172" i="120" s="1"/>
  <c r="M2171" i="120"/>
  <c r="M2170" i="120"/>
  <c r="M2169" i="120"/>
  <c r="M2168" i="120"/>
  <c r="M2167" i="120"/>
  <c r="O2167" i="120" s="1"/>
  <c r="P2167" i="120" s="1"/>
  <c r="M2166" i="120"/>
  <c r="M2165" i="120"/>
  <c r="M2164" i="120"/>
  <c r="M2163" i="120"/>
  <c r="M2162" i="120"/>
  <c r="M2161" i="120"/>
  <c r="M2160" i="120"/>
  <c r="M2159" i="120"/>
  <c r="M2158" i="120"/>
  <c r="M2157" i="120"/>
  <c r="M2156" i="120"/>
  <c r="O2156" i="120" s="1"/>
  <c r="M2155" i="120"/>
  <c r="M2154" i="120"/>
  <c r="M2153" i="120"/>
  <c r="M2152" i="120"/>
  <c r="L2147" i="120"/>
  <c r="K2147" i="120"/>
  <c r="M2146" i="120"/>
  <c r="M2145" i="120"/>
  <c r="M2144" i="120"/>
  <c r="M2143" i="120"/>
  <c r="M2142" i="120"/>
  <c r="M2141" i="120"/>
  <c r="M2140" i="120"/>
  <c r="M2139" i="120"/>
  <c r="M2138" i="120"/>
  <c r="M2137" i="120"/>
  <c r="M2136" i="120"/>
  <c r="M2135" i="120"/>
  <c r="M2134" i="120"/>
  <c r="M2133" i="120"/>
  <c r="M2132" i="120"/>
  <c r="M2131" i="120"/>
  <c r="M2130" i="120"/>
  <c r="M2129" i="120"/>
  <c r="M2128" i="120"/>
  <c r="M2127" i="120"/>
  <c r="M2126" i="120"/>
  <c r="M2125" i="120"/>
  <c r="M2124" i="120"/>
  <c r="M2123" i="120"/>
  <c r="M2122" i="120"/>
  <c r="M2121" i="120"/>
  <c r="M2120" i="120"/>
  <c r="M2119" i="120"/>
  <c r="M2118" i="120"/>
  <c r="M2117" i="120"/>
  <c r="M2116" i="120"/>
  <c r="M2115" i="120"/>
  <c r="M2114" i="120"/>
  <c r="M2113" i="120"/>
  <c r="M2112" i="120"/>
  <c r="M2111" i="120"/>
  <c r="M2110" i="120"/>
  <c r="M2109" i="120"/>
  <c r="M2108" i="120"/>
  <c r="M2107" i="120"/>
  <c r="M2106" i="120"/>
  <c r="M2105" i="120"/>
  <c r="M2104" i="120"/>
  <c r="M2103" i="120"/>
  <c r="M2102" i="120"/>
  <c r="M2101" i="120"/>
  <c r="M2100" i="120"/>
  <c r="M2099" i="120"/>
  <c r="M2098" i="120"/>
  <c r="M2097" i="120"/>
  <c r="M2096" i="120"/>
  <c r="M2095" i="120"/>
  <c r="M2094" i="120"/>
  <c r="M2093" i="120"/>
  <c r="M2092" i="120"/>
  <c r="M2091" i="120"/>
  <c r="M2090" i="120"/>
  <c r="M2089" i="120"/>
  <c r="M2088" i="120"/>
  <c r="M2087" i="120"/>
  <c r="M2086" i="120"/>
  <c r="M2085" i="120"/>
  <c r="M2084" i="120"/>
  <c r="M2083" i="120"/>
  <c r="M2082" i="120"/>
  <c r="M2081" i="120"/>
  <c r="M2080" i="120"/>
  <c r="M2079" i="120"/>
  <c r="M2078" i="120"/>
  <c r="M2077" i="120"/>
  <c r="M2076" i="120"/>
  <c r="M2075" i="120"/>
  <c r="M2074" i="120"/>
  <c r="M2073" i="120"/>
  <c r="M2072" i="120"/>
  <c r="M2071" i="120"/>
  <c r="M2070" i="120"/>
  <c r="M2069" i="120"/>
  <c r="M2068" i="120"/>
  <c r="M2067" i="120"/>
  <c r="M2066" i="120"/>
  <c r="M2065" i="120"/>
  <c r="M2064" i="120"/>
  <c r="M2063" i="120"/>
  <c r="M2062" i="120"/>
  <c r="M2061" i="120"/>
  <c r="M2060" i="120"/>
  <c r="M2059" i="120"/>
  <c r="M2058" i="120"/>
  <c r="M2057" i="120"/>
  <c r="M2056" i="120"/>
  <c r="M2055" i="120"/>
  <c r="M2054" i="120"/>
  <c r="M2053" i="120"/>
  <c r="M2052" i="120"/>
  <c r="M2051" i="120"/>
  <c r="M2050" i="120"/>
  <c r="M2049" i="120"/>
  <c r="M2048" i="120"/>
  <c r="M2047" i="120"/>
  <c r="M2046" i="120"/>
  <c r="M2045" i="120"/>
  <c r="M2044" i="120"/>
  <c r="M2043" i="120"/>
  <c r="M2042" i="120"/>
  <c r="M2041" i="120"/>
  <c r="M2040" i="120"/>
  <c r="M2039" i="120"/>
  <c r="M2038" i="120"/>
  <c r="M2037" i="120"/>
  <c r="M2036" i="120"/>
  <c r="M2035" i="120"/>
  <c r="M2034" i="120"/>
  <c r="M2033" i="120"/>
  <c r="M2032" i="120"/>
  <c r="M2031" i="120"/>
  <c r="M2030" i="120"/>
  <c r="M2029" i="120"/>
  <c r="M2028" i="120"/>
  <c r="M2027" i="120"/>
  <c r="M2026" i="120"/>
  <c r="M2025" i="120"/>
  <c r="M2024" i="120"/>
  <c r="M2023" i="120"/>
  <c r="M2022" i="120"/>
  <c r="M2021" i="120"/>
  <c r="M2020" i="120"/>
  <c r="M2019" i="120"/>
  <c r="M2018" i="120"/>
  <c r="M2017" i="120"/>
  <c r="M2016" i="120"/>
  <c r="M2015" i="120"/>
  <c r="M2014" i="120"/>
  <c r="M2013" i="120"/>
  <c r="M2012" i="120"/>
  <c r="M2011" i="120"/>
  <c r="M2010" i="120"/>
  <c r="M2009" i="120"/>
  <c r="M2008" i="120"/>
  <c r="M2007" i="120"/>
  <c r="M2006" i="120"/>
  <c r="M2005" i="120"/>
  <c r="M2004" i="120"/>
  <c r="M2003" i="120"/>
  <c r="M2002" i="120"/>
  <c r="M2001" i="120"/>
  <c r="M2000" i="120"/>
  <c r="M1999" i="120"/>
  <c r="M1998" i="120"/>
  <c r="M1997" i="120"/>
  <c r="M1996" i="120"/>
  <c r="M1995" i="120"/>
  <c r="M1994" i="120"/>
  <c r="M1993" i="120"/>
  <c r="M1992" i="120"/>
  <c r="M1991" i="120"/>
  <c r="M1990" i="120"/>
  <c r="M1989" i="120"/>
  <c r="M1988" i="120"/>
  <c r="M1987" i="120"/>
  <c r="M1986" i="120"/>
  <c r="M1985" i="120"/>
  <c r="M1984" i="120"/>
  <c r="M1983" i="120"/>
  <c r="M1982" i="120"/>
  <c r="M1981" i="120"/>
  <c r="M1980" i="120"/>
  <c r="M1979" i="120"/>
  <c r="M1978" i="120"/>
  <c r="M1977" i="120"/>
  <c r="M1976" i="120"/>
  <c r="M1975" i="120"/>
  <c r="M1974" i="120"/>
  <c r="M1973" i="120"/>
  <c r="M1972" i="120"/>
  <c r="M1971" i="120"/>
  <c r="M1970" i="120"/>
  <c r="M1969" i="120"/>
  <c r="M1968" i="120"/>
  <c r="M1967" i="120"/>
  <c r="M1966" i="120"/>
  <c r="M1965" i="120"/>
  <c r="M1964" i="120"/>
  <c r="M1963" i="120"/>
  <c r="M1962" i="120"/>
  <c r="M1961" i="120"/>
  <c r="M1960" i="120"/>
  <c r="M1959" i="120"/>
  <c r="M1958" i="120"/>
  <c r="M1957" i="120"/>
  <c r="M1956" i="120"/>
  <c r="M1955" i="120"/>
  <c r="M1954" i="120"/>
  <c r="M1953" i="120"/>
  <c r="M1952" i="120"/>
  <c r="M1951" i="120"/>
  <c r="M1950" i="120"/>
  <c r="M1949" i="120"/>
  <c r="M1948" i="120"/>
  <c r="M1947" i="120"/>
  <c r="M1946" i="120"/>
  <c r="M1945" i="120"/>
  <c r="M1944" i="120"/>
  <c r="M1943" i="120"/>
  <c r="M1942" i="120"/>
  <c r="M1941" i="120"/>
  <c r="M1940" i="120"/>
  <c r="M1939" i="120"/>
  <c r="M1938" i="120"/>
  <c r="M1937" i="120"/>
  <c r="M1936" i="120"/>
  <c r="M1935" i="120"/>
  <c r="M1934" i="120"/>
  <c r="M1933" i="120"/>
  <c r="M1932" i="120"/>
  <c r="M1931" i="120"/>
  <c r="M1930" i="120"/>
  <c r="M1929" i="120"/>
  <c r="M1928" i="120"/>
  <c r="M1927" i="120"/>
  <c r="M1926" i="120"/>
  <c r="M1925" i="120"/>
  <c r="M1924" i="120"/>
  <c r="M1923" i="120"/>
  <c r="M1922" i="120"/>
  <c r="M1921" i="120"/>
  <c r="M1920" i="120"/>
  <c r="M1919" i="120"/>
  <c r="M1918" i="120"/>
  <c r="M1917" i="120"/>
  <c r="M1916" i="120"/>
  <c r="M1915" i="120"/>
  <c r="M1914" i="120"/>
  <c r="M1913" i="120"/>
  <c r="M1912" i="120"/>
  <c r="M1911" i="120"/>
  <c r="M1910" i="120"/>
  <c r="M1909" i="120"/>
  <c r="M1908" i="120"/>
  <c r="M1907" i="120"/>
  <c r="M1906" i="120"/>
  <c r="M1905" i="120"/>
  <c r="M1904" i="120"/>
  <c r="M1903" i="120"/>
  <c r="M1902" i="120"/>
  <c r="M1901" i="120"/>
  <c r="M1900" i="120"/>
  <c r="M1899" i="120"/>
  <c r="M1898" i="120"/>
  <c r="M1897" i="120"/>
  <c r="M1896" i="120"/>
  <c r="M1895" i="120"/>
  <c r="M1894" i="120"/>
  <c r="M1893" i="120"/>
  <c r="M1892" i="120"/>
  <c r="M1891" i="120"/>
  <c r="M1890" i="120"/>
  <c r="M1889" i="120"/>
  <c r="M1888" i="120"/>
  <c r="M1887" i="120"/>
  <c r="M1886" i="120"/>
  <c r="M1885" i="120"/>
  <c r="M1884" i="120"/>
  <c r="M1883" i="120"/>
  <c r="O1883" i="120" s="1"/>
  <c r="P1883" i="120" s="1"/>
  <c r="P1882" i="120"/>
  <c r="M1882" i="120"/>
  <c r="O1882" i="120" s="1"/>
  <c r="M1881" i="120"/>
  <c r="M1880" i="120"/>
  <c r="M1879" i="120"/>
  <c r="O1879" i="120" s="1"/>
  <c r="P1879" i="120" s="1"/>
  <c r="M1878" i="120"/>
  <c r="O1878" i="120" s="1"/>
  <c r="M1877" i="120"/>
  <c r="M1876" i="120"/>
  <c r="M1875" i="120"/>
  <c r="M1874" i="120"/>
  <c r="M1873" i="120"/>
  <c r="M1872" i="120"/>
  <c r="M1871" i="120"/>
  <c r="M1870" i="120"/>
  <c r="O1869" i="120"/>
  <c r="P1869" i="120" s="1"/>
  <c r="M1869" i="120"/>
  <c r="M1868" i="120"/>
  <c r="M1867" i="120"/>
  <c r="M1866" i="120"/>
  <c r="O1865" i="120"/>
  <c r="M1865" i="120"/>
  <c r="P1864" i="120"/>
  <c r="M1864" i="120"/>
  <c r="O1864" i="120" s="1"/>
  <c r="M1863" i="120"/>
  <c r="M1862" i="120"/>
  <c r="M1861" i="120"/>
  <c r="M1860" i="120"/>
  <c r="O1860" i="120" s="1"/>
  <c r="M1859" i="120"/>
  <c r="O1858" i="120"/>
  <c r="M1858" i="120"/>
  <c r="P1858" i="120" s="1"/>
  <c r="M1857" i="120"/>
  <c r="M1856" i="120"/>
  <c r="M1855" i="120"/>
  <c r="O1854" i="120"/>
  <c r="M1854" i="120"/>
  <c r="P1853" i="120"/>
  <c r="M1853" i="120"/>
  <c r="O1853" i="120" s="1"/>
  <c r="M1852" i="120"/>
  <c r="M1851" i="120"/>
  <c r="M1850" i="120"/>
  <c r="M1849" i="120"/>
  <c r="O1849" i="120" s="1"/>
  <c r="M1848" i="120"/>
  <c r="M1847" i="120"/>
  <c r="O1847" i="120" s="1"/>
  <c r="P1847" i="120" s="1"/>
  <c r="M1846" i="120"/>
  <c r="M1845" i="120"/>
  <c r="M1844" i="120"/>
  <c r="M1843" i="120"/>
  <c r="M1842" i="120"/>
  <c r="M1841" i="120"/>
  <c r="M1840" i="120"/>
  <c r="M1839" i="120"/>
  <c r="M1838" i="120"/>
  <c r="O1838" i="120" s="1"/>
  <c r="M1837" i="120"/>
  <c r="M1836" i="120"/>
  <c r="O1835" i="120"/>
  <c r="P1835" i="120" s="1"/>
  <c r="M1835" i="120"/>
  <c r="M1834" i="120"/>
  <c r="M1833" i="120"/>
  <c r="M1832" i="120"/>
  <c r="O1831" i="120"/>
  <c r="P1831" i="120" s="1"/>
  <c r="M1831" i="120"/>
  <c r="P1830" i="120"/>
  <c r="M1830" i="120"/>
  <c r="O1830" i="120" s="1"/>
  <c r="M1829" i="120"/>
  <c r="M1828" i="120"/>
  <c r="M1827" i="120"/>
  <c r="M1826" i="120"/>
  <c r="M1825" i="120"/>
  <c r="M1824" i="120"/>
  <c r="M1823" i="120"/>
  <c r="M1822" i="120"/>
  <c r="M1821" i="120"/>
  <c r="M1820" i="120"/>
  <c r="M1819" i="120"/>
  <c r="M1818" i="120"/>
  <c r="M1817" i="120"/>
  <c r="M1816" i="120"/>
  <c r="M1815" i="120"/>
  <c r="M1814" i="120"/>
  <c r="M1813" i="120"/>
  <c r="M1812" i="120"/>
  <c r="M1811" i="120"/>
  <c r="M1810" i="120"/>
  <c r="M1809" i="120"/>
  <c r="M1808" i="120"/>
  <c r="M1807" i="120"/>
  <c r="M1806" i="120"/>
  <c r="M1805" i="120"/>
  <c r="M1804" i="120"/>
  <c r="M1803" i="120"/>
  <c r="M1802" i="120"/>
  <c r="M1801" i="120"/>
  <c r="M1800" i="120"/>
  <c r="M1799" i="120"/>
  <c r="M1798" i="120"/>
  <c r="M1797" i="120"/>
  <c r="M1796" i="120"/>
  <c r="L1790" i="120"/>
  <c r="K1790" i="120"/>
  <c r="M1789" i="120"/>
  <c r="M1788" i="120"/>
  <c r="M1787" i="120"/>
  <c r="M1786" i="120"/>
  <c r="M1785" i="120"/>
  <c r="M1784" i="120"/>
  <c r="M1783" i="120"/>
  <c r="M1782" i="120"/>
  <c r="M1781" i="120"/>
  <c r="M1780" i="120"/>
  <c r="M1779" i="120"/>
  <c r="M1778" i="120"/>
  <c r="M1777" i="120"/>
  <c r="M1776" i="120"/>
  <c r="M1775" i="120"/>
  <c r="M1774" i="120"/>
  <c r="M1773" i="120"/>
  <c r="M1772" i="120"/>
  <c r="M1771" i="120"/>
  <c r="M1770" i="120"/>
  <c r="M1769" i="120"/>
  <c r="M1768" i="120"/>
  <c r="M1767" i="120"/>
  <c r="M1766" i="120"/>
  <c r="M1765" i="120"/>
  <c r="M1764" i="120"/>
  <c r="M1763" i="120"/>
  <c r="M1762" i="120"/>
  <c r="M1761" i="120"/>
  <c r="M1760" i="120"/>
  <c r="M1759" i="120"/>
  <c r="M1758" i="120"/>
  <c r="M1757" i="120"/>
  <c r="M1756" i="120"/>
  <c r="M1755" i="120"/>
  <c r="M1754" i="120"/>
  <c r="M1753" i="120"/>
  <c r="M1752" i="120"/>
  <c r="M1751" i="120"/>
  <c r="M1750" i="120"/>
  <c r="M1749" i="120"/>
  <c r="M1748" i="120"/>
  <c r="M1747" i="120"/>
  <c r="M1746" i="120"/>
  <c r="M1745" i="120"/>
  <c r="M1744" i="120"/>
  <c r="M1743" i="120"/>
  <c r="M1742" i="120"/>
  <c r="M1741" i="120"/>
  <c r="M1740" i="120"/>
  <c r="M1739" i="120"/>
  <c r="M1738" i="120"/>
  <c r="M1737" i="120"/>
  <c r="M1736" i="120"/>
  <c r="M1735" i="120"/>
  <c r="M1734" i="120"/>
  <c r="M1733" i="120"/>
  <c r="M1732" i="120"/>
  <c r="M1731" i="120"/>
  <c r="M1730" i="120"/>
  <c r="M1729" i="120"/>
  <c r="M1728" i="120"/>
  <c r="M1727" i="120"/>
  <c r="M1726" i="120"/>
  <c r="M1725" i="120"/>
  <c r="M1724" i="120"/>
  <c r="M1723" i="120"/>
  <c r="M1722" i="120"/>
  <c r="M1721" i="120"/>
  <c r="M1720" i="120"/>
  <c r="M1719" i="120"/>
  <c r="M1718" i="120"/>
  <c r="M1717" i="120"/>
  <c r="M1716" i="120"/>
  <c r="M1715" i="120"/>
  <c r="M1714" i="120"/>
  <c r="M1713" i="120"/>
  <c r="M1712" i="120"/>
  <c r="M1711" i="120"/>
  <c r="M1710" i="120"/>
  <c r="M1709" i="120"/>
  <c r="M1708" i="120"/>
  <c r="M1707" i="120"/>
  <c r="M1706" i="120"/>
  <c r="M1705" i="120"/>
  <c r="M1704" i="120"/>
  <c r="M1703" i="120"/>
  <c r="M1702" i="120"/>
  <c r="M1701" i="120"/>
  <c r="M1700" i="120"/>
  <c r="M1699" i="120"/>
  <c r="M1698" i="120"/>
  <c r="M1697" i="120"/>
  <c r="M1696" i="120"/>
  <c r="M1695" i="120"/>
  <c r="M1694" i="120"/>
  <c r="M1693" i="120"/>
  <c r="M1692" i="120"/>
  <c r="M1691" i="120"/>
  <c r="M1690" i="120"/>
  <c r="M1689" i="120"/>
  <c r="M1688" i="120"/>
  <c r="M1687" i="120"/>
  <c r="M1686" i="120"/>
  <c r="M1685" i="120"/>
  <c r="M1684" i="120"/>
  <c r="M1683" i="120"/>
  <c r="M1682" i="120"/>
  <c r="M1681" i="120"/>
  <c r="M1680" i="120"/>
  <c r="M1679" i="120"/>
  <c r="M1678" i="120"/>
  <c r="M1677" i="120"/>
  <c r="M1676" i="120"/>
  <c r="M1675" i="120"/>
  <c r="M1674" i="120"/>
  <c r="M1673" i="120"/>
  <c r="M1672" i="120"/>
  <c r="M1671" i="120"/>
  <c r="M1670" i="120"/>
  <c r="M1669" i="120"/>
  <c r="M1668" i="120"/>
  <c r="M1667" i="120"/>
  <c r="M1666" i="120"/>
  <c r="M1665" i="120"/>
  <c r="M1664" i="120"/>
  <c r="M1663" i="120"/>
  <c r="M1662" i="120"/>
  <c r="M1661" i="120"/>
  <c r="M1660" i="120"/>
  <c r="M1659" i="120"/>
  <c r="M1658" i="120"/>
  <c r="M1657" i="120"/>
  <c r="M1656" i="120"/>
  <c r="M1655" i="120"/>
  <c r="M1654" i="120"/>
  <c r="M1653" i="120"/>
  <c r="M1652" i="120"/>
  <c r="M1651" i="120"/>
  <c r="M1650" i="120"/>
  <c r="M1649" i="120"/>
  <c r="M1648" i="120"/>
  <c r="M1647" i="120"/>
  <c r="M1646" i="120"/>
  <c r="M1645" i="120"/>
  <c r="M1644" i="120"/>
  <c r="M1643" i="120"/>
  <c r="M1642" i="120"/>
  <c r="M1641" i="120"/>
  <c r="M1640" i="120"/>
  <c r="M1639" i="120"/>
  <c r="M1638" i="120"/>
  <c r="M1637" i="120"/>
  <c r="M1636" i="120"/>
  <c r="M1635" i="120"/>
  <c r="M1634" i="120"/>
  <c r="M1633" i="120"/>
  <c r="M1632" i="120"/>
  <c r="M1631" i="120"/>
  <c r="M1630" i="120"/>
  <c r="M1629" i="120"/>
  <c r="M1628" i="120"/>
  <c r="M1627" i="120"/>
  <c r="M1626" i="120"/>
  <c r="M1625" i="120"/>
  <c r="M1624" i="120"/>
  <c r="M1623" i="120"/>
  <c r="M1622" i="120"/>
  <c r="M1621" i="120"/>
  <c r="M1620" i="120"/>
  <c r="M1619" i="120"/>
  <c r="M1618" i="120"/>
  <c r="M1617" i="120"/>
  <c r="M1616" i="120"/>
  <c r="M1615" i="120"/>
  <c r="M1614" i="120"/>
  <c r="M1613" i="120"/>
  <c r="M1612" i="120"/>
  <c r="M1611" i="120"/>
  <c r="M1610" i="120"/>
  <c r="M1609" i="120"/>
  <c r="M1608" i="120"/>
  <c r="M1607" i="120"/>
  <c r="M1606" i="120"/>
  <c r="M1605" i="120"/>
  <c r="M1604" i="120"/>
  <c r="M1603" i="120"/>
  <c r="M1602" i="120"/>
  <c r="M1601" i="120"/>
  <c r="M1600" i="120"/>
  <c r="M1599" i="120"/>
  <c r="M1598" i="120"/>
  <c r="M1597" i="120"/>
  <c r="M1596" i="120"/>
  <c r="M1595" i="120"/>
  <c r="M1594" i="120"/>
  <c r="M1593" i="120"/>
  <c r="M1592" i="120"/>
  <c r="M1591" i="120"/>
  <c r="M1590" i="120"/>
  <c r="M1589" i="120"/>
  <c r="M1588" i="120"/>
  <c r="M1587" i="120"/>
  <c r="M1586" i="120"/>
  <c r="M1585" i="120"/>
  <c r="M1584" i="120"/>
  <c r="M1583" i="120"/>
  <c r="M1582" i="120"/>
  <c r="M1581" i="120"/>
  <c r="M1580" i="120"/>
  <c r="M1579" i="120"/>
  <c r="M1578" i="120"/>
  <c r="M1577" i="120"/>
  <c r="M1576" i="120"/>
  <c r="M1575" i="120"/>
  <c r="M1574" i="120"/>
  <c r="M1573" i="120"/>
  <c r="M1572" i="120"/>
  <c r="M1571" i="120"/>
  <c r="M1570" i="120"/>
  <c r="M1569" i="120"/>
  <c r="M1568" i="120"/>
  <c r="M1567" i="120"/>
  <c r="M1566" i="120"/>
  <c r="M1565" i="120"/>
  <c r="M1564" i="120"/>
  <c r="M1563" i="120"/>
  <c r="M1562" i="120"/>
  <c r="M1561" i="120"/>
  <c r="M1560" i="120"/>
  <c r="M1559" i="120"/>
  <c r="M1558" i="120"/>
  <c r="M1557" i="120"/>
  <c r="M1556" i="120"/>
  <c r="M1555" i="120"/>
  <c r="M1554" i="120"/>
  <c r="M1553" i="120"/>
  <c r="M1552" i="120"/>
  <c r="M1551" i="120"/>
  <c r="M1550" i="120"/>
  <c r="M1549" i="120"/>
  <c r="M1548" i="120"/>
  <c r="M1547" i="120"/>
  <c r="M1546" i="120"/>
  <c r="M1545" i="120"/>
  <c r="M1544" i="120"/>
  <c r="M1543" i="120"/>
  <c r="M1542" i="120"/>
  <c r="M1541" i="120"/>
  <c r="M1540" i="120"/>
  <c r="M1539" i="120"/>
  <c r="M1538" i="120"/>
  <c r="M1537" i="120"/>
  <c r="M1536" i="120"/>
  <c r="M1535" i="120"/>
  <c r="M1534" i="120"/>
  <c r="M1533" i="120"/>
  <c r="M1532" i="120"/>
  <c r="M1531" i="120"/>
  <c r="M1530" i="120"/>
  <c r="M1529" i="120"/>
  <c r="M1528" i="120"/>
  <c r="M1527" i="120"/>
  <c r="P1526" i="120"/>
  <c r="M1526" i="120"/>
  <c r="O1526" i="120" s="1"/>
  <c r="M1525" i="120"/>
  <c r="O1525" i="120" s="1"/>
  <c r="M1524" i="120"/>
  <c r="M1523" i="120"/>
  <c r="O1522" i="120"/>
  <c r="P1522" i="120" s="1"/>
  <c r="M1522" i="120"/>
  <c r="M1521" i="120"/>
  <c r="M1520" i="120"/>
  <c r="M1519" i="120"/>
  <c r="M1518" i="120"/>
  <c r="M1517" i="120"/>
  <c r="M1516" i="120"/>
  <c r="M1515" i="120"/>
  <c r="M1514" i="120"/>
  <c r="M1513" i="120"/>
  <c r="M1512" i="120"/>
  <c r="M1511" i="120"/>
  <c r="M1510" i="120"/>
  <c r="M1509" i="120"/>
  <c r="M1508" i="120"/>
  <c r="M1507" i="120"/>
  <c r="M1506" i="120"/>
  <c r="M1505" i="120"/>
  <c r="M1504" i="120"/>
  <c r="O1504" i="120" s="1"/>
  <c r="P1504" i="120" s="1"/>
  <c r="M1503" i="120"/>
  <c r="M1502" i="120"/>
  <c r="P1501" i="120"/>
  <c r="M1501" i="120"/>
  <c r="O1501" i="120" s="1"/>
  <c r="P1500" i="120"/>
  <c r="M1500" i="120"/>
  <c r="O1500" i="120" s="1"/>
  <c r="M1499" i="120"/>
  <c r="M1498" i="120"/>
  <c r="O1497" i="120"/>
  <c r="P1497" i="120" s="1"/>
  <c r="M1497" i="120"/>
  <c r="M1496" i="120"/>
  <c r="M1495" i="120"/>
  <c r="M1494" i="120"/>
  <c r="M1493" i="120"/>
  <c r="O1493" i="120" s="1"/>
  <c r="P1493" i="120" s="1"/>
  <c r="M1492" i="120"/>
  <c r="O1492" i="120" s="1"/>
  <c r="M1491" i="120"/>
  <c r="M1490" i="120"/>
  <c r="O1490" i="120" s="1"/>
  <c r="M1489" i="120"/>
  <c r="O1489" i="120" s="1"/>
  <c r="M1488" i="120"/>
  <c r="M1487" i="120"/>
  <c r="M1486" i="120"/>
  <c r="O1486" i="120" s="1"/>
  <c r="P1486" i="120" s="1"/>
  <c r="M1485" i="120"/>
  <c r="M1484" i="120"/>
  <c r="M1483" i="120"/>
  <c r="M1482" i="120"/>
  <c r="O1482" i="120" s="1"/>
  <c r="P1482" i="120" s="1"/>
  <c r="P1481" i="120"/>
  <c r="M1481" i="120"/>
  <c r="O1481" i="120" s="1"/>
  <c r="M1480" i="120"/>
  <c r="M1479" i="120"/>
  <c r="M1478" i="120"/>
  <c r="M1477" i="120"/>
  <c r="O1477" i="120" s="1"/>
  <c r="M1476" i="120"/>
  <c r="M1475" i="120"/>
  <c r="P1474" i="120"/>
  <c r="M1474" i="120"/>
  <c r="O1474" i="120" s="1"/>
  <c r="M1473" i="120"/>
  <c r="M1472" i="120"/>
  <c r="M1471" i="120"/>
  <c r="M1470" i="120"/>
  <c r="O1470" i="120" s="1"/>
  <c r="P1470" i="120" s="1"/>
  <c r="M1469" i="120"/>
  <c r="M1468" i="120"/>
  <c r="M1467" i="120"/>
  <c r="M1466" i="120"/>
  <c r="O1466" i="120" s="1"/>
  <c r="P1466" i="120" s="1"/>
  <c r="P1465" i="120"/>
  <c r="M1465" i="120"/>
  <c r="O1465" i="120" s="1"/>
  <c r="M1464" i="120"/>
  <c r="M1463" i="120"/>
  <c r="O1462" i="120"/>
  <c r="P1462" i="120" s="1"/>
  <c r="M1462" i="120"/>
  <c r="M1461" i="120"/>
  <c r="O1461" i="120" s="1"/>
  <c r="M1460" i="120"/>
  <c r="M1459" i="120"/>
  <c r="O1458" i="120"/>
  <c r="P1458" i="120" s="1"/>
  <c r="M1458" i="120"/>
  <c r="M1457" i="120"/>
  <c r="M1456" i="120"/>
  <c r="M1455" i="120"/>
  <c r="O1454" i="120"/>
  <c r="P1454" i="120" s="1"/>
  <c r="M1454" i="120"/>
  <c r="M1453" i="120"/>
  <c r="M1452" i="120"/>
  <c r="O1452" i="120" s="1"/>
  <c r="M1451" i="120"/>
  <c r="M1450" i="120"/>
  <c r="O1450" i="120" s="1"/>
  <c r="P1450" i="120" s="1"/>
  <c r="M1449" i="120"/>
  <c r="M1448" i="120"/>
  <c r="M1447" i="120"/>
  <c r="O1447" i="120" s="1"/>
  <c r="O1446" i="120"/>
  <c r="M1446" i="120"/>
  <c r="M1445" i="120"/>
  <c r="P1444" i="120"/>
  <c r="M1444" i="120"/>
  <c r="O1444" i="120" s="1"/>
  <c r="P1443" i="120"/>
  <c r="M1443" i="120"/>
  <c r="O1443" i="120" s="1"/>
  <c r="M1442" i="120"/>
  <c r="O1442" i="120" s="1"/>
  <c r="P1442" i="120" s="1"/>
  <c r="M1441" i="120"/>
  <c r="M1440" i="120"/>
  <c r="M1439" i="120"/>
  <c r="L1433" i="120"/>
  <c r="K1433" i="120"/>
  <c r="M1432" i="120"/>
  <c r="M1431" i="120"/>
  <c r="M1430" i="120"/>
  <c r="M1429" i="120"/>
  <c r="M1428" i="120"/>
  <c r="M1427" i="120"/>
  <c r="M1426" i="120"/>
  <c r="M1425" i="120"/>
  <c r="M1424" i="120"/>
  <c r="M1423" i="120"/>
  <c r="M1422" i="120"/>
  <c r="M1421" i="120"/>
  <c r="M1420" i="120"/>
  <c r="M1419" i="120"/>
  <c r="M1418" i="120"/>
  <c r="M1417" i="120"/>
  <c r="M1416" i="120"/>
  <c r="M1415" i="120"/>
  <c r="M1414" i="120"/>
  <c r="M1413" i="120"/>
  <c r="M1412" i="120"/>
  <c r="M1411" i="120"/>
  <c r="M1410" i="120"/>
  <c r="M1409" i="120"/>
  <c r="M1408" i="120"/>
  <c r="M1407" i="120"/>
  <c r="M1406" i="120"/>
  <c r="M1405" i="120"/>
  <c r="M1404" i="120"/>
  <c r="M1403" i="120"/>
  <c r="M1402" i="120"/>
  <c r="M1401" i="120"/>
  <c r="M1400" i="120"/>
  <c r="M1399" i="120"/>
  <c r="M1398" i="120"/>
  <c r="M1397" i="120"/>
  <c r="M1396" i="120"/>
  <c r="M1395" i="120"/>
  <c r="M1394" i="120"/>
  <c r="M1393" i="120"/>
  <c r="M1392" i="120"/>
  <c r="M1391" i="120"/>
  <c r="M1390" i="120"/>
  <c r="M1389" i="120"/>
  <c r="M1388" i="120"/>
  <c r="M1387" i="120"/>
  <c r="M1386" i="120"/>
  <c r="M1385" i="120"/>
  <c r="M1384" i="120"/>
  <c r="M1383" i="120"/>
  <c r="M1382" i="120"/>
  <c r="M1381" i="120"/>
  <c r="M1380" i="120"/>
  <c r="M1379" i="120"/>
  <c r="M1378" i="120"/>
  <c r="M1377" i="120"/>
  <c r="M1376" i="120"/>
  <c r="M1375" i="120"/>
  <c r="M1374" i="120"/>
  <c r="M1373" i="120"/>
  <c r="M1372" i="120"/>
  <c r="M1371" i="120"/>
  <c r="M1370" i="120"/>
  <c r="M1369" i="120"/>
  <c r="M1368" i="120"/>
  <c r="M1367" i="120"/>
  <c r="M1366" i="120"/>
  <c r="M1365" i="120"/>
  <c r="M1364" i="120"/>
  <c r="M1363" i="120"/>
  <c r="M1362" i="120"/>
  <c r="M1361" i="120"/>
  <c r="M1360" i="120"/>
  <c r="M1359" i="120"/>
  <c r="M1358" i="120"/>
  <c r="M1357" i="120"/>
  <c r="M1356" i="120"/>
  <c r="M1355" i="120"/>
  <c r="M1354" i="120"/>
  <c r="M1353" i="120"/>
  <c r="M1352" i="120"/>
  <c r="M1351" i="120"/>
  <c r="M1350" i="120"/>
  <c r="M1349" i="120"/>
  <c r="M1348" i="120"/>
  <c r="M1347" i="120"/>
  <c r="M1346" i="120"/>
  <c r="M1345" i="120"/>
  <c r="M1344" i="120"/>
  <c r="M1343" i="120"/>
  <c r="M1342" i="120"/>
  <c r="M1341" i="120"/>
  <c r="M1340" i="120"/>
  <c r="M1339" i="120"/>
  <c r="M1338" i="120"/>
  <c r="M1337" i="120"/>
  <c r="M1336" i="120"/>
  <c r="M1335" i="120"/>
  <c r="M1334" i="120"/>
  <c r="M1333" i="120"/>
  <c r="M1332" i="120"/>
  <c r="M1331" i="120"/>
  <c r="M1330" i="120"/>
  <c r="M1329" i="120"/>
  <c r="M1328" i="120"/>
  <c r="M1327" i="120"/>
  <c r="M1326" i="120"/>
  <c r="M1325" i="120"/>
  <c r="M1324" i="120"/>
  <c r="M1323" i="120"/>
  <c r="M1322" i="120"/>
  <c r="M1321" i="120"/>
  <c r="M1320" i="120"/>
  <c r="M1319" i="120"/>
  <c r="M1318" i="120"/>
  <c r="M1317" i="120"/>
  <c r="M1316" i="120"/>
  <c r="M1315" i="120"/>
  <c r="M1314" i="120"/>
  <c r="M1313" i="120"/>
  <c r="M1312" i="120"/>
  <c r="M1311" i="120"/>
  <c r="M1310" i="120"/>
  <c r="M1309" i="120"/>
  <c r="M1308" i="120"/>
  <c r="M1307" i="120"/>
  <c r="M1306" i="120"/>
  <c r="M1305" i="120"/>
  <c r="M1304" i="120"/>
  <c r="M1303" i="120"/>
  <c r="M1302" i="120"/>
  <c r="M1301" i="120"/>
  <c r="M1300" i="120"/>
  <c r="M1299" i="120"/>
  <c r="M1298" i="120"/>
  <c r="M1297" i="120"/>
  <c r="M1296" i="120"/>
  <c r="M1295" i="120"/>
  <c r="M1294" i="120"/>
  <c r="M1293" i="120"/>
  <c r="M1292" i="120"/>
  <c r="M1291" i="120"/>
  <c r="M1290" i="120"/>
  <c r="M1289" i="120"/>
  <c r="M1288" i="120"/>
  <c r="M1287" i="120"/>
  <c r="M1286" i="120"/>
  <c r="M1285" i="120"/>
  <c r="M1284" i="120"/>
  <c r="M1283" i="120"/>
  <c r="M1282" i="120"/>
  <c r="M1281" i="120"/>
  <c r="M1280" i="120"/>
  <c r="M1279" i="120"/>
  <c r="M1278" i="120"/>
  <c r="M1277" i="120"/>
  <c r="M1276" i="120"/>
  <c r="M1275" i="120"/>
  <c r="M1274" i="120"/>
  <c r="M1273" i="120"/>
  <c r="M1272" i="120"/>
  <c r="M1271" i="120"/>
  <c r="M1270" i="120"/>
  <c r="M1269" i="120"/>
  <c r="M1268" i="120"/>
  <c r="M1267" i="120"/>
  <c r="M1266" i="120"/>
  <c r="M1265" i="120"/>
  <c r="M1264" i="120"/>
  <c r="M1263" i="120"/>
  <c r="M1262" i="120"/>
  <c r="M1261" i="120"/>
  <c r="M1260" i="120"/>
  <c r="M1259" i="120"/>
  <c r="M1258" i="120"/>
  <c r="M1257" i="120"/>
  <c r="M1256" i="120"/>
  <c r="M1255" i="120"/>
  <c r="M1254" i="120"/>
  <c r="M1253" i="120"/>
  <c r="M1252" i="120"/>
  <c r="M1251" i="120"/>
  <c r="M1250" i="120"/>
  <c r="M1249" i="120"/>
  <c r="M1248" i="120"/>
  <c r="M1247" i="120"/>
  <c r="M1246" i="120"/>
  <c r="M1245" i="120"/>
  <c r="M1244" i="120"/>
  <c r="M1243" i="120"/>
  <c r="M1242" i="120"/>
  <c r="M1241" i="120"/>
  <c r="M1240" i="120"/>
  <c r="M1239" i="120"/>
  <c r="M1238" i="120"/>
  <c r="M1237" i="120"/>
  <c r="M1236" i="120"/>
  <c r="M1235" i="120"/>
  <c r="M1234" i="120"/>
  <c r="M1233" i="120"/>
  <c r="M1232" i="120"/>
  <c r="M1231" i="120"/>
  <c r="M1230" i="120"/>
  <c r="M1229" i="120"/>
  <c r="M1228" i="120"/>
  <c r="M1227" i="120"/>
  <c r="M1226" i="120"/>
  <c r="M1225" i="120"/>
  <c r="M1224" i="120"/>
  <c r="M1223" i="120"/>
  <c r="M1222" i="120"/>
  <c r="M1221" i="120"/>
  <c r="M1220" i="120"/>
  <c r="M1219" i="120"/>
  <c r="M1218" i="120"/>
  <c r="M1217" i="120"/>
  <c r="M1216" i="120"/>
  <c r="M1215" i="120"/>
  <c r="M1214" i="120"/>
  <c r="M1213" i="120"/>
  <c r="M1212" i="120"/>
  <c r="M1211" i="120"/>
  <c r="M1210" i="120"/>
  <c r="M1209" i="120"/>
  <c r="M1208" i="120"/>
  <c r="M1207" i="120"/>
  <c r="M1206" i="120"/>
  <c r="M1205" i="120"/>
  <c r="M1204" i="120"/>
  <c r="M1203" i="120"/>
  <c r="M1202" i="120"/>
  <c r="M1201" i="120"/>
  <c r="M1200" i="120"/>
  <c r="M1199" i="120"/>
  <c r="M1198" i="120"/>
  <c r="M1197" i="120"/>
  <c r="M1196" i="120"/>
  <c r="M1195" i="120"/>
  <c r="M1194" i="120"/>
  <c r="M1193" i="120"/>
  <c r="M1192" i="120"/>
  <c r="M1191" i="120"/>
  <c r="M1190" i="120"/>
  <c r="M1189" i="120"/>
  <c r="M1188" i="120"/>
  <c r="M1187" i="120"/>
  <c r="M1186" i="120"/>
  <c r="M1185" i="120"/>
  <c r="M1184" i="120"/>
  <c r="M1183" i="120"/>
  <c r="M1182" i="120"/>
  <c r="M1181" i="120"/>
  <c r="M1180" i="120"/>
  <c r="M1179" i="120"/>
  <c r="M1178" i="120"/>
  <c r="M1177" i="120"/>
  <c r="M1176" i="120"/>
  <c r="M1175" i="120"/>
  <c r="M1174" i="120"/>
  <c r="M1173" i="120"/>
  <c r="M1172" i="120"/>
  <c r="M1171" i="120"/>
  <c r="M1170" i="120"/>
  <c r="M1169" i="120"/>
  <c r="M1168" i="120"/>
  <c r="P1167" i="120"/>
  <c r="M1167" i="120"/>
  <c r="O1167" i="120" s="1"/>
  <c r="M1166" i="120"/>
  <c r="M1165" i="120"/>
  <c r="O1164" i="120"/>
  <c r="M1164" i="120"/>
  <c r="M1163" i="120"/>
  <c r="M1162" i="120"/>
  <c r="M1161" i="120"/>
  <c r="M1160" i="120"/>
  <c r="M1159" i="120"/>
  <c r="M1158" i="120"/>
  <c r="M1157" i="120"/>
  <c r="M1156" i="120"/>
  <c r="M1155" i="120"/>
  <c r="P1154" i="120"/>
  <c r="M1154" i="120"/>
  <c r="O1154" i="120" s="1"/>
  <c r="M1153" i="120"/>
  <c r="M1152" i="120"/>
  <c r="M1151" i="120"/>
  <c r="M1150" i="120"/>
  <c r="O1150" i="120" s="1"/>
  <c r="P1150" i="120" s="1"/>
  <c r="M1149" i="120"/>
  <c r="M1148" i="120"/>
  <c r="M1147" i="120"/>
  <c r="M1146" i="120"/>
  <c r="M1145" i="120"/>
  <c r="M1144" i="120"/>
  <c r="M1143" i="120"/>
  <c r="M1142" i="120"/>
  <c r="M1141" i="120"/>
  <c r="M1140" i="120"/>
  <c r="M1139" i="120"/>
  <c r="P1138" i="120"/>
  <c r="M1138" i="120"/>
  <c r="O1138" i="120" s="1"/>
  <c r="M1137" i="120"/>
  <c r="M1136" i="120"/>
  <c r="M1135" i="120"/>
  <c r="O1135" i="120" s="1"/>
  <c r="P1135" i="120" s="1"/>
  <c r="M1134" i="120"/>
  <c r="M1133" i="120"/>
  <c r="M1132" i="120"/>
  <c r="M1131" i="120"/>
  <c r="O1131" i="120" s="1"/>
  <c r="M1130" i="120"/>
  <c r="M1129" i="120"/>
  <c r="M1128" i="120"/>
  <c r="O1128" i="120" s="1"/>
  <c r="M1127" i="120"/>
  <c r="M1126" i="120"/>
  <c r="M1125" i="120"/>
  <c r="P1124" i="120"/>
  <c r="M1124" i="120"/>
  <c r="O1124" i="120" s="1"/>
  <c r="M1123" i="120"/>
  <c r="M1122" i="120"/>
  <c r="M1121" i="120"/>
  <c r="M1120" i="120"/>
  <c r="O1120" i="120" s="1"/>
  <c r="P1120" i="120" s="1"/>
  <c r="M1119" i="120"/>
  <c r="M1118" i="120"/>
  <c r="M1117" i="120"/>
  <c r="M1116" i="120"/>
  <c r="M1115" i="120"/>
  <c r="O1115" i="120" s="1"/>
  <c r="M1114" i="120"/>
  <c r="M1113" i="120"/>
  <c r="M1112" i="120"/>
  <c r="M1111" i="120"/>
  <c r="M1110" i="120"/>
  <c r="M1109" i="120"/>
  <c r="M1108" i="120"/>
  <c r="O1108" i="120" s="1"/>
  <c r="P1108" i="120" s="1"/>
  <c r="P1107" i="120"/>
  <c r="M1107" i="120"/>
  <c r="O1107" i="120" s="1"/>
  <c r="M1106" i="120"/>
  <c r="M1105" i="120"/>
  <c r="M1104" i="120"/>
  <c r="P1103" i="120"/>
  <c r="M1103" i="120"/>
  <c r="O1103" i="120" s="1"/>
  <c r="M1102" i="120"/>
  <c r="M1101" i="120"/>
  <c r="M1100" i="120"/>
  <c r="M1099" i="120"/>
  <c r="O1099" i="120" s="1"/>
  <c r="M1098" i="120"/>
  <c r="M1097" i="120"/>
  <c r="O1096" i="120"/>
  <c r="P1096" i="120" s="1"/>
  <c r="M1096" i="120"/>
  <c r="M1095" i="120"/>
  <c r="M1094" i="120"/>
  <c r="M1093" i="120"/>
  <c r="O1092" i="120"/>
  <c r="P1092" i="120" s="1"/>
  <c r="M1092" i="120"/>
  <c r="M1091" i="120"/>
  <c r="O1091" i="120" s="1"/>
  <c r="M1090" i="120"/>
  <c r="M1089" i="120"/>
  <c r="M1088" i="120"/>
  <c r="O1088" i="120" s="1"/>
  <c r="P1088" i="120" s="1"/>
  <c r="M1087" i="120"/>
  <c r="M1086" i="120"/>
  <c r="M1085" i="120"/>
  <c r="M1084" i="120"/>
  <c r="M1083" i="120"/>
  <c r="O1083" i="120" s="1"/>
  <c r="M1082" i="120"/>
  <c r="M1081" i="120"/>
  <c r="L1076" i="120"/>
  <c r="K1076" i="120"/>
  <c r="M1075" i="120"/>
  <c r="M1074" i="120"/>
  <c r="M1073" i="120"/>
  <c r="M1072" i="120"/>
  <c r="M1071" i="120"/>
  <c r="M1070" i="120"/>
  <c r="M1069" i="120"/>
  <c r="M1068" i="120"/>
  <c r="M1067" i="120"/>
  <c r="M1066" i="120"/>
  <c r="M1065" i="120"/>
  <c r="M1064" i="120"/>
  <c r="M1063" i="120"/>
  <c r="M1062" i="120"/>
  <c r="M1061" i="120"/>
  <c r="M1060" i="120"/>
  <c r="M1059" i="120"/>
  <c r="M1058" i="120"/>
  <c r="M1057" i="120"/>
  <c r="M1056" i="120"/>
  <c r="M1055" i="120"/>
  <c r="M1054" i="120"/>
  <c r="M1053" i="120"/>
  <c r="M1052" i="120"/>
  <c r="M1051" i="120"/>
  <c r="M1050" i="120"/>
  <c r="M1049" i="120"/>
  <c r="M1048" i="120"/>
  <c r="M1047" i="120"/>
  <c r="M1046" i="120"/>
  <c r="M1045" i="120"/>
  <c r="M1044" i="120"/>
  <c r="M1043" i="120"/>
  <c r="M1042" i="120"/>
  <c r="M1041" i="120"/>
  <c r="M1040" i="120"/>
  <c r="M1039" i="120"/>
  <c r="M1038" i="120"/>
  <c r="M1037" i="120"/>
  <c r="M1036" i="120"/>
  <c r="M1035" i="120"/>
  <c r="M1034" i="120"/>
  <c r="M1033" i="120"/>
  <c r="M1032" i="120"/>
  <c r="M1031" i="120"/>
  <c r="M1030" i="120"/>
  <c r="M1029" i="120"/>
  <c r="M1028" i="120"/>
  <c r="M1027" i="120"/>
  <c r="M1026" i="120"/>
  <c r="M1025" i="120"/>
  <c r="M1024" i="120"/>
  <c r="M1023" i="120"/>
  <c r="M1022" i="120"/>
  <c r="M1021" i="120"/>
  <c r="M1020" i="120"/>
  <c r="M1019" i="120"/>
  <c r="M1018" i="120"/>
  <c r="M1017" i="120"/>
  <c r="M1016" i="120"/>
  <c r="M1015" i="120"/>
  <c r="M1014" i="120"/>
  <c r="M1013" i="120"/>
  <c r="M1012" i="120"/>
  <c r="M1011" i="120"/>
  <c r="M1010" i="120"/>
  <c r="M1009" i="120"/>
  <c r="M1008" i="120"/>
  <c r="M1007" i="120"/>
  <c r="M1006" i="120"/>
  <c r="M1005" i="120"/>
  <c r="M1004" i="120"/>
  <c r="M1003" i="120"/>
  <c r="M1002" i="120"/>
  <c r="M1001" i="120"/>
  <c r="M1000" i="120"/>
  <c r="M999" i="120"/>
  <c r="M998" i="120"/>
  <c r="M997" i="120"/>
  <c r="M996" i="120"/>
  <c r="M995" i="120"/>
  <c r="M994" i="120"/>
  <c r="M993" i="120"/>
  <c r="M992" i="120"/>
  <c r="M991" i="120"/>
  <c r="M990" i="120"/>
  <c r="M989" i="120"/>
  <c r="M988" i="120"/>
  <c r="M987" i="120"/>
  <c r="M986" i="120"/>
  <c r="M985" i="120"/>
  <c r="M984" i="120"/>
  <c r="M983" i="120"/>
  <c r="M982" i="120"/>
  <c r="M981" i="120"/>
  <c r="M980" i="120"/>
  <c r="M979" i="120"/>
  <c r="M978" i="120"/>
  <c r="M977" i="120"/>
  <c r="M976" i="120"/>
  <c r="M975" i="120"/>
  <c r="M974" i="120"/>
  <c r="M973" i="120"/>
  <c r="M972" i="120"/>
  <c r="M971" i="120"/>
  <c r="M970" i="120"/>
  <c r="M969" i="120"/>
  <c r="M968" i="120"/>
  <c r="M967" i="120"/>
  <c r="M966" i="120"/>
  <c r="M965" i="120"/>
  <c r="M964" i="120"/>
  <c r="M963" i="120"/>
  <c r="M962" i="120"/>
  <c r="M961" i="120"/>
  <c r="M960" i="120"/>
  <c r="M959" i="120"/>
  <c r="M958" i="120"/>
  <c r="M957" i="120"/>
  <c r="M956" i="120"/>
  <c r="M955" i="120"/>
  <c r="M954" i="120"/>
  <c r="M953" i="120"/>
  <c r="M952" i="120"/>
  <c r="M951" i="120"/>
  <c r="M950" i="120"/>
  <c r="M949" i="120"/>
  <c r="M948" i="120"/>
  <c r="M947" i="120"/>
  <c r="M946" i="120"/>
  <c r="M945" i="120"/>
  <c r="M944" i="120"/>
  <c r="M943" i="120"/>
  <c r="M942" i="120"/>
  <c r="M941" i="120"/>
  <c r="M940" i="120"/>
  <c r="M939" i="120"/>
  <c r="M938" i="120"/>
  <c r="M937" i="120"/>
  <c r="M936" i="120"/>
  <c r="M935" i="120"/>
  <c r="M934" i="120"/>
  <c r="M933" i="120"/>
  <c r="M932" i="120"/>
  <c r="M931" i="120"/>
  <c r="M930" i="120"/>
  <c r="M929" i="120"/>
  <c r="M928" i="120"/>
  <c r="M927" i="120"/>
  <c r="M926" i="120"/>
  <c r="M925" i="120"/>
  <c r="M924" i="120"/>
  <c r="M923" i="120"/>
  <c r="M922" i="120"/>
  <c r="M921" i="120"/>
  <c r="M920" i="120"/>
  <c r="M919" i="120"/>
  <c r="M918" i="120"/>
  <c r="M917" i="120"/>
  <c r="M916" i="120"/>
  <c r="M915" i="120"/>
  <c r="M914" i="120"/>
  <c r="M913" i="120"/>
  <c r="M912" i="120"/>
  <c r="M911" i="120"/>
  <c r="M910" i="120"/>
  <c r="M909" i="120"/>
  <c r="M908" i="120"/>
  <c r="M907" i="120"/>
  <c r="M906" i="120"/>
  <c r="M905" i="120"/>
  <c r="M904" i="120"/>
  <c r="M903" i="120"/>
  <c r="M902" i="120"/>
  <c r="M901" i="120"/>
  <c r="M900" i="120"/>
  <c r="M899" i="120"/>
  <c r="M898" i="120"/>
  <c r="M897" i="120"/>
  <c r="M896" i="120"/>
  <c r="M895" i="120"/>
  <c r="M894" i="120"/>
  <c r="M893" i="120"/>
  <c r="M892" i="120"/>
  <c r="M891" i="120"/>
  <c r="M890" i="120"/>
  <c r="M889" i="120"/>
  <c r="M888" i="120"/>
  <c r="M887" i="120"/>
  <c r="M886" i="120"/>
  <c r="M885" i="120"/>
  <c r="M884" i="120"/>
  <c r="M883" i="120"/>
  <c r="M882" i="120"/>
  <c r="M881" i="120"/>
  <c r="M880" i="120"/>
  <c r="M879" i="120"/>
  <c r="M878" i="120"/>
  <c r="M877" i="120"/>
  <c r="M876" i="120"/>
  <c r="M875" i="120"/>
  <c r="M874" i="120"/>
  <c r="M873" i="120"/>
  <c r="M872" i="120"/>
  <c r="M871" i="120"/>
  <c r="M870" i="120"/>
  <c r="M869" i="120"/>
  <c r="M868" i="120"/>
  <c r="M867" i="120"/>
  <c r="M866" i="120"/>
  <c r="M865" i="120"/>
  <c r="M864" i="120"/>
  <c r="M863" i="120"/>
  <c r="M862" i="120"/>
  <c r="M861" i="120"/>
  <c r="M860" i="120"/>
  <c r="M859" i="120"/>
  <c r="M858" i="120"/>
  <c r="M857" i="120"/>
  <c r="M856" i="120"/>
  <c r="M855" i="120"/>
  <c r="M854" i="120"/>
  <c r="M853" i="120"/>
  <c r="M852" i="120"/>
  <c r="M851" i="120"/>
  <c r="M850" i="120"/>
  <c r="M849" i="120"/>
  <c r="M848" i="120"/>
  <c r="M847" i="120"/>
  <c r="M846" i="120"/>
  <c r="M845" i="120"/>
  <c r="M844" i="120"/>
  <c r="M843" i="120"/>
  <c r="M842" i="120"/>
  <c r="M841" i="120"/>
  <c r="M840" i="120"/>
  <c r="M839" i="120"/>
  <c r="M838" i="120"/>
  <c r="M837" i="120"/>
  <c r="M836" i="120"/>
  <c r="M835" i="120"/>
  <c r="M834" i="120"/>
  <c r="M833" i="120"/>
  <c r="M832" i="120"/>
  <c r="M831" i="120"/>
  <c r="M830" i="120"/>
  <c r="M829" i="120"/>
  <c r="M828" i="120"/>
  <c r="M827" i="120"/>
  <c r="M826" i="120"/>
  <c r="M825" i="120"/>
  <c r="M824" i="120"/>
  <c r="M823" i="120"/>
  <c r="M822" i="120"/>
  <c r="M821" i="120"/>
  <c r="M820" i="120"/>
  <c r="M819" i="120"/>
  <c r="M818" i="120"/>
  <c r="M817" i="120"/>
  <c r="M816" i="120"/>
  <c r="M815" i="120"/>
  <c r="M814" i="120"/>
  <c r="M813" i="120"/>
  <c r="O813" i="120" s="1"/>
  <c r="M812" i="120"/>
  <c r="M811" i="120"/>
  <c r="M810" i="120"/>
  <c r="M809" i="120"/>
  <c r="M808" i="120"/>
  <c r="M807" i="120"/>
  <c r="M806" i="120"/>
  <c r="M805" i="120"/>
  <c r="M804" i="120"/>
  <c r="M803" i="120"/>
  <c r="M802" i="120"/>
  <c r="M801" i="120"/>
  <c r="M800" i="120"/>
  <c r="M799" i="120"/>
  <c r="M798" i="120"/>
  <c r="M797" i="120"/>
  <c r="M796" i="120"/>
  <c r="M795" i="120"/>
  <c r="O795" i="120" s="1"/>
  <c r="M794" i="120"/>
  <c r="M793" i="120"/>
  <c r="M792" i="120"/>
  <c r="M791" i="120"/>
  <c r="M790" i="120"/>
  <c r="M789" i="120"/>
  <c r="M788" i="120"/>
  <c r="M787" i="120"/>
  <c r="M786" i="120"/>
  <c r="M785" i="120"/>
  <c r="M784" i="120"/>
  <c r="M783" i="120"/>
  <c r="M782" i="120"/>
  <c r="M781" i="120"/>
  <c r="M780" i="120"/>
  <c r="M779" i="120"/>
  <c r="M778" i="120"/>
  <c r="M777" i="120"/>
  <c r="M776" i="120"/>
  <c r="M775" i="120"/>
  <c r="M774" i="120"/>
  <c r="O774" i="120" s="1"/>
  <c r="P774" i="120" s="1"/>
  <c r="M773" i="120"/>
  <c r="M772" i="120"/>
  <c r="M771" i="120"/>
  <c r="M770" i="120"/>
  <c r="O770" i="120" s="1"/>
  <c r="M769" i="120"/>
  <c r="M768" i="120"/>
  <c r="M767" i="120"/>
  <c r="M766" i="120"/>
  <c r="M765" i="120"/>
  <c r="O765" i="120" s="1"/>
  <c r="M764" i="120"/>
  <c r="M763" i="120"/>
  <c r="M762" i="120"/>
  <c r="M761" i="120"/>
  <c r="M760" i="120"/>
  <c r="M759" i="120"/>
  <c r="M758" i="120"/>
  <c r="M757" i="120"/>
  <c r="M756" i="120"/>
  <c r="M755" i="120"/>
  <c r="M754" i="120"/>
  <c r="M753" i="120"/>
  <c r="M752" i="120"/>
  <c r="M751" i="120"/>
  <c r="M750" i="120"/>
  <c r="M749" i="120"/>
  <c r="M748" i="120"/>
  <c r="M747" i="120"/>
  <c r="M746" i="120"/>
  <c r="O746" i="120" s="1"/>
  <c r="P746" i="120" s="1"/>
  <c r="M745" i="120"/>
  <c r="O745" i="120" s="1"/>
  <c r="M744" i="120"/>
  <c r="M743" i="120"/>
  <c r="O742" i="120"/>
  <c r="M742" i="120"/>
  <c r="M741" i="120"/>
  <c r="M740" i="120"/>
  <c r="M739" i="120"/>
  <c r="O738" i="120"/>
  <c r="M738" i="120"/>
  <c r="M737" i="120"/>
  <c r="M736" i="120"/>
  <c r="M735" i="120"/>
  <c r="M734" i="120"/>
  <c r="M733" i="120"/>
  <c r="O733" i="120" s="1"/>
  <c r="M732" i="120"/>
  <c r="M731" i="120"/>
  <c r="M730" i="120"/>
  <c r="M729" i="120"/>
  <c r="M728" i="120"/>
  <c r="M727" i="120"/>
  <c r="P726" i="120"/>
  <c r="O726" i="120"/>
  <c r="M726" i="120"/>
  <c r="M725" i="120"/>
  <c r="L719" i="120"/>
  <c r="K719" i="120"/>
  <c r="B719" i="120"/>
  <c r="B1076" i="120" s="1"/>
  <c r="B1433" i="120" s="1"/>
  <c r="B1790" i="120" s="1"/>
  <c r="B2147" i="120" s="1"/>
  <c r="B2504" i="120" s="1"/>
  <c r="B2861" i="120" s="1"/>
  <c r="M718" i="120"/>
  <c r="M717" i="120"/>
  <c r="M716" i="120"/>
  <c r="M715" i="120"/>
  <c r="M714" i="120"/>
  <c r="M713" i="120"/>
  <c r="M712" i="120"/>
  <c r="M711" i="120"/>
  <c r="M710" i="120"/>
  <c r="M709" i="120"/>
  <c r="M708" i="120"/>
  <c r="M707" i="120"/>
  <c r="M706" i="120"/>
  <c r="M705" i="120"/>
  <c r="M704" i="120"/>
  <c r="M703" i="120"/>
  <c r="M702" i="120"/>
  <c r="M701" i="120"/>
  <c r="M700" i="120"/>
  <c r="M699" i="120"/>
  <c r="M698" i="120"/>
  <c r="M697" i="120"/>
  <c r="M696" i="120"/>
  <c r="M695" i="120"/>
  <c r="M694" i="120"/>
  <c r="M693" i="120"/>
  <c r="M692" i="120"/>
  <c r="M691" i="120"/>
  <c r="M690" i="120"/>
  <c r="M689" i="120"/>
  <c r="M688" i="120"/>
  <c r="M687" i="120"/>
  <c r="M686" i="120"/>
  <c r="M685" i="120"/>
  <c r="M684" i="120"/>
  <c r="M683" i="120"/>
  <c r="M682" i="120"/>
  <c r="M681" i="120"/>
  <c r="D681" i="120"/>
  <c r="D1038" i="120" s="1"/>
  <c r="D1395" i="120" s="1"/>
  <c r="D1752" i="120" s="1"/>
  <c r="D2109" i="120" s="1"/>
  <c r="D2466" i="120" s="1"/>
  <c r="D2823" i="120" s="1"/>
  <c r="M680" i="120"/>
  <c r="M679" i="120"/>
  <c r="M678" i="120"/>
  <c r="M677" i="120"/>
  <c r="M676" i="120"/>
  <c r="M675" i="120"/>
  <c r="M674" i="120"/>
  <c r="M673" i="120"/>
  <c r="M672" i="120"/>
  <c r="M671" i="120"/>
  <c r="M670" i="120"/>
  <c r="M669" i="120"/>
  <c r="M668" i="120"/>
  <c r="M667" i="120"/>
  <c r="M666" i="120"/>
  <c r="M665" i="120"/>
  <c r="M664" i="120"/>
  <c r="M663" i="120"/>
  <c r="M662" i="120"/>
  <c r="M661" i="120"/>
  <c r="E661" i="120"/>
  <c r="E1018" i="120" s="1"/>
  <c r="E1375" i="120" s="1"/>
  <c r="E1732" i="120" s="1"/>
  <c r="E2089" i="120" s="1"/>
  <c r="E2446" i="120" s="1"/>
  <c r="E2803" i="120" s="1"/>
  <c r="M660" i="120"/>
  <c r="M659" i="120"/>
  <c r="M658" i="120"/>
  <c r="M657" i="120"/>
  <c r="M656" i="120"/>
  <c r="M655" i="120"/>
  <c r="M654" i="120"/>
  <c r="M653" i="120"/>
  <c r="M652" i="120"/>
  <c r="M651" i="120"/>
  <c r="M650" i="120"/>
  <c r="M649" i="120"/>
  <c r="M648" i="120"/>
  <c r="M647" i="120"/>
  <c r="M646" i="120"/>
  <c r="M645" i="120"/>
  <c r="M644" i="120"/>
  <c r="M643" i="120"/>
  <c r="M642" i="120"/>
  <c r="M641" i="120"/>
  <c r="M640" i="120"/>
  <c r="M639" i="120"/>
  <c r="M638" i="120"/>
  <c r="M637" i="120"/>
  <c r="M636" i="120"/>
  <c r="M635" i="120"/>
  <c r="M634" i="120"/>
  <c r="M633" i="120"/>
  <c r="M632" i="120"/>
  <c r="M631" i="120"/>
  <c r="M630" i="120"/>
  <c r="M629" i="120"/>
  <c r="M628" i="120"/>
  <c r="M627" i="120"/>
  <c r="M626" i="120"/>
  <c r="M625" i="120"/>
  <c r="M624" i="120"/>
  <c r="M623" i="120"/>
  <c r="M622" i="120"/>
  <c r="M621" i="120"/>
  <c r="M620" i="120"/>
  <c r="M619" i="120"/>
  <c r="M618" i="120"/>
  <c r="M617" i="120"/>
  <c r="M616" i="120"/>
  <c r="M615" i="120"/>
  <c r="M614" i="120"/>
  <c r="M613" i="120"/>
  <c r="M612" i="120"/>
  <c r="M611" i="120"/>
  <c r="M610" i="120"/>
  <c r="M609" i="120"/>
  <c r="M608" i="120"/>
  <c r="M607" i="120"/>
  <c r="M606" i="120"/>
  <c r="M605" i="120"/>
  <c r="M604" i="120"/>
  <c r="M603" i="120"/>
  <c r="M602" i="120"/>
  <c r="M601" i="120"/>
  <c r="M600" i="120"/>
  <c r="M599" i="120"/>
  <c r="M598" i="120"/>
  <c r="M597" i="120"/>
  <c r="M596" i="120"/>
  <c r="M595" i="120"/>
  <c r="M594" i="120"/>
  <c r="M593" i="120"/>
  <c r="M592" i="120"/>
  <c r="M591" i="120"/>
  <c r="M590" i="120"/>
  <c r="M589" i="120"/>
  <c r="M588" i="120"/>
  <c r="M587" i="120"/>
  <c r="M586" i="120"/>
  <c r="M585" i="120"/>
  <c r="M584" i="120"/>
  <c r="M583" i="120"/>
  <c r="M582" i="120"/>
  <c r="M581" i="120"/>
  <c r="M580" i="120"/>
  <c r="M579" i="120"/>
  <c r="M578" i="120"/>
  <c r="M577" i="120"/>
  <c r="M576" i="120"/>
  <c r="M575" i="120"/>
  <c r="M574" i="120"/>
  <c r="M573" i="120"/>
  <c r="M572" i="120"/>
  <c r="M571" i="120"/>
  <c r="M570" i="120"/>
  <c r="M569" i="120"/>
  <c r="M568" i="120"/>
  <c r="M567" i="120"/>
  <c r="M566" i="120"/>
  <c r="M565" i="120"/>
  <c r="M564" i="120"/>
  <c r="M563" i="120"/>
  <c r="M562" i="120"/>
  <c r="M561" i="120"/>
  <c r="M560" i="120"/>
  <c r="M559" i="120"/>
  <c r="M558" i="120"/>
  <c r="M557" i="120"/>
  <c r="M556" i="120"/>
  <c r="M555" i="120"/>
  <c r="M554" i="120"/>
  <c r="M553" i="120"/>
  <c r="M552" i="120"/>
  <c r="M551" i="120"/>
  <c r="M550" i="120"/>
  <c r="M549" i="120"/>
  <c r="M548" i="120"/>
  <c r="M547" i="120"/>
  <c r="M546" i="120"/>
  <c r="M545" i="120"/>
  <c r="M544" i="120"/>
  <c r="M543" i="120"/>
  <c r="M542" i="120"/>
  <c r="M541" i="120"/>
  <c r="M540" i="120"/>
  <c r="M539" i="120"/>
  <c r="C539" i="120"/>
  <c r="C896" i="120" s="1"/>
  <c r="C1253" i="120" s="1"/>
  <c r="C1610" i="120" s="1"/>
  <c r="C1967" i="120" s="1"/>
  <c r="C2324" i="120" s="1"/>
  <c r="C2681" i="120" s="1"/>
  <c r="M538" i="120"/>
  <c r="M537" i="120"/>
  <c r="M536" i="120"/>
  <c r="M535" i="120"/>
  <c r="M534" i="120"/>
  <c r="M533" i="120"/>
  <c r="M532" i="120"/>
  <c r="M531" i="120"/>
  <c r="M530" i="120"/>
  <c r="M529" i="120"/>
  <c r="M528" i="120"/>
  <c r="M527" i="120"/>
  <c r="M526" i="120"/>
  <c r="M525" i="120"/>
  <c r="M524" i="120"/>
  <c r="M523" i="120"/>
  <c r="M522" i="120"/>
  <c r="M521" i="120"/>
  <c r="M520" i="120"/>
  <c r="M519" i="120"/>
  <c r="M518" i="120"/>
  <c r="M517" i="120"/>
  <c r="M516" i="120"/>
  <c r="M515" i="120"/>
  <c r="M514" i="120"/>
  <c r="M513" i="120"/>
  <c r="M512" i="120"/>
  <c r="M511" i="120"/>
  <c r="M510" i="120"/>
  <c r="M509" i="120"/>
  <c r="D509" i="120"/>
  <c r="D866" i="120" s="1"/>
  <c r="D1223" i="120" s="1"/>
  <c r="D1580" i="120" s="1"/>
  <c r="D1937" i="120" s="1"/>
  <c r="D2294" i="120" s="1"/>
  <c r="D2651" i="120" s="1"/>
  <c r="M508" i="120"/>
  <c r="M507" i="120"/>
  <c r="M506" i="120"/>
  <c r="M505" i="120"/>
  <c r="M504" i="120"/>
  <c r="M503" i="120"/>
  <c r="M502" i="120"/>
  <c r="M501" i="120"/>
  <c r="M500" i="120"/>
  <c r="M499" i="120"/>
  <c r="M498" i="120"/>
  <c r="M497" i="120"/>
  <c r="M496" i="120"/>
  <c r="M495" i="120"/>
  <c r="M494" i="120"/>
  <c r="M493" i="120"/>
  <c r="M492" i="120"/>
  <c r="M491" i="120"/>
  <c r="M490" i="120"/>
  <c r="M489" i="120"/>
  <c r="M488" i="120"/>
  <c r="M487" i="120"/>
  <c r="M486" i="120"/>
  <c r="M485" i="120"/>
  <c r="M484" i="120"/>
  <c r="M483" i="120"/>
  <c r="M482" i="120"/>
  <c r="M481" i="120"/>
  <c r="M480" i="120"/>
  <c r="M479" i="120"/>
  <c r="M478" i="120"/>
  <c r="M477" i="120"/>
  <c r="M476" i="120"/>
  <c r="M475" i="120"/>
  <c r="M474" i="120"/>
  <c r="M473" i="120"/>
  <c r="M472" i="120"/>
  <c r="M471" i="120"/>
  <c r="M470" i="120"/>
  <c r="M469" i="120"/>
  <c r="M468" i="120"/>
  <c r="M467" i="120"/>
  <c r="M466" i="120"/>
  <c r="M465" i="120"/>
  <c r="M464" i="120"/>
  <c r="M463" i="120"/>
  <c r="M462" i="120"/>
  <c r="M461" i="120"/>
  <c r="M460" i="120"/>
  <c r="M459" i="120"/>
  <c r="M458" i="120"/>
  <c r="M457" i="120"/>
  <c r="O456" i="120"/>
  <c r="M456" i="120"/>
  <c r="M455" i="120"/>
  <c r="M454" i="120"/>
  <c r="M453" i="120"/>
  <c r="M452" i="120"/>
  <c r="M451" i="120"/>
  <c r="O450" i="120"/>
  <c r="M450" i="120"/>
  <c r="M449" i="120"/>
  <c r="M448" i="120"/>
  <c r="M447" i="120"/>
  <c r="M446" i="120"/>
  <c r="M445" i="120"/>
  <c r="M444" i="120"/>
  <c r="M443" i="120"/>
  <c r="M442" i="120"/>
  <c r="M441" i="120"/>
  <c r="M440" i="120"/>
  <c r="M439" i="120"/>
  <c r="M438" i="120"/>
  <c r="D438" i="120"/>
  <c r="D795" i="120" s="1"/>
  <c r="D1152" i="120" s="1"/>
  <c r="D1509" i="120" s="1"/>
  <c r="D1866" i="120" s="1"/>
  <c r="D2223" i="120" s="1"/>
  <c r="D2580" i="120" s="1"/>
  <c r="M437" i="120"/>
  <c r="M436" i="120"/>
  <c r="M435" i="120"/>
  <c r="E435" i="120"/>
  <c r="E792" i="120" s="1"/>
  <c r="E1149" i="120" s="1"/>
  <c r="E1506" i="120" s="1"/>
  <c r="E1863" i="120" s="1"/>
  <c r="E2220" i="120" s="1"/>
  <c r="E2577" i="120" s="1"/>
  <c r="M434" i="120"/>
  <c r="M433" i="120"/>
  <c r="M432" i="120"/>
  <c r="M431" i="120"/>
  <c r="M430" i="120"/>
  <c r="M429" i="120"/>
  <c r="M428" i="120"/>
  <c r="M427" i="120"/>
  <c r="M426" i="120"/>
  <c r="M425" i="120"/>
  <c r="M424" i="120"/>
  <c r="O424" i="120" s="1"/>
  <c r="P424" i="120" s="1"/>
  <c r="M423" i="120"/>
  <c r="M422" i="120"/>
  <c r="A422" i="120"/>
  <c r="A779" i="120" s="1"/>
  <c r="A1136" i="120" s="1"/>
  <c r="A1493" i="120" s="1"/>
  <c r="A1850" i="120" s="1"/>
  <c r="A2207" i="120" s="1"/>
  <c r="A2564" i="120" s="1"/>
  <c r="M421" i="120"/>
  <c r="M420" i="120"/>
  <c r="M419" i="120"/>
  <c r="M418" i="120"/>
  <c r="M417" i="120"/>
  <c r="M416" i="120"/>
  <c r="M415" i="120"/>
  <c r="M414" i="120"/>
  <c r="M413" i="120"/>
  <c r="O413" i="120" s="1"/>
  <c r="M412" i="120"/>
  <c r="M411" i="120"/>
  <c r="M410" i="120"/>
  <c r="M409" i="120"/>
  <c r="M408" i="120"/>
  <c r="M407" i="120"/>
  <c r="M406" i="120"/>
  <c r="M405" i="120"/>
  <c r="M404" i="120"/>
  <c r="M403" i="120"/>
  <c r="M402" i="120"/>
  <c r="M401" i="120"/>
  <c r="M400" i="120"/>
  <c r="M399" i="120"/>
  <c r="M398" i="120"/>
  <c r="M397" i="120"/>
  <c r="O397" i="120" s="1"/>
  <c r="M396" i="120"/>
  <c r="M395" i="120"/>
  <c r="M394" i="120"/>
  <c r="M393" i="120"/>
  <c r="M392" i="120"/>
  <c r="M391" i="120"/>
  <c r="M390" i="120"/>
  <c r="M389" i="120"/>
  <c r="O389" i="120" s="1"/>
  <c r="M388" i="120"/>
  <c r="M387" i="120"/>
  <c r="M386" i="120"/>
  <c r="O385" i="120"/>
  <c r="M385" i="120"/>
  <c r="M384" i="120"/>
  <c r="M383" i="120"/>
  <c r="M382" i="120"/>
  <c r="M381" i="120"/>
  <c r="O381" i="120" s="1"/>
  <c r="P381" i="120" s="1"/>
  <c r="M380" i="120"/>
  <c r="M379" i="120"/>
  <c r="M378" i="120"/>
  <c r="M377" i="120"/>
  <c r="M376" i="120"/>
  <c r="M375" i="120"/>
  <c r="M374" i="120"/>
  <c r="M373" i="120"/>
  <c r="M372" i="120"/>
  <c r="M371" i="120"/>
  <c r="M370" i="120"/>
  <c r="O369" i="120"/>
  <c r="P369" i="120" s="1"/>
  <c r="M369" i="120"/>
  <c r="M368" i="120"/>
  <c r="E366" i="120"/>
  <c r="A366" i="120"/>
  <c r="E365" i="120"/>
  <c r="B365" i="120"/>
  <c r="A365" i="120"/>
  <c r="L362" i="120"/>
  <c r="K362" i="120"/>
  <c r="M361" i="120"/>
  <c r="E718" i="120"/>
  <c r="E1075" i="120" s="1"/>
  <c r="E1432" i="120" s="1"/>
  <c r="E1789" i="120" s="1"/>
  <c r="E2146" i="120" s="1"/>
  <c r="E2503" i="120" s="1"/>
  <c r="E2860" i="120" s="1"/>
  <c r="D718" i="120"/>
  <c r="D1075" i="120" s="1"/>
  <c r="D1432" i="120" s="1"/>
  <c r="D1789" i="120" s="1"/>
  <c r="D2146" i="120" s="1"/>
  <c r="D2503" i="120" s="1"/>
  <c r="D2860" i="120" s="1"/>
  <c r="C718" i="120"/>
  <c r="C1075" i="120" s="1"/>
  <c r="C1432" i="120" s="1"/>
  <c r="C1789" i="120" s="1"/>
  <c r="C2146" i="120" s="1"/>
  <c r="C2503" i="120" s="1"/>
  <c r="C2860" i="120" s="1"/>
  <c r="B718" i="120"/>
  <c r="B1075" i="120" s="1"/>
  <c r="B1432" i="120" s="1"/>
  <c r="B1789" i="120" s="1"/>
  <c r="B2146" i="120" s="1"/>
  <c r="B2503" i="120" s="1"/>
  <c r="B2860" i="120" s="1"/>
  <c r="A718" i="120"/>
  <c r="A1075" i="120" s="1"/>
  <c r="A1432" i="120" s="1"/>
  <c r="A1789" i="120" s="1"/>
  <c r="A2146" i="120" s="1"/>
  <c r="A2503" i="120" s="1"/>
  <c r="A2860" i="120" s="1"/>
  <c r="M360" i="120"/>
  <c r="H360" i="120"/>
  <c r="E717" i="120"/>
  <c r="E1074" i="120" s="1"/>
  <c r="E1431" i="120" s="1"/>
  <c r="E1788" i="120" s="1"/>
  <c r="E2145" i="120" s="1"/>
  <c r="E2502" i="120" s="1"/>
  <c r="E2859" i="120" s="1"/>
  <c r="D717" i="120"/>
  <c r="D1074" i="120" s="1"/>
  <c r="D1431" i="120" s="1"/>
  <c r="D1788" i="120" s="1"/>
  <c r="D2145" i="120" s="1"/>
  <c r="D2502" i="120" s="1"/>
  <c r="D2859" i="120" s="1"/>
  <c r="C717" i="120"/>
  <c r="C1074" i="120" s="1"/>
  <c r="C1431" i="120" s="1"/>
  <c r="C1788" i="120" s="1"/>
  <c r="C2145" i="120" s="1"/>
  <c r="C2502" i="120" s="1"/>
  <c r="C2859" i="120" s="1"/>
  <c r="B717" i="120"/>
  <c r="B1074" i="120" s="1"/>
  <c r="B1431" i="120" s="1"/>
  <c r="B1788" i="120" s="1"/>
  <c r="B2145" i="120" s="1"/>
  <c r="B2502" i="120" s="1"/>
  <c r="B2859" i="120" s="1"/>
  <c r="A717" i="120"/>
  <c r="A1074" i="120" s="1"/>
  <c r="A1431" i="120" s="1"/>
  <c r="A1788" i="120" s="1"/>
  <c r="A2145" i="120" s="1"/>
  <c r="A2502" i="120" s="1"/>
  <c r="A2859" i="120" s="1"/>
  <c r="M359" i="120"/>
  <c r="E716" i="120"/>
  <c r="E1073" i="120" s="1"/>
  <c r="E1430" i="120" s="1"/>
  <c r="E1787" i="120" s="1"/>
  <c r="E2144" i="120" s="1"/>
  <c r="E2501" i="120" s="1"/>
  <c r="E2858" i="120" s="1"/>
  <c r="D716" i="120"/>
  <c r="D1073" i="120" s="1"/>
  <c r="D1430" i="120" s="1"/>
  <c r="D1787" i="120" s="1"/>
  <c r="D2144" i="120" s="1"/>
  <c r="D2501" i="120" s="1"/>
  <c r="D2858" i="120" s="1"/>
  <c r="C716" i="120"/>
  <c r="C1073" i="120" s="1"/>
  <c r="C1430" i="120" s="1"/>
  <c r="C1787" i="120" s="1"/>
  <c r="C2144" i="120" s="1"/>
  <c r="C2501" i="120" s="1"/>
  <c r="C2858" i="120" s="1"/>
  <c r="B716" i="120"/>
  <c r="B1073" i="120" s="1"/>
  <c r="B1430" i="120" s="1"/>
  <c r="B1787" i="120" s="1"/>
  <c r="B2144" i="120" s="1"/>
  <c r="B2501" i="120" s="1"/>
  <c r="B2858" i="120" s="1"/>
  <c r="A716" i="120"/>
  <c r="A1073" i="120" s="1"/>
  <c r="A1430" i="120" s="1"/>
  <c r="A1787" i="120" s="1"/>
  <c r="A2144" i="120" s="1"/>
  <c r="A2501" i="120" s="1"/>
  <c r="A2858" i="120" s="1"/>
  <c r="M358" i="120"/>
  <c r="E715" i="120"/>
  <c r="E1072" i="120" s="1"/>
  <c r="E1429" i="120" s="1"/>
  <c r="E1786" i="120" s="1"/>
  <c r="E2143" i="120" s="1"/>
  <c r="E2500" i="120" s="1"/>
  <c r="E2857" i="120" s="1"/>
  <c r="D715" i="120"/>
  <c r="D1072" i="120" s="1"/>
  <c r="D1429" i="120" s="1"/>
  <c r="D1786" i="120" s="1"/>
  <c r="D2143" i="120" s="1"/>
  <c r="D2500" i="120" s="1"/>
  <c r="D2857" i="120" s="1"/>
  <c r="C715" i="120"/>
  <c r="C1072" i="120" s="1"/>
  <c r="C1429" i="120" s="1"/>
  <c r="C1786" i="120" s="1"/>
  <c r="C2143" i="120" s="1"/>
  <c r="C2500" i="120" s="1"/>
  <c r="C2857" i="120" s="1"/>
  <c r="B715" i="120"/>
  <c r="B1072" i="120" s="1"/>
  <c r="B1429" i="120" s="1"/>
  <c r="B1786" i="120" s="1"/>
  <c r="B2143" i="120" s="1"/>
  <c r="B2500" i="120" s="1"/>
  <c r="B2857" i="120" s="1"/>
  <c r="A715" i="120"/>
  <c r="A1072" i="120" s="1"/>
  <c r="A1429" i="120" s="1"/>
  <c r="A1786" i="120" s="1"/>
  <c r="A2143" i="120" s="1"/>
  <c r="A2500" i="120" s="1"/>
  <c r="A2857" i="120" s="1"/>
  <c r="M357" i="120"/>
  <c r="E714" i="120"/>
  <c r="E1071" i="120" s="1"/>
  <c r="E1428" i="120" s="1"/>
  <c r="E1785" i="120" s="1"/>
  <c r="E2142" i="120" s="1"/>
  <c r="E2499" i="120" s="1"/>
  <c r="E2856" i="120" s="1"/>
  <c r="D714" i="120"/>
  <c r="D1071" i="120" s="1"/>
  <c r="D1428" i="120" s="1"/>
  <c r="D1785" i="120" s="1"/>
  <c r="D2142" i="120" s="1"/>
  <c r="D2499" i="120" s="1"/>
  <c r="D2856" i="120" s="1"/>
  <c r="C714" i="120"/>
  <c r="C1071" i="120" s="1"/>
  <c r="C1428" i="120" s="1"/>
  <c r="C1785" i="120" s="1"/>
  <c r="C2142" i="120" s="1"/>
  <c r="C2499" i="120" s="1"/>
  <c r="C2856" i="120" s="1"/>
  <c r="B714" i="120"/>
  <c r="B1071" i="120" s="1"/>
  <c r="B1428" i="120" s="1"/>
  <c r="B1785" i="120" s="1"/>
  <c r="B2142" i="120" s="1"/>
  <c r="B2499" i="120" s="1"/>
  <c r="B2856" i="120" s="1"/>
  <c r="A714" i="120"/>
  <c r="A1071" i="120" s="1"/>
  <c r="A1428" i="120" s="1"/>
  <c r="A1785" i="120" s="1"/>
  <c r="A2142" i="120" s="1"/>
  <c r="A2499" i="120" s="1"/>
  <c r="A2856" i="120" s="1"/>
  <c r="M356" i="120"/>
  <c r="E713" i="120"/>
  <c r="E1070" i="120" s="1"/>
  <c r="E1427" i="120" s="1"/>
  <c r="E1784" i="120" s="1"/>
  <c r="E2141" i="120" s="1"/>
  <c r="E2498" i="120" s="1"/>
  <c r="E2855" i="120" s="1"/>
  <c r="D713" i="120"/>
  <c r="D1070" i="120" s="1"/>
  <c r="D1427" i="120" s="1"/>
  <c r="D1784" i="120" s="1"/>
  <c r="D2141" i="120" s="1"/>
  <c r="D2498" i="120" s="1"/>
  <c r="D2855" i="120" s="1"/>
  <c r="C713" i="120"/>
  <c r="C1070" i="120" s="1"/>
  <c r="C1427" i="120" s="1"/>
  <c r="C1784" i="120" s="1"/>
  <c r="C2141" i="120" s="1"/>
  <c r="C2498" i="120" s="1"/>
  <c r="C2855" i="120" s="1"/>
  <c r="B713" i="120"/>
  <c r="B1070" i="120" s="1"/>
  <c r="B1427" i="120" s="1"/>
  <c r="B1784" i="120" s="1"/>
  <c r="B2141" i="120" s="1"/>
  <c r="B2498" i="120" s="1"/>
  <c r="B2855" i="120" s="1"/>
  <c r="A713" i="120"/>
  <c r="A1070" i="120" s="1"/>
  <c r="A1427" i="120" s="1"/>
  <c r="A1784" i="120" s="1"/>
  <c r="A2141" i="120" s="1"/>
  <c r="A2498" i="120" s="1"/>
  <c r="A2855" i="120" s="1"/>
  <c r="M355" i="120"/>
  <c r="E712" i="120"/>
  <c r="E1069" i="120" s="1"/>
  <c r="E1426" i="120" s="1"/>
  <c r="E1783" i="120" s="1"/>
  <c r="E2140" i="120" s="1"/>
  <c r="E2497" i="120" s="1"/>
  <c r="E2854" i="120" s="1"/>
  <c r="D712" i="120"/>
  <c r="D1069" i="120" s="1"/>
  <c r="D1426" i="120" s="1"/>
  <c r="D1783" i="120" s="1"/>
  <c r="D2140" i="120" s="1"/>
  <c r="D2497" i="120" s="1"/>
  <c r="D2854" i="120" s="1"/>
  <c r="C712" i="120"/>
  <c r="C1069" i="120" s="1"/>
  <c r="C1426" i="120" s="1"/>
  <c r="C1783" i="120" s="1"/>
  <c r="C2140" i="120" s="1"/>
  <c r="C2497" i="120" s="1"/>
  <c r="C2854" i="120" s="1"/>
  <c r="B712" i="120"/>
  <c r="B1069" i="120" s="1"/>
  <c r="B1426" i="120" s="1"/>
  <c r="B1783" i="120" s="1"/>
  <c r="B2140" i="120" s="1"/>
  <c r="B2497" i="120" s="1"/>
  <c r="B2854" i="120" s="1"/>
  <c r="A712" i="120"/>
  <c r="A1069" i="120" s="1"/>
  <c r="A1426" i="120" s="1"/>
  <c r="A1783" i="120" s="1"/>
  <c r="A2140" i="120" s="1"/>
  <c r="A2497" i="120" s="1"/>
  <c r="A2854" i="120" s="1"/>
  <c r="M354" i="120"/>
  <c r="E711" i="120"/>
  <c r="E1068" i="120" s="1"/>
  <c r="E1425" i="120" s="1"/>
  <c r="E1782" i="120" s="1"/>
  <c r="E2139" i="120" s="1"/>
  <c r="E2496" i="120" s="1"/>
  <c r="E2853" i="120" s="1"/>
  <c r="D711" i="120"/>
  <c r="D1068" i="120" s="1"/>
  <c r="D1425" i="120" s="1"/>
  <c r="D1782" i="120" s="1"/>
  <c r="D2139" i="120" s="1"/>
  <c r="D2496" i="120" s="1"/>
  <c r="D2853" i="120" s="1"/>
  <c r="C711" i="120"/>
  <c r="C1068" i="120" s="1"/>
  <c r="C1425" i="120" s="1"/>
  <c r="C1782" i="120" s="1"/>
  <c r="C2139" i="120" s="1"/>
  <c r="C2496" i="120" s="1"/>
  <c r="C2853" i="120" s="1"/>
  <c r="B711" i="120"/>
  <c r="B1068" i="120" s="1"/>
  <c r="B1425" i="120" s="1"/>
  <c r="B1782" i="120" s="1"/>
  <c r="B2139" i="120" s="1"/>
  <c r="B2496" i="120" s="1"/>
  <c r="B2853" i="120" s="1"/>
  <c r="A711" i="120"/>
  <c r="A1068" i="120" s="1"/>
  <c r="A1425" i="120" s="1"/>
  <c r="A1782" i="120" s="1"/>
  <c r="A2139" i="120" s="1"/>
  <c r="A2496" i="120" s="1"/>
  <c r="A2853" i="120" s="1"/>
  <c r="M353" i="120"/>
  <c r="E710" i="120"/>
  <c r="E1067" i="120" s="1"/>
  <c r="E1424" i="120" s="1"/>
  <c r="E1781" i="120" s="1"/>
  <c r="E2138" i="120" s="1"/>
  <c r="E2495" i="120" s="1"/>
  <c r="E2852" i="120" s="1"/>
  <c r="D710" i="120"/>
  <c r="D1067" i="120" s="1"/>
  <c r="D1424" i="120" s="1"/>
  <c r="D1781" i="120" s="1"/>
  <c r="D2138" i="120" s="1"/>
  <c r="D2495" i="120" s="1"/>
  <c r="D2852" i="120" s="1"/>
  <c r="C710" i="120"/>
  <c r="C1067" i="120" s="1"/>
  <c r="C1424" i="120" s="1"/>
  <c r="C1781" i="120" s="1"/>
  <c r="C2138" i="120" s="1"/>
  <c r="C2495" i="120" s="1"/>
  <c r="C2852" i="120" s="1"/>
  <c r="B710" i="120"/>
  <c r="B1067" i="120" s="1"/>
  <c r="B1424" i="120" s="1"/>
  <c r="B1781" i="120" s="1"/>
  <c r="B2138" i="120" s="1"/>
  <c r="B2495" i="120" s="1"/>
  <c r="B2852" i="120" s="1"/>
  <c r="A710" i="120"/>
  <c r="A1067" i="120" s="1"/>
  <c r="A1424" i="120" s="1"/>
  <c r="A1781" i="120" s="1"/>
  <c r="A2138" i="120" s="1"/>
  <c r="A2495" i="120" s="1"/>
  <c r="A2852" i="120" s="1"/>
  <c r="M352" i="120"/>
  <c r="E709" i="120"/>
  <c r="E1066" i="120" s="1"/>
  <c r="E1423" i="120" s="1"/>
  <c r="E1780" i="120" s="1"/>
  <c r="E2137" i="120" s="1"/>
  <c r="E2494" i="120" s="1"/>
  <c r="E2851" i="120" s="1"/>
  <c r="D709" i="120"/>
  <c r="D1066" i="120" s="1"/>
  <c r="D1423" i="120" s="1"/>
  <c r="D1780" i="120" s="1"/>
  <c r="D2137" i="120" s="1"/>
  <c r="D2494" i="120" s="1"/>
  <c r="D2851" i="120" s="1"/>
  <c r="C709" i="120"/>
  <c r="C1066" i="120" s="1"/>
  <c r="C1423" i="120" s="1"/>
  <c r="C1780" i="120" s="1"/>
  <c r="C2137" i="120" s="1"/>
  <c r="C2494" i="120" s="1"/>
  <c r="C2851" i="120" s="1"/>
  <c r="B709" i="120"/>
  <c r="B1066" i="120" s="1"/>
  <c r="B1423" i="120" s="1"/>
  <c r="B1780" i="120" s="1"/>
  <c r="B2137" i="120" s="1"/>
  <c r="B2494" i="120" s="1"/>
  <c r="B2851" i="120" s="1"/>
  <c r="A709" i="120"/>
  <c r="A1066" i="120" s="1"/>
  <c r="A1423" i="120" s="1"/>
  <c r="A1780" i="120" s="1"/>
  <c r="A2137" i="120" s="1"/>
  <c r="A2494" i="120" s="1"/>
  <c r="A2851" i="120" s="1"/>
  <c r="M351" i="120"/>
  <c r="E708" i="120"/>
  <c r="E1065" i="120" s="1"/>
  <c r="E1422" i="120" s="1"/>
  <c r="E1779" i="120" s="1"/>
  <c r="E2136" i="120" s="1"/>
  <c r="E2493" i="120" s="1"/>
  <c r="E2850" i="120" s="1"/>
  <c r="D708" i="120"/>
  <c r="D1065" i="120" s="1"/>
  <c r="D1422" i="120" s="1"/>
  <c r="D1779" i="120" s="1"/>
  <c r="D2136" i="120" s="1"/>
  <c r="D2493" i="120" s="1"/>
  <c r="D2850" i="120" s="1"/>
  <c r="C708" i="120"/>
  <c r="C1065" i="120" s="1"/>
  <c r="C1422" i="120" s="1"/>
  <c r="C1779" i="120" s="1"/>
  <c r="C2136" i="120" s="1"/>
  <c r="C2493" i="120" s="1"/>
  <c r="C2850" i="120" s="1"/>
  <c r="B708" i="120"/>
  <c r="B1065" i="120" s="1"/>
  <c r="B1422" i="120" s="1"/>
  <c r="B1779" i="120" s="1"/>
  <c r="B2136" i="120" s="1"/>
  <c r="B2493" i="120" s="1"/>
  <c r="B2850" i="120" s="1"/>
  <c r="A708" i="120"/>
  <c r="A1065" i="120" s="1"/>
  <c r="A1422" i="120" s="1"/>
  <c r="A1779" i="120" s="1"/>
  <c r="A2136" i="120" s="1"/>
  <c r="A2493" i="120" s="1"/>
  <c r="A2850" i="120" s="1"/>
  <c r="M350" i="120"/>
  <c r="E707" i="120"/>
  <c r="E1064" i="120" s="1"/>
  <c r="E1421" i="120" s="1"/>
  <c r="E1778" i="120" s="1"/>
  <c r="E2135" i="120" s="1"/>
  <c r="E2492" i="120" s="1"/>
  <c r="E2849" i="120" s="1"/>
  <c r="D707" i="120"/>
  <c r="D1064" i="120" s="1"/>
  <c r="D1421" i="120" s="1"/>
  <c r="D1778" i="120" s="1"/>
  <c r="D2135" i="120" s="1"/>
  <c r="D2492" i="120" s="1"/>
  <c r="D2849" i="120" s="1"/>
  <c r="C707" i="120"/>
  <c r="C1064" i="120" s="1"/>
  <c r="C1421" i="120" s="1"/>
  <c r="C1778" i="120" s="1"/>
  <c r="C2135" i="120" s="1"/>
  <c r="C2492" i="120" s="1"/>
  <c r="C2849" i="120" s="1"/>
  <c r="B707" i="120"/>
  <c r="B1064" i="120" s="1"/>
  <c r="B1421" i="120" s="1"/>
  <c r="B1778" i="120" s="1"/>
  <c r="B2135" i="120" s="1"/>
  <c r="B2492" i="120" s="1"/>
  <c r="B2849" i="120" s="1"/>
  <c r="A707" i="120"/>
  <c r="A1064" i="120" s="1"/>
  <c r="A1421" i="120" s="1"/>
  <c r="A1778" i="120" s="1"/>
  <c r="A2135" i="120" s="1"/>
  <c r="A2492" i="120" s="1"/>
  <c r="A2849" i="120" s="1"/>
  <c r="M349" i="120"/>
  <c r="E706" i="120"/>
  <c r="E1063" i="120" s="1"/>
  <c r="E1420" i="120" s="1"/>
  <c r="E1777" i="120" s="1"/>
  <c r="E2134" i="120" s="1"/>
  <c r="E2491" i="120" s="1"/>
  <c r="E2848" i="120" s="1"/>
  <c r="D706" i="120"/>
  <c r="D1063" i="120" s="1"/>
  <c r="D1420" i="120" s="1"/>
  <c r="D1777" i="120" s="1"/>
  <c r="D2134" i="120" s="1"/>
  <c r="D2491" i="120" s="1"/>
  <c r="D2848" i="120" s="1"/>
  <c r="C706" i="120"/>
  <c r="C1063" i="120" s="1"/>
  <c r="C1420" i="120" s="1"/>
  <c r="C1777" i="120" s="1"/>
  <c r="C2134" i="120" s="1"/>
  <c r="C2491" i="120" s="1"/>
  <c r="C2848" i="120" s="1"/>
  <c r="B706" i="120"/>
  <c r="B1063" i="120" s="1"/>
  <c r="B1420" i="120" s="1"/>
  <c r="B1777" i="120" s="1"/>
  <c r="B2134" i="120" s="1"/>
  <c r="B2491" i="120" s="1"/>
  <c r="B2848" i="120" s="1"/>
  <c r="A706" i="120"/>
  <c r="A1063" i="120" s="1"/>
  <c r="A1420" i="120" s="1"/>
  <c r="A1777" i="120" s="1"/>
  <c r="A2134" i="120" s="1"/>
  <c r="A2491" i="120" s="1"/>
  <c r="A2848" i="120" s="1"/>
  <c r="M348" i="120"/>
  <c r="E705" i="120"/>
  <c r="E1062" i="120" s="1"/>
  <c r="E1419" i="120" s="1"/>
  <c r="E1776" i="120" s="1"/>
  <c r="E2133" i="120" s="1"/>
  <c r="E2490" i="120" s="1"/>
  <c r="E2847" i="120" s="1"/>
  <c r="D705" i="120"/>
  <c r="D1062" i="120" s="1"/>
  <c r="D1419" i="120" s="1"/>
  <c r="D1776" i="120" s="1"/>
  <c r="D2133" i="120" s="1"/>
  <c r="D2490" i="120" s="1"/>
  <c r="D2847" i="120" s="1"/>
  <c r="C705" i="120"/>
  <c r="C1062" i="120" s="1"/>
  <c r="C1419" i="120" s="1"/>
  <c r="C1776" i="120" s="1"/>
  <c r="C2133" i="120" s="1"/>
  <c r="C2490" i="120" s="1"/>
  <c r="C2847" i="120" s="1"/>
  <c r="B705" i="120"/>
  <c r="B1062" i="120" s="1"/>
  <c r="B1419" i="120" s="1"/>
  <c r="B1776" i="120" s="1"/>
  <c r="B2133" i="120" s="1"/>
  <c r="B2490" i="120" s="1"/>
  <c r="B2847" i="120" s="1"/>
  <c r="A705" i="120"/>
  <c r="A1062" i="120" s="1"/>
  <c r="A1419" i="120" s="1"/>
  <c r="A1776" i="120" s="1"/>
  <c r="A2133" i="120" s="1"/>
  <c r="A2490" i="120" s="1"/>
  <c r="A2847" i="120" s="1"/>
  <c r="M347" i="120"/>
  <c r="E704" i="120"/>
  <c r="E1061" i="120" s="1"/>
  <c r="E1418" i="120" s="1"/>
  <c r="E1775" i="120" s="1"/>
  <c r="E2132" i="120" s="1"/>
  <c r="E2489" i="120" s="1"/>
  <c r="E2846" i="120" s="1"/>
  <c r="D704" i="120"/>
  <c r="D1061" i="120" s="1"/>
  <c r="D1418" i="120" s="1"/>
  <c r="D1775" i="120" s="1"/>
  <c r="D2132" i="120" s="1"/>
  <c r="D2489" i="120" s="1"/>
  <c r="D2846" i="120" s="1"/>
  <c r="C704" i="120"/>
  <c r="C1061" i="120" s="1"/>
  <c r="C1418" i="120" s="1"/>
  <c r="C1775" i="120" s="1"/>
  <c r="C2132" i="120" s="1"/>
  <c r="C2489" i="120" s="1"/>
  <c r="C2846" i="120" s="1"/>
  <c r="B704" i="120"/>
  <c r="B1061" i="120" s="1"/>
  <c r="B1418" i="120" s="1"/>
  <c r="B1775" i="120" s="1"/>
  <c r="B2132" i="120" s="1"/>
  <c r="B2489" i="120" s="1"/>
  <c r="B2846" i="120" s="1"/>
  <c r="A704" i="120"/>
  <c r="A1061" i="120" s="1"/>
  <c r="A1418" i="120" s="1"/>
  <c r="A1775" i="120" s="1"/>
  <c r="A2132" i="120" s="1"/>
  <c r="A2489" i="120" s="1"/>
  <c r="A2846" i="120" s="1"/>
  <c r="M346" i="120"/>
  <c r="E703" i="120"/>
  <c r="E1060" i="120" s="1"/>
  <c r="E1417" i="120" s="1"/>
  <c r="E1774" i="120" s="1"/>
  <c r="E2131" i="120" s="1"/>
  <c r="E2488" i="120" s="1"/>
  <c r="E2845" i="120" s="1"/>
  <c r="D703" i="120"/>
  <c r="D1060" i="120" s="1"/>
  <c r="D1417" i="120" s="1"/>
  <c r="D1774" i="120" s="1"/>
  <c r="D2131" i="120" s="1"/>
  <c r="D2488" i="120" s="1"/>
  <c r="D2845" i="120" s="1"/>
  <c r="C703" i="120"/>
  <c r="C1060" i="120" s="1"/>
  <c r="C1417" i="120" s="1"/>
  <c r="C1774" i="120" s="1"/>
  <c r="C2131" i="120" s="1"/>
  <c r="C2488" i="120" s="1"/>
  <c r="C2845" i="120" s="1"/>
  <c r="B703" i="120"/>
  <c r="B1060" i="120" s="1"/>
  <c r="B1417" i="120" s="1"/>
  <c r="B1774" i="120" s="1"/>
  <c r="B2131" i="120" s="1"/>
  <c r="B2488" i="120" s="1"/>
  <c r="B2845" i="120" s="1"/>
  <c r="A703" i="120"/>
  <c r="A1060" i="120" s="1"/>
  <c r="A1417" i="120" s="1"/>
  <c r="A1774" i="120" s="1"/>
  <c r="A2131" i="120" s="1"/>
  <c r="A2488" i="120" s="1"/>
  <c r="A2845" i="120" s="1"/>
  <c r="M345" i="120"/>
  <c r="E702" i="120"/>
  <c r="E1059" i="120" s="1"/>
  <c r="E1416" i="120" s="1"/>
  <c r="E1773" i="120" s="1"/>
  <c r="E2130" i="120" s="1"/>
  <c r="E2487" i="120" s="1"/>
  <c r="E2844" i="120" s="1"/>
  <c r="D702" i="120"/>
  <c r="D1059" i="120" s="1"/>
  <c r="D1416" i="120" s="1"/>
  <c r="D1773" i="120" s="1"/>
  <c r="D2130" i="120" s="1"/>
  <c r="D2487" i="120" s="1"/>
  <c r="D2844" i="120" s="1"/>
  <c r="C702" i="120"/>
  <c r="C1059" i="120" s="1"/>
  <c r="C1416" i="120" s="1"/>
  <c r="C1773" i="120" s="1"/>
  <c r="C2130" i="120" s="1"/>
  <c r="C2487" i="120" s="1"/>
  <c r="C2844" i="120" s="1"/>
  <c r="B702" i="120"/>
  <c r="B1059" i="120" s="1"/>
  <c r="B1416" i="120" s="1"/>
  <c r="B1773" i="120" s="1"/>
  <c r="B2130" i="120" s="1"/>
  <c r="B2487" i="120" s="1"/>
  <c r="B2844" i="120" s="1"/>
  <c r="A702" i="120"/>
  <c r="A1059" i="120" s="1"/>
  <c r="A1416" i="120" s="1"/>
  <c r="A1773" i="120" s="1"/>
  <c r="A2130" i="120" s="1"/>
  <c r="A2487" i="120" s="1"/>
  <c r="A2844" i="120" s="1"/>
  <c r="M344" i="120"/>
  <c r="E701" i="120"/>
  <c r="E1058" i="120" s="1"/>
  <c r="E1415" i="120" s="1"/>
  <c r="E1772" i="120" s="1"/>
  <c r="E2129" i="120" s="1"/>
  <c r="E2486" i="120" s="1"/>
  <c r="E2843" i="120" s="1"/>
  <c r="D701" i="120"/>
  <c r="D1058" i="120" s="1"/>
  <c r="D1415" i="120" s="1"/>
  <c r="D1772" i="120" s="1"/>
  <c r="D2129" i="120" s="1"/>
  <c r="D2486" i="120" s="1"/>
  <c r="D2843" i="120" s="1"/>
  <c r="C701" i="120"/>
  <c r="C1058" i="120" s="1"/>
  <c r="C1415" i="120" s="1"/>
  <c r="C1772" i="120" s="1"/>
  <c r="C2129" i="120" s="1"/>
  <c r="C2486" i="120" s="1"/>
  <c r="C2843" i="120" s="1"/>
  <c r="B701" i="120"/>
  <c r="B1058" i="120" s="1"/>
  <c r="B1415" i="120" s="1"/>
  <c r="B1772" i="120" s="1"/>
  <c r="B2129" i="120" s="1"/>
  <c r="B2486" i="120" s="1"/>
  <c r="B2843" i="120" s="1"/>
  <c r="A701" i="120"/>
  <c r="A1058" i="120" s="1"/>
  <c r="A1415" i="120" s="1"/>
  <c r="A1772" i="120" s="1"/>
  <c r="A2129" i="120" s="1"/>
  <c r="A2486" i="120" s="1"/>
  <c r="A2843" i="120" s="1"/>
  <c r="M343" i="120"/>
  <c r="E700" i="120"/>
  <c r="E1057" i="120" s="1"/>
  <c r="E1414" i="120" s="1"/>
  <c r="E1771" i="120" s="1"/>
  <c r="E2128" i="120" s="1"/>
  <c r="E2485" i="120" s="1"/>
  <c r="E2842" i="120" s="1"/>
  <c r="D700" i="120"/>
  <c r="D1057" i="120" s="1"/>
  <c r="D1414" i="120" s="1"/>
  <c r="D1771" i="120" s="1"/>
  <c r="D2128" i="120" s="1"/>
  <c r="D2485" i="120" s="1"/>
  <c r="D2842" i="120" s="1"/>
  <c r="C700" i="120"/>
  <c r="C1057" i="120" s="1"/>
  <c r="C1414" i="120" s="1"/>
  <c r="C1771" i="120" s="1"/>
  <c r="C2128" i="120" s="1"/>
  <c r="C2485" i="120" s="1"/>
  <c r="C2842" i="120" s="1"/>
  <c r="B700" i="120"/>
  <c r="B1057" i="120" s="1"/>
  <c r="B1414" i="120" s="1"/>
  <c r="B1771" i="120" s="1"/>
  <c r="B2128" i="120" s="1"/>
  <c r="B2485" i="120" s="1"/>
  <c r="B2842" i="120" s="1"/>
  <c r="A700" i="120"/>
  <c r="A1057" i="120" s="1"/>
  <c r="A1414" i="120" s="1"/>
  <c r="A1771" i="120" s="1"/>
  <c r="A2128" i="120" s="1"/>
  <c r="A2485" i="120" s="1"/>
  <c r="A2842" i="120" s="1"/>
  <c r="M342" i="120"/>
  <c r="E699" i="120"/>
  <c r="E1056" i="120" s="1"/>
  <c r="E1413" i="120" s="1"/>
  <c r="E1770" i="120" s="1"/>
  <c r="E2127" i="120" s="1"/>
  <c r="E2484" i="120" s="1"/>
  <c r="E2841" i="120" s="1"/>
  <c r="D699" i="120"/>
  <c r="D1056" i="120" s="1"/>
  <c r="D1413" i="120" s="1"/>
  <c r="D1770" i="120" s="1"/>
  <c r="D2127" i="120" s="1"/>
  <c r="D2484" i="120" s="1"/>
  <c r="D2841" i="120" s="1"/>
  <c r="C699" i="120"/>
  <c r="C1056" i="120" s="1"/>
  <c r="C1413" i="120" s="1"/>
  <c r="C1770" i="120" s="1"/>
  <c r="C2127" i="120" s="1"/>
  <c r="C2484" i="120" s="1"/>
  <c r="C2841" i="120" s="1"/>
  <c r="B699" i="120"/>
  <c r="B1056" i="120" s="1"/>
  <c r="B1413" i="120" s="1"/>
  <c r="B1770" i="120" s="1"/>
  <c r="B2127" i="120" s="1"/>
  <c r="B2484" i="120" s="1"/>
  <c r="B2841" i="120" s="1"/>
  <c r="A699" i="120"/>
  <c r="A1056" i="120" s="1"/>
  <c r="A1413" i="120" s="1"/>
  <c r="A1770" i="120" s="1"/>
  <c r="A2127" i="120" s="1"/>
  <c r="A2484" i="120" s="1"/>
  <c r="A2841" i="120" s="1"/>
  <c r="M341" i="120"/>
  <c r="E698" i="120"/>
  <c r="E1055" i="120" s="1"/>
  <c r="E1412" i="120" s="1"/>
  <c r="E1769" i="120" s="1"/>
  <c r="E2126" i="120" s="1"/>
  <c r="E2483" i="120" s="1"/>
  <c r="E2840" i="120" s="1"/>
  <c r="D698" i="120"/>
  <c r="D1055" i="120" s="1"/>
  <c r="D1412" i="120" s="1"/>
  <c r="D1769" i="120" s="1"/>
  <c r="D2126" i="120" s="1"/>
  <c r="D2483" i="120" s="1"/>
  <c r="D2840" i="120" s="1"/>
  <c r="C698" i="120"/>
  <c r="C1055" i="120" s="1"/>
  <c r="C1412" i="120" s="1"/>
  <c r="C1769" i="120" s="1"/>
  <c r="C2126" i="120" s="1"/>
  <c r="C2483" i="120" s="1"/>
  <c r="C2840" i="120" s="1"/>
  <c r="B698" i="120"/>
  <c r="B1055" i="120" s="1"/>
  <c r="B1412" i="120" s="1"/>
  <c r="B1769" i="120" s="1"/>
  <c r="B2126" i="120" s="1"/>
  <c r="B2483" i="120" s="1"/>
  <c r="B2840" i="120" s="1"/>
  <c r="A698" i="120"/>
  <c r="A1055" i="120" s="1"/>
  <c r="A1412" i="120" s="1"/>
  <c r="A1769" i="120" s="1"/>
  <c r="A2126" i="120" s="1"/>
  <c r="A2483" i="120" s="1"/>
  <c r="A2840" i="120" s="1"/>
  <c r="M340" i="120"/>
  <c r="E697" i="120"/>
  <c r="E1054" i="120" s="1"/>
  <c r="E1411" i="120" s="1"/>
  <c r="E1768" i="120" s="1"/>
  <c r="E2125" i="120" s="1"/>
  <c r="E2482" i="120" s="1"/>
  <c r="E2839" i="120" s="1"/>
  <c r="D697" i="120"/>
  <c r="D1054" i="120" s="1"/>
  <c r="D1411" i="120" s="1"/>
  <c r="D1768" i="120" s="1"/>
  <c r="D2125" i="120" s="1"/>
  <c r="D2482" i="120" s="1"/>
  <c r="D2839" i="120" s="1"/>
  <c r="C697" i="120"/>
  <c r="C1054" i="120" s="1"/>
  <c r="C1411" i="120" s="1"/>
  <c r="C1768" i="120" s="1"/>
  <c r="C2125" i="120" s="1"/>
  <c r="C2482" i="120" s="1"/>
  <c r="C2839" i="120" s="1"/>
  <c r="B697" i="120"/>
  <c r="B1054" i="120" s="1"/>
  <c r="B1411" i="120" s="1"/>
  <c r="B1768" i="120" s="1"/>
  <c r="B2125" i="120" s="1"/>
  <c r="B2482" i="120" s="1"/>
  <c r="B2839" i="120" s="1"/>
  <c r="A697" i="120"/>
  <c r="A1054" i="120" s="1"/>
  <c r="A1411" i="120" s="1"/>
  <c r="A1768" i="120" s="1"/>
  <c r="A2125" i="120" s="1"/>
  <c r="A2482" i="120" s="1"/>
  <c r="A2839" i="120" s="1"/>
  <c r="M339" i="120"/>
  <c r="E696" i="120"/>
  <c r="E1053" i="120" s="1"/>
  <c r="E1410" i="120" s="1"/>
  <c r="E1767" i="120" s="1"/>
  <c r="E2124" i="120" s="1"/>
  <c r="E2481" i="120" s="1"/>
  <c r="E2838" i="120" s="1"/>
  <c r="D696" i="120"/>
  <c r="D1053" i="120" s="1"/>
  <c r="D1410" i="120" s="1"/>
  <c r="D1767" i="120" s="1"/>
  <c r="D2124" i="120" s="1"/>
  <c r="D2481" i="120" s="1"/>
  <c r="D2838" i="120" s="1"/>
  <c r="C696" i="120"/>
  <c r="C1053" i="120" s="1"/>
  <c r="C1410" i="120" s="1"/>
  <c r="C1767" i="120" s="1"/>
  <c r="C2124" i="120" s="1"/>
  <c r="C2481" i="120" s="1"/>
  <c r="C2838" i="120" s="1"/>
  <c r="B696" i="120"/>
  <c r="B1053" i="120" s="1"/>
  <c r="B1410" i="120" s="1"/>
  <c r="B1767" i="120" s="1"/>
  <c r="B2124" i="120" s="1"/>
  <c r="B2481" i="120" s="1"/>
  <c r="B2838" i="120" s="1"/>
  <c r="A696" i="120"/>
  <c r="A1053" i="120" s="1"/>
  <c r="A1410" i="120" s="1"/>
  <c r="A1767" i="120" s="1"/>
  <c r="A2124" i="120" s="1"/>
  <c r="A2481" i="120" s="1"/>
  <c r="A2838" i="120" s="1"/>
  <c r="M338" i="120"/>
  <c r="E695" i="120"/>
  <c r="E1052" i="120" s="1"/>
  <c r="E1409" i="120" s="1"/>
  <c r="E1766" i="120" s="1"/>
  <c r="E2123" i="120" s="1"/>
  <c r="E2480" i="120" s="1"/>
  <c r="E2837" i="120" s="1"/>
  <c r="D695" i="120"/>
  <c r="D1052" i="120" s="1"/>
  <c r="D1409" i="120" s="1"/>
  <c r="D1766" i="120" s="1"/>
  <c r="D2123" i="120" s="1"/>
  <c r="D2480" i="120" s="1"/>
  <c r="D2837" i="120" s="1"/>
  <c r="C695" i="120"/>
  <c r="C1052" i="120" s="1"/>
  <c r="C1409" i="120" s="1"/>
  <c r="C1766" i="120" s="1"/>
  <c r="C2123" i="120" s="1"/>
  <c r="C2480" i="120" s="1"/>
  <c r="C2837" i="120" s="1"/>
  <c r="B695" i="120"/>
  <c r="B1052" i="120" s="1"/>
  <c r="B1409" i="120" s="1"/>
  <c r="B1766" i="120" s="1"/>
  <c r="B2123" i="120" s="1"/>
  <c r="B2480" i="120" s="1"/>
  <c r="B2837" i="120" s="1"/>
  <c r="A695" i="120"/>
  <c r="A1052" i="120" s="1"/>
  <c r="A1409" i="120" s="1"/>
  <c r="A1766" i="120" s="1"/>
  <c r="A2123" i="120" s="1"/>
  <c r="A2480" i="120" s="1"/>
  <c r="A2837" i="120" s="1"/>
  <c r="M337" i="120"/>
  <c r="E694" i="120"/>
  <c r="E1051" i="120" s="1"/>
  <c r="E1408" i="120" s="1"/>
  <c r="E1765" i="120" s="1"/>
  <c r="E2122" i="120" s="1"/>
  <c r="E2479" i="120" s="1"/>
  <c r="E2836" i="120" s="1"/>
  <c r="D694" i="120"/>
  <c r="D1051" i="120" s="1"/>
  <c r="D1408" i="120" s="1"/>
  <c r="D1765" i="120" s="1"/>
  <c r="D2122" i="120" s="1"/>
  <c r="D2479" i="120" s="1"/>
  <c r="D2836" i="120" s="1"/>
  <c r="C694" i="120"/>
  <c r="C1051" i="120" s="1"/>
  <c r="C1408" i="120" s="1"/>
  <c r="C1765" i="120" s="1"/>
  <c r="C2122" i="120" s="1"/>
  <c r="C2479" i="120" s="1"/>
  <c r="C2836" i="120" s="1"/>
  <c r="B694" i="120"/>
  <c r="B1051" i="120" s="1"/>
  <c r="B1408" i="120" s="1"/>
  <c r="B1765" i="120" s="1"/>
  <c r="B2122" i="120" s="1"/>
  <c r="B2479" i="120" s="1"/>
  <c r="B2836" i="120" s="1"/>
  <c r="A694" i="120"/>
  <c r="A1051" i="120" s="1"/>
  <c r="A1408" i="120" s="1"/>
  <c r="A1765" i="120" s="1"/>
  <c r="A2122" i="120" s="1"/>
  <c r="A2479" i="120" s="1"/>
  <c r="A2836" i="120" s="1"/>
  <c r="M336" i="120"/>
  <c r="E693" i="120"/>
  <c r="E1050" i="120" s="1"/>
  <c r="E1407" i="120" s="1"/>
  <c r="E1764" i="120" s="1"/>
  <c r="E2121" i="120" s="1"/>
  <c r="E2478" i="120" s="1"/>
  <c r="E2835" i="120" s="1"/>
  <c r="D693" i="120"/>
  <c r="D1050" i="120" s="1"/>
  <c r="D1407" i="120" s="1"/>
  <c r="D1764" i="120" s="1"/>
  <c r="D2121" i="120" s="1"/>
  <c r="D2478" i="120" s="1"/>
  <c r="D2835" i="120" s="1"/>
  <c r="C693" i="120"/>
  <c r="C1050" i="120" s="1"/>
  <c r="C1407" i="120" s="1"/>
  <c r="C1764" i="120" s="1"/>
  <c r="C2121" i="120" s="1"/>
  <c r="C2478" i="120" s="1"/>
  <c r="C2835" i="120" s="1"/>
  <c r="B693" i="120"/>
  <c r="B1050" i="120" s="1"/>
  <c r="B1407" i="120" s="1"/>
  <c r="B1764" i="120" s="1"/>
  <c r="B2121" i="120" s="1"/>
  <c r="B2478" i="120" s="1"/>
  <c r="B2835" i="120" s="1"/>
  <c r="A693" i="120"/>
  <c r="A1050" i="120" s="1"/>
  <c r="A1407" i="120" s="1"/>
  <c r="A1764" i="120" s="1"/>
  <c r="A2121" i="120" s="1"/>
  <c r="A2478" i="120" s="1"/>
  <c r="A2835" i="120" s="1"/>
  <c r="M335" i="120"/>
  <c r="E692" i="120"/>
  <c r="E1049" i="120" s="1"/>
  <c r="E1406" i="120" s="1"/>
  <c r="E1763" i="120" s="1"/>
  <c r="E2120" i="120" s="1"/>
  <c r="E2477" i="120" s="1"/>
  <c r="E2834" i="120" s="1"/>
  <c r="D692" i="120"/>
  <c r="D1049" i="120" s="1"/>
  <c r="D1406" i="120" s="1"/>
  <c r="D1763" i="120" s="1"/>
  <c r="D2120" i="120" s="1"/>
  <c r="D2477" i="120" s="1"/>
  <c r="D2834" i="120" s="1"/>
  <c r="C692" i="120"/>
  <c r="C1049" i="120" s="1"/>
  <c r="C1406" i="120" s="1"/>
  <c r="C1763" i="120" s="1"/>
  <c r="C2120" i="120" s="1"/>
  <c r="C2477" i="120" s="1"/>
  <c r="C2834" i="120" s="1"/>
  <c r="B692" i="120"/>
  <c r="B1049" i="120" s="1"/>
  <c r="B1406" i="120" s="1"/>
  <c r="B1763" i="120" s="1"/>
  <c r="B2120" i="120" s="1"/>
  <c r="B2477" i="120" s="1"/>
  <c r="B2834" i="120" s="1"/>
  <c r="A692" i="120"/>
  <c r="A1049" i="120" s="1"/>
  <c r="A1406" i="120" s="1"/>
  <c r="A1763" i="120" s="1"/>
  <c r="A2120" i="120" s="1"/>
  <c r="A2477" i="120" s="1"/>
  <c r="A2834" i="120" s="1"/>
  <c r="M334" i="120"/>
  <c r="E691" i="120"/>
  <c r="E1048" i="120" s="1"/>
  <c r="E1405" i="120" s="1"/>
  <c r="E1762" i="120" s="1"/>
  <c r="E2119" i="120" s="1"/>
  <c r="E2476" i="120" s="1"/>
  <c r="E2833" i="120" s="1"/>
  <c r="D691" i="120"/>
  <c r="D1048" i="120" s="1"/>
  <c r="D1405" i="120" s="1"/>
  <c r="D1762" i="120" s="1"/>
  <c r="D2119" i="120" s="1"/>
  <c r="D2476" i="120" s="1"/>
  <c r="D2833" i="120" s="1"/>
  <c r="C691" i="120"/>
  <c r="C1048" i="120" s="1"/>
  <c r="C1405" i="120" s="1"/>
  <c r="C1762" i="120" s="1"/>
  <c r="C2119" i="120" s="1"/>
  <c r="C2476" i="120" s="1"/>
  <c r="C2833" i="120" s="1"/>
  <c r="B691" i="120"/>
  <c r="B1048" i="120" s="1"/>
  <c r="B1405" i="120" s="1"/>
  <c r="B1762" i="120" s="1"/>
  <c r="B2119" i="120" s="1"/>
  <c r="B2476" i="120" s="1"/>
  <c r="B2833" i="120" s="1"/>
  <c r="A691" i="120"/>
  <c r="A1048" i="120" s="1"/>
  <c r="A1405" i="120" s="1"/>
  <c r="A1762" i="120" s="1"/>
  <c r="A2119" i="120" s="1"/>
  <c r="A2476" i="120" s="1"/>
  <c r="A2833" i="120" s="1"/>
  <c r="M333" i="120"/>
  <c r="E690" i="120"/>
  <c r="E1047" i="120" s="1"/>
  <c r="E1404" i="120" s="1"/>
  <c r="E1761" i="120" s="1"/>
  <c r="E2118" i="120" s="1"/>
  <c r="E2475" i="120" s="1"/>
  <c r="E2832" i="120" s="1"/>
  <c r="D690" i="120"/>
  <c r="D1047" i="120" s="1"/>
  <c r="D1404" i="120" s="1"/>
  <c r="D1761" i="120" s="1"/>
  <c r="D2118" i="120" s="1"/>
  <c r="D2475" i="120" s="1"/>
  <c r="D2832" i="120" s="1"/>
  <c r="C690" i="120"/>
  <c r="C1047" i="120" s="1"/>
  <c r="C1404" i="120" s="1"/>
  <c r="C1761" i="120" s="1"/>
  <c r="C2118" i="120" s="1"/>
  <c r="C2475" i="120" s="1"/>
  <c r="C2832" i="120" s="1"/>
  <c r="B690" i="120"/>
  <c r="B1047" i="120" s="1"/>
  <c r="B1404" i="120" s="1"/>
  <c r="B1761" i="120" s="1"/>
  <c r="B2118" i="120" s="1"/>
  <c r="B2475" i="120" s="1"/>
  <c r="B2832" i="120" s="1"/>
  <c r="A690" i="120"/>
  <c r="A1047" i="120" s="1"/>
  <c r="A1404" i="120" s="1"/>
  <c r="A1761" i="120" s="1"/>
  <c r="A2118" i="120" s="1"/>
  <c r="A2475" i="120" s="1"/>
  <c r="A2832" i="120" s="1"/>
  <c r="M332" i="120"/>
  <c r="E689" i="120"/>
  <c r="E1046" i="120" s="1"/>
  <c r="E1403" i="120" s="1"/>
  <c r="E1760" i="120" s="1"/>
  <c r="E2117" i="120" s="1"/>
  <c r="E2474" i="120" s="1"/>
  <c r="E2831" i="120" s="1"/>
  <c r="D689" i="120"/>
  <c r="D1046" i="120" s="1"/>
  <c r="D1403" i="120" s="1"/>
  <c r="D1760" i="120" s="1"/>
  <c r="D2117" i="120" s="1"/>
  <c r="D2474" i="120" s="1"/>
  <c r="D2831" i="120" s="1"/>
  <c r="C689" i="120"/>
  <c r="C1046" i="120" s="1"/>
  <c r="C1403" i="120" s="1"/>
  <c r="C1760" i="120" s="1"/>
  <c r="C2117" i="120" s="1"/>
  <c r="C2474" i="120" s="1"/>
  <c r="C2831" i="120" s="1"/>
  <c r="B689" i="120"/>
  <c r="B1046" i="120" s="1"/>
  <c r="B1403" i="120" s="1"/>
  <c r="B1760" i="120" s="1"/>
  <c r="B2117" i="120" s="1"/>
  <c r="B2474" i="120" s="1"/>
  <c r="B2831" i="120" s="1"/>
  <c r="A689" i="120"/>
  <c r="A1046" i="120" s="1"/>
  <c r="A1403" i="120" s="1"/>
  <c r="A1760" i="120" s="1"/>
  <c r="A2117" i="120" s="1"/>
  <c r="A2474" i="120" s="1"/>
  <c r="A2831" i="120" s="1"/>
  <c r="M331" i="120"/>
  <c r="E688" i="120"/>
  <c r="E1045" i="120" s="1"/>
  <c r="E1402" i="120" s="1"/>
  <c r="E1759" i="120" s="1"/>
  <c r="E2116" i="120" s="1"/>
  <c r="E2473" i="120" s="1"/>
  <c r="E2830" i="120" s="1"/>
  <c r="D688" i="120"/>
  <c r="D1045" i="120" s="1"/>
  <c r="D1402" i="120" s="1"/>
  <c r="D1759" i="120" s="1"/>
  <c r="D2116" i="120" s="1"/>
  <c r="D2473" i="120" s="1"/>
  <c r="D2830" i="120" s="1"/>
  <c r="C688" i="120"/>
  <c r="C1045" i="120" s="1"/>
  <c r="C1402" i="120" s="1"/>
  <c r="C1759" i="120" s="1"/>
  <c r="C2116" i="120" s="1"/>
  <c r="C2473" i="120" s="1"/>
  <c r="C2830" i="120" s="1"/>
  <c r="B688" i="120"/>
  <c r="B1045" i="120" s="1"/>
  <c r="B1402" i="120" s="1"/>
  <c r="B1759" i="120" s="1"/>
  <c r="B2116" i="120" s="1"/>
  <c r="B2473" i="120" s="1"/>
  <c r="B2830" i="120" s="1"/>
  <c r="A688" i="120"/>
  <c r="A1045" i="120" s="1"/>
  <c r="A1402" i="120" s="1"/>
  <c r="A1759" i="120" s="1"/>
  <c r="A2116" i="120" s="1"/>
  <c r="A2473" i="120" s="1"/>
  <c r="A2830" i="120" s="1"/>
  <c r="M330" i="120"/>
  <c r="E687" i="120"/>
  <c r="E1044" i="120" s="1"/>
  <c r="E1401" i="120" s="1"/>
  <c r="E1758" i="120" s="1"/>
  <c r="E2115" i="120" s="1"/>
  <c r="E2472" i="120" s="1"/>
  <c r="E2829" i="120" s="1"/>
  <c r="D687" i="120"/>
  <c r="D1044" i="120" s="1"/>
  <c r="D1401" i="120" s="1"/>
  <c r="D1758" i="120" s="1"/>
  <c r="D2115" i="120" s="1"/>
  <c r="D2472" i="120" s="1"/>
  <c r="D2829" i="120" s="1"/>
  <c r="C687" i="120"/>
  <c r="C1044" i="120" s="1"/>
  <c r="C1401" i="120" s="1"/>
  <c r="C1758" i="120" s="1"/>
  <c r="C2115" i="120" s="1"/>
  <c r="C2472" i="120" s="1"/>
  <c r="C2829" i="120" s="1"/>
  <c r="B687" i="120"/>
  <c r="B1044" i="120" s="1"/>
  <c r="B1401" i="120" s="1"/>
  <c r="B1758" i="120" s="1"/>
  <c r="B2115" i="120" s="1"/>
  <c r="B2472" i="120" s="1"/>
  <c r="B2829" i="120" s="1"/>
  <c r="A687" i="120"/>
  <c r="A1044" i="120" s="1"/>
  <c r="A1401" i="120" s="1"/>
  <c r="A1758" i="120" s="1"/>
  <c r="A2115" i="120" s="1"/>
  <c r="A2472" i="120" s="1"/>
  <c r="A2829" i="120" s="1"/>
  <c r="M329" i="120"/>
  <c r="E686" i="120"/>
  <c r="E1043" i="120" s="1"/>
  <c r="E1400" i="120" s="1"/>
  <c r="E1757" i="120" s="1"/>
  <c r="E2114" i="120" s="1"/>
  <c r="E2471" i="120" s="1"/>
  <c r="E2828" i="120" s="1"/>
  <c r="D686" i="120"/>
  <c r="D1043" i="120" s="1"/>
  <c r="D1400" i="120" s="1"/>
  <c r="D1757" i="120" s="1"/>
  <c r="D2114" i="120" s="1"/>
  <c r="D2471" i="120" s="1"/>
  <c r="D2828" i="120" s="1"/>
  <c r="C686" i="120"/>
  <c r="C1043" i="120" s="1"/>
  <c r="C1400" i="120" s="1"/>
  <c r="C1757" i="120" s="1"/>
  <c r="C2114" i="120" s="1"/>
  <c r="C2471" i="120" s="1"/>
  <c r="C2828" i="120" s="1"/>
  <c r="B686" i="120"/>
  <c r="B1043" i="120" s="1"/>
  <c r="B1400" i="120" s="1"/>
  <c r="B1757" i="120" s="1"/>
  <c r="B2114" i="120" s="1"/>
  <c r="B2471" i="120" s="1"/>
  <c r="B2828" i="120" s="1"/>
  <c r="A686" i="120"/>
  <c r="A1043" i="120" s="1"/>
  <c r="A1400" i="120" s="1"/>
  <c r="A1757" i="120" s="1"/>
  <c r="A2114" i="120" s="1"/>
  <c r="A2471" i="120" s="1"/>
  <c r="A2828" i="120" s="1"/>
  <c r="M328" i="120"/>
  <c r="E685" i="120"/>
  <c r="E1042" i="120" s="1"/>
  <c r="E1399" i="120" s="1"/>
  <c r="E1756" i="120" s="1"/>
  <c r="E2113" i="120" s="1"/>
  <c r="E2470" i="120" s="1"/>
  <c r="E2827" i="120" s="1"/>
  <c r="D685" i="120"/>
  <c r="D1042" i="120" s="1"/>
  <c r="D1399" i="120" s="1"/>
  <c r="D1756" i="120" s="1"/>
  <c r="D2113" i="120" s="1"/>
  <c r="D2470" i="120" s="1"/>
  <c r="D2827" i="120" s="1"/>
  <c r="C685" i="120"/>
  <c r="C1042" i="120" s="1"/>
  <c r="C1399" i="120" s="1"/>
  <c r="C1756" i="120" s="1"/>
  <c r="C2113" i="120" s="1"/>
  <c r="C2470" i="120" s="1"/>
  <c r="C2827" i="120" s="1"/>
  <c r="B685" i="120"/>
  <c r="B1042" i="120" s="1"/>
  <c r="B1399" i="120" s="1"/>
  <c r="B1756" i="120" s="1"/>
  <c r="B2113" i="120" s="1"/>
  <c r="B2470" i="120" s="1"/>
  <c r="B2827" i="120" s="1"/>
  <c r="A685" i="120"/>
  <c r="A1042" i="120" s="1"/>
  <c r="A1399" i="120" s="1"/>
  <c r="A1756" i="120" s="1"/>
  <c r="A2113" i="120" s="1"/>
  <c r="A2470" i="120" s="1"/>
  <c r="A2827" i="120" s="1"/>
  <c r="M327" i="120"/>
  <c r="E684" i="120"/>
  <c r="E1041" i="120" s="1"/>
  <c r="E1398" i="120" s="1"/>
  <c r="E1755" i="120" s="1"/>
  <c r="E2112" i="120" s="1"/>
  <c r="E2469" i="120" s="1"/>
  <c r="E2826" i="120" s="1"/>
  <c r="D684" i="120"/>
  <c r="D1041" i="120" s="1"/>
  <c r="D1398" i="120" s="1"/>
  <c r="D1755" i="120" s="1"/>
  <c r="D2112" i="120" s="1"/>
  <c r="D2469" i="120" s="1"/>
  <c r="D2826" i="120" s="1"/>
  <c r="C684" i="120"/>
  <c r="C1041" i="120" s="1"/>
  <c r="C1398" i="120" s="1"/>
  <c r="C1755" i="120" s="1"/>
  <c r="C2112" i="120" s="1"/>
  <c r="C2469" i="120" s="1"/>
  <c r="C2826" i="120" s="1"/>
  <c r="B684" i="120"/>
  <c r="B1041" i="120" s="1"/>
  <c r="B1398" i="120" s="1"/>
  <c r="B1755" i="120" s="1"/>
  <c r="B2112" i="120" s="1"/>
  <c r="B2469" i="120" s="1"/>
  <c r="B2826" i="120" s="1"/>
  <c r="A684" i="120"/>
  <c r="A1041" i="120" s="1"/>
  <c r="A1398" i="120" s="1"/>
  <c r="A1755" i="120" s="1"/>
  <c r="A2112" i="120" s="1"/>
  <c r="A2469" i="120" s="1"/>
  <c r="A2826" i="120" s="1"/>
  <c r="M326" i="120"/>
  <c r="E683" i="120"/>
  <c r="E1040" i="120" s="1"/>
  <c r="E1397" i="120" s="1"/>
  <c r="E1754" i="120" s="1"/>
  <c r="E2111" i="120" s="1"/>
  <c r="E2468" i="120" s="1"/>
  <c r="E2825" i="120" s="1"/>
  <c r="D683" i="120"/>
  <c r="D1040" i="120" s="1"/>
  <c r="D1397" i="120" s="1"/>
  <c r="D1754" i="120" s="1"/>
  <c r="D2111" i="120" s="1"/>
  <c r="D2468" i="120" s="1"/>
  <c r="D2825" i="120" s="1"/>
  <c r="C683" i="120"/>
  <c r="C1040" i="120" s="1"/>
  <c r="C1397" i="120" s="1"/>
  <c r="C1754" i="120" s="1"/>
  <c r="C2111" i="120" s="1"/>
  <c r="C2468" i="120" s="1"/>
  <c r="C2825" i="120" s="1"/>
  <c r="B683" i="120"/>
  <c r="B1040" i="120" s="1"/>
  <c r="B1397" i="120" s="1"/>
  <c r="B1754" i="120" s="1"/>
  <c r="B2111" i="120" s="1"/>
  <c r="B2468" i="120" s="1"/>
  <c r="B2825" i="120" s="1"/>
  <c r="A683" i="120"/>
  <c r="A1040" i="120" s="1"/>
  <c r="A1397" i="120" s="1"/>
  <c r="A1754" i="120" s="1"/>
  <c r="A2111" i="120" s="1"/>
  <c r="A2468" i="120" s="1"/>
  <c r="A2825" i="120" s="1"/>
  <c r="M325" i="120"/>
  <c r="E682" i="120"/>
  <c r="E1039" i="120" s="1"/>
  <c r="E1396" i="120" s="1"/>
  <c r="E1753" i="120" s="1"/>
  <c r="E2110" i="120" s="1"/>
  <c r="E2467" i="120" s="1"/>
  <c r="E2824" i="120" s="1"/>
  <c r="D682" i="120"/>
  <c r="D1039" i="120" s="1"/>
  <c r="D1396" i="120" s="1"/>
  <c r="D1753" i="120" s="1"/>
  <c r="D2110" i="120" s="1"/>
  <c r="D2467" i="120" s="1"/>
  <c r="D2824" i="120" s="1"/>
  <c r="C682" i="120"/>
  <c r="C1039" i="120" s="1"/>
  <c r="C1396" i="120" s="1"/>
  <c r="C1753" i="120" s="1"/>
  <c r="C2110" i="120" s="1"/>
  <c r="C2467" i="120" s="1"/>
  <c r="C2824" i="120" s="1"/>
  <c r="B682" i="120"/>
  <c r="B1039" i="120" s="1"/>
  <c r="B1396" i="120" s="1"/>
  <c r="B1753" i="120" s="1"/>
  <c r="B2110" i="120" s="1"/>
  <c r="B2467" i="120" s="1"/>
  <c r="B2824" i="120" s="1"/>
  <c r="A682" i="120"/>
  <c r="A1039" i="120" s="1"/>
  <c r="A1396" i="120" s="1"/>
  <c r="A1753" i="120" s="1"/>
  <c r="A2110" i="120" s="1"/>
  <c r="A2467" i="120" s="1"/>
  <c r="A2824" i="120" s="1"/>
  <c r="M324" i="120"/>
  <c r="E681" i="120"/>
  <c r="E1038" i="120" s="1"/>
  <c r="E1395" i="120" s="1"/>
  <c r="E1752" i="120" s="1"/>
  <c r="E2109" i="120" s="1"/>
  <c r="E2466" i="120" s="1"/>
  <c r="E2823" i="120" s="1"/>
  <c r="C681" i="120"/>
  <c r="C1038" i="120" s="1"/>
  <c r="C1395" i="120" s="1"/>
  <c r="C1752" i="120" s="1"/>
  <c r="C2109" i="120" s="1"/>
  <c r="C2466" i="120" s="1"/>
  <c r="C2823" i="120" s="1"/>
  <c r="B681" i="120"/>
  <c r="B1038" i="120" s="1"/>
  <c r="B1395" i="120" s="1"/>
  <c r="B1752" i="120" s="1"/>
  <c r="B2109" i="120" s="1"/>
  <c r="B2466" i="120" s="1"/>
  <c r="B2823" i="120" s="1"/>
  <c r="A681" i="120"/>
  <c r="A1038" i="120" s="1"/>
  <c r="A1395" i="120" s="1"/>
  <c r="A1752" i="120" s="1"/>
  <c r="A2109" i="120" s="1"/>
  <c r="A2466" i="120" s="1"/>
  <c r="A2823" i="120" s="1"/>
  <c r="M323" i="120"/>
  <c r="E680" i="120"/>
  <c r="E1037" i="120" s="1"/>
  <c r="E1394" i="120" s="1"/>
  <c r="E1751" i="120" s="1"/>
  <c r="E2108" i="120" s="1"/>
  <c r="E2465" i="120" s="1"/>
  <c r="E2822" i="120" s="1"/>
  <c r="D680" i="120"/>
  <c r="D1037" i="120" s="1"/>
  <c r="D1394" i="120" s="1"/>
  <c r="D1751" i="120" s="1"/>
  <c r="D2108" i="120" s="1"/>
  <c r="D2465" i="120" s="1"/>
  <c r="D2822" i="120" s="1"/>
  <c r="C680" i="120"/>
  <c r="C1037" i="120" s="1"/>
  <c r="C1394" i="120" s="1"/>
  <c r="C1751" i="120" s="1"/>
  <c r="C2108" i="120" s="1"/>
  <c r="C2465" i="120" s="1"/>
  <c r="C2822" i="120" s="1"/>
  <c r="B680" i="120"/>
  <c r="B1037" i="120" s="1"/>
  <c r="B1394" i="120" s="1"/>
  <c r="B1751" i="120" s="1"/>
  <c r="B2108" i="120" s="1"/>
  <c r="B2465" i="120" s="1"/>
  <c r="B2822" i="120" s="1"/>
  <c r="A680" i="120"/>
  <c r="A1037" i="120" s="1"/>
  <c r="A1394" i="120" s="1"/>
  <c r="A1751" i="120" s="1"/>
  <c r="A2108" i="120" s="1"/>
  <c r="A2465" i="120" s="1"/>
  <c r="A2822" i="120" s="1"/>
  <c r="M322" i="120"/>
  <c r="E679" i="120"/>
  <c r="E1036" i="120" s="1"/>
  <c r="E1393" i="120" s="1"/>
  <c r="E1750" i="120" s="1"/>
  <c r="E2107" i="120" s="1"/>
  <c r="E2464" i="120" s="1"/>
  <c r="E2821" i="120" s="1"/>
  <c r="D679" i="120"/>
  <c r="D1036" i="120" s="1"/>
  <c r="D1393" i="120" s="1"/>
  <c r="D1750" i="120" s="1"/>
  <c r="D2107" i="120" s="1"/>
  <c r="D2464" i="120" s="1"/>
  <c r="D2821" i="120" s="1"/>
  <c r="C679" i="120"/>
  <c r="C1036" i="120" s="1"/>
  <c r="C1393" i="120" s="1"/>
  <c r="C1750" i="120" s="1"/>
  <c r="C2107" i="120" s="1"/>
  <c r="C2464" i="120" s="1"/>
  <c r="C2821" i="120" s="1"/>
  <c r="B679" i="120"/>
  <c r="B1036" i="120" s="1"/>
  <c r="B1393" i="120" s="1"/>
  <c r="B1750" i="120" s="1"/>
  <c r="B2107" i="120" s="1"/>
  <c r="B2464" i="120" s="1"/>
  <c r="B2821" i="120" s="1"/>
  <c r="A679" i="120"/>
  <c r="A1036" i="120" s="1"/>
  <c r="A1393" i="120" s="1"/>
  <c r="A1750" i="120" s="1"/>
  <c r="A2107" i="120" s="1"/>
  <c r="A2464" i="120" s="1"/>
  <c r="A2821" i="120" s="1"/>
  <c r="M321" i="120"/>
  <c r="E678" i="120"/>
  <c r="E1035" i="120" s="1"/>
  <c r="E1392" i="120" s="1"/>
  <c r="E1749" i="120" s="1"/>
  <c r="E2106" i="120" s="1"/>
  <c r="E2463" i="120" s="1"/>
  <c r="E2820" i="120" s="1"/>
  <c r="D678" i="120"/>
  <c r="D1035" i="120" s="1"/>
  <c r="D1392" i="120" s="1"/>
  <c r="D1749" i="120" s="1"/>
  <c r="D2106" i="120" s="1"/>
  <c r="D2463" i="120" s="1"/>
  <c r="D2820" i="120" s="1"/>
  <c r="C678" i="120"/>
  <c r="C1035" i="120" s="1"/>
  <c r="C1392" i="120" s="1"/>
  <c r="C1749" i="120" s="1"/>
  <c r="C2106" i="120" s="1"/>
  <c r="C2463" i="120" s="1"/>
  <c r="C2820" i="120" s="1"/>
  <c r="B678" i="120"/>
  <c r="B1035" i="120" s="1"/>
  <c r="B1392" i="120" s="1"/>
  <c r="B1749" i="120" s="1"/>
  <c r="B2106" i="120" s="1"/>
  <c r="B2463" i="120" s="1"/>
  <c r="B2820" i="120" s="1"/>
  <c r="A678" i="120"/>
  <c r="A1035" i="120" s="1"/>
  <c r="A1392" i="120" s="1"/>
  <c r="A1749" i="120" s="1"/>
  <c r="A2106" i="120" s="1"/>
  <c r="A2463" i="120" s="1"/>
  <c r="A2820" i="120" s="1"/>
  <c r="M320" i="120"/>
  <c r="E677" i="120"/>
  <c r="E1034" i="120" s="1"/>
  <c r="E1391" i="120" s="1"/>
  <c r="E1748" i="120" s="1"/>
  <c r="E2105" i="120" s="1"/>
  <c r="E2462" i="120" s="1"/>
  <c r="E2819" i="120" s="1"/>
  <c r="D677" i="120"/>
  <c r="D1034" i="120" s="1"/>
  <c r="D1391" i="120" s="1"/>
  <c r="D1748" i="120" s="1"/>
  <c r="D2105" i="120" s="1"/>
  <c r="D2462" i="120" s="1"/>
  <c r="D2819" i="120" s="1"/>
  <c r="C677" i="120"/>
  <c r="C1034" i="120" s="1"/>
  <c r="C1391" i="120" s="1"/>
  <c r="C1748" i="120" s="1"/>
  <c r="C2105" i="120" s="1"/>
  <c r="C2462" i="120" s="1"/>
  <c r="C2819" i="120" s="1"/>
  <c r="B677" i="120"/>
  <c r="B1034" i="120" s="1"/>
  <c r="B1391" i="120" s="1"/>
  <c r="B1748" i="120" s="1"/>
  <c r="B2105" i="120" s="1"/>
  <c r="B2462" i="120" s="1"/>
  <c r="B2819" i="120" s="1"/>
  <c r="A677" i="120"/>
  <c r="A1034" i="120" s="1"/>
  <c r="A1391" i="120" s="1"/>
  <c r="A1748" i="120" s="1"/>
  <c r="A2105" i="120" s="1"/>
  <c r="A2462" i="120" s="1"/>
  <c r="A2819" i="120" s="1"/>
  <c r="M319" i="120"/>
  <c r="E676" i="120"/>
  <c r="E1033" i="120" s="1"/>
  <c r="E1390" i="120" s="1"/>
  <c r="E1747" i="120" s="1"/>
  <c r="E2104" i="120" s="1"/>
  <c r="E2461" i="120" s="1"/>
  <c r="E2818" i="120" s="1"/>
  <c r="D676" i="120"/>
  <c r="D1033" i="120" s="1"/>
  <c r="D1390" i="120" s="1"/>
  <c r="D1747" i="120" s="1"/>
  <c r="D2104" i="120" s="1"/>
  <c r="D2461" i="120" s="1"/>
  <c r="D2818" i="120" s="1"/>
  <c r="C676" i="120"/>
  <c r="C1033" i="120" s="1"/>
  <c r="C1390" i="120" s="1"/>
  <c r="C1747" i="120" s="1"/>
  <c r="C2104" i="120" s="1"/>
  <c r="C2461" i="120" s="1"/>
  <c r="C2818" i="120" s="1"/>
  <c r="B676" i="120"/>
  <c r="B1033" i="120" s="1"/>
  <c r="B1390" i="120" s="1"/>
  <c r="B1747" i="120" s="1"/>
  <c r="B2104" i="120" s="1"/>
  <c r="B2461" i="120" s="1"/>
  <c r="B2818" i="120" s="1"/>
  <c r="A676" i="120"/>
  <c r="A1033" i="120" s="1"/>
  <c r="A1390" i="120" s="1"/>
  <c r="A1747" i="120" s="1"/>
  <c r="A2104" i="120" s="1"/>
  <c r="A2461" i="120" s="1"/>
  <c r="A2818" i="120" s="1"/>
  <c r="M318" i="120"/>
  <c r="E675" i="120"/>
  <c r="E1032" i="120" s="1"/>
  <c r="E1389" i="120" s="1"/>
  <c r="E1746" i="120" s="1"/>
  <c r="E2103" i="120" s="1"/>
  <c r="E2460" i="120" s="1"/>
  <c r="E2817" i="120" s="1"/>
  <c r="D675" i="120"/>
  <c r="D1032" i="120" s="1"/>
  <c r="D1389" i="120" s="1"/>
  <c r="D1746" i="120" s="1"/>
  <c r="D2103" i="120" s="1"/>
  <c r="D2460" i="120" s="1"/>
  <c r="D2817" i="120" s="1"/>
  <c r="C675" i="120"/>
  <c r="C1032" i="120" s="1"/>
  <c r="C1389" i="120" s="1"/>
  <c r="C1746" i="120" s="1"/>
  <c r="C2103" i="120" s="1"/>
  <c r="C2460" i="120" s="1"/>
  <c r="C2817" i="120" s="1"/>
  <c r="B675" i="120"/>
  <c r="B1032" i="120" s="1"/>
  <c r="B1389" i="120" s="1"/>
  <c r="B1746" i="120" s="1"/>
  <c r="B2103" i="120" s="1"/>
  <c r="B2460" i="120" s="1"/>
  <c r="B2817" i="120" s="1"/>
  <c r="A675" i="120"/>
  <c r="A1032" i="120" s="1"/>
  <c r="A1389" i="120" s="1"/>
  <c r="A1746" i="120" s="1"/>
  <c r="A2103" i="120" s="1"/>
  <c r="A2460" i="120" s="1"/>
  <c r="A2817" i="120" s="1"/>
  <c r="M317" i="120"/>
  <c r="E674" i="120"/>
  <c r="E1031" i="120" s="1"/>
  <c r="E1388" i="120" s="1"/>
  <c r="E1745" i="120" s="1"/>
  <c r="E2102" i="120" s="1"/>
  <c r="E2459" i="120" s="1"/>
  <c r="E2816" i="120" s="1"/>
  <c r="D674" i="120"/>
  <c r="D1031" i="120" s="1"/>
  <c r="D1388" i="120" s="1"/>
  <c r="D1745" i="120" s="1"/>
  <c r="D2102" i="120" s="1"/>
  <c r="D2459" i="120" s="1"/>
  <c r="D2816" i="120" s="1"/>
  <c r="C674" i="120"/>
  <c r="C1031" i="120" s="1"/>
  <c r="C1388" i="120" s="1"/>
  <c r="C1745" i="120" s="1"/>
  <c r="C2102" i="120" s="1"/>
  <c r="C2459" i="120" s="1"/>
  <c r="C2816" i="120" s="1"/>
  <c r="B674" i="120"/>
  <c r="B1031" i="120" s="1"/>
  <c r="B1388" i="120" s="1"/>
  <c r="B1745" i="120" s="1"/>
  <c r="B2102" i="120" s="1"/>
  <c r="B2459" i="120" s="1"/>
  <c r="B2816" i="120" s="1"/>
  <c r="A674" i="120"/>
  <c r="A1031" i="120" s="1"/>
  <c r="A1388" i="120" s="1"/>
  <c r="A1745" i="120" s="1"/>
  <c r="A2102" i="120" s="1"/>
  <c r="A2459" i="120" s="1"/>
  <c r="A2816" i="120" s="1"/>
  <c r="M316" i="120"/>
  <c r="E673" i="120"/>
  <c r="E1030" i="120" s="1"/>
  <c r="E1387" i="120" s="1"/>
  <c r="E1744" i="120" s="1"/>
  <c r="E2101" i="120" s="1"/>
  <c r="E2458" i="120" s="1"/>
  <c r="E2815" i="120" s="1"/>
  <c r="D673" i="120"/>
  <c r="D1030" i="120" s="1"/>
  <c r="D1387" i="120" s="1"/>
  <c r="D1744" i="120" s="1"/>
  <c r="D2101" i="120" s="1"/>
  <c r="D2458" i="120" s="1"/>
  <c r="D2815" i="120" s="1"/>
  <c r="C673" i="120"/>
  <c r="C1030" i="120" s="1"/>
  <c r="C1387" i="120" s="1"/>
  <c r="C1744" i="120" s="1"/>
  <c r="C2101" i="120" s="1"/>
  <c r="C2458" i="120" s="1"/>
  <c r="C2815" i="120" s="1"/>
  <c r="B673" i="120"/>
  <c r="B1030" i="120" s="1"/>
  <c r="B1387" i="120" s="1"/>
  <c r="B1744" i="120" s="1"/>
  <c r="B2101" i="120" s="1"/>
  <c r="B2458" i="120" s="1"/>
  <c r="B2815" i="120" s="1"/>
  <c r="A673" i="120"/>
  <c r="A1030" i="120" s="1"/>
  <c r="A1387" i="120" s="1"/>
  <c r="A1744" i="120" s="1"/>
  <c r="A2101" i="120" s="1"/>
  <c r="A2458" i="120" s="1"/>
  <c r="A2815" i="120" s="1"/>
  <c r="M315" i="120"/>
  <c r="E672" i="120"/>
  <c r="E1029" i="120" s="1"/>
  <c r="E1386" i="120" s="1"/>
  <c r="E1743" i="120" s="1"/>
  <c r="E2100" i="120" s="1"/>
  <c r="E2457" i="120" s="1"/>
  <c r="E2814" i="120" s="1"/>
  <c r="D672" i="120"/>
  <c r="D1029" i="120" s="1"/>
  <c r="D1386" i="120" s="1"/>
  <c r="D1743" i="120" s="1"/>
  <c r="D2100" i="120" s="1"/>
  <c r="D2457" i="120" s="1"/>
  <c r="D2814" i="120" s="1"/>
  <c r="C672" i="120"/>
  <c r="C1029" i="120" s="1"/>
  <c r="C1386" i="120" s="1"/>
  <c r="C1743" i="120" s="1"/>
  <c r="C2100" i="120" s="1"/>
  <c r="C2457" i="120" s="1"/>
  <c r="C2814" i="120" s="1"/>
  <c r="B672" i="120"/>
  <c r="B1029" i="120" s="1"/>
  <c r="B1386" i="120" s="1"/>
  <c r="B1743" i="120" s="1"/>
  <c r="B2100" i="120" s="1"/>
  <c r="B2457" i="120" s="1"/>
  <c r="B2814" i="120" s="1"/>
  <c r="A672" i="120"/>
  <c r="A1029" i="120" s="1"/>
  <c r="A1386" i="120" s="1"/>
  <c r="A1743" i="120" s="1"/>
  <c r="A2100" i="120" s="1"/>
  <c r="A2457" i="120" s="1"/>
  <c r="A2814" i="120" s="1"/>
  <c r="M314" i="120"/>
  <c r="E671" i="120"/>
  <c r="E1028" i="120" s="1"/>
  <c r="E1385" i="120" s="1"/>
  <c r="E1742" i="120" s="1"/>
  <c r="E2099" i="120" s="1"/>
  <c r="E2456" i="120" s="1"/>
  <c r="E2813" i="120" s="1"/>
  <c r="D671" i="120"/>
  <c r="D1028" i="120" s="1"/>
  <c r="D1385" i="120" s="1"/>
  <c r="D1742" i="120" s="1"/>
  <c r="D2099" i="120" s="1"/>
  <c r="D2456" i="120" s="1"/>
  <c r="D2813" i="120" s="1"/>
  <c r="C671" i="120"/>
  <c r="C1028" i="120" s="1"/>
  <c r="C1385" i="120" s="1"/>
  <c r="C1742" i="120" s="1"/>
  <c r="C2099" i="120" s="1"/>
  <c r="C2456" i="120" s="1"/>
  <c r="C2813" i="120" s="1"/>
  <c r="B671" i="120"/>
  <c r="B1028" i="120" s="1"/>
  <c r="B1385" i="120" s="1"/>
  <c r="B1742" i="120" s="1"/>
  <c r="B2099" i="120" s="1"/>
  <c r="B2456" i="120" s="1"/>
  <c r="B2813" i="120" s="1"/>
  <c r="A671" i="120"/>
  <c r="A1028" i="120" s="1"/>
  <c r="A1385" i="120" s="1"/>
  <c r="A1742" i="120" s="1"/>
  <c r="A2099" i="120" s="1"/>
  <c r="A2456" i="120" s="1"/>
  <c r="A2813" i="120" s="1"/>
  <c r="M313" i="120"/>
  <c r="E670" i="120"/>
  <c r="E1027" i="120" s="1"/>
  <c r="E1384" i="120" s="1"/>
  <c r="E1741" i="120" s="1"/>
  <c r="E2098" i="120" s="1"/>
  <c r="E2455" i="120" s="1"/>
  <c r="E2812" i="120" s="1"/>
  <c r="D670" i="120"/>
  <c r="D1027" i="120" s="1"/>
  <c r="D1384" i="120" s="1"/>
  <c r="D1741" i="120" s="1"/>
  <c r="D2098" i="120" s="1"/>
  <c r="D2455" i="120" s="1"/>
  <c r="D2812" i="120" s="1"/>
  <c r="C670" i="120"/>
  <c r="C1027" i="120" s="1"/>
  <c r="C1384" i="120" s="1"/>
  <c r="C1741" i="120" s="1"/>
  <c r="C2098" i="120" s="1"/>
  <c r="C2455" i="120" s="1"/>
  <c r="C2812" i="120" s="1"/>
  <c r="B670" i="120"/>
  <c r="B1027" i="120" s="1"/>
  <c r="B1384" i="120" s="1"/>
  <c r="B1741" i="120" s="1"/>
  <c r="B2098" i="120" s="1"/>
  <c r="B2455" i="120" s="1"/>
  <c r="B2812" i="120" s="1"/>
  <c r="A670" i="120"/>
  <c r="A1027" i="120" s="1"/>
  <c r="A1384" i="120" s="1"/>
  <c r="A1741" i="120" s="1"/>
  <c r="A2098" i="120" s="1"/>
  <c r="A2455" i="120" s="1"/>
  <c r="A2812" i="120" s="1"/>
  <c r="M312" i="120"/>
  <c r="E669" i="120"/>
  <c r="E1026" i="120" s="1"/>
  <c r="E1383" i="120" s="1"/>
  <c r="E1740" i="120" s="1"/>
  <c r="E2097" i="120" s="1"/>
  <c r="E2454" i="120" s="1"/>
  <c r="E2811" i="120" s="1"/>
  <c r="D669" i="120"/>
  <c r="D1026" i="120" s="1"/>
  <c r="D1383" i="120" s="1"/>
  <c r="D1740" i="120" s="1"/>
  <c r="D2097" i="120" s="1"/>
  <c r="D2454" i="120" s="1"/>
  <c r="D2811" i="120" s="1"/>
  <c r="C669" i="120"/>
  <c r="C1026" i="120" s="1"/>
  <c r="C1383" i="120" s="1"/>
  <c r="C1740" i="120" s="1"/>
  <c r="C2097" i="120" s="1"/>
  <c r="C2454" i="120" s="1"/>
  <c r="C2811" i="120" s="1"/>
  <c r="B669" i="120"/>
  <c r="B1026" i="120" s="1"/>
  <c r="B1383" i="120" s="1"/>
  <c r="B1740" i="120" s="1"/>
  <c r="B2097" i="120" s="1"/>
  <c r="B2454" i="120" s="1"/>
  <c r="B2811" i="120" s="1"/>
  <c r="A669" i="120"/>
  <c r="A1026" i="120" s="1"/>
  <c r="A1383" i="120" s="1"/>
  <c r="A1740" i="120" s="1"/>
  <c r="A2097" i="120" s="1"/>
  <c r="A2454" i="120" s="1"/>
  <c r="A2811" i="120" s="1"/>
  <c r="M311" i="120"/>
  <c r="E668" i="120"/>
  <c r="E1025" i="120" s="1"/>
  <c r="E1382" i="120" s="1"/>
  <c r="E1739" i="120" s="1"/>
  <c r="E2096" i="120" s="1"/>
  <c r="E2453" i="120" s="1"/>
  <c r="E2810" i="120" s="1"/>
  <c r="D668" i="120"/>
  <c r="D1025" i="120" s="1"/>
  <c r="D1382" i="120" s="1"/>
  <c r="D1739" i="120" s="1"/>
  <c r="D2096" i="120" s="1"/>
  <c r="D2453" i="120" s="1"/>
  <c r="D2810" i="120" s="1"/>
  <c r="C668" i="120"/>
  <c r="C1025" i="120" s="1"/>
  <c r="C1382" i="120" s="1"/>
  <c r="C1739" i="120" s="1"/>
  <c r="C2096" i="120" s="1"/>
  <c r="C2453" i="120" s="1"/>
  <c r="C2810" i="120" s="1"/>
  <c r="B668" i="120"/>
  <c r="B1025" i="120" s="1"/>
  <c r="B1382" i="120" s="1"/>
  <c r="B1739" i="120" s="1"/>
  <c r="B2096" i="120" s="1"/>
  <c r="B2453" i="120" s="1"/>
  <c r="B2810" i="120" s="1"/>
  <c r="A668" i="120"/>
  <c r="A1025" i="120" s="1"/>
  <c r="A1382" i="120" s="1"/>
  <c r="A1739" i="120" s="1"/>
  <c r="A2096" i="120" s="1"/>
  <c r="A2453" i="120" s="1"/>
  <c r="A2810" i="120" s="1"/>
  <c r="M310" i="120"/>
  <c r="E667" i="120"/>
  <c r="E1024" i="120" s="1"/>
  <c r="E1381" i="120" s="1"/>
  <c r="E1738" i="120" s="1"/>
  <c r="E2095" i="120" s="1"/>
  <c r="E2452" i="120" s="1"/>
  <c r="E2809" i="120" s="1"/>
  <c r="D667" i="120"/>
  <c r="D1024" i="120" s="1"/>
  <c r="D1381" i="120" s="1"/>
  <c r="D1738" i="120" s="1"/>
  <c r="D2095" i="120" s="1"/>
  <c r="D2452" i="120" s="1"/>
  <c r="D2809" i="120" s="1"/>
  <c r="C667" i="120"/>
  <c r="C1024" i="120" s="1"/>
  <c r="C1381" i="120" s="1"/>
  <c r="C1738" i="120" s="1"/>
  <c r="C2095" i="120" s="1"/>
  <c r="C2452" i="120" s="1"/>
  <c r="C2809" i="120" s="1"/>
  <c r="B667" i="120"/>
  <c r="B1024" i="120" s="1"/>
  <c r="B1381" i="120" s="1"/>
  <c r="B1738" i="120" s="1"/>
  <c r="B2095" i="120" s="1"/>
  <c r="B2452" i="120" s="1"/>
  <c r="B2809" i="120" s="1"/>
  <c r="A667" i="120"/>
  <c r="A1024" i="120" s="1"/>
  <c r="A1381" i="120" s="1"/>
  <c r="A1738" i="120" s="1"/>
  <c r="A2095" i="120" s="1"/>
  <c r="A2452" i="120" s="1"/>
  <c r="A2809" i="120" s="1"/>
  <c r="M309" i="120"/>
  <c r="E666" i="120"/>
  <c r="E1023" i="120" s="1"/>
  <c r="E1380" i="120" s="1"/>
  <c r="E1737" i="120" s="1"/>
  <c r="E2094" i="120" s="1"/>
  <c r="E2451" i="120" s="1"/>
  <c r="E2808" i="120" s="1"/>
  <c r="D666" i="120"/>
  <c r="D1023" i="120" s="1"/>
  <c r="D1380" i="120" s="1"/>
  <c r="D1737" i="120" s="1"/>
  <c r="D2094" i="120" s="1"/>
  <c r="D2451" i="120" s="1"/>
  <c r="D2808" i="120" s="1"/>
  <c r="C666" i="120"/>
  <c r="C1023" i="120" s="1"/>
  <c r="C1380" i="120" s="1"/>
  <c r="C1737" i="120" s="1"/>
  <c r="C2094" i="120" s="1"/>
  <c r="C2451" i="120" s="1"/>
  <c r="C2808" i="120" s="1"/>
  <c r="B666" i="120"/>
  <c r="B1023" i="120" s="1"/>
  <c r="B1380" i="120" s="1"/>
  <c r="B1737" i="120" s="1"/>
  <c r="B2094" i="120" s="1"/>
  <c r="B2451" i="120" s="1"/>
  <c r="B2808" i="120" s="1"/>
  <c r="A666" i="120"/>
  <c r="A1023" i="120" s="1"/>
  <c r="A1380" i="120" s="1"/>
  <c r="A1737" i="120" s="1"/>
  <c r="A2094" i="120" s="1"/>
  <c r="A2451" i="120" s="1"/>
  <c r="A2808" i="120" s="1"/>
  <c r="M308" i="120"/>
  <c r="E665" i="120"/>
  <c r="E1022" i="120" s="1"/>
  <c r="E1379" i="120" s="1"/>
  <c r="E1736" i="120" s="1"/>
  <c r="E2093" i="120" s="1"/>
  <c r="E2450" i="120" s="1"/>
  <c r="E2807" i="120" s="1"/>
  <c r="D665" i="120"/>
  <c r="D1022" i="120" s="1"/>
  <c r="D1379" i="120" s="1"/>
  <c r="D1736" i="120" s="1"/>
  <c r="D2093" i="120" s="1"/>
  <c r="D2450" i="120" s="1"/>
  <c r="D2807" i="120" s="1"/>
  <c r="C665" i="120"/>
  <c r="C1022" i="120" s="1"/>
  <c r="C1379" i="120" s="1"/>
  <c r="C1736" i="120" s="1"/>
  <c r="C2093" i="120" s="1"/>
  <c r="C2450" i="120" s="1"/>
  <c r="C2807" i="120" s="1"/>
  <c r="B665" i="120"/>
  <c r="B1022" i="120" s="1"/>
  <c r="B1379" i="120" s="1"/>
  <c r="B1736" i="120" s="1"/>
  <c r="B2093" i="120" s="1"/>
  <c r="B2450" i="120" s="1"/>
  <c r="B2807" i="120" s="1"/>
  <c r="A665" i="120"/>
  <c r="A1022" i="120" s="1"/>
  <c r="A1379" i="120" s="1"/>
  <c r="A1736" i="120" s="1"/>
  <c r="A2093" i="120" s="1"/>
  <c r="A2450" i="120" s="1"/>
  <c r="A2807" i="120" s="1"/>
  <c r="M307" i="120"/>
  <c r="E664" i="120"/>
  <c r="E1021" i="120" s="1"/>
  <c r="E1378" i="120" s="1"/>
  <c r="E1735" i="120" s="1"/>
  <c r="E2092" i="120" s="1"/>
  <c r="E2449" i="120" s="1"/>
  <c r="E2806" i="120" s="1"/>
  <c r="D664" i="120"/>
  <c r="D1021" i="120" s="1"/>
  <c r="D1378" i="120" s="1"/>
  <c r="D1735" i="120" s="1"/>
  <c r="D2092" i="120" s="1"/>
  <c r="D2449" i="120" s="1"/>
  <c r="D2806" i="120" s="1"/>
  <c r="C664" i="120"/>
  <c r="C1021" i="120" s="1"/>
  <c r="C1378" i="120" s="1"/>
  <c r="C1735" i="120" s="1"/>
  <c r="C2092" i="120" s="1"/>
  <c r="C2449" i="120" s="1"/>
  <c r="C2806" i="120" s="1"/>
  <c r="B664" i="120"/>
  <c r="B1021" i="120" s="1"/>
  <c r="B1378" i="120" s="1"/>
  <c r="B1735" i="120" s="1"/>
  <c r="B2092" i="120" s="1"/>
  <c r="B2449" i="120" s="1"/>
  <c r="B2806" i="120" s="1"/>
  <c r="A664" i="120"/>
  <c r="A1021" i="120" s="1"/>
  <c r="A1378" i="120" s="1"/>
  <c r="A1735" i="120" s="1"/>
  <c r="A2092" i="120" s="1"/>
  <c r="A2449" i="120" s="1"/>
  <c r="A2806" i="120" s="1"/>
  <c r="M306" i="120"/>
  <c r="E663" i="120"/>
  <c r="E1020" i="120" s="1"/>
  <c r="E1377" i="120" s="1"/>
  <c r="E1734" i="120" s="1"/>
  <c r="E2091" i="120" s="1"/>
  <c r="E2448" i="120" s="1"/>
  <c r="E2805" i="120" s="1"/>
  <c r="D663" i="120"/>
  <c r="D1020" i="120" s="1"/>
  <c r="D1377" i="120" s="1"/>
  <c r="D1734" i="120" s="1"/>
  <c r="D2091" i="120" s="1"/>
  <c r="D2448" i="120" s="1"/>
  <c r="D2805" i="120" s="1"/>
  <c r="C663" i="120"/>
  <c r="C1020" i="120" s="1"/>
  <c r="C1377" i="120" s="1"/>
  <c r="C1734" i="120" s="1"/>
  <c r="C2091" i="120" s="1"/>
  <c r="C2448" i="120" s="1"/>
  <c r="C2805" i="120" s="1"/>
  <c r="B663" i="120"/>
  <c r="B1020" i="120" s="1"/>
  <c r="B1377" i="120" s="1"/>
  <c r="B1734" i="120" s="1"/>
  <c r="B2091" i="120" s="1"/>
  <c r="B2448" i="120" s="1"/>
  <c r="B2805" i="120" s="1"/>
  <c r="A663" i="120"/>
  <c r="A1020" i="120" s="1"/>
  <c r="A1377" i="120" s="1"/>
  <c r="A1734" i="120" s="1"/>
  <c r="A2091" i="120" s="1"/>
  <c r="A2448" i="120" s="1"/>
  <c r="A2805" i="120" s="1"/>
  <c r="M305" i="120"/>
  <c r="E662" i="120"/>
  <c r="E1019" i="120" s="1"/>
  <c r="E1376" i="120" s="1"/>
  <c r="E1733" i="120" s="1"/>
  <c r="E2090" i="120" s="1"/>
  <c r="E2447" i="120" s="1"/>
  <c r="E2804" i="120" s="1"/>
  <c r="D662" i="120"/>
  <c r="D1019" i="120" s="1"/>
  <c r="D1376" i="120" s="1"/>
  <c r="D1733" i="120" s="1"/>
  <c r="D2090" i="120" s="1"/>
  <c r="D2447" i="120" s="1"/>
  <c r="D2804" i="120" s="1"/>
  <c r="C662" i="120"/>
  <c r="C1019" i="120" s="1"/>
  <c r="C1376" i="120" s="1"/>
  <c r="C1733" i="120" s="1"/>
  <c r="C2090" i="120" s="1"/>
  <c r="C2447" i="120" s="1"/>
  <c r="C2804" i="120" s="1"/>
  <c r="B662" i="120"/>
  <c r="B1019" i="120" s="1"/>
  <c r="B1376" i="120" s="1"/>
  <c r="B1733" i="120" s="1"/>
  <c r="B2090" i="120" s="1"/>
  <c r="B2447" i="120" s="1"/>
  <c r="B2804" i="120" s="1"/>
  <c r="A662" i="120"/>
  <c r="A1019" i="120" s="1"/>
  <c r="A1376" i="120" s="1"/>
  <c r="A1733" i="120" s="1"/>
  <c r="A2090" i="120" s="1"/>
  <c r="A2447" i="120" s="1"/>
  <c r="A2804" i="120" s="1"/>
  <c r="M304" i="120"/>
  <c r="D661" i="120"/>
  <c r="D1018" i="120" s="1"/>
  <c r="D1375" i="120" s="1"/>
  <c r="D1732" i="120" s="1"/>
  <c r="D2089" i="120" s="1"/>
  <c r="D2446" i="120" s="1"/>
  <c r="D2803" i="120" s="1"/>
  <c r="C661" i="120"/>
  <c r="C1018" i="120" s="1"/>
  <c r="C1375" i="120" s="1"/>
  <c r="C1732" i="120" s="1"/>
  <c r="C2089" i="120" s="1"/>
  <c r="C2446" i="120" s="1"/>
  <c r="C2803" i="120" s="1"/>
  <c r="B661" i="120"/>
  <c r="B1018" i="120" s="1"/>
  <c r="B1375" i="120" s="1"/>
  <c r="B1732" i="120" s="1"/>
  <c r="B2089" i="120" s="1"/>
  <c r="B2446" i="120" s="1"/>
  <c r="B2803" i="120" s="1"/>
  <c r="A661" i="120"/>
  <c r="A1018" i="120" s="1"/>
  <c r="A1375" i="120" s="1"/>
  <c r="A1732" i="120" s="1"/>
  <c r="A2089" i="120" s="1"/>
  <c r="A2446" i="120" s="1"/>
  <c r="A2803" i="120" s="1"/>
  <c r="M303" i="120"/>
  <c r="E660" i="120"/>
  <c r="E1017" i="120" s="1"/>
  <c r="E1374" i="120" s="1"/>
  <c r="E1731" i="120" s="1"/>
  <c r="E2088" i="120" s="1"/>
  <c r="E2445" i="120" s="1"/>
  <c r="E2802" i="120" s="1"/>
  <c r="D660" i="120"/>
  <c r="D1017" i="120" s="1"/>
  <c r="D1374" i="120" s="1"/>
  <c r="D1731" i="120" s="1"/>
  <c r="D2088" i="120" s="1"/>
  <c r="D2445" i="120" s="1"/>
  <c r="D2802" i="120" s="1"/>
  <c r="C660" i="120"/>
  <c r="C1017" i="120" s="1"/>
  <c r="C1374" i="120" s="1"/>
  <c r="C1731" i="120" s="1"/>
  <c r="C2088" i="120" s="1"/>
  <c r="C2445" i="120" s="1"/>
  <c r="C2802" i="120" s="1"/>
  <c r="B660" i="120"/>
  <c r="B1017" i="120" s="1"/>
  <c r="B1374" i="120" s="1"/>
  <c r="B1731" i="120" s="1"/>
  <c r="B2088" i="120" s="1"/>
  <c r="B2445" i="120" s="1"/>
  <c r="B2802" i="120" s="1"/>
  <c r="A660" i="120"/>
  <c r="A1017" i="120" s="1"/>
  <c r="A1374" i="120" s="1"/>
  <c r="A1731" i="120" s="1"/>
  <c r="A2088" i="120" s="1"/>
  <c r="A2445" i="120" s="1"/>
  <c r="A2802" i="120" s="1"/>
  <c r="M302" i="120"/>
  <c r="E659" i="120"/>
  <c r="E1016" i="120" s="1"/>
  <c r="E1373" i="120" s="1"/>
  <c r="E1730" i="120" s="1"/>
  <c r="E2087" i="120" s="1"/>
  <c r="E2444" i="120" s="1"/>
  <c r="E2801" i="120" s="1"/>
  <c r="D659" i="120"/>
  <c r="D1016" i="120" s="1"/>
  <c r="D1373" i="120" s="1"/>
  <c r="D1730" i="120" s="1"/>
  <c r="D2087" i="120" s="1"/>
  <c r="D2444" i="120" s="1"/>
  <c r="D2801" i="120" s="1"/>
  <c r="C659" i="120"/>
  <c r="C1016" i="120" s="1"/>
  <c r="C1373" i="120" s="1"/>
  <c r="C1730" i="120" s="1"/>
  <c r="C2087" i="120" s="1"/>
  <c r="C2444" i="120" s="1"/>
  <c r="C2801" i="120" s="1"/>
  <c r="B659" i="120"/>
  <c r="B1016" i="120" s="1"/>
  <c r="B1373" i="120" s="1"/>
  <c r="B1730" i="120" s="1"/>
  <c r="B2087" i="120" s="1"/>
  <c r="B2444" i="120" s="1"/>
  <c r="B2801" i="120" s="1"/>
  <c r="A659" i="120"/>
  <c r="A1016" i="120" s="1"/>
  <c r="A1373" i="120" s="1"/>
  <c r="A1730" i="120" s="1"/>
  <c r="A2087" i="120" s="1"/>
  <c r="A2444" i="120" s="1"/>
  <c r="A2801" i="120" s="1"/>
  <c r="M301" i="120"/>
  <c r="E658" i="120"/>
  <c r="E1015" i="120" s="1"/>
  <c r="E1372" i="120" s="1"/>
  <c r="E1729" i="120" s="1"/>
  <c r="E2086" i="120" s="1"/>
  <c r="E2443" i="120" s="1"/>
  <c r="E2800" i="120" s="1"/>
  <c r="D658" i="120"/>
  <c r="D1015" i="120" s="1"/>
  <c r="D1372" i="120" s="1"/>
  <c r="D1729" i="120" s="1"/>
  <c r="D2086" i="120" s="1"/>
  <c r="D2443" i="120" s="1"/>
  <c r="D2800" i="120" s="1"/>
  <c r="C658" i="120"/>
  <c r="C1015" i="120" s="1"/>
  <c r="C1372" i="120" s="1"/>
  <c r="C1729" i="120" s="1"/>
  <c r="C2086" i="120" s="1"/>
  <c r="C2443" i="120" s="1"/>
  <c r="C2800" i="120" s="1"/>
  <c r="B658" i="120"/>
  <c r="B1015" i="120" s="1"/>
  <c r="B1372" i="120" s="1"/>
  <c r="B1729" i="120" s="1"/>
  <c r="B2086" i="120" s="1"/>
  <c r="B2443" i="120" s="1"/>
  <c r="B2800" i="120" s="1"/>
  <c r="A658" i="120"/>
  <c r="A1015" i="120" s="1"/>
  <c r="A1372" i="120" s="1"/>
  <c r="A1729" i="120" s="1"/>
  <c r="A2086" i="120" s="1"/>
  <c r="A2443" i="120" s="1"/>
  <c r="A2800" i="120" s="1"/>
  <c r="M300" i="120"/>
  <c r="E657" i="120"/>
  <c r="E1014" i="120" s="1"/>
  <c r="E1371" i="120" s="1"/>
  <c r="E1728" i="120" s="1"/>
  <c r="E2085" i="120" s="1"/>
  <c r="E2442" i="120" s="1"/>
  <c r="E2799" i="120" s="1"/>
  <c r="D657" i="120"/>
  <c r="D1014" i="120" s="1"/>
  <c r="D1371" i="120" s="1"/>
  <c r="D1728" i="120" s="1"/>
  <c r="D2085" i="120" s="1"/>
  <c r="D2442" i="120" s="1"/>
  <c r="D2799" i="120" s="1"/>
  <c r="C657" i="120"/>
  <c r="C1014" i="120" s="1"/>
  <c r="C1371" i="120" s="1"/>
  <c r="C1728" i="120" s="1"/>
  <c r="C2085" i="120" s="1"/>
  <c r="C2442" i="120" s="1"/>
  <c r="C2799" i="120" s="1"/>
  <c r="B657" i="120"/>
  <c r="B1014" i="120" s="1"/>
  <c r="B1371" i="120" s="1"/>
  <c r="B1728" i="120" s="1"/>
  <c r="B2085" i="120" s="1"/>
  <c r="B2442" i="120" s="1"/>
  <c r="B2799" i="120" s="1"/>
  <c r="A657" i="120"/>
  <c r="A1014" i="120" s="1"/>
  <c r="A1371" i="120" s="1"/>
  <c r="A1728" i="120" s="1"/>
  <c r="A2085" i="120" s="1"/>
  <c r="A2442" i="120" s="1"/>
  <c r="A2799" i="120" s="1"/>
  <c r="M299" i="120"/>
  <c r="E656" i="120"/>
  <c r="E1013" i="120" s="1"/>
  <c r="E1370" i="120" s="1"/>
  <c r="E1727" i="120" s="1"/>
  <c r="E2084" i="120" s="1"/>
  <c r="E2441" i="120" s="1"/>
  <c r="E2798" i="120" s="1"/>
  <c r="D656" i="120"/>
  <c r="D1013" i="120" s="1"/>
  <c r="D1370" i="120" s="1"/>
  <c r="D1727" i="120" s="1"/>
  <c r="D2084" i="120" s="1"/>
  <c r="D2441" i="120" s="1"/>
  <c r="D2798" i="120" s="1"/>
  <c r="C656" i="120"/>
  <c r="C1013" i="120" s="1"/>
  <c r="C1370" i="120" s="1"/>
  <c r="C1727" i="120" s="1"/>
  <c r="C2084" i="120" s="1"/>
  <c r="C2441" i="120" s="1"/>
  <c r="C2798" i="120" s="1"/>
  <c r="B656" i="120"/>
  <c r="B1013" i="120" s="1"/>
  <c r="B1370" i="120" s="1"/>
  <c r="B1727" i="120" s="1"/>
  <c r="B2084" i="120" s="1"/>
  <c r="B2441" i="120" s="1"/>
  <c r="B2798" i="120" s="1"/>
  <c r="A656" i="120"/>
  <c r="A1013" i="120" s="1"/>
  <c r="A1370" i="120" s="1"/>
  <c r="A1727" i="120" s="1"/>
  <c r="A2084" i="120" s="1"/>
  <c r="A2441" i="120" s="1"/>
  <c r="A2798" i="120" s="1"/>
  <c r="M298" i="120"/>
  <c r="E655" i="120"/>
  <c r="E1012" i="120" s="1"/>
  <c r="E1369" i="120" s="1"/>
  <c r="E1726" i="120" s="1"/>
  <c r="E2083" i="120" s="1"/>
  <c r="E2440" i="120" s="1"/>
  <c r="E2797" i="120" s="1"/>
  <c r="D655" i="120"/>
  <c r="D1012" i="120" s="1"/>
  <c r="D1369" i="120" s="1"/>
  <c r="D1726" i="120" s="1"/>
  <c r="D2083" i="120" s="1"/>
  <c r="D2440" i="120" s="1"/>
  <c r="D2797" i="120" s="1"/>
  <c r="C655" i="120"/>
  <c r="C1012" i="120" s="1"/>
  <c r="C1369" i="120" s="1"/>
  <c r="C1726" i="120" s="1"/>
  <c r="C2083" i="120" s="1"/>
  <c r="C2440" i="120" s="1"/>
  <c r="C2797" i="120" s="1"/>
  <c r="B655" i="120"/>
  <c r="B1012" i="120" s="1"/>
  <c r="B1369" i="120" s="1"/>
  <c r="B1726" i="120" s="1"/>
  <c r="B2083" i="120" s="1"/>
  <c r="B2440" i="120" s="1"/>
  <c r="B2797" i="120" s="1"/>
  <c r="A655" i="120"/>
  <c r="A1012" i="120" s="1"/>
  <c r="A1369" i="120" s="1"/>
  <c r="A1726" i="120" s="1"/>
  <c r="A2083" i="120" s="1"/>
  <c r="A2440" i="120" s="1"/>
  <c r="A2797" i="120" s="1"/>
  <c r="M297" i="120"/>
  <c r="E654" i="120"/>
  <c r="E1011" i="120" s="1"/>
  <c r="E1368" i="120" s="1"/>
  <c r="E1725" i="120" s="1"/>
  <c r="E2082" i="120" s="1"/>
  <c r="E2439" i="120" s="1"/>
  <c r="E2796" i="120" s="1"/>
  <c r="D654" i="120"/>
  <c r="D1011" i="120" s="1"/>
  <c r="D1368" i="120" s="1"/>
  <c r="D1725" i="120" s="1"/>
  <c r="D2082" i="120" s="1"/>
  <c r="D2439" i="120" s="1"/>
  <c r="D2796" i="120" s="1"/>
  <c r="C654" i="120"/>
  <c r="C1011" i="120" s="1"/>
  <c r="C1368" i="120" s="1"/>
  <c r="C1725" i="120" s="1"/>
  <c r="C2082" i="120" s="1"/>
  <c r="C2439" i="120" s="1"/>
  <c r="C2796" i="120" s="1"/>
  <c r="B654" i="120"/>
  <c r="B1011" i="120" s="1"/>
  <c r="B1368" i="120" s="1"/>
  <c r="B1725" i="120" s="1"/>
  <c r="B2082" i="120" s="1"/>
  <c r="B2439" i="120" s="1"/>
  <c r="B2796" i="120" s="1"/>
  <c r="A654" i="120"/>
  <c r="A1011" i="120" s="1"/>
  <c r="A1368" i="120" s="1"/>
  <c r="A1725" i="120" s="1"/>
  <c r="A2082" i="120" s="1"/>
  <c r="A2439" i="120" s="1"/>
  <c r="A2796" i="120" s="1"/>
  <c r="M296" i="120"/>
  <c r="E653" i="120"/>
  <c r="E1010" i="120" s="1"/>
  <c r="E1367" i="120" s="1"/>
  <c r="E1724" i="120" s="1"/>
  <c r="E2081" i="120" s="1"/>
  <c r="E2438" i="120" s="1"/>
  <c r="E2795" i="120" s="1"/>
  <c r="D653" i="120"/>
  <c r="D1010" i="120" s="1"/>
  <c r="D1367" i="120" s="1"/>
  <c r="D1724" i="120" s="1"/>
  <c r="D2081" i="120" s="1"/>
  <c r="D2438" i="120" s="1"/>
  <c r="D2795" i="120" s="1"/>
  <c r="C653" i="120"/>
  <c r="C1010" i="120" s="1"/>
  <c r="C1367" i="120" s="1"/>
  <c r="C1724" i="120" s="1"/>
  <c r="C2081" i="120" s="1"/>
  <c r="C2438" i="120" s="1"/>
  <c r="C2795" i="120" s="1"/>
  <c r="B653" i="120"/>
  <c r="B1010" i="120" s="1"/>
  <c r="B1367" i="120" s="1"/>
  <c r="B1724" i="120" s="1"/>
  <c r="B2081" i="120" s="1"/>
  <c r="B2438" i="120" s="1"/>
  <c r="B2795" i="120" s="1"/>
  <c r="A653" i="120"/>
  <c r="A1010" i="120" s="1"/>
  <c r="A1367" i="120" s="1"/>
  <c r="A1724" i="120" s="1"/>
  <c r="A2081" i="120" s="1"/>
  <c r="A2438" i="120" s="1"/>
  <c r="A2795" i="120" s="1"/>
  <c r="M295" i="120"/>
  <c r="E652" i="120"/>
  <c r="E1009" i="120" s="1"/>
  <c r="E1366" i="120" s="1"/>
  <c r="E1723" i="120" s="1"/>
  <c r="E2080" i="120" s="1"/>
  <c r="E2437" i="120" s="1"/>
  <c r="E2794" i="120" s="1"/>
  <c r="D652" i="120"/>
  <c r="D1009" i="120" s="1"/>
  <c r="D1366" i="120" s="1"/>
  <c r="D1723" i="120" s="1"/>
  <c r="D2080" i="120" s="1"/>
  <c r="D2437" i="120" s="1"/>
  <c r="D2794" i="120" s="1"/>
  <c r="C652" i="120"/>
  <c r="C1009" i="120" s="1"/>
  <c r="C1366" i="120" s="1"/>
  <c r="C1723" i="120" s="1"/>
  <c r="C2080" i="120" s="1"/>
  <c r="C2437" i="120" s="1"/>
  <c r="C2794" i="120" s="1"/>
  <c r="B652" i="120"/>
  <c r="B1009" i="120" s="1"/>
  <c r="B1366" i="120" s="1"/>
  <c r="B1723" i="120" s="1"/>
  <c r="B2080" i="120" s="1"/>
  <c r="B2437" i="120" s="1"/>
  <c r="B2794" i="120" s="1"/>
  <c r="A652" i="120"/>
  <c r="A1009" i="120" s="1"/>
  <c r="A1366" i="120" s="1"/>
  <c r="A1723" i="120" s="1"/>
  <c r="A2080" i="120" s="1"/>
  <c r="A2437" i="120" s="1"/>
  <c r="A2794" i="120" s="1"/>
  <c r="M294" i="120"/>
  <c r="E651" i="120"/>
  <c r="E1008" i="120" s="1"/>
  <c r="E1365" i="120" s="1"/>
  <c r="E1722" i="120" s="1"/>
  <c r="E2079" i="120" s="1"/>
  <c r="E2436" i="120" s="1"/>
  <c r="E2793" i="120" s="1"/>
  <c r="D651" i="120"/>
  <c r="D1008" i="120" s="1"/>
  <c r="D1365" i="120" s="1"/>
  <c r="D1722" i="120" s="1"/>
  <c r="D2079" i="120" s="1"/>
  <c r="D2436" i="120" s="1"/>
  <c r="D2793" i="120" s="1"/>
  <c r="C651" i="120"/>
  <c r="C1008" i="120" s="1"/>
  <c r="C1365" i="120" s="1"/>
  <c r="C1722" i="120" s="1"/>
  <c r="C2079" i="120" s="1"/>
  <c r="C2436" i="120" s="1"/>
  <c r="C2793" i="120" s="1"/>
  <c r="B651" i="120"/>
  <c r="B1008" i="120" s="1"/>
  <c r="B1365" i="120" s="1"/>
  <c r="B1722" i="120" s="1"/>
  <c r="B2079" i="120" s="1"/>
  <c r="B2436" i="120" s="1"/>
  <c r="B2793" i="120" s="1"/>
  <c r="A651" i="120"/>
  <c r="A1008" i="120" s="1"/>
  <c r="A1365" i="120" s="1"/>
  <c r="A1722" i="120" s="1"/>
  <c r="A2079" i="120" s="1"/>
  <c r="A2436" i="120" s="1"/>
  <c r="A2793" i="120" s="1"/>
  <c r="M293" i="120"/>
  <c r="E650" i="120"/>
  <c r="E1007" i="120" s="1"/>
  <c r="E1364" i="120" s="1"/>
  <c r="E1721" i="120" s="1"/>
  <c r="E2078" i="120" s="1"/>
  <c r="E2435" i="120" s="1"/>
  <c r="E2792" i="120" s="1"/>
  <c r="D650" i="120"/>
  <c r="D1007" i="120" s="1"/>
  <c r="D1364" i="120" s="1"/>
  <c r="D1721" i="120" s="1"/>
  <c r="D2078" i="120" s="1"/>
  <c r="D2435" i="120" s="1"/>
  <c r="D2792" i="120" s="1"/>
  <c r="C650" i="120"/>
  <c r="C1007" i="120" s="1"/>
  <c r="C1364" i="120" s="1"/>
  <c r="C1721" i="120" s="1"/>
  <c r="C2078" i="120" s="1"/>
  <c r="C2435" i="120" s="1"/>
  <c r="C2792" i="120" s="1"/>
  <c r="B650" i="120"/>
  <c r="B1007" i="120" s="1"/>
  <c r="B1364" i="120" s="1"/>
  <c r="B1721" i="120" s="1"/>
  <c r="B2078" i="120" s="1"/>
  <c r="B2435" i="120" s="1"/>
  <c r="B2792" i="120" s="1"/>
  <c r="A650" i="120"/>
  <c r="A1007" i="120" s="1"/>
  <c r="A1364" i="120" s="1"/>
  <c r="A1721" i="120" s="1"/>
  <c r="A2078" i="120" s="1"/>
  <c r="A2435" i="120" s="1"/>
  <c r="A2792" i="120" s="1"/>
  <c r="M292" i="120"/>
  <c r="E649" i="120"/>
  <c r="E1006" i="120" s="1"/>
  <c r="E1363" i="120" s="1"/>
  <c r="E1720" i="120" s="1"/>
  <c r="E2077" i="120" s="1"/>
  <c r="E2434" i="120" s="1"/>
  <c r="E2791" i="120" s="1"/>
  <c r="D649" i="120"/>
  <c r="D1006" i="120" s="1"/>
  <c r="D1363" i="120" s="1"/>
  <c r="D1720" i="120" s="1"/>
  <c r="D2077" i="120" s="1"/>
  <c r="D2434" i="120" s="1"/>
  <c r="D2791" i="120" s="1"/>
  <c r="C649" i="120"/>
  <c r="C1006" i="120" s="1"/>
  <c r="C1363" i="120" s="1"/>
  <c r="C1720" i="120" s="1"/>
  <c r="C2077" i="120" s="1"/>
  <c r="C2434" i="120" s="1"/>
  <c r="C2791" i="120" s="1"/>
  <c r="B649" i="120"/>
  <c r="B1006" i="120" s="1"/>
  <c r="B1363" i="120" s="1"/>
  <c r="B1720" i="120" s="1"/>
  <c r="B2077" i="120" s="1"/>
  <c r="B2434" i="120" s="1"/>
  <c r="B2791" i="120" s="1"/>
  <c r="A649" i="120"/>
  <c r="A1006" i="120" s="1"/>
  <c r="A1363" i="120" s="1"/>
  <c r="A1720" i="120" s="1"/>
  <c r="A2077" i="120" s="1"/>
  <c r="A2434" i="120" s="1"/>
  <c r="A2791" i="120" s="1"/>
  <c r="M291" i="120"/>
  <c r="E648" i="120"/>
  <c r="E1005" i="120" s="1"/>
  <c r="E1362" i="120" s="1"/>
  <c r="E1719" i="120" s="1"/>
  <c r="E2076" i="120" s="1"/>
  <c r="E2433" i="120" s="1"/>
  <c r="E2790" i="120" s="1"/>
  <c r="D648" i="120"/>
  <c r="D1005" i="120" s="1"/>
  <c r="D1362" i="120" s="1"/>
  <c r="D1719" i="120" s="1"/>
  <c r="D2076" i="120" s="1"/>
  <c r="D2433" i="120" s="1"/>
  <c r="D2790" i="120" s="1"/>
  <c r="C648" i="120"/>
  <c r="C1005" i="120" s="1"/>
  <c r="C1362" i="120" s="1"/>
  <c r="C1719" i="120" s="1"/>
  <c r="C2076" i="120" s="1"/>
  <c r="C2433" i="120" s="1"/>
  <c r="C2790" i="120" s="1"/>
  <c r="B648" i="120"/>
  <c r="B1005" i="120" s="1"/>
  <c r="B1362" i="120" s="1"/>
  <c r="B1719" i="120" s="1"/>
  <c r="B2076" i="120" s="1"/>
  <c r="B2433" i="120" s="1"/>
  <c r="B2790" i="120" s="1"/>
  <c r="A648" i="120"/>
  <c r="A1005" i="120" s="1"/>
  <c r="A1362" i="120" s="1"/>
  <c r="A1719" i="120" s="1"/>
  <c r="A2076" i="120" s="1"/>
  <c r="A2433" i="120" s="1"/>
  <c r="A2790" i="120" s="1"/>
  <c r="M290" i="120"/>
  <c r="E647" i="120"/>
  <c r="E1004" i="120" s="1"/>
  <c r="E1361" i="120" s="1"/>
  <c r="E1718" i="120" s="1"/>
  <c r="E2075" i="120" s="1"/>
  <c r="E2432" i="120" s="1"/>
  <c r="E2789" i="120" s="1"/>
  <c r="D647" i="120"/>
  <c r="D1004" i="120" s="1"/>
  <c r="D1361" i="120" s="1"/>
  <c r="D1718" i="120" s="1"/>
  <c r="D2075" i="120" s="1"/>
  <c r="D2432" i="120" s="1"/>
  <c r="D2789" i="120" s="1"/>
  <c r="C647" i="120"/>
  <c r="C1004" i="120" s="1"/>
  <c r="C1361" i="120" s="1"/>
  <c r="C1718" i="120" s="1"/>
  <c r="C2075" i="120" s="1"/>
  <c r="C2432" i="120" s="1"/>
  <c r="C2789" i="120" s="1"/>
  <c r="B647" i="120"/>
  <c r="B1004" i="120" s="1"/>
  <c r="B1361" i="120" s="1"/>
  <c r="B1718" i="120" s="1"/>
  <c r="B2075" i="120" s="1"/>
  <c r="B2432" i="120" s="1"/>
  <c r="B2789" i="120" s="1"/>
  <c r="A647" i="120"/>
  <c r="A1004" i="120" s="1"/>
  <c r="A1361" i="120" s="1"/>
  <c r="A1718" i="120" s="1"/>
  <c r="A2075" i="120" s="1"/>
  <c r="A2432" i="120" s="1"/>
  <c r="A2789" i="120" s="1"/>
  <c r="M289" i="120"/>
  <c r="E646" i="120"/>
  <c r="E1003" i="120" s="1"/>
  <c r="E1360" i="120" s="1"/>
  <c r="E1717" i="120" s="1"/>
  <c r="E2074" i="120" s="1"/>
  <c r="E2431" i="120" s="1"/>
  <c r="E2788" i="120" s="1"/>
  <c r="D646" i="120"/>
  <c r="D1003" i="120" s="1"/>
  <c r="D1360" i="120" s="1"/>
  <c r="D1717" i="120" s="1"/>
  <c r="D2074" i="120" s="1"/>
  <c r="D2431" i="120" s="1"/>
  <c r="D2788" i="120" s="1"/>
  <c r="C646" i="120"/>
  <c r="C1003" i="120" s="1"/>
  <c r="C1360" i="120" s="1"/>
  <c r="C1717" i="120" s="1"/>
  <c r="C2074" i="120" s="1"/>
  <c r="C2431" i="120" s="1"/>
  <c r="C2788" i="120" s="1"/>
  <c r="B646" i="120"/>
  <c r="B1003" i="120" s="1"/>
  <c r="B1360" i="120" s="1"/>
  <c r="B1717" i="120" s="1"/>
  <c r="B2074" i="120" s="1"/>
  <c r="B2431" i="120" s="1"/>
  <c r="B2788" i="120" s="1"/>
  <c r="A646" i="120"/>
  <c r="A1003" i="120" s="1"/>
  <c r="A1360" i="120" s="1"/>
  <c r="A1717" i="120" s="1"/>
  <c r="A2074" i="120" s="1"/>
  <c r="A2431" i="120" s="1"/>
  <c r="A2788" i="120" s="1"/>
  <c r="M288" i="120"/>
  <c r="E645" i="120"/>
  <c r="E1002" i="120" s="1"/>
  <c r="E1359" i="120" s="1"/>
  <c r="E1716" i="120" s="1"/>
  <c r="E2073" i="120" s="1"/>
  <c r="E2430" i="120" s="1"/>
  <c r="E2787" i="120" s="1"/>
  <c r="D645" i="120"/>
  <c r="D1002" i="120" s="1"/>
  <c r="D1359" i="120" s="1"/>
  <c r="D1716" i="120" s="1"/>
  <c r="D2073" i="120" s="1"/>
  <c r="D2430" i="120" s="1"/>
  <c r="D2787" i="120" s="1"/>
  <c r="C645" i="120"/>
  <c r="C1002" i="120" s="1"/>
  <c r="C1359" i="120" s="1"/>
  <c r="C1716" i="120" s="1"/>
  <c r="C2073" i="120" s="1"/>
  <c r="C2430" i="120" s="1"/>
  <c r="C2787" i="120" s="1"/>
  <c r="B645" i="120"/>
  <c r="B1002" i="120" s="1"/>
  <c r="B1359" i="120" s="1"/>
  <c r="B1716" i="120" s="1"/>
  <c r="B2073" i="120" s="1"/>
  <c r="B2430" i="120" s="1"/>
  <c r="B2787" i="120" s="1"/>
  <c r="A645" i="120"/>
  <c r="A1002" i="120" s="1"/>
  <c r="A1359" i="120" s="1"/>
  <c r="A1716" i="120" s="1"/>
  <c r="A2073" i="120" s="1"/>
  <c r="A2430" i="120" s="1"/>
  <c r="A2787" i="120" s="1"/>
  <c r="M287" i="120"/>
  <c r="E644" i="120"/>
  <c r="E1001" i="120" s="1"/>
  <c r="E1358" i="120" s="1"/>
  <c r="E1715" i="120" s="1"/>
  <c r="E2072" i="120" s="1"/>
  <c r="E2429" i="120" s="1"/>
  <c r="E2786" i="120" s="1"/>
  <c r="D644" i="120"/>
  <c r="D1001" i="120" s="1"/>
  <c r="D1358" i="120" s="1"/>
  <c r="D1715" i="120" s="1"/>
  <c r="D2072" i="120" s="1"/>
  <c r="D2429" i="120" s="1"/>
  <c r="D2786" i="120" s="1"/>
  <c r="C644" i="120"/>
  <c r="C1001" i="120" s="1"/>
  <c r="C1358" i="120" s="1"/>
  <c r="C1715" i="120" s="1"/>
  <c r="C2072" i="120" s="1"/>
  <c r="C2429" i="120" s="1"/>
  <c r="C2786" i="120" s="1"/>
  <c r="B644" i="120"/>
  <c r="B1001" i="120" s="1"/>
  <c r="B1358" i="120" s="1"/>
  <c r="B1715" i="120" s="1"/>
  <c r="B2072" i="120" s="1"/>
  <c r="B2429" i="120" s="1"/>
  <c r="B2786" i="120" s="1"/>
  <c r="A644" i="120"/>
  <c r="A1001" i="120" s="1"/>
  <c r="A1358" i="120" s="1"/>
  <c r="A1715" i="120" s="1"/>
  <c r="A2072" i="120" s="1"/>
  <c r="A2429" i="120" s="1"/>
  <c r="A2786" i="120" s="1"/>
  <c r="M286" i="120"/>
  <c r="E643" i="120"/>
  <c r="E1000" i="120" s="1"/>
  <c r="E1357" i="120" s="1"/>
  <c r="E1714" i="120" s="1"/>
  <c r="E2071" i="120" s="1"/>
  <c r="E2428" i="120" s="1"/>
  <c r="E2785" i="120" s="1"/>
  <c r="D643" i="120"/>
  <c r="D1000" i="120" s="1"/>
  <c r="D1357" i="120" s="1"/>
  <c r="D1714" i="120" s="1"/>
  <c r="D2071" i="120" s="1"/>
  <c r="D2428" i="120" s="1"/>
  <c r="D2785" i="120" s="1"/>
  <c r="C643" i="120"/>
  <c r="C1000" i="120" s="1"/>
  <c r="C1357" i="120" s="1"/>
  <c r="C1714" i="120" s="1"/>
  <c r="C2071" i="120" s="1"/>
  <c r="C2428" i="120" s="1"/>
  <c r="C2785" i="120" s="1"/>
  <c r="B643" i="120"/>
  <c r="B1000" i="120" s="1"/>
  <c r="B1357" i="120" s="1"/>
  <c r="B1714" i="120" s="1"/>
  <c r="B2071" i="120" s="1"/>
  <c r="B2428" i="120" s="1"/>
  <c r="B2785" i="120" s="1"/>
  <c r="A643" i="120"/>
  <c r="A1000" i="120" s="1"/>
  <c r="A1357" i="120" s="1"/>
  <c r="A1714" i="120" s="1"/>
  <c r="A2071" i="120" s="1"/>
  <c r="A2428" i="120" s="1"/>
  <c r="A2785" i="120" s="1"/>
  <c r="M285" i="120"/>
  <c r="E642" i="120"/>
  <c r="E999" i="120" s="1"/>
  <c r="E1356" i="120" s="1"/>
  <c r="E1713" i="120" s="1"/>
  <c r="E2070" i="120" s="1"/>
  <c r="E2427" i="120" s="1"/>
  <c r="E2784" i="120" s="1"/>
  <c r="D642" i="120"/>
  <c r="D999" i="120" s="1"/>
  <c r="D1356" i="120" s="1"/>
  <c r="D1713" i="120" s="1"/>
  <c r="D2070" i="120" s="1"/>
  <c r="D2427" i="120" s="1"/>
  <c r="D2784" i="120" s="1"/>
  <c r="C642" i="120"/>
  <c r="C999" i="120" s="1"/>
  <c r="C1356" i="120" s="1"/>
  <c r="C1713" i="120" s="1"/>
  <c r="C2070" i="120" s="1"/>
  <c r="C2427" i="120" s="1"/>
  <c r="C2784" i="120" s="1"/>
  <c r="B642" i="120"/>
  <c r="B999" i="120" s="1"/>
  <c r="B1356" i="120" s="1"/>
  <c r="B1713" i="120" s="1"/>
  <c r="B2070" i="120" s="1"/>
  <c r="B2427" i="120" s="1"/>
  <c r="B2784" i="120" s="1"/>
  <c r="A642" i="120"/>
  <c r="A999" i="120" s="1"/>
  <c r="A1356" i="120" s="1"/>
  <c r="A1713" i="120" s="1"/>
  <c r="A2070" i="120" s="1"/>
  <c r="A2427" i="120" s="1"/>
  <c r="A2784" i="120" s="1"/>
  <c r="M284" i="120"/>
  <c r="E641" i="120"/>
  <c r="E998" i="120" s="1"/>
  <c r="E1355" i="120" s="1"/>
  <c r="E1712" i="120" s="1"/>
  <c r="E2069" i="120" s="1"/>
  <c r="E2426" i="120" s="1"/>
  <c r="E2783" i="120" s="1"/>
  <c r="D641" i="120"/>
  <c r="D998" i="120" s="1"/>
  <c r="D1355" i="120" s="1"/>
  <c r="D1712" i="120" s="1"/>
  <c r="D2069" i="120" s="1"/>
  <c r="D2426" i="120" s="1"/>
  <c r="D2783" i="120" s="1"/>
  <c r="C641" i="120"/>
  <c r="C998" i="120" s="1"/>
  <c r="C1355" i="120" s="1"/>
  <c r="C1712" i="120" s="1"/>
  <c r="C2069" i="120" s="1"/>
  <c r="C2426" i="120" s="1"/>
  <c r="C2783" i="120" s="1"/>
  <c r="B641" i="120"/>
  <c r="B998" i="120" s="1"/>
  <c r="B1355" i="120" s="1"/>
  <c r="B1712" i="120" s="1"/>
  <c r="B2069" i="120" s="1"/>
  <c r="B2426" i="120" s="1"/>
  <c r="B2783" i="120" s="1"/>
  <c r="A641" i="120"/>
  <c r="A998" i="120" s="1"/>
  <c r="A1355" i="120" s="1"/>
  <c r="A1712" i="120" s="1"/>
  <c r="A2069" i="120" s="1"/>
  <c r="A2426" i="120" s="1"/>
  <c r="A2783" i="120" s="1"/>
  <c r="M283" i="120"/>
  <c r="E640" i="120"/>
  <c r="E997" i="120" s="1"/>
  <c r="E1354" i="120" s="1"/>
  <c r="E1711" i="120" s="1"/>
  <c r="E2068" i="120" s="1"/>
  <c r="E2425" i="120" s="1"/>
  <c r="E2782" i="120" s="1"/>
  <c r="D640" i="120"/>
  <c r="D997" i="120" s="1"/>
  <c r="D1354" i="120" s="1"/>
  <c r="D1711" i="120" s="1"/>
  <c r="D2068" i="120" s="1"/>
  <c r="D2425" i="120" s="1"/>
  <c r="D2782" i="120" s="1"/>
  <c r="C640" i="120"/>
  <c r="C997" i="120" s="1"/>
  <c r="C1354" i="120" s="1"/>
  <c r="C1711" i="120" s="1"/>
  <c r="C2068" i="120" s="1"/>
  <c r="C2425" i="120" s="1"/>
  <c r="C2782" i="120" s="1"/>
  <c r="B640" i="120"/>
  <c r="B997" i="120" s="1"/>
  <c r="B1354" i="120" s="1"/>
  <c r="B1711" i="120" s="1"/>
  <c r="B2068" i="120" s="1"/>
  <c r="B2425" i="120" s="1"/>
  <c r="B2782" i="120" s="1"/>
  <c r="A640" i="120"/>
  <c r="A997" i="120" s="1"/>
  <c r="A1354" i="120" s="1"/>
  <c r="A1711" i="120" s="1"/>
  <c r="A2068" i="120" s="1"/>
  <c r="A2425" i="120" s="1"/>
  <c r="A2782" i="120" s="1"/>
  <c r="M282" i="120"/>
  <c r="E639" i="120"/>
  <c r="E996" i="120" s="1"/>
  <c r="E1353" i="120" s="1"/>
  <c r="E1710" i="120" s="1"/>
  <c r="E2067" i="120" s="1"/>
  <c r="E2424" i="120" s="1"/>
  <c r="E2781" i="120" s="1"/>
  <c r="D639" i="120"/>
  <c r="D996" i="120" s="1"/>
  <c r="D1353" i="120" s="1"/>
  <c r="D1710" i="120" s="1"/>
  <c r="D2067" i="120" s="1"/>
  <c r="D2424" i="120" s="1"/>
  <c r="D2781" i="120" s="1"/>
  <c r="C639" i="120"/>
  <c r="C996" i="120" s="1"/>
  <c r="C1353" i="120" s="1"/>
  <c r="C1710" i="120" s="1"/>
  <c r="C2067" i="120" s="1"/>
  <c r="C2424" i="120" s="1"/>
  <c r="C2781" i="120" s="1"/>
  <c r="B639" i="120"/>
  <c r="B996" i="120" s="1"/>
  <c r="B1353" i="120" s="1"/>
  <c r="B1710" i="120" s="1"/>
  <c r="B2067" i="120" s="1"/>
  <c r="B2424" i="120" s="1"/>
  <c r="B2781" i="120" s="1"/>
  <c r="A639" i="120"/>
  <c r="A996" i="120" s="1"/>
  <c r="A1353" i="120" s="1"/>
  <c r="A1710" i="120" s="1"/>
  <c r="A2067" i="120" s="1"/>
  <c r="A2424" i="120" s="1"/>
  <c r="A2781" i="120" s="1"/>
  <c r="M281" i="120"/>
  <c r="E638" i="120"/>
  <c r="E995" i="120" s="1"/>
  <c r="E1352" i="120" s="1"/>
  <c r="E1709" i="120" s="1"/>
  <c r="E2066" i="120" s="1"/>
  <c r="E2423" i="120" s="1"/>
  <c r="E2780" i="120" s="1"/>
  <c r="D638" i="120"/>
  <c r="D995" i="120" s="1"/>
  <c r="D1352" i="120" s="1"/>
  <c r="D1709" i="120" s="1"/>
  <c r="D2066" i="120" s="1"/>
  <c r="D2423" i="120" s="1"/>
  <c r="D2780" i="120" s="1"/>
  <c r="C638" i="120"/>
  <c r="C995" i="120" s="1"/>
  <c r="C1352" i="120" s="1"/>
  <c r="C1709" i="120" s="1"/>
  <c r="C2066" i="120" s="1"/>
  <c r="C2423" i="120" s="1"/>
  <c r="C2780" i="120" s="1"/>
  <c r="B638" i="120"/>
  <c r="B995" i="120" s="1"/>
  <c r="B1352" i="120" s="1"/>
  <c r="B1709" i="120" s="1"/>
  <c r="B2066" i="120" s="1"/>
  <c r="B2423" i="120" s="1"/>
  <c r="B2780" i="120" s="1"/>
  <c r="A638" i="120"/>
  <c r="A995" i="120" s="1"/>
  <c r="A1352" i="120" s="1"/>
  <c r="A1709" i="120" s="1"/>
  <c r="A2066" i="120" s="1"/>
  <c r="A2423" i="120" s="1"/>
  <c r="A2780" i="120" s="1"/>
  <c r="M280" i="120"/>
  <c r="E637" i="120"/>
  <c r="E994" i="120" s="1"/>
  <c r="E1351" i="120" s="1"/>
  <c r="E1708" i="120" s="1"/>
  <c r="E2065" i="120" s="1"/>
  <c r="E2422" i="120" s="1"/>
  <c r="E2779" i="120" s="1"/>
  <c r="D637" i="120"/>
  <c r="D994" i="120" s="1"/>
  <c r="D1351" i="120" s="1"/>
  <c r="D1708" i="120" s="1"/>
  <c r="D2065" i="120" s="1"/>
  <c r="D2422" i="120" s="1"/>
  <c r="D2779" i="120" s="1"/>
  <c r="C637" i="120"/>
  <c r="C994" i="120" s="1"/>
  <c r="C1351" i="120" s="1"/>
  <c r="C1708" i="120" s="1"/>
  <c r="C2065" i="120" s="1"/>
  <c r="C2422" i="120" s="1"/>
  <c r="C2779" i="120" s="1"/>
  <c r="B637" i="120"/>
  <c r="B994" i="120" s="1"/>
  <c r="B1351" i="120" s="1"/>
  <c r="B1708" i="120" s="1"/>
  <c r="B2065" i="120" s="1"/>
  <c r="B2422" i="120" s="1"/>
  <c r="B2779" i="120" s="1"/>
  <c r="A637" i="120"/>
  <c r="A994" i="120" s="1"/>
  <c r="A1351" i="120" s="1"/>
  <c r="A1708" i="120" s="1"/>
  <c r="A2065" i="120" s="1"/>
  <c r="A2422" i="120" s="1"/>
  <c r="A2779" i="120" s="1"/>
  <c r="M279" i="120"/>
  <c r="E636" i="120"/>
  <c r="E993" i="120" s="1"/>
  <c r="E1350" i="120" s="1"/>
  <c r="E1707" i="120" s="1"/>
  <c r="E2064" i="120" s="1"/>
  <c r="E2421" i="120" s="1"/>
  <c r="E2778" i="120" s="1"/>
  <c r="D636" i="120"/>
  <c r="D993" i="120" s="1"/>
  <c r="D1350" i="120" s="1"/>
  <c r="D1707" i="120" s="1"/>
  <c r="D2064" i="120" s="1"/>
  <c r="D2421" i="120" s="1"/>
  <c r="D2778" i="120" s="1"/>
  <c r="C636" i="120"/>
  <c r="C993" i="120" s="1"/>
  <c r="C1350" i="120" s="1"/>
  <c r="C1707" i="120" s="1"/>
  <c r="C2064" i="120" s="1"/>
  <c r="C2421" i="120" s="1"/>
  <c r="C2778" i="120" s="1"/>
  <c r="B636" i="120"/>
  <c r="B993" i="120" s="1"/>
  <c r="B1350" i="120" s="1"/>
  <c r="B1707" i="120" s="1"/>
  <c r="B2064" i="120" s="1"/>
  <c r="B2421" i="120" s="1"/>
  <c r="B2778" i="120" s="1"/>
  <c r="A636" i="120"/>
  <c r="A993" i="120" s="1"/>
  <c r="A1350" i="120" s="1"/>
  <c r="A1707" i="120" s="1"/>
  <c r="A2064" i="120" s="1"/>
  <c r="A2421" i="120" s="1"/>
  <c r="A2778" i="120" s="1"/>
  <c r="M278" i="120"/>
  <c r="E635" i="120"/>
  <c r="E992" i="120" s="1"/>
  <c r="E1349" i="120" s="1"/>
  <c r="E1706" i="120" s="1"/>
  <c r="E2063" i="120" s="1"/>
  <c r="E2420" i="120" s="1"/>
  <c r="E2777" i="120" s="1"/>
  <c r="D635" i="120"/>
  <c r="D992" i="120" s="1"/>
  <c r="D1349" i="120" s="1"/>
  <c r="D1706" i="120" s="1"/>
  <c r="D2063" i="120" s="1"/>
  <c r="D2420" i="120" s="1"/>
  <c r="D2777" i="120" s="1"/>
  <c r="C635" i="120"/>
  <c r="C992" i="120" s="1"/>
  <c r="C1349" i="120" s="1"/>
  <c r="C1706" i="120" s="1"/>
  <c r="C2063" i="120" s="1"/>
  <c r="C2420" i="120" s="1"/>
  <c r="C2777" i="120" s="1"/>
  <c r="B635" i="120"/>
  <c r="B992" i="120" s="1"/>
  <c r="B1349" i="120" s="1"/>
  <c r="B1706" i="120" s="1"/>
  <c r="B2063" i="120" s="1"/>
  <c r="B2420" i="120" s="1"/>
  <c r="B2777" i="120" s="1"/>
  <c r="A635" i="120"/>
  <c r="A992" i="120" s="1"/>
  <c r="A1349" i="120" s="1"/>
  <c r="A1706" i="120" s="1"/>
  <c r="A2063" i="120" s="1"/>
  <c r="A2420" i="120" s="1"/>
  <c r="A2777" i="120" s="1"/>
  <c r="M277" i="120"/>
  <c r="E634" i="120"/>
  <c r="E991" i="120" s="1"/>
  <c r="E1348" i="120" s="1"/>
  <c r="E1705" i="120" s="1"/>
  <c r="E2062" i="120" s="1"/>
  <c r="E2419" i="120" s="1"/>
  <c r="E2776" i="120" s="1"/>
  <c r="D634" i="120"/>
  <c r="D991" i="120" s="1"/>
  <c r="D1348" i="120" s="1"/>
  <c r="D1705" i="120" s="1"/>
  <c r="D2062" i="120" s="1"/>
  <c r="D2419" i="120" s="1"/>
  <c r="D2776" i="120" s="1"/>
  <c r="C634" i="120"/>
  <c r="C991" i="120" s="1"/>
  <c r="C1348" i="120" s="1"/>
  <c r="C1705" i="120" s="1"/>
  <c r="C2062" i="120" s="1"/>
  <c r="C2419" i="120" s="1"/>
  <c r="C2776" i="120" s="1"/>
  <c r="B634" i="120"/>
  <c r="B991" i="120" s="1"/>
  <c r="B1348" i="120" s="1"/>
  <c r="B1705" i="120" s="1"/>
  <c r="B2062" i="120" s="1"/>
  <c r="B2419" i="120" s="1"/>
  <c r="B2776" i="120" s="1"/>
  <c r="A634" i="120"/>
  <c r="A991" i="120" s="1"/>
  <c r="A1348" i="120" s="1"/>
  <c r="A1705" i="120" s="1"/>
  <c r="A2062" i="120" s="1"/>
  <c r="A2419" i="120" s="1"/>
  <c r="A2776" i="120" s="1"/>
  <c r="M276" i="120"/>
  <c r="E633" i="120"/>
  <c r="E990" i="120" s="1"/>
  <c r="E1347" i="120" s="1"/>
  <c r="E1704" i="120" s="1"/>
  <c r="E2061" i="120" s="1"/>
  <c r="E2418" i="120" s="1"/>
  <c r="E2775" i="120" s="1"/>
  <c r="D633" i="120"/>
  <c r="D990" i="120" s="1"/>
  <c r="D1347" i="120" s="1"/>
  <c r="D1704" i="120" s="1"/>
  <c r="D2061" i="120" s="1"/>
  <c r="D2418" i="120" s="1"/>
  <c r="D2775" i="120" s="1"/>
  <c r="C633" i="120"/>
  <c r="C990" i="120" s="1"/>
  <c r="C1347" i="120" s="1"/>
  <c r="C1704" i="120" s="1"/>
  <c r="C2061" i="120" s="1"/>
  <c r="C2418" i="120" s="1"/>
  <c r="C2775" i="120" s="1"/>
  <c r="B633" i="120"/>
  <c r="B990" i="120" s="1"/>
  <c r="B1347" i="120" s="1"/>
  <c r="B1704" i="120" s="1"/>
  <c r="B2061" i="120" s="1"/>
  <c r="B2418" i="120" s="1"/>
  <c r="B2775" i="120" s="1"/>
  <c r="A633" i="120"/>
  <c r="A990" i="120" s="1"/>
  <c r="A1347" i="120" s="1"/>
  <c r="A1704" i="120" s="1"/>
  <c r="A2061" i="120" s="1"/>
  <c r="A2418" i="120" s="1"/>
  <c r="A2775" i="120" s="1"/>
  <c r="M275" i="120"/>
  <c r="E632" i="120"/>
  <c r="E989" i="120" s="1"/>
  <c r="E1346" i="120" s="1"/>
  <c r="E1703" i="120" s="1"/>
  <c r="E2060" i="120" s="1"/>
  <c r="E2417" i="120" s="1"/>
  <c r="E2774" i="120" s="1"/>
  <c r="D632" i="120"/>
  <c r="D989" i="120" s="1"/>
  <c r="D1346" i="120" s="1"/>
  <c r="D1703" i="120" s="1"/>
  <c r="D2060" i="120" s="1"/>
  <c r="D2417" i="120" s="1"/>
  <c r="D2774" i="120" s="1"/>
  <c r="C632" i="120"/>
  <c r="C989" i="120" s="1"/>
  <c r="C1346" i="120" s="1"/>
  <c r="C1703" i="120" s="1"/>
  <c r="C2060" i="120" s="1"/>
  <c r="C2417" i="120" s="1"/>
  <c r="C2774" i="120" s="1"/>
  <c r="B632" i="120"/>
  <c r="B989" i="120" s="1"/>
  <c r="B1346" i="120" s="1"/>
  <c r="B1703" i="120" s="1"/>
  <c r="B2060" i="120" s="1"/>
  <c r="B2417" i="120" s="1"/>
  <c r="B2774" i="120" s="1"/>
  <c r="A632" i="120"/>
  <c r="A989" i="120" s="1"/>
  <c r="A1346" i="120" s="1"/>
  <c r="A1703" i="120" s="1"/>
  <c r="A2060" i="120" s="1"/>
  <c r="A2417" i="120" s="1"/>
  <c r="A2774" i="120" s="1"/>
  <c r="M274" i="120"/>
  <c r="E631" i="120"/>
  <c r="E988" i="120" s="1"/>
  <c r="E1345" i="120" s="1"/>
  <c r="E1702" i="120" s="1"/>
  <c r="E2059" i="120" s="1"/>
  <c r="E2416" i="120" s="1"/>
  <c r="E2773" i="120" s="1"/>
  <c r="D631" i="120"/>
  <c r="D988" i="120" s="1"/>
  <c r="D1345" i="120" s="1"/>
  <c r="D1702" i="120" s="1"/>
  <c r="D2059" i="120" s="1"/>
  <c r="D2416" i="120" s="1"/>
  <c r="D2773" i="120" s="1"/>
  <c r="C631" i="120"/>
  <c r="C988" i="120" s="1"/>
  <c r="C1345" i="120" s="1"/>
  <c r="C1702" i="120" s="1"/>
  <c r="C2059" i="120" s="1"/>
  <c r="C2416" i="120" s="1"/>
  <c r="C2773" i="120" s="1"/>
  <c r="B631" i="120"/>
  <c r="B988" i="120" s="1"/>
  <c r="B1345" i="120" s="1"/>
  <c r="B1702" i="120" s="1"/>
  <c r="B2059" i="120" s="1"/>
  <c r="B2416" i="120" s="1"/>
  <c r="B2773" i="120" s="1"/>
  <c r="A631" i="120"/>
  <c r="A988" i="120" s="1"/>
  <c r="A1345" i="120" s="1"/>
  <c r="A1702" i="120" s="1"/>
  <c r="A2059" i="120" s="1"/>
  <c r="A2416" i="120" s="1"/>
  <c r="A2773" i="120" s="1"/>
  <c r="M273" i="120"/>
  <c r="E630" i="120"/>
  <c r="E987" i="120" s="1"/>
  <c r="E1344" i="120" s="1"/>
  <c r="E1701" i="120" s="1"/>
  <c r="E2058" i="120" s="1"/>
  <c r="E2415" i="120" s="1"/>
  <c r="E2772" i="120" s="1"/>
  <c r="D630" i="120"/>
  <c r="D987" i="120" s="1"/>
  <c r="D1344" i="120" s="1"/>
  <c r="D1701" i="120" s="1"/>
  <c r="D2058" i="120" s="1"/>
  <c r="D2415" i="120" s="1"/>
  <c r="D2772" i="120" s="1"/>
  <c r="C630" i="120"/>
  <c r="C987" i="120" s="1"/>
  <c r="C1344" i="120" s="1"/>
  <c r="C1701" i="120" s="1"/>
  <c r="C2058" i="120" s="1"/>
  <c r="C2415" i="120" s="1"/>
  <c r="C2772" i="120" s="1"/>
  <c r="B630" i="120"/>
  <c r="B987" i="120" s="1"/>
  <c r="B1344" i="120" s="1"/>
  <c r="B1701" i="120" s="1"/>
  <c r="B2058" i="120" s="1"/>
  <c r="B2415" i="120" s="1"/>
  <c r="B2772" i="120" s="1"/>
  <c r="A630" i="120"/>
  <c r="A987" i="120" s="1"/>
  <c r="A1344" i="120" s="1"/>
  <c r="A1701" i="120" s="1"/>
  <c r="A2058" i="120" s="1"/>
  <c r="A2415" i="120" s="1"/>
  <c r="A2772" i="120" s="1"/>
  <c r="M272" i="120"/>
  <c r="E629" i="120"/>
  <c r="E986" i="120" s="1"/>
  <c r="E1343" i="120" s="1"/>
  <c r="E1700" i="120" s="1"/>
  <c r="E2057" i="120" s="1"/>
  <c r="E2414" i="120" s="1"/>
  <c r="E2771" i="120" s="1"/>
  <c r="D629" i="120"/>
  <c r="D986" i="120" s="1"/>
  <c r="D1343" i="120" s="1"/>
  <c r="D1700" i="120" s="1"/>
  <c r="D2057" i="120" s="1"/>
  <c r="D2414" i="120" s="1"/>
  <c r="D2771" i="120" s="1"/>
  <c r="C629" i="120"/>
  <c r="C986" i="120" s="1"/>
  <c r="C1343" i="120" s="1"/>
  <c r="C1700" i="120" s="1"/>
  <c r="C2057" i="120" s="1"/>
  <c r="C2414" i="120" s="1"/>
  <c r="C2771" i="120" s="1"/>
  <c r="B629" i="120"/>
  <c r="B986" i="120" s="1"/>
  <c r="B1343" i="120" s="1"/>
  <c r="B1700" i="120" s="1"/>
  <c r="B2057" i="120" s="1"/>
  <c r="B2414" i="120" s="1"/>
  <c r="B2771" i="120" s="1"/>
  <c r="A629" i="120"/>
  <c r="A986" i="120" s="1"/>
  <c r="A1343" i="120" s="1"/>
  <c r="A1700" i="120" s="1"/>
  <c r="A2057" i="120" s="1"/>
  <c r="A2414" i="120" s="1"/>
  <c r="A2771" i="120" s="1"/>
  <c r="M271" i="120"/>
  <c r="E628" i="120"/>
  <c r="E985" i="120" s="1"/>
  <c r="E1342" i="120" s="1"/>
  <c r="E1699" i="120" s="1"/>
  <c r="E2056" i="120" s="1"/>
  <c r="E2413" i="120" s="1"/>
  <c r="E2770" i="120" s="1"/>
  <c r="D628" i="120"/>
  <c r="D985" i="120" s="1"/>
  <c r="D1342" i="120" s="1"/>
  <c r="D1699" i="120" s="1"/>
  <c r="D2056" i="120" s="1"/>
  <c r="D2413" i="120" s="1"/>
  <c r="D2770" i="120" s="1"/>
  <c r="C628" i="120"/>
  <c r="C985" i="120" s="1"/>
  <c r="C1342" i="120" s="1"/>
  <c r="C1699" i="120" s="1"/>
  <c r="C2056" i="120" s="1"/>
  <c r="C2413" i="120" s="1"/>
  <c r="C2770" i="120" s="1"/>
  <c r="B628" i="120"/>
  <c r="B985" i="120" s="1"/>
  <c r="B1342" i="120" s="1"/>
  <c r="B1699" i="120" s="1"/>
  <c r="B2056" i="120" s="1"/>
  <c r="B2413" i="120" s="1"/>
  <c r="B2770" i="120" s="1"/>
  <c r="A628" i="120"/>
  <c r="A985" i="120" s="1"/>
  <c r="A1342" i="120" s="1"/>
  <c r="A1699" i="120" s="1"/>
  <c r="A2056" i="120" s="1"/>
  <c r="A2413" i="120" s="1"/>
  <c r="A2770" i="120" s="1"/>
  <c r="M270" i="120"/>
  <c r="E627" i="120"/>
  <c r="E984" i="120" s="1"/>
  <c r="E1341" i="120" s="1"/>
  <c r="E1698" i="120" s="1"/>
  <c r="E2055" i="120" s="1"/>
  <c r="E2412" i="120" s="1"/>
  <c r="E2769" i="120" s="1"/>
  <c r="D627" i="120"/>
  <c r="D984" i="120" s="1"/>
  <c r="D1341" i="120" s="1"/>
  <c r="D1698" i="120" s="1"/>
  <c r="D2055" i="120" s="1"/>
  <c r="D2412" i="120" s="1"/>
  <c r="D2769" i="120" s="1"/>
  <c r="C627" i="120"/>
  <c r="C984" i="120" s="1"/>
  <c r="C1341" i="120" s="1"/>
  <c r="C1698" i="120" s="1"/>
  <c r="C2055" i="120" s="1"/>
  <c r="C2412" i="120" s="1"/>
  <c r="C2769" i="120" s="1"/>
  <c r="B627" i="120"/>
  <c r="B984" i="120" s="1"/>
  <c r="B1341" i="120" s="1"/>
  <c r="B1698" i="120" s="1"/>
  <c r="B2055" i="120" s="1"/>
  <c r="B2412" i="120" s="1"/>
  <c r="B2769" i="120" s="1"/>
  <c r="A627" i="120"/>
  <c r="A984" i="120" s="1"/>
  <c r="A1341" i="120" s="1"/>
  <c r="A1698" i="120" s="1"/>
  <c r="A2055" i="120" s="1"/>
  <c r="A2412" i="120" s="1"/>
  <c r="A2769" i="120" s="1"/>
  <c r="M269" i="120"/>
  <c r="E626" i="120"/>
  <c r="E983" i="120" s="1"/>
  <c r="E1340" i="120" s="1"/>
  <c r="E1697" i="120" s="1"/>
  <c r="E2054" i="120" s="1"/>
  <c r="E2411" i="120" s="1"/>
  <c r="E2768" i="120" s="1"/>
  <c r="D626" i="120"/>
  <c r="D983" i="120" s="1"/>
  <c r="D1340" i="120" s="1"/>
  <c r="D1697" i="120" s="1"/>
  <c r="D2054" i="120" s="1"/>
  <c r="D2411" i="120" s="1"/>
  <c r="D2768" i="120" s="1"/>
  <c r="C626" i="120"/>
  <c r="C983" i="120" s="1"/>
  <c r="C1340" i="120" s="1"/>
  <c r="C1697" i="120" s="1"/>
  <c r="C2054" i="120" s="1"/>
  <c r="C2411" i="120" s="1"/>
  <c r="C2768" i="120" s="1"/>
  <c r="B626" i="120"/>
  <c r="B983" i="120" s="1"/>
  <c r="B1340" i="120" s="1"/>
  <c r="B1697" i="120" s="1"/>
  <c r="B2054" i="120" s="1"/>
  <c r="B2411" i="120" s="1"/>
  <c r="B2768" i="120" s="1"/>
  <c r="A626" i="120"/>
  <c r="A983" i="120" s="1"/>
  <c r="A1340" i="120" s="1"/>
  <c r="A1697" i="120" s="1"/>
  <c r="A2054" i="120" s="1"/>
  <c r="A2411" i="120" s="1"/>
  <c r="A2768" i="120" s="1"/>
  <c r="M268" i="120"/>
  <c r="E625" i="120"/>
  <c r="E982" i="120" s="1"/>
  <c r="E1339" i="120" s="1"/>
  <c r="E1696" i="120" s="1"/>
  <c r="E2053" i="120" s="1"/>
  <c r="E2410" i="120" s="1"/>
  <c r="E2767" i="120" s="1"/>
  <c r="D625" i="120"/>
  <c r="D982" i="120" s="1"/>
  <c r="D1339" i="120" s="1"/>
  <c r="D1696" i="120" s="1"/>
  <c r="D2053" i="120" s="1"/>
  <c r="D2410" i="120" s="1"/>
  <c r="D2767" i="120" s="1"/>
  <c r="C625" i="120"/>
  <c r="C982" i="120" s="1"/>
  <c r="C1339" i="120" s="1"/>
  <c r="C1696" i="120" s="1"/>
  <c r="C2053" i="120" s="1"/>
  <c r="C2410" i="120" s="1"/>
  <c r="C2767" i="120" s="1"/>
  <c r="B625" i="120"/>
  <c r="B982" i="120" s="1"/>
  <c r="B1339" i="120" s="1"/>
  <c r="B1696" i="120" s="1"/>
  <c r="B2053" i="120" s="1"/>
  <c r="B2410" i="120" s="1"/>
  <c r="B2767" i="120" s="1"/>
  <c r="A625" i="120"/>
  <c r="A982" i="120" s="1"/>
  <c r="A1339" i="120" s="1"/>
  <c r="A1696" i="120" s="1"/>
  <c r="A2053" i="120" s="1"/>
  <c r="A2410" i="120" s="1"/>
  <c r="A2767" i="120" s="1"/>
  <c r="M267" i="120"/>
  <c r="E624" i="120"/>
  <c r="E981" i="120" s="1"/>
  <c r="E1338" i="120" s="1"/>
  <c r="E1695" i="120" s="1"/>
  <c r="E2052" i="120" s="1"/>
  <c r="E2409" i="120" s="1"/>
  <c r="E2766" i="120" s="1"/>
  <c r="D624" i="120"/>
  <c r="D981" i="120" s="1"/>
  <c r="D1338" i="120" s="1"/>
  <c r="D1695" i="120" s="1"/>
  <c r="D2052" i="120" s="1"/>
  <c r="D2409" i="120" s="1"/>
  <c r="D2766" i="120" s="1"/>
  <c r="C624" i="120"/>
  <c r="C981" i="120" s="1"/>
  <c r="C1338" i="120" s="1"/>
  <c r="C1695" i="120" s="1"/>
  <c r="C2052" i="120" s="1"/>
  <c r="C2409" i="120" s="1"/>
  <c r="C2766" i="120" s="1"/>
  <c r="B624" i="120"/>
  <c r="B981" i="120" s="1"/>
  <c r="B1338" i="120" s="1"/>
  <c r="B1695" i="120" s="1"/>
  <c r="B2052" i="120" s="1"/>
  <c r="B2409" i="120" s="1"/>
  <c r="B2766" i="120" s="1"/>
  <c r="A624" i="120"/>
  <c r="A981" i="120" s="1"/>
  <c r="A1338" i="120" s="1"/>
  <c r="A1695" i="120" s="1"/>
  <c r="A2052" i="120" s="1"/>
  <c r="A2409" i="120" s="1"/>
  <c r="A2766" i="120" s="1"/>
  <c r="M266" i="120"/>
  <c r="E623" i="120"/>
  <c r="E980" i="120" s="1"/>
  <c r="E1337" i="120" s="1"/>
  <c r="E1694" i="120" s="1"/>
  <c r="E2051" i="120" s="1"/>
  <c r="E2408" i="120" s="1"/>
  <c r="E2765" i="120" s="1"/>
  <c r="D623" i="120"/>
  <c r="D980" i="120" s="1"/>
  <c r="D1337" i="120" s="1"/>
  <c r="D1694" i="120" s="1"/>
  <c r="D2051" i="120" s="1"/>
  <c r="D2408" i="120" s="1"/>
  <c r="D2765" i="120" s="1"/>
  <c r="C623" i="120"/>
  <c r="C980" i="120" s="1"/>
  <c r="C1337" i="120" s="1"/>
  <c r="C1694" i="120" s="1"/>
  <c r="C2051" i="120" s="1"/>
  <c r="C2408" i="120" s="1"/>
  <c r="C2765" i="120" s="1"/>
  <c r="B623" i="120"/>
  <c r="B980" i="120" s="1"/>
  <c r="B1337" i="120" s="1"/>
  <c r="B1694" i="120" s="1"/>
  <c r="B2051" i="120" s="1"/>
  <c r="B2408" i="120" s="1"/>
  <c r="B2765" i="120" s="1"/>
  <c r="A623" i="120"/>
  <c r="A980" i="120" s="1"/>
  <c r="A1337" i="120" s="1"/>
  <c r="A1694" i="120" s="1"/>
  <c r="A2051" i="120" s="1"/>
  <c r="A2408" i="120" s="1"/>
  <c r="A2765" i="120" s="1"/>
  <c r="M265" i="120"/>
  <c r="E622" i="120"/>
  <c r="E979" i="120" s="1"/>
  <c r="E1336" i="120" s="1"/>
  <c r="E1693" i="120" s="1"/>
  <c r="E2050" i="120" s="1"/>
  <c r="E2407" i="120" s="1"/>
  <c r="E2764" i="120" s="1"/>
  <c r="D622" i="120"/>
  <c r="D979" i="120" s="1"/>
  <c r="D1336" i="120" s="1"/>
  <c r="D1693" i="120" s="1"/>
  <c r="D2050" i="120" s="1"/>
  <c r="D2407" i="120" s="1"/>
  <c r="D2764" i="120" s="1"/>
  <c r="C622" i="120"/>
  <c r="C979" i="120" s="1"/>
  <c r="C1336" i="120" s="1"/>
  <c r="C1693" i="120" s="1"/>
  <c r="C2050" i="120" s="1"/>
  <c r="C2407" i="120" s="1"/>
  <c r="C2764" i="120" s="1"/>
  <c r="B622" i="120"/>
  <c r="B979" i="120" s="1"/>
  <c r="B1336" i="120" s="1"/>
  <c r="B1693" i="120" s="1"/>
  <c r="B2050" i="120" s="1"/>
  <c r="B2407" i="120" s="1"/>
  <c r="B2764" i="120" s="1"/>
  <c r="A622" i="120"/>
  <c r="A979" i="120" s="1"/>
  <c r="A1336" i="120" s="1"/>
  <c r="A1693" i="120" s="1"/>
  <c r="A2050" i="120" s="1"/>
  <c r="A2407" i="120" s="1"/>
  <c r="A2764" i="120" s="1"/>
  <c r="M264" i="120"/>
  <c r="E621" i="120"/>
  <c r="E978" i="120" s="1"/>
  <c r="E1335" i="120" s="1"/>
  <c r="E1692" i="120" s="1"/>
  <c r="E2049" i="120" s="1"/>
  <c r="E2406" i="120" s="1"/>
  <c r="E2763" i="120" s="1"/>
  <c r="D621" i="120"/>
  <c r="D978" i="120" s="1"/>
  <c r="D1335" i="120" s="1"/>
  <c r="D1692" i="120" s="1"/>
  <c r="D2049" i="120" s="1"/>
  <c r="D2406" i="120" s="1"/>
  <c r="D2763" i="120" s="1"/>
  <c r="C621" i="120"/>
  <c r="C978" i="120" s="1"/>
  <c r="C1335" i="120" s="1"/>
  <c r="C1692" i="120" s="1"/>
  <c r="C2049" i="120" s="1"/>
  <c r="C2406" i="120" s="1"/>
  <c r="C2763" i="120" s="1"/>
  <c r="B621" i="120"/>
  <c r="B978" i="120" s="1"/>
  <c r="B1335" i="120" s="1"/>
  <c r="B1692" i="120" s="1"/>
  <c r="B2049" i="120" s="1"/>
  <c r="B2406" i="120" s="1"/>
  <c r="B2763" i="120" s="1"/>
  <c r="A621" i="120"/>
  <c r="A978" i="120" s="1"/>
  <c r="A1335" i="120" s="1"/>
  <c r="A1692" i="120" s="1"/>
  <c r="A2049" i="120" s="1"/>
  <c r="A2406" i="120" s="1"/>
  <c r="A2763" i="120" s="1"/>
  <c r="M263" i="120"/>
  <c r="E620" i="120"/>
  <c r="E977" i="120" s="1"/>
  <c r="E1334" i="120" s="1"/>
  <c r="E1691" i="120" s="1"/>
  <c r="E2048" i="120" s="1"/>
  <c r="E2405" i="120" s="1"/>
  <c r="E2762" i="120" s="1"/>
  <c r="D620" i="120"/>
  <c r="D977" i="120" s="1"/>
  <c r="D1334" i="120" s="1"/>
  <c r="D1691" i="120" s="1"/>
  <c r="D2048" i="120" s="1"/>
  <c r="D2405" i="120" s="1"/>
  <c r="D2762" i="120" s="1"/>
  <c r="C620" i="120"/>
  <c r="C977" i="120" s="1"/>
  <c r="C1334" i="120" s="1"/>
  <c r="C1691" i="120" s="1"/>
  <c r="C2048" i="120" s="1"/>
  <c r="C2405" i="120" s="1"/>
  <c r="C2762" i="120" s="1"/>
  <c r="B620" i="120"/>
  <c r="B977" i="120" s="1"/>
  <c r="B1334" i="120" s="1"/>
  <c r="B1691" i="120" s="1"/>
  <c r="B2048" i="120" s="1"/>
  <c r="B2405" i="120" s="1"/>
  <c r="B2762" i="120" s="1"/>
  <c r="A620" i="120"/>
  <c r="A977" i="120" s="1"/>
  <c r="A1334" i="120" s="1"/>
  <c r="A1691" i="120" s="1"/>
  <c r="A2048" i="120" s="1"/>
  <c r="A2405" i="120" s="1"/>
  <c r="A2762" i="120" s="1"/>
  <c r="M262" i="120"/>
  <c r="E619" i="120"/>
  <c r="E976" i="120" s="1"/>
  <c r="E1333" i="120" s="1"/>
  <c r="E1690" i="120" s="1"/>
  <c r="E2047" i="120" s="1"/>
  <c r="E2404" i="120" s="1"/>
  <c r="E2761" i="120" s="1"/>
  <c r="D619" i="120"/>
  <c r="D976" i="120" s="1"/>
  <c r="D1333" i="120" s="1"/>
  <c r="D1690" i="120" s="1"/>
  <c r="D2047" i="120" s="1"/>
  <c r="D2404" i="120" s="1"/>
  <c r="D2761" i="120" s="1"/>
  <c r="C619" i="120"/>
  <c r="C976" i="120" s="1"/>
  <c r="C1333" i="120" s="1"/>
  <c r="C1690" i="120" s="1"/>
  <c r="C2047" i="120" s="1"/>
  <c r="C2404" i="120" s="1"/>
  <c r="C2761" i="120" s="1"/>
  <c r="B619" i="120"/>
  <c r="B976" i="120" s="1"/>
  <c r="B1333" i="120" s="1"/>
  <c r="B1690" i="120" s="1"/>
  <c r="B2047" i="120" s="1"/>
  <c r="B2404" i="120" s="1"/>
  <c r="B2761" i="120" s="1"/>
  <c r="A619" i="120"/>
  <c r="A976" i="120" s="1"/>
  <c r="A1333" i="120" s="1"/>
  <c r="A1690" i="120" s="1"/>
  <c r="A2047" i="120" s="1"/>
  <c r="A2404" i="120" s="1"/>
  <c r="A2761" i="120" s="1"/>
  <c r="M261" i="120"/>
  <c r="E618" i="120"/>
  <c r="E975" i="120" s="1"/>
  <c r="E1332" i="120" s="1"/>
  <c r="E1689" i="120" s="1"/>
  <c r="E2046" i="120" s="1"/>
  <c r="E2403" i="120" s="1"/>
  <c r="E2760" i="120" s="1"/>
  <c r="D618" i="120"/>
  <c r="D975" i="120" s="1"/>
  <c r="D1332" i="120" s="1"/>
  <c r="D1689" i="120" s="1"/>
  <c r="D2046" i="120" s="1"/>
  <c r="D2403" i="120" s="1"/>
  <c r="D2760" i="120" s="1"/>
  <c r="C618" i="120"/>
  <c r="C975" i="120" s="1"/>
  <c r="C1332" i="120" s="1"/>
  <c r="C1689" i="120" s="1"/>
  <c r="C2046" i="120" s="1"/>
  <c r="C2403" i="120" s="1"/>
  <c r="C2760" i="120" s="1"/>
  <c r="B618" i="120"/>
  <c r="B975" i="120" s="1"/>
  <c r="B1332" i="120" s="1"/>
  <c r="B1689" i="120" s="1"/>
  <c r="B2046" i="120" s="1"/>
  <c r="B2403" i="120" s="1"/>
  <c r="B2760" i="120" s="1"/>
  <c r="A618" i="120"/>
  <c r="A975" i="120" s="1"/>
  <c r="A1332" i="120" s="1"/>
  <c r="A1689" i="120" s="1"/>
  <c r="A2046" i="120" s="1"/>
  <c r="A2403" i="120" s="1"/>
  <c r="A2760" i="120" s="1"/>
  <c r="M260" i="120"/>
  <c r="E617" i="120"/>
  <c r="E974" i="120" s="1"/>
  <c r="E1331" i="120" s="1"/>
  <c r="E1688" i="120" s="1"/>
  <c r="E2045" i="120" s="1"/>
  <c r="E2402" i="120" s="1"/>
  <c r="E2759" i="120" s="1"/>
  <c r="D617" i="120"/>
  <c r="D974" i="120" s="1"/>
  <c r="D1331" i="120" s="1"/>
  <c r="D1688" i="120" s="1"/>
  <c r="D2045" i="120" s="1"/>
  <c r="D2402" i="120" s="1"/>
  <c r="D2759" i="120" s="1"/>
  <c r="C617" i="120"/>
  <c r="C974" i="120" s="1"/>
  <c r="C1331" i="120" s="1"/>
  <c r="C1688" i="120" s="1"/>
  <c r="C2045" i="120" s="1"/>
  <c r="C2402" i="120" s="1"/>
  <c r="C2759" i="120" s="1"/>
  <c r="B617" i="120"/>
  <c r="B974" i="120" s="1"/>
  <c r="B1331" i="120" s="1"/>
  <c r="B1688" i="120" s="1"/>
  <c r="B2045" i="120" s="1"/>
  <c r="B2402" i="120" s="1"/>
  <c r="B2759" i="120" s="1"/>
  <c r="A617" i="120"/>
  <c r="A974" i="120" s="1"/>
  <c r="A1331" i="120" s="1"/>
  <c r="A1688" i="120" s="1"/>
  <c r="A2045" i="120" s="1"/>
  <c r="A2402" i="120" s="1"/>
  <c r="A2759" i="120" s="1"/>
  <c r="M259" i="120"/>
  <c r="E616" i="120"/>
  <c r="E973" i="120" s="1"/>
  <c r="E1330" i="120" s="1"/>
  <c r="E1687" i="120" s="1"/>
  <c r="E2044" i="120" s="1"/>
  <c r="E2401" i="120" s="1"/>
  <c r="E2758" i="120" s="1"/>
  <c r="D616" i="120"/>
  <c r="D973" i="120" s="1"/>
  <c r="D1330" i="120" s="1"/>
  <c r="D1687" i="120" s="1"/>
  <c r="D2044" i="120" s="1"/>
  <c r="D2401" i="120" s="1"/>
  <c r="D2758" i="120" s="1"/>
  <c r="C616" i="120"/>
  <c r="C973" i="120" s="1"/>
  <c r="C1330" i="120" s="1"/>
  <c r="C1687" i="120" s="1"/>
  <c r="C2044" i="120" s="1"/>
  <c r="C2401" i="120" s="1"/>
  <c r="C2758" i="120" s="1"/>
  <c r="B616" i="120"/>
  <c r="B973" i="120" s="1"/>
  <c r="B1330" i="120" s="1"/>
  <c r="B1687" i="120" s="1"/>
  <c r="B2044" i="120" s="1"/>
  <c r="B2401" i="120" s="1"/>
  <c r="B2758" i="120" s="1"/>
  <c r="A616" i="120"/>
  <c r="A973" i="120" s="1"/>
  <c r="A1330" i="120" s="1"/>
  <c r="A1687" i="120" s="1"/>
  <c r="A2044" i="120" s="1"/>
  <c r="A2401" i="120" s="1"/>
  <c r="A2758" i="120" s="1"/>
  <c r="M258" i="120"/>
  <c r="E615" i="120"/>
  <c r="E972" i="120" s="1"/>
  <c r="E1329" i="120" s="1"/>
  <c r="E1686" i="120" s="1"/>
  <c r="E2043" i="120" s="1"/>
  <c r="E2400" i="120" s="1"/>
  <c r="E2757" i="120" s="1"/>
  <c r="D615" i="120"/>
  <c r="D972" i="120" s="1"/>
  <c r="D1329" i="120" s="1"/>
  <c r="D1686" i="120" s="1"/>
  <c r="D2043" i="120" s="1"/>
  <c r="D2400" i="120" s="1"/>
  <c r="D2757" i="120" s="1"/>
  <c r="C615" i="120"/>
  <c r="C972" i="120" s="1"/>
  <c r="C1329" i="120" s="1"/>
  <c r="C1686" i="120" s="1"/>
  <c r="C2043" i="120" s="1"/>
  <c r="C2400" i="120" s="1"/>
  <c r="C2757" i="120" s="1"/>
  <c r="B615" i="120"/>
  <c r="B972" i="120" s="1"/>
  <c r="B1329" i="120" s="1"/>
  <c r="B1686" i="120" s="1"/>
  <c r="B2043" i="120" s="1"/>
  <c r="B2400" i="120" s="1"/>
  <c r="B2757" i="120" s="1"/>
  <c r="A615" i="120"/>
  <c r="A972" i="120" s="1"/>
  <c r="A1329" i="120" s="1"/>
  <c r="A1686" i="120" s="1"/>
  <c r="A2043" i="120" s="1"/>
  <c r="A2400" i="120" s="1"/>
  <c r="A2757" i="120" s="1"/>
  <c r="M257" i="120"/>
  <c r="E614" i="120"/>
  <c r="E971" i="120" s="1"/>
  <c r="E1328" i="120" s="1"/>
  <c r="E1685" i="120" s="1"/>
  <c r="E2042" i="120" s="1"/>
  <c r="E2399" i="120" s="1"/>
  <c r="E2756" i="120" s="1"/>
  <c r="D614" i="120"/>
  <c r="D971" i="120" s="1"/>
  <c r="D1328" i="120" s="1"/>
  <c r="D1685" i="120" s="1"/>
  <c r="D2042" i="120" s="1"/>
  <c r="D2399" i="120" s="1"/>
  <c r="D2756" i="120" s="1"/>
  <c r="C614" i="120"/>
  <c r="C971" i="120" s="1"/>
  <c r="C1328" i="120" s="1"/>
  <c r="C1685" i="120" s="1"/>
  <c r="C2042" i="120" s="1"/>
  <c r="C2399" i="120" s="1"/>
  <c r="C2756" i="120" s="1"/>
  <c r="B614" i="120"/>
  <c r="B971" i="120" s="1"/>
  <c r="B1328" i="120" s="1"/>
  <c r="B1685" i="120" s="1"/>
  <c r="B2042" i="120" s="1"/>
  <c r="B2399" i="120" s="1"/>
  <c r="B2756" i="120" s="1"/>
  <c r="A614" i="120"/>
  <c r="A971" i="120" s="1"/>
  <c r="A1328" i="120" s="1"/>
  <c r="A1685" i="120" s="1"/>
  <c r="A2042" i="120" s="1"/>
  <c r="A2399" i="120" s="1"/>
  <c r="A2756" i="120" s="1"/>
  <c r="M256" i="120"/>
  <c r="E613" i="120"/>
  <c r="E970" i="120" s="1"/>
  <c r="E1327" i="120" s="1"/>
  <c r="E1684" i="120" s="1"/>
  <c r="E2041" i="120" s="1"/>
  <c r="E2398" i="120" s="1"/>
  <c r="E2755" i="120" s="1"/>
  <c r="D613" i="120"/>
  <c r="D970" i="120" s="1"/>
  <c r="D1327" i="120" s="1"/>
  <c r="D1684" i="120" s="1"/>
  <c r="D2041" i="120" s="1"/>
  <c r="D2398" i="120" s="1"/>
  <c r="D2755" i="120" s="1"/>
  <c r="C613" i="120"/>
  <c r="C970" i="120" s="1"/>
  <c r="C1327" i="120" s="1"/>
  <c r="C1684" i="120" s="1"/>
  <c r="C2041" i="120" s="1"/>
  <c r="C2398" i="120" s="1"/>
  <c r="C2755" i="120" s="1"/>
  <c r="B613" i="120"/>
  <c r="B970" i="120" s="1"/>
  <c r="B1327" i="120" s="1"/>
  <c r="B1684" i="120" s="1"/>
  <c r="B2041" i="120" s="1"/>
  <c r="B2398" i="120" s="1"/>
  <c r="B2755" i="120" s="1"/>
  <c r="A613" i="120"/>
  <c r="A970" i="120" s="1"/>
  <c r="A1327" i="120" s="1"/>
  <c r="A1684" i="120" s="1"/>
  <c r="A2041" i="120" s="1"/>
  <c r="A2398" i="120" s="1"/>
  <c r="A2755" i="120" s="1"/>
  <c r="M255" i="120"/>
  <c r="E612" i="120"/>
  <c r="E969" i="120" s="1"/>
  <c r="E1326" i="120" s="1"/>
  <c r="E1683" i="120" s="1"/>
  <c r="E2040" i="120" s="1"/>
  <c r="E2397" i="120" s="1"/>
  <c r="E2754" i="120" s="1"/>
  <c r="D612" i="120"/>
  <c r="D969" i="120" s="1"/>
  <c r="D1326" i="120" s="1"/>
  <c r="D1683" i="120" s="1"/>
  <c r="D2040" i="120" s="1"/>
  <c r="D2397" i="120" s="1"/>
  <c r="D2754" i="120" s="1"/>
  <c r="C612" i="120"/>
  <c r="C969" i="120" s="1"/>
  <c r="C1326" i="120" s="1"/>
  <c r="C1683" i="120" s="1"/>
  <c r="C2040" i="120" s="1"/>
  <c r="C2397" i="120" s="1"/>
  <c r="C2754" i="120" s="1"/>
  <c r="B612" i="120"/>
  <c r="B969" i="120" s="1"/>
  <c r="B1326" i="120" s="1"/>
  <c r="B1683" i="120" s="1"/>
  <c r="B2040" i="120" s="1"/>
  <c r="B2397" i="120" s="1"/>
  <c r="B2754" i="120" s="1"/>
  <c r="A612" i="120"/>
  <c r="A969" i="120" s="1"/>
  <c r="A1326" i="120" s="1"/>
  <c r="A1683" i="120" s="1"/>
  <c r="A2040" i="120" s="1"/>
  <c r="A2397" i="120" s="1"/>
  <c r="A2754" i="120" s="1"/>
  <c r="M254" i="120"/>
  <c r="E611" i="120"/>
  <c r="E968" i="120" s="1"/>
  <c r="E1325" i="120" s="1"/>
  <c r="E1682" i="120" s="1"/>
  <c r="E2039" i="120" s="1"/>
  <c r="E2396" i="120" s="1"/>
  <c r="E2753" i="120" s="1"/>
  <c r="D611" i="120"/>
  <c r="D968" i="120" s="1"/>
  <c r="D1325" i="120" s="1"/>
  <c r="D1682" i="120" s="1"/>
  <c r="D2039" i="120" s="1"/>
  <c r="D2396" i="120" s="1"/>
  <c r="D2753" i="120" s="1"/>
  <c r="C611" i="120"/>
  <c r="C968" i="120" s="1"/>
  <c r="C1325" i="120" s="1"/>
  <c r="C1682" i="120" s="1"/>
  <c r="C2039" i="120" s="1"/>
  <c r="C2396" i="120" s="1"/>
  <c r="C2753" i="120" s="1"/>
  <c r="B611" i="120"/>
  <c r="B968" i="120" s="1"/>
  <c r="B1325" i="120" s="1"/>
  <c r="B1682" i="120" s="1"/>
  <c r="B2039" i="120" s="1"/>
  <c r="B2396" i="120" s="1"/>
  <c r="B2753" i="120" s="1"/>
  <c r="A611" i="120"/>
  <c r="A968" i="120" s="1"/>
  <c r="A1325" i="120" s="1"/>
  <c r="A1682" i="120" s="1"/>
  <c r="A2039" i="120" s="1"/>
  <c r="A2396" i="120" s="1"/>
  <c r="A2753" i="120" s="1"/>
  <c r="M253" i="120"/>
  <c r="E610" i="120"/>
  <c r="E967" i="120" s="1"/>
  <c r="E1324" i="120" s="1"/>
  <c r="E1681" i="120" s="1"/>
  <c r="E2038" i="120" s="1"/>
  <c r="E2395" i="120" s="1"/>
  <c r="E2752" i="120" s="1"/>
  <c r="D610" i="120"/>
  <c r="D967" i="120" s="1"/>
  <c r="D1324" i="120" s="1"/>
  <c r="D1681" i="120" s="1"/>
  <c r="D2038" i="120" s="1"/>
  <c r="D2395" i="120" s="1"/>
  <c r="D2752" i="120" s="1"/>
  <c r="C610" i="120"/>
  <c r="C967" i="120" s="1"/>
  <c r="C1324" i="120" s="1"/>
  <c r="C1681" i="120" s="1"/>
  <c r="C2038" i="120" s="1"/>
  <c r="C2395" i="120" s="1"/>
  <c r="C2752" i="120" s="1"/>
  <c r="B610" i="120"/>
  <c r="B967" i="120" s="1"/>
  <c r="B1324" i="120" s="1"/>
  <c r="B1681" i="120" s="1"/>
  <c r="B2038" i="120" s="1"/>
  <c r="B2395" i="120" s="1"/>
  <c r="B2752" i="120" s="1"/>
  <c r="A610" i="120"/>
  <c r="A967" i="120" s="1"/>
  <c r="A1324" i="120" s="1"/>
  <c r="A1681" i="120" s="1"/>
  <c r="A2038" i="120" s="1"/>
  <c r="A2395" i="120" s="1"/>
  <c r="A2752" i="120" s="1"/>
  <c r="M252" i="120"/>
  <c r="E609" i="120"/>
  <c r="E966" i="120" s="1"/>
  <c r="E1323" i="120" s="1"/>
  <c r="E1680" i="120" s="1"/>
  <c r="E2037" i="120" s="1"/>
  <c r="E2394" i="120" s="1"/>
  <c r="E2751" i="120" s="1"/>
  <c r="D609" i="120"/>
  <c r="D966" i="120" s="1"/>
  <c r="D1323" i="120" s="1"/>
  <c r="D1680" i="120" s="1"/>
  <c r="D2037" i="120" s="1"/>
  <c r="D2394" i="120" s="1"/>
  <c r="D2751" i="120" s="1"/>
  <c r="C609" i="120"/>
  <c r="C966" i="120" s="1"/>
  <c r="C1323" i="120" s="1"/>
  <c r="C1680" i="120" s="1"/>
  <c r="C2037" i="120" s="1"/>
  <c r="C2394" i="120" s="1"/>
  <c r="C2751" i="120" s="1"/>
  <c r="B609" i="120"/>
  <c r="B966" i="120" s="1"/>
  <c r="B1323" i="120" s="1"/>
  <c r="B1680" i="120" s="1"/>
  <c r="B2037" i="120" s="1"/>
  <c r="B2394" i="120" s="1"/>
  <c r="B2751" i="120" s="1"/>
  <c r="A609" i="120"/>
  <c r="A966" i="120" s="1"/>
  <c r="A1323" i="120" s="1"/>
  <c r="A1680" i="120" s="1"/>
  <c r="A2037" i="120" s="1"/>
  <c r="A2394" i="120" s="1"/>
  <c r="A2751" i="120" s="1"/>
  <c r="M251" i="120"/>
  <c r="E608" i="120"/>
  <c r="E965" i="120" s="1"/>
  <c r="E1322" i="120" s="1"/>
  <c r="E1679" i="120" s="1"/>
  <c r="E2036" i="120" s="1"/>
  <c r="E2393" i="120" s="1"/>
  <c r="E2750" i="120" s="1"/>
  <c r="D608" i="120"/>
  <c r="D965" i="120" s="1"/>
  <c r="D1322" i="120" s="1"/>
  <c r="D1679" i="120" s="1"/>
  <c r="D2036" i="120" s="1"/>
  <c r="D2393" i="120" s="1"/>
  <c r="D2750" i="120" s="1"/>
  <c r="C608" i="120"/>
  <c r="C965" i="120" s="1"/>
  <c r="C1322" i="120" s="1"/>
  <c r="C1679" i="120" s="1"/>
  <c r="C2036" i="120" s="1"/>
  <c r="C2393" i="120" s="1"/>
  <c r="C2750" i="120" s="1"/>
  <c r="B608" i="120"/>
  <c r="B965" i="120" s="1"/>
  <c r="B1322" i="120" s="1"/>
  <c r="B1679" i="120" s="1"/>
  <c r="B2036" i="120" s="1"/>
  <c r="B2393" i="120" s="1"/>
  <c r="B2750" i="120" s="1"/>
  <c r="A608" i="120"/>
  <c r="A965" i="120" s="1"/>
  <c r="A1322" i="120" s="1"/>
  <c r="A1679" i="120" s="1"/>
  <c r="A2036" i="120" s="1"/>
  <c r="A2393" i="120" s="1"/>
  <c r="A2750" i="120" s="1"/>
  <c r="M250" i="120"/>
  <c r="E607" i="120"/>
  <c r="E964" i="120" s="1"/>
  <c r="E1321" i="120" s="1"/>
  <c r="E1678" i="120" s="1"/>
  <c r="E2035" i="120" s="1"/>
  <c r="E2392" i="120" s="1"/>
  <c r="E2749" i="120" s="1"/>
  <c r="D607" i="120"/>
  <c r="D964" i="120" s="1"/>
  <c r="D1321" i="120" s="1"/>
  <c r="D1678" i="120" s="1"/>
  <c r="D2035" i="120" s="1"/>
  <c r="D2392" i="120" s="1"/>
  <c r="D2749" i="120" s="1"/>
  <c r="C607" i="120"/>
  <c r="C964" i="120" s="1"/>
  <c r="C1321" i="120" s="1"/>
  <c r="C1678" i="120" s="1"/>
  <c r="C2035" i="120" s="1"/>
  <c r="C2392" i="120" s="1"/>
  <c r="C2749" i="120" s="1"/>
  <c r="B607" i="120"/>
  <c r="B964" i="120" s="1"/>
  <c r="B1321" i="120" s="1"/>
  <c r="B1678" i="120" s="1"/>
  <c r="B2035" i="120" s="1"/>
  <c r="B2392" i="120" s="1"/>
  <c r="B2749" i="120" s="1"/>
  <c r="A607" i="120"/>
  <c r="A964" i="120" s="1"/>
  <c r="A1321" i="120" s="1"/>
  <c r="A1678" i="120" s="1"/>
  <c r="A2035" i="120" s="1"/>
  <c r="A2392" i="120" s="1"/>
  <c r="A2749" i="120" s="1"/>
  <c r="M249" i="120"/>
  <c r="E606" i="120"/>
  <c r="E963" i="120" s="1"/>
  <c r="E1320" i="120" s="1"/>
  <c r="E1677" i="120" s="1"/>
  <c r="E2034" i="120" s="1"/>
  <c r="E2391" i="120" s="1"/>
  <c r="E2748" i="120" s="1"/>
  <c r="D606" i="120"/>
  <c r="D963" i="120" s="1"/>
  <c r="D1320" i="120" s="1"/>
  <c r="D1677" i="120" s="1"/>
  <c r="D2034" i="120" s="1"/>
  <c r="D2391" i="120" s="1"/>
  <c r="D2748" i="120" s="1"/>
  <c r="C606" i="120"/>
  <c r="C963" i="120" s="1"/>
  <c r="C1320" i="120" s="1"/>
  <c r="C1677" i="120" s="1"/>
  <c r="C2034" i="120" s="1"/>
  <c r="C2391" i="120" s="1"/>
  <c r="C2748" i="120" s="1"/>
  <c r="B606" i="120"/>
  <c r="B963" i="120" s="1"/>
  <c r="B1320" i="120" s="1"/>
  <c r="B1677" i="120" s="1"/>
  <c r="B2034" i="120" s="1"/>
  <c r="B2391" i="120" s="1"/>
  <c r="B2748" i="120" s="1"/>
  <c r="A606" i="120"/>
  <c r="A963" i="120" s="1"/>
  <c r="A1320" i="120" s="1"/>
  <c r="A1677" i="120" s="1"/>
  <c r="A2034" i="120" s="1"/>
  <c r="A2391" i="120" s="1"/>
  <c r="A2748" i="120" s="1"/>
  <c r="M248" i="120"/>
  <c r="E605" i="120"/>
  <c r="E962" i="120" s="1"/>
  <c r="E1319" i="120" s="1"/>
  <c r="E1676" i="120" s="1"/>
  <c r="E2033" i="120" s="1"/>
  <c r="E2390" i="120" s="1"/>
  <c r="E2747" i="120" s="1"/>
  <c r="D605" i="120"/>
  <c r="D962" i="120" s="1"/>
  <c r="D1319" i="120" s="1"/>
  <c r="D1676" i="120" s="1"/>
  <c r="D2033" i="120" s="1"/>
  <c r="D2390" i="120" s="1"/>
  <c r="D2747" i="120" s="1"/>
  <c r="C605" i="120"/>
  <c r="C962" i="120" s="1"/>
  <c r="C1319" i="120" s="1"/>
  <c r="C1676" i="120" s="1"/>
  <c r="C2033" i="120" s="1"/>
  <c r="C2390" i="120" s="1"/>
  <c r="C2747" i="120" s="1"/>
  <c r="B605" i="120"/>
  <c r="B962" i="120" s="1"/>
  <c r="B1319" i="120" s="1"/>
  <c r="B1676" i="120" s="1"/>
  <c r="B2033" i="120" s="1"/>
  <c r="B2390" i="120" s="1"/>
  <c r="B2747" i="120" s="1"/>
  <c r="A605" i="120"/>
  <c r="A962" i="120" s="1"/>
  <c r="A1319" i="120" s="1"/>
  <c r="A1676" i="120" s="1"/>
  <c r="A2033" i="120" s="1"/>
  <c r="A2390" i="120" s="1"/>
  <c r="A2747" i="120" s="1"/>
  <c r="M247" i="120"/>
  <c r="E604" i="120"/>
  <c r="E961" i="120" s="1"/>
  <c r="E1318" i="120" s="1"/>
  <c r="E1675" i="120" s="1"/>
  <c r="E2032" i="120" s="1"/>
  <c r="E2389" i="120" s="1"/>
  <c r="E2746" i="120" s="1"/>
  <c r="D604" i="120"/>
  <c r="D961" i="120" s="1"/>
  <c r="D1318" i="120" s="1"/>
  <c r="D1675" i="120" s="1"/>
  <c r="D2032" i="120" s="1"/>
  <c r="D2389" i="120" s="1"/>
  <c r="D2746" i="120" s="1"/>
  <c r="C604" i="120"/>
  <c r="C961" i="120" s="1"/>
  <c r="C1318" i="120" s="1"/>
  <c r="C1675" i="120" s="1"/>
  <c r="C2032" i="120" s="1"/>
  <c r="C2389" i="120" s="1"/>
  <c r="C2746" i="120" s="1"/>
  <c r="B604" i="120"/>
  <c r="B961" i="120" s="1"/>
  <c r="B1318" i="120" s="1"/>
  <c r="B1675" i="120" s="1"/>
  <c r="B2032" i="120" s="1"/>
  <c r="B2389" i="120" s="1"/>
  <c r="B2746" i="120" s="1"/>
  <c r="A604" i="120"/>
  <c r="A961" i="120" s="1"/>
  <c r="A1318" i="120" s="1"/>
  <c r="A1675" i="120" s="1"/>
  <c r="A2032" i="120" s="1"/>
  <c r="A2389" i="120" s="1"/>
  <c r="A2746" i="120" s="1"/>
  <c r="M246" i="120"/>
  <c r="E603" i="120"/>
  <c r="E960" i="120" s="1"/>
  <c r="E1317" i="120" s="1"/>
  <c r="E1674" i="120" s="1"/>
  <c r="E2031" i="120" s="1"/>
  <c r="E2388" i="120" s="1"/>
  <c r="E2745" i="120" s="1"/>
  <c r="D603" i="120"/>
  <c r="D960" i="120" s="1"/>
  <c r="D1317" i="120" s="1"/>
  <c r="D1674" i="120" s="1"/>
  <c r="D2031" i="120" s="1"/>
  <c r="D2388" i="120" s="1"/>
  <c r="D2745" i="120" s="1"/>
  <c r="C603" i="120"/>
  <c r="C960" i="120" s="1"/>
  <c r="C1317" i="120" s="1"/>
  <c r="C1674" i="120" s="1"/>
  <c r="C2031" i="120" s="1"/>
  <c r="C2388" i="120" s="1"/>
  <c r="C2745" i="120" s="1"/>
  <c r="B603" i="120"/>
  <c r="B960" i="120" s="1"/>
  <c r="B1317" i="120" s="1"/>
  <c r="B1674" i="120" s="1"/>
  <c r="B2031" i="120" s="1"/>
  <c r="B2388" i="120" s="1"/>
  <c r="B2745" i="120" s="1"/>
  <c r="A603" i="120"/>
  <c r="A960" i="120" s="1"/>
  <c r="A1317" i="120" s="1"/>
  <c r="A1674" i="120" s="1"/>
  <c r="A2031" i="120" s="1"/>
  <c r="A2388" i="120" s="1"/>
  <c r="A2745" i="120" s="1"/>
  <c r="M245" i="120"/>
  <c r="E602" i="120"/>
  <c r="E959" i="120" s="1"/>
  <c r="E1316" i="120" s="1"/>
  <c r="E1673" i="120" s="1"/>
  <c r="E2030" i="120" s="1"/>
  <c r="E2387" i="120" s="1"/>
  <c r="E2744" i="120" s="1"/>
  <c r="D602" i="120"/>
  <c r="D959" i="120" s="1"/>
  <c r="D1316" i="120" s="1"/>
  <c r="D1673" i="120" s="1"/>
  <c r="D2030" i="120" s="1"/>
  <c r="D2387" i="120" s="1"/>
  <c r="D2744" i="120" s="1"/>
  <c r="C602" i="120"/>
  <c r="C959" i="120" s="1"/>
  <c r="C1316" i="120" s="1"/>
  <c r="C1673" i="120" s="1"/>
  <c r="C2030" i="120" s="1"/>
  <c r="C2387" i="120" s="1"/>
  <c r="C2744" i="120" s="1"/>
  <c r="B602" i="120"/>
  <c r="B959" i="120" s="1"/>
  <c r="B1316" i="120" s="1"/>
  <c r="B1673" i="120" s="1"/>
  <c r="B2030" i="120" s="1"/>
  <c r="B2387" i="120" s="1"/>
  <c r="B2744" i="120" s="1"/>
  <c r="A602" i="120"/>
  <c r="A959" i="120" s="1"/>
  <c r="A1316" i="120" s="1"/>
  <c r="A1673" i="120" s="1"/>
  <c r="A2030" i="120" s="1"/>
  <c r="A2387" i="120" s="1"/>
  <c r="A2744" i="120" s="1"/>
  <c r="M244" i="120"/>
  <c r="E601" i="120"/>
  <c r="E958" i="120" s="1"/>
  <c r="E1315" i="120" s="1"/>
  <c r="E1672" i="120" s="1"/>
  <c r="E2029" i="120" s="1"/>
  <c r="E2386" i="120" s="1"/>
  <c r="E2743" i="120" s="1"/>
  <c r="D601" i="120"/>
  <c r="D958" i="120" s="1"/>
  <c r="D1315" i="120" s="1"/>
  <c r="D1672" i="120" s="1"/>
  <c r="D2029" i="120" s="1"/>
  <c r="D2386" i="120" s="1"/>
  <c r="D2743" i="120" s="1"/>
  <c r="C601" i="120"/>
  <c r="C958" i="120" s="1"/>
  <c r="C1315" i="120" s="1"/>
  <c r="C1672" i="120" s="1"/>
  <c r="C2029" i="120" s="1"/>
  <c r="C2386" i="120" s="1"/>
  <c r="C2743" i="120" s="1"/>
  <c r="B601" i="120"/>
  <c r="B958" i="120" s="1"/>
  <c r="B1315" i="120" s="1"/>
  <c r="B1672" i="120" s="1"/>
  <c r="B2029" i="120" s="1"/>
  <c r="B2386" i="120" s="1"/>
  <c r="B2743" i="120" s="1"/>
  <c r="A601" i="120"/>
  <c r="A958" i="120" s="1"/>
  <c r="A1315" i="120" s="1"/>
  <c r="A1672" i="120" s="1"/>
  <c r="A2029" i="120" s="1"/>
  <c r="A2386" i="120" s="1"/>
  <c r="A2743" i="120" s="1"/>
  <c r="M243" i="120"/>
  <c r="E600" i="120"/>
  <c r="E957" i="120" s="1"/>
  <c r="E1314" i="120" s="1"/>
  <c r="E1671" i="120" s="1"/>
  <c r="E2028" i="120" s="1"/>
  <c r="E2385" i="120" s="1"/>
  <c r="E2742" i="120" s="1"/>
  <c r="D600" i="120"/>
  <c r="D957" i="120" s="1"/>
  <c r="D1314" i="120" s="1"/>
  <c r="D1671" i="120" s="1"/>
  <c r="D2028" i="120" s="1"/>
  <c r="D2385" i="120" s="1"/>
  <c r="D2742" i="120" s="1"/>
  <c r="C600" i="120"/>
  <c r="C957" i="120" s="1"/>
  <c r="C1314" i="120" s="1"/>
  <c r="C1671" i="120" s="1"/>
  <c r="C2028" i="120" s="1"/>
  <c r="C2385" i="120" s="1"/>
  <c r="C2742" i="120" s="1"/>
  <c r="B600" i="120"/>
  <c r="B957" i="120" s="1"/>
  <c r="B1314" i="120" s="1"/>
  <c r="B1671" i="120" s="1"/>
  <c r="B2028" i="120" s="1"/>
  <c r="B2385" i="120" s="1"/>
  <c r="B2742" i="120" s="1"/>
  <c r="A600" i="120"/>
  <c r="A957" i="120" s="1"/>
  <c r="A1314" i="120" s="1"/>
  <c r="A1671" i="120" s="1"/>
  <c r="A2028" i="120" s="1"/>
  <c r="A2385" i="120" s="1"/>
  <c r="A2742" i="120" s="1"/>
  <c r="M242" i="120"/>
  <c r="E599" i="120"/>
  <c r="E956" i="120" s="1"/>
  <c r="E1313" i="120" s="1"/>
  <c r="E1670" i="120" s="1"/>
  <c r="E2027" i="120" s="1"/>
  <c r="E2384" i="120" s="1"/>
  <c r="E2741" i="120" s="1"/>
  <c r="D599" i="120"/>
  <c r="D956" i="120" s="1"/>
  <c r="D1313" i="120" s="1"/>
  <c r="D1670" i="120" s="1"/>
  <c r="D2027" i="120" s="1"/>
  <c r="D2384" i="120" s="1"/>
  <c r="D2741" i="120" s="1"/>
  <c r="C599" i="120"/>
  <c r="C956" i="120" s="1"/>
  <c r="C1313" i="120" s="1"/>
  <c r="C1670" i="120" s="1"/>
  <c r="C2027" i="120" s="1"/>
  <c r="C2384" i="120" s="1"/>
  <c r="C2741" i="120" s="1"/>
  <c r="B599" i="120"/>
  <c r="B956" i="120" s="1"/>
  <c r="B1313" i="120" s="1"/>
  <c r="B1670" i="120" s="1"/>
  <c r="B2027" i="120" s="1"/>
  <c r="B2384" i="120" s="1"/>
  <c r="B2741" i="120" s="1"/>
  <c r="A599" i="120"/>
  <c r="A956" i="120" s="1"/>
  <c r="A1313" i="120" s="1"/>
  <c r="A1670" i="120" s="1"/>
  <c r="A2027" i="120" s="1"/>
  <c r="A2384" i="120" s="1"/>
  <c r="A2741" i="120" s="1"/>
  <c r="M241" i="120"/>
  <c r="E598" i="120"/>
  <c r="E955" i="120" s="1"/>
  <c r="E1312" i="120" s="1"/>
  <c r="E1669" i="120" s="1"/>
  <c r="E2026" i="120" s="1"/>
  <c r="E2383" i="120" s="1"/>
  <c r="E2740" i="120" s="1"/>
  <c r="D598" i="120"/>
  <c r="D955" i="120" s="1"/>
  <c r="D1312" i="120" s="1"/>
  <c r="D1669" i="120" s="1"/>
  <c r="D2026" i="120" s="1"/>
  <c r="D2383" i="120" s="1"/>
  <c r="D2740" i="120" s="1"/>
  <c r="C598" i="120"/>
  <c r="C955" i="120" s="1"/>
  <c r="C1312" i="120" s="1"/>
  <c r="C1669" i="120" s="1"/>
  <c r="C2026" i="120" s="1"/>
  <c r="C2383" i="120" s="1"/>
  <c r="C2740" i="120" s="1"/>
  <c r="B598" i="120"/>
  <c r="B955" i="120" s="1"/>
  <c r="B1312" i="120" s="1"/>
  <c r="B1669" i="120" s="1"/>
  <c r="B2026" i="120" s="1"/>
  <c r="B2383" i="120" s="1"/>
  <c r="B2740" i="120" s="1"/>
  <c r="A598" i="120"/>
  <c r="A955" i="120" s="1"/>
  <c r="A1312" i="120" s="1"/>
  <c r="A1669" i="120" s="1"/>
  <c r="A2026" i="120" s="1"/>
  <c r="A2383" i="120" s="1"/>
  <c r="A2740" i="120" s="1"/>
  <c r="M240" i="120"/>
  <c r="E597" i="120"/>
  <c r="E954" i="120" s="1"/>
  <c r="E1311" i="120" s="1"/>
  <c r="E1668" i="120" s="1"/>
  <c r="E2025" i="120" s="1"/>
  <c r="E2382" i="120" s="1"/>
  <c r="E2739" i="120" s="1"/>
  <c r="D597" i="120"/>
  <c r="D954" i="120" s="1"/>
  <c r="D1311" i="120" s="1"/>
  <c r="D1668" i="120" s="1"/>
  <c r="D2025" i="120" s="1"/>
  <c r="D2382" i="120" s="1"/>
  <c r="D2739" i="120" s="1"/>
  <c r="C597" i="120"/>
  <c r="C954" i="120" s="1"/>
  <c r="C1311" i="120" s="1"/>
  <c r="C1668" i="120" s="1"/>
  <c r="C2025" i="120" s="1"/>
  <c r="C2382" i="120" s="1"/>
  <c r="C2739" i="120" s="1"/>
  <c r="B597" i="120"/>
  <c r="B954" i="120" s="1"/>
  <c r="B1311" i="120" s="1"/>
  <c r="B1668" i="120" s="1"/>
  <c r="B2025" i="120" s="1"/>
  <c r="B2382" i="120" s="1"/>
  <c r="B2739" i="120" s="1"/>
  <c r="A597" i="120"/>
  <c r="A954" i="120" s="1"/>
  <c r="A1311" i="120" s="1"/>
  <c r="A1668" i="120" s="1"/>
  <c r="A2025" i="120" s="1"/>
  <c r="A2382" i="120" s="1"/>
  <c r="A2739" i="120" s="1"/>
  <c r="M239" i="120"/>
  <c r="E596" i="120"/>
  <c r="E953" i="120" s="1"/>
  <c r="E1310" i="120" s="1"/>
  <c r="E1667" i="120" s="1"/>
  <c r="E2024" i="120" s="1"/>
  <c r="E2381" i="120" s="1"/>
  <c r="E2738" i="120" s="1"/>
  <c r="D596" i="120"/>
  <c r="D953" i="120" s="1"/>
  <c r="D1310" i="120" s="1"/>
  <c r="D1667" i="120" s="1"/>
  <c r="D2024" i="120" s="1"/>
  <c r="D2381" i="120" s="1"/>
  <c r="D2738" i="120" s="1"/>
  <c r="C596" i="120"/>
  <c r="C953" i="120" s="1"/>
  <c r="C1310" i="120" s="1"/>
  <c r="C1667" i="120" s="1"/>
  <c r="C2024" i="120" s="1"/>
  <c r="C2381" i="120" s="1"/>
  <c r="C2738" i="120" s="1"/>
  <c r="B596" i="120"/>
  <c r="B953" i="120" s="1"/>
  <c r="B1310" i="120" s="1"/>
  <c r="B1667" i="120" s="1"/>
  <c r="B2024" i="120" s="1"/>
  <c r="B2381" i="120" s="1"/>
  <c r="B2738" i="120" s="1"/>
  <c r="A596" i="120"/>
  <c r="A953" i="120" s="1"/>
  <c r="A1310" i="120" s="1"/>
  <c r="A1667" i="120" s="1"/>
  <c r="A2024" i="120" s="1"/>
  <c r="A2381" i="120" s="1"/>
  <c r="A2738" i="120" s="1"/>
  <c r="M238" i="120"/>
  <c r="E595" i="120"/>
  <c r="E952" i="120" s="1"/>
  <c r="E1309" i="120" s="1"/>
  <c r="E1666" i="120" s="1"/>
  <c r="E2023" i="120" s="1"/>
  <c r="E2380" i="120" s="1"/>
  <c r="E2737" i="120" s="1"/>
  <c r="D595" i="120"/>
  <c r="D952" i="120" s="1"/>
  <c r="D1309" i="120" s="1"/>
  <c r="D1666" i="120" s="1"/>
  <c r="D2023" i="120" s="1"/>
  <c r="D2380" i="120" s="1"/>
  <c r="D2737" i="120" s="1"/>
  <c r="C595" i="120"/>
  <c r="C952" i="120" s="1"/>
  <c r="C1309" i="120" s="1"/>
  <c r="C1666" i="120" s="1"/>
  <c r="C2023" i="120" s="1"/>
  <c r="C2380" i="120" s="1"/>
  <c r="C2737" i="120" s="1"/>
  <c r="B595" i="120"/>
  <c r="B952" i="120" s="1"/>
  <c r="B1309" i="120" s="1"/>
  <c r="B1666" i="120" s="1"/>
  <c r="B2023" i="120" s="1"/>
  <c r="B2380" i="120" s="1"/>
  <c r="B2737" i="120" s="1"/>
  <c r="A595" i="120"/>
  <c r="A952" i="120" s="1"/>
  <c r="A1309" i="120" s="1"/>
  <c r="A1666" i="120" s="1"/>
  <c r="A2023" i="120" s="1"/>
  <c r="A2380" i="120" s="1"/>
  <c r="A2737" i="120" s="1"/>
  <c r="M237" i="120"/>
  <c r="E594" i="120"/>
  <c r="E951" i="120" s="1"/>
  <c r="E1308" i="120" s="1"/>
  <c r="E1665" i="120" s="1"/>
  <c r="E2022" i="120" s="1"/>
  <c r="E2379" i="120" s="1"/>
  <c r="E2736" i="120" s="1"/>
  <c r="D594" i="120"/>
  <c r="D951" i="120" s="1"/>
  <c r="D1308" i="120" s="1"/>
  <c r="D1665" i="120" s="1"/>
  <c r="D2022" i="120" s="1"/>
  <c r="D2379" i="120" s="1"/>
  <c r="D2736" i="120" s="1"/>
  <c r="C594" i="120"/>
  <c r="C951" i="120" s="1"/>
  <c r="C1308" i="120" s="1"/>
  <c r="C1665" i="120" s="1"/>
  <c r="C2022" i="120" s="1"/>
  <c r="C2379" i="120" s="1"/>
  <c r="C2736" i="120" s="1"/>
  <c r="B594" i="120"/>
  <c r="B951" i="120" s="1"/>
  <c r="B1308" i="120" s="1"/>
  <c r="B1665" i="120" s="1"/>
  <c r="B2022" i="120" s="1"/>
  <c r="B2379" i="120" s="1"/>
  <c r="B2736" i="120" s="1"/>
  <c r="A594" i="120"/>
  <c r="A951" i="120" s="1"/>
  <c r="A1308" i="120" s="1"/>
  <c r="A1665" i="120" s="1"/>
  <c r="A2022" i="120" s="1"/>
  <c r="A2379" i="120" s="1"/>
  <c r="A2736" i="120" s="1"/>
  <c r="M236" i="120"/>
  <c r="E593" i="120"/>
  <c r="E950" i="120" s="1"/>
  <c r="E1307" i="120" s="1"/>
  <c r="E1664" i="120" s="1"/>
  <c r="E2021" i="120" s="1"/>
  <c r="E2378" i="120" s="1"/>
  <c r="E2735" i="120" s="1"/>
  <c r="D593" i="120"/>
  <c r="D950" i="120" s="1"/>
  <c r="D1307" i="120" s="1"/>
  <c r="D1664" i="120" s="1"/>
  <c r="D2021" i="120" s="1"/>
  <c r="D2378" i="120" s="1"/>
  <c r="D2735" i="120" s="1"/>
  <c r="C593" i="120"/>
  <c r="C950" i="120" s="1"/>
  <c r="C1307" i="120" s="1"/>
  <c r="C1664" i="120" s="1"/>
  <c r="C2021" i="120" s="1"/>
  <c r="C2378" i="120" s="1"/>
  <c r="C2735" i="120" s="1"/>
  <c r="B593" i="120"/>
  <c r="B950" i="120" s="1"/>
  <c r="B1307" i="120" s="1"/>
  <c r="B1664" i="120" s="1"/>
  <c r="B2021" i="120" s="1"/>
  <c r="B2378" i="120" s="1"/>
  <c r="B2735" i="120" s="1"/>
  <c r="A593" i="120"/>
  <c r="A950" i="120" s="1"/>
  <c r="A1307" i="120" s="1"/>
  <c r="A1664" i="120" s="1"/>
  <c r="A2021" i="120" s="1"/>
  <c r="A2378" i="120" s="1"/>
  <c r="A2735" i="120" s="1"/>
  <c r="M235" i="120"/>
  <c r="E592" i="120"/>
  <c r="E949" i="120" s="1"/>
  <c r="E1306" i="120" s="1"/>
  <c r="E1663" i="120" s="1"/>
  <c r="E2020" i="120" s="1"/>
  <c r="E2377" i="120" s="1"/>
  <c r="E2734" i="120" s="1"/>
  <c r="D592" i="120"/>
  <c r="D949" i="120" s="1"/>
  <c r="D1306" i="120" s="1"/>
  <c r="D1663" i="120" s="1"/>
  <c r="D2020" i="120" s="1"/>
  <c r="D2377" i="120" s="1"/>
  <c r="D2734" i="120" s="1"/>
  <c r="C592" i="120"/>
  <c r="C949" i="120" s="1"/>
  <c r="C1306" i="120" s="1"/>
  <c r="C1663" i="120" s="1"/>
  <c r="C2020" i="120" s="1"/>
  <c r="C2377" i="120" s="1"/>
  <c r="C2734" i="120" s="1"/>
  <c r="B592" i="120"/>
  <c r="B949" i="120" s="1"/>
  <c r="B1306" i="120" s="1"/>
  <c r="B1663" i="120" s="1"/>
  <c r="B2020" i="120" s="1"/>
  <c r="B2377" i="120" s="1"/>
  <c r="B2734" i="120" s="1"/>
  <c r="A592" i="120"/>
  <c r="A949" i="120" s="1"/>
  <c r="A1306" i="120" s="1"/>
  <c r="A1663" i="120" s="1"/>
  <c r="A2020" i="120" s="1"/>
  <c r="A2377" i="120" s="1"/>
  <c r="A2734" i="120" s="1"/>
  <c r="M234" i="120"/>
  <c r="E591" i="120"/>
  <c r="E948" i="120" s="1"/>
  <c r="E1305" i="120" s="1"/>
  <c r="E1662" i="120" s="1"/>
  <c r="E2019" i="120" s="1"/>
  <c r="E2376" i="120" s="1"/>
  <c r="E2733" i="120" s="1"/>
  <c r="D591" i="120"/>
  <c r="D948" i="120" s="1"/>
  <c r="D1305" i="120" s="1"/>
  <c r="D1662" i="120" s="1"/>
  <c r="D2019" i="120" s="1"/>
  <c r="D2376" i="120" s="1"/>
  <c r="D2733" i="120" s="1"/>
  <c r="C591" i="120"/>
  <c r="C948" i="120" s="1"/>
  <c r="C1305" i="120" s="1"/>
  <c r="C1662" i="120" s="1"/>
  <c r="C2019" i="120" s="1"/>
  <c r="C2376" i="120" s="1"/>
  <c r="C2733" i="120" s="1"/>
  <c r="B591" i="120"/>
  <c r="B948" i="120" s="1"/>
  <c r="B1305" i="120" s="1"/>
  <c r="B1662" i="120" s="1"/>
  <c r="B2019" i="120" s="1"/>
  <c r="B2376" i="120" s="1"/>
  <c r="B2733" i="120" s="1"/>
  <c r="A591" i="120"/>
  <c r="A948" i="120" s="1"/>
  <c r="A1305" i="120" s="1"/>
  <c r="A1662" i="120" s="1"/>
  <c r="A2019" i="120" s="1"/>
  <c r="A2376" i="120" s="1"/>
  <c r="A2733" i="120" s="1"/>
  <c r="M233" i="120"/>
  <c r="E590" i="120"/>
  <c r="E947" i="120" s="1"/>
  <c r="E1304" i="120" s="1"/>
  <c r="E1661" i="120" s="1"/>
  <c r="E2018" i="120" s="1"/>
  <c r="E2375" i="120" s="1"/>
  <c r="E2732" i="120" s="1"/>
  <c r="D590" i="120"/>
  <c r="D947" i="120" s="1"/>
  <c r="D1304" i="120" s="1"/>
  <c r="D1661" i="120" s="1"/>
  <c r="D2018" i="120" s="1"/>
  <c r="D2375" i="120" s="1"/>
  <c r="D2732" i="120" s="1"/>
  <c r="C590" i="120"/>
  <c r="C947" i="120" s="1"/>
  <c r="C1304" i="120" s="1"/>
  <c r="C1661" i="120" s="1"/>
  <c r="C2018" i="120" s="1"/>
  <c r="C2375" i="120" s="1"/>
  <c r="C2732" i="120" s="1"/>
  <c r="B590" i="120"/>
  <c r="B947" i="120" s="1"/>
  <c r="B1304" i="120" s="1"/>
  <c r="B1661" i="120" s="1"/>
  <c r="B2018" i="120" s="1"/>
  <c r="B2375" i="120" s="1"/>
  <c r="B2732" i="120" s="1"/>
  <c r="A590" i="120"/>
  <c r="A947" i="120" s="1"/>
  <c r="A1304" i="120" s="1"/>
  <c r="A1661" i="120" s="1"/>
  <c r="A2018" i="120" s="1"/>
  <c r="A2375" i="120" s="1"/>
  <c r="A2732" i="120" s="1"/>
  <c r="M232" i="120"/>
  <c r="E589" i="120"/>
  <c r="E946" i="120" s="1"/>
  <c r="E1303" i="120" s="1"/>
  <c r="E1660" i="120" s="1"/>
  <c r="E2017" i="120" s="1"/>
  <c r="E2374" i="120" s="1"/>
  <c r="E2731" i="120" s="1"/>
  <c r="D589" i="120"/>
  <c r="D946" i="120" s="1"/>
  <c r="D1303" i="120" s="1"/>
  <c r="D1660" i="120" s="1"/>
  <c r="D2017" i="120" s="1"/>
  <c r="D2374" i="120" s="1"/>
  <c r="D2731" i="120" s="1"/>
  <c r="C589" i="120"/>
  <c r="C946" i="120" s="1"/>
  <c r="C1303" i="120" s="1"/>
  <c r="C1660" i="120" s="1"/>
  <c r="C2017" i="120" s="1"/>
  <c r="C2374" i="120" s="1"/>
  <c r="C2731" i="120" s="1"/>
  <c r="B589" i="120"/>
  <c r="B946" i="120" s="1"/>
  <c r="B1303" i="120" s="1"/>
  <c r="B1660" i="120" s="1"/>
  <c r="B2017" i="120" s="1"/>
  <c r="B2374" i="120" s="1"/>
  <c r="B2731" i="120" s="1"/>
  <c r="A589" i="120"/>
  <c r="A946" i="120" s="1"/>
  <c r="A1303" i="120" s="1"/>
  <c r="A1660" i="120" s="1"/>
  <c r="A2017" i="120" s="1"/>
  <c r="A2374" i="120" s="1"/>
  <c r="A2731" i="120" s="1"/>
  <c r="M231" i="120"/>
  <c r="E588" i="120"/>
  <c r="E945" i="120" s="1"/>
  <c r="E1302" i="120" s="1"/>
  <c r="E1659" i="120" s="1"/>
  <c r="E2016" i="120" s="1"/>
  <c r="E2373" i="120" s="1"/>
  <c r="E2730" i="120" s="1"/>
  <c r="D588" i="120"/>
  <c r="D945" i="120" s="1"/>
  <c r="D1302" i="120" s="1"/>
  <c r="D1659" i="120" s="1"/>
  <c r="D2016" i="120" s="1"/>
  <c r="D2373" i="120" s="1"/>
  <c r="D2730" i="120" s="1"/>
  <c r="C588" i="120"/>
  <c r="C945" i="120" s="1"/>
  <c r="C1302" i="120" s="1"/>
  <c r="C1659" i="120" s="1"/>
  <c r="C2016" i="120" s="1"/>
  <c r="C2373" i="120" s="1"/>
  <c r="C2730" i="120" s="1"/>
  <c r="B588" i="120"/>
  <c r="B945" i="120" s="1"/>
  <c r="B1302" i="120" s="1"/>
  <c r="B1659" i="120" s="1"/>
  <c r="B2016" i="120" s="1"/>
  <c r="B2373" i="120" s="1"/>
  <c r="B2730" i="120" s="1"/>
  <c r="A588" i="120"/>
  <c r="A945" i="120" s="1"/>
  <c r="A1302" i="120" s="1"/>
  <c r="A1659" i="120" s="1"/>
  <c r="A2016" i="120" s="1"/>
  <c r="A2373" i="120" s="1"/>
  <c r="A2730" i="120" s="1"/>
  <c r="M230" i="120"/>
  <c r="E587" i="120"/>
  <c r="E944" i="120" s="1"/>
  <c r="E1301" i="120" s="1"/>
  <c r="E1658" i="120" s="1"/>
  <c r="E2015" i="120" s="1"/>
  <c r="E2372" i="120" s="1"/>
  <c r="E2729" i="120" s="1"/>
  <c r="D587" i="120"/>
  <c r="D944" i="120" s="1"/>
  <c r="D1301" i="120" s="1"/>
  <c r="D1658" i="120" s="1"/>
  <c r="D2015" i="120" s="1"/>
  <c r="D2372" i="120" s="1"/>
  <c r="D2729" i="120" s="1"/>
  <c r="C587" i="120"/>
  <c r="C944" i="120" s="1"/>
  <c r="C1301" i="120" s="1"/>
  <c r="C1658" i="120" s="1"/>
  <c r="C2015" i="120" s="1"/>
  <c r="C2372" i="120" s="1"/>
  <c r="C2729" i="120" s="1"/>
  <c r="B587" i="120"/>
  <c r="B944" i="120" s="1"/>
  <c r="B1301" i="120" s="1"/>
  <c r="B1658" i="120" s="1"/>
  <c r="B2015" i="120" s="1"/>
  <c r="B2372" i="120" s="1"/>
  <c r="B2729" i="120" s="1"/>
  <c r="A587" i="120"/>
  <c r="A944" i="120" s="1"/>
  <c r="A1301" i="120" s="1"/>
  <c r="A1658" i="120" s="1"/>
  <c r="A2015" i="120" s="1"/>
  <c r="A2372" i="120" s="1"/>
  <c r="A2729" i="120" s="1"/>
  <c r="M229" i="120"/>
  <c r="E586" i="120"/>
  <c r="E943" i="120" s="1"/>
  <c r="E1300" i="120" s="1"/>
  <c r="E1657" i="120" s="1"/>
  <c r="E2014" i="120" s="1"/>
  <c r="E2371" i="120" s="1"/>
  <c r="E2728" i="120" s="1"/>
  <c r="D586" i="120"/>
  <c r="D943" i="120" s="1"/>
  <c r="D1300" i="120" s="1"/>
  <c r="D1657" i="120" s="1"/>
  <c r="D2014" i="120" s="1"/>
  <c r="D2371" i="120" s="1"/>
  <c r="D2728" i="120" s="1"/>
  <c r="C586" i="120"/>
  <c r="C943" i="120" s="1"/>
  <c r="C1300" i="120" s="1"/>
  <c r="C1657" i="120" s="1"/>
  <c r="C2014" i="120" s="1"/>
  <c r="C2371" i="120" s="1"/>
  <c r="C2728" i="120" s="1"/>
  <c r="B586" i="120"/>
  <c r="B943" i="120" s="1"/>
  <c r="B1300" i="120" s="1"/>
  <c r="B1657" i="120" s="1"/>
  <c r="B2014" i="120" s="1"/>
  <c r="B2371" i="120" s="1"/>
  <c r="B2728" i="120" s="1"/>
  <c r="A586" i="120"/>
  <c r="A943" i="120" s="1"/>
  <c r="A1300" i="120" s="1"/>
  <c r="A1657" i="120" s="1"/>
  <c r="A2014" i="120" s="1"/>
  <c r="A2371" i="120" s="1"/>
  <c r="A2728" i="120" s="1"/>
  <c r="M228" i="120"/>
  <c r="E585" i="120"/>
  <c r="E942" i="120" s="1"/>
  <c r="E1299" i="120" s="1"/>
  <c r="E1656" i="120" s="1"/>
  <c r="E2013" i="120" s="1"/>
  <c r="E2370" i="120" s="1"/>
  <c r="E2727" i="120" s="1"/>
  <c r="D585" i="120"/>
  <c r="D942" i="120" s="1"/>
  <c r="D1299" i="120" s="1"/>
  <c r="D1656" i="120" s="1"/>
  <c r="D2013" i="120" s="1"/>
  <c r="D2370" i="120" s="1"/>
  <c r="D2727" i="120" s="1"/>
  <c r="C585" i="120"/>
  <c r="C942" i="120" s="1"/>
  <c r="C1299" i="120" s="1"/>
  <c r="C1656" i="120" s="1"/>
  <c r="C2013" i="120" s="1"/>
  <c r="C2370" i="120" s="1"/>
  <c r="C2727" i="120" s="1"/>
  <c r="B585" i="120"/>
  <c r="B942" i="120" s="1"/>
  <c r="B1299" i="120" s="1"/>
  <c r="B1656" i="120" s="1"/>
  <c r="B2013" i="120" s="1"/>
  <c r="B2370" i="120" s="1"/>
  <c r="B2727" i="120" s="1"/>
  <c r="A585" i="120"/>
  <c r="A942" i="120" s="1"/>
  <c r="A1299" i="120" s="1"/>
  <c r="A1656" i="120" s="1"/>
  <c r="A2013" i="120" s="1"/>
  <c r="A2370" i="120" s="1"/>
  <c r="A2727" i="120" s="1"/>
  <c r="M227" i="120"/>
  <c r="E584" i="120"/>
  <c r="E941" i="120" s="1"/>
  <c r="E1298" i="120" s="1"/>
  <c r="E1655" i="120" s="1"/>
  <c r="E2012" i="120" s="1"/>
  <c r="E2369" i="120" s="1"/>
  <c r="E2726" i="120" s="1"/>
  <c r="D584" i="120"/>
  <c r="D941" i="120" s="1"/>
  <c r="D1298" i="120" s="1"/>
  <c r="D1655" i="120" s="1"/>
  <c r="D2012" i="120" s="1"/>
  <c r="D2369" i="120" s="1"/>
  <c r="D2726" i="120" s="1"/>
  <c r="C584" i="120"/>
  <c r="C941" i="120" s="1"/>
  <c r="C1298" i="120" s="1"/>
  <c r="C1655" i="120" s="1"/>
  <c r="C2012" i="120" s="1"/>
  <c r="C2369" i="120" s="1"/>
  <c r="C2726" i="120" s="1"/>
  <c r="B584" i="120"/>
  <c r="B941" i="120" s="1"/>
  <c r="B1298" i="120" s="1"/>
  <c r="B1655" i="120" s="1"/>
  <c r="B2012" i="120" s="1"/>
  <c r="B2369" i="120" s="1"/>
  <c r="B2726" i="120" s="1"/>
  <c r="A584" i="120"/>
  <c r="A941" i="120" s="1"/>
  <c r="A1298" i="120" s="1"/>
  <c r="A1655" i="120" s="1"/>
  <c r="A2012" i="120" s="1"/>
  <c r="A2369" i="120" s="1"/>
  <c r="A2726" i="120" s="1"/>
  <c r="M226" i="120"/>
  <c r="E583" i="120"/>
  <c r="E940" i="120" s="1"/>
  <c r="E1297" i="120" s="1"/>
  <c r="E1654" i="120" s="1"/>
  <c r="E2011" i="120" s="1"/>
  <c r="E2368" i="120" s="1"/>
  <c r="E2725" i="120" s="1"/>
  <c r="D583" i="120"/>
  <c r="D940" i="120" s="1"/>
  <c r="D1297" i="120" s="1"/>
  <c r="D1654" i="120" s="1"/>
  <c r="D2011" i="120" s="1"/>
  <c r="D2368" i="120" s="1"/>
  <c r="D2725" i="120" s="1"/>
  <c r="C583" i="120"/>
  <c r="C940" i="120" s="1"/>
  <c r="C1297" i="120" s="1"/>
  <c r="C1654" i="120" s="1"/>
  <c r="C2011" i="120" s="1"/>
  <c r="C2368" i="120" s="1"/>
  <c r="C2725" i="120" s="1"/>
  <c r="B583" i="120"/>
  <c r="B940" i="120" s="1"/>
  <c r="B1297" i="120" s="1"/>
  <c r="B1654" i="120" s="1"/>
  <c r="B2011" i="120" s="1"/>
  <c r="B2368" i="120" s="1"/>
  <c r="B2725" i="120" s="1"/>
  <c r="A583" i="120"/>
  <c r="A940" i="120" s="1"/>
  <c r="A1297" i="120" s="1"/>
  <c r="A1654" i="120" s="1"/>
  <c r="A2011" i="120" s="1"/>
  <c r="A2368" i="120" s="1"/>
  <c r="A2725" i="120" s="1"/>
  <c r="M225" i="120"/>
  <c r="E582" i="120"/>
  <c r="E939" i="120" s="1"/>
  <c r="E1296" i="120" s="1"/>
  <c r="E1653" i="120" s="1"/>
  <c r="E2010" i="120" s="1"/>
  <c r="E2367" i="120" s="1"/>
  <c r="E2724" i="120" s="1"/>
  <c r="D582" i="120"/>
  <c r="D939" i="120" s="1"/>
  <c r="D1296" i="120" s="1"/>
  <c r="D1653" i="120" s="1"/>
  <c r="D2010" i="120" s="1"/>
  <c r="D2367" i="120" s="1"/>
  <c r="D2724" i="120" s="1"/>
  <c r="C582" i="120"/>
  <c r="C939" i="120" s="1"/>
  <c r="C1296" i="120" s="1"/>
  <c r="C1653" i="120" s="1"/>
  <c r="C2010" i="120" s="1"/>
  <c r="C2367" i="120" s="1"/>
  <c r="C2724" i="120" s="1"/>
  <c r="B582" i="120"/>
  <c r="B939" i="120" s="1"/>
  <c r="B1296" i="120" s="1"/>
  <c r="B1653" i="120" s="1"/>
  <c r="B2010" i="120" s="1"/>
  <c r="B2367" i="120" s="1"/>
  <c r="B2724" i="120" s="1"/>
  <c r="A582" i="120"/>
  <c r="A939" i="120" s="1"/>
  <c r="A1296" i="120" s="1"/>
  <c r="A1653" i="120" s="1"/>
  <c r="A2010" i="120" s="1"/>
  <c r="A2367" i="120" s="1"/>
  <c r="A2724" i="120" s="1"/>
  <c r="M224" i="120"/>
  <c r="E581" i="120"/>
  <c r="E938" i="120" s="1"/>
  <c r="E1295" i="120" s="1"/>
  <c r="E1652" i="120" s="1"/>
  <c r="E2009" i="120" s="1"/>
  <c r="E2366" i="120" s="1"/>
  <c r="E2723" i="120" s="1"/>
  <c r="D581" i="120"/>
  <c r="D938" i="120" s="1"/>
  <c r="D1295" i="120" s="1"/>
  <c r="D1652" i="120" s="1"/>
  <c r="D2009" i="120" s="1"/>
  <c r="D2366" i="120" s="1"/>
  <c r="D2723" i="120" s="1"/>
  <c r="C581" i="120"/>
  <c r="C938" i="120" s="1"/>
  <c r="C1295" i="120" s="1"/>
  <c r="C1652" i="120" s="1"/>
  <c r="C2009" i="120" s="1"/>
  <c r="C2366" i="120" s="1"/>
  <c r="C2723" i="120" s="1"/>
  <c r="B581" i="120"/>
  <c r="B938" i="120" s="1"/>
  <c r="B1295" i="120" s="1"/>
  <c r="B1652" i="120" s="1"/>
  <c r="B2009" i="120" s="1"/>
  <c r="B2366" i="120" s="1"/>
  <c r="B2723" i="120" s="1"/>
  <c r="A581" i="120"/>
  <c r="A938" i="120" s="1"/>
  <c r="A1295" i="120" s="1"/>
  <c r="A1652" i="120" s="1"/>
  <c r="A2009" i="120" s="1"/>
  <c r="A2366" i="120" s="1"/>
  <c r="A2723" i="120" s="1"/>
  <c r="M223" i="120"/>
  <c r="E580" i="120"/>
  <c r="E937" i="120" s="1"/>
  <c r="E1294" i="120" s="1"/>
  <c r="E1651" i="120" s="1"/>
  <c r="E2008" i="120" s="1"/>
  <c r="E2365" i="120" s="1"/>
  <c r="E2722" i="120" s="1"/>
  <c r="D580" i="120"/>
  <c r="D937" i="120" s="1"/>
  <c r="D1294" i="120" s="1"/>
  <c r="D1651" i="120" s="1"/>
  <c r="D2008" i="120" s="1"/>
  <c r="D2365" i="120" s="1"/>
  <c r="D2722" i="120" s="1"/>
  <c r="C580" i="120"/>
  <c r="C937" i="120" s="1"/>
  <c r="C1294" i="120" s="1"/>
  <c r="C1651" i="120" s="1"/>
  <c r="C2008" i="120" s="1"/>
  <c r="C2365" i="120" s="1"/>
  <c r="C2722" i="120" s="1"/>
  <c r="B580" i="120"/>
  <c r="B937" i="120" s="1"/>
  <c r="B1294" i="120" s="1"/>
  <c r="B1651" i="120" s="1"/>
  <c r="B2008" i="120" s="1"/>
  <c r="B2365" i="120" s="1"/>
  <c r="B2722" i="120" s="1"/>
  <c r="A580" i="120"/>
  <c r="A937" i="120" s="1"/>
  <c r="A1294" i="120" s="1"/>
  <c r="A1651" i="120" s="1"/>
  <c r="A2008" i="120" s="1"/>
  <c r="A2365" i="120" s="1"/>
  <c r="A2722" i="120" s="1"/>
  <c r="M222" i="120"/>
  <c r="E579" i="120"/>
  <c r="E936" i="120" s="1"/>
  <c r="E1293" i="120" s="1"/>
  <c r="E1650" i="120" s="1"/>
  <c r="E2007" i="120" s="1"/>
  <c r="E2364" i="120" s="1"/>
  <c r="E2721" i="120" s="1"/>
  <c r="D579" i="120"/>
  <c r="D936" i="120" s="1"/>
  <c r="D1293" i="120" s="1"/>
  <c r="D1650" i="120" s="1"/>
  <c r="D2007" i="120" s="1"/>
  <c r="D2364" i="120" s="1"/>
  <c r="D2721" i="120" s="1"/>
  <c r="C579" i="120"/>
  <c r="C936" i="120" s="1"/>
  <c r="C1293" i="120" s="1"/>
  <c r="C1650" i="120" s="1"/>
  <c r="C2007" i="120" s="1"/>
  <c r="C2364" i="120" s="1"/>
  <c r="C2721" i="120" s="1"/>
  <c r="B579" i="120"/>
  <c r="B936" i="120" s="1"/>
  <c r="B1293" i="120" s="1"/>
  <c r="B1650" i="120" s="1"/>
  <c r="B2007" i="120" s="1"/>
  <c r="B2364" i="120" s="1"/>
  <c r="B2721" i="120" s="1"/>
  <c r="A579" i="120"/>
  <c r="A936" i="120" s="1"/>
  <c r="A1293" i="120" s="1"/>
  <c r="A1650" i="120" s="1"/>
  <c r="A2007" i="120" s="1"/>
  <c r="A2364" i="120" s="1"/>
  <c r="A2721" i="120" s="1"/>
  <c r="M221" i="120"/>
  <c r="E578" i="120"/>
  <c r="E935" i="120" s="1"/>
  <c r="E1292" i="120" s="1"/>
  <c r="E1649" i="120" s="1"/>
  <c r="E2006" i="120" s="1"/>
  <c r="E2363" i="120" s="1"/>
  <c r="E2720" i="120" s="1"/>
  <c r="D578" i="120"/>
  <c r="D935" i="120" s="1"/>
  <c r="D1292" i="120" s="1"/>
  <c r="D1649" i="120" s="1"/>
  <c r="D2006" i="120" s="1"/>
  <c r="D2363" i="120" s="1"/>
  <c r="D2720" i="120" s="1"/>
  <c r="C578" i="120"/>
  <c r="C935" i="120" s="1"/>
  <c r="C1292" i="120" s="1"/>
  <c r="C1649" i="120" s="1"/>
  <c r="C2006" i="120" s="1"/>
  <c r="C2363" i="120" s="1"/>
  <c r="C2720" i="120" s="1"/>
  <c r="B578" i="120"/>
  <c r="B935" i="120" s="1"/>
  <c r="B1292" i="120" s="1"/>
  <c r="B1649" i="120" s="1"/>
  <c r="B2006" i="120" s="1"/>
  <c r="B2363" i="120" s="1"/>
  <c r="B2720" i="120" s="1"/>
  <c r="A578" i="120"/>
  <c r="A935" i="120" s="1"/>
  <c r="A1292" i="120" s="1"/>
  <c r="A1649" i="120" s="1"/>
  <c r="A2006" i="120" s="1"/>
  <c r="A2363" i="120" s="1"/>
  <c r="A2720" i="120" s="1"/>
  <c r="M220" i="120"/>
  <c r="E577" i="120"/>
  <c r="E934" i="120" s="1"/>
  <c r="E1291" i="120" s="1"/>
  <c r="E1648" i="120" s="1"/>
  <c r="E2005" i="120" s="1"/>
  <c r="E2362" i="120" s="1"/>
  <c r="E2719" i="120" s="1"/>
  <c r="D577" i="120"/>
  <c r="D934" i="120" s="1"/>
  <c r="D1291" i="120" s="1"/>
  <c r="D1648" i="120" s="1"/>
  <c r="D2005" i="120" s="1"/>
  <c r="D2362" i="120" s="1"/>
  <c r="D2719" i="120" s="1"/>
  <c r="C577" i="120"/>
  <c r="C934" i="120" s="1"/>
  <c r="C1291" i="120" s="1"/>
  <c r="C1648" i="120" s="1"/>
  <c r="C2005" i="120" s="1"/>
  <c r="C2362" i="120" s="1"/>
  <c r="C2719" i="120" s="1"/>
  <c r="B577" i="120"/>
  <c r="B934" i="120" s="1"/>
  <c r="B1291" i="120" s="1"/>
  <c r="B1648" i="120" s="1"/>
  <c r="B2005" i="120" s="1"/>
  <c r="B2362" i="120" s="1"/>
  <c r="B2719" i="120" s="1"/>
  <c r="A577" i="120"/>
  <c r="A934" i="120" s="1"/>
  <c r="A1291" i="120" s="1"/>
  <c r="A1648" i="120" s="1"/>
  <c r="A2005" i="120" s="1"/>
  <c r="A2362" i="120" s="1"/>
  <c r="A2719" i="120" s="1"/>
  <c r="M219" i="120"/>
  <c r="E576" i="120"/>
  <c r="E933" i="120" s="1"/>
  <c r="E1290" i="120" s="1"/>
  <c r="E1647" i="120" s="1"/>
  <c r="E2004" i="120" s="1"/>
  <c r="E2361" i="120" s="1"/>
  <c r="E2718" i="120" s="1"/>
  <c r="D576" i="120"/>
  <c r="D933" i="120" s="1"/>
  <c r="D1290" i="120" s="1"/>
  <c r="D1647" i="120" s="1"/>
  <c r="D2004" i="120" s="1"/>
  <c r="D2361" i="120" s="1"/>
  <c r="D2718" i="120" s="1"/>
  <c r="C576" i="120"/>
  <c r="C933" i="120" s="1"/>
  <c r="C1290" i="120" s="1"/>
  <c r="C1647" i="120" s="1"/>
  <c r="C2004" i="120" s="1"/>
  <c r="C2361" i="120" s="1"/>
  <c r="C2718" i="120" s="1"/>
  <c r="B576" i="120"/>
  <c r="B933" i="120" s="1"/>
  <c r="B1290" i="120" s="1"/>
  <c r="B1647" i="120" s="1"/>
  <c r="B2004" i="120" s="1"/>
  <c r="B2361" i="120" s="1"/>
  <c r="B2718" i="120" s="1"/>
  <c r="A576" i="120"/>
  <c r="A933" i="120" s="1"/>
  <c r="A1290" i="120" s="1"/>
  <c r="A1647" i="120" s="1"/>
  <c r="A2004" i="120" s="1"/>
  <c r="A2361" i="120" s="1"/>
  <c r="A2718" i="120" s="1"/>
  <c r="M218" i="120"/>
  <c r="E575" i="120"/>
  <c r="E932" i="120" s="1"/>
  <c r="E1289" i="120" s="1"/>
  <c r="E1646" i="120" s="1"/>
  <c r="E2003" i="120" s="1"/>
  <c r="E2360" i="120" s="1"/>
  <c r="E2717" i="120" s="1"/>
  <c r="D575" i="120"/>
  <c r="D932" i="120" s="1"/>
  <c r="D1289" i="120" s="1"/>
  <c r="D1646" i="120" s="1"/>
  <c r="D2003" i="120" s="1"/>
  <c r="D2360" i="120" s="1"/>
  <c r="D2717" i="120" s="1"/>
  <c r="C575" i="120"/>
  <c r="C932" i="120" s="1"/>
  <c r="C1289" i="120" s="1"/>
  <c r="C1646" i="120" s="1"/>
  <c r="C2003" i="120" s="1"/>
  <c r="C2360" i="120" s="1"/>
  <c r="C2717" i="120" s="1"/>
  <c r="B575" i="120"/>
  <c r="B932" i="120" s="1"/>
  <c r="B1289" i="120" s="1"/>
  <c r="B1646" i="120" s="1"/>
  <c r="B2003" i="120" s="1"/>
  <c r="B2360" i="120" s="1"/>
  <c r="B2717" i="120" s="1"/>
  <c r="A575" i="120"/>
  <c r="A932" i="120" s="1"/>
  <c r="A1289" i="120" s="1"/>
  <c r="A1646" i="120" s="1"/>
  <c r="A2003" i="120" s="1"/>
  <c r="A2360" i="120" s="1"/>
  <c r="A2717" i="120" s="1"/>
  <c r="M217" i="120"/>
  <c r="E574" i="120"/>
  <c r="E931" i="120" s="1"/>
  <c r="E1288" i="120" s="1"/>
  <c r="E1645" i="120" s="1"/>
  <c r="E2002" i="120" s="1"/>
  <c r="E2359" i="120" s="1"/>
  <c r="E2716" i="120" s="1"/>
  <c r="D574" i="120"/>
  <c r="D931" i="120" s="1"/>
  <c r="D1288" i="120" s="1"/>
  <c r="D1645" i="120" s="1"/>
  <c r="D2002" i="120" s="1"/>
  <c r="D2359" i="120" s="1"/>
  <c r="D2716" i="120" s="1"/>
  <c r="C574" i="120"/>
  <c r="C931" i="120" s="1"/>
  <c r="C1288" i="120" s="1"/>
  <c r="C1645" i="120" s="1"/>
  <c r="C2002" i="120" s="1"/>
  <c r="C2359" i="120" s="1"/>
  <c r="C2716" i="120" s="1"/>
  <c r="B574" i="120"/>
  <c r="B931" i="120" s="1"/>
  <c r="B1288" i="120" s="1"/>
  <c r="B1645" i="120" s="1"/>
  <c r="B2002" i="120" s="1"/>
  <c r="B2359" i="120" s="1"/>
  <c r="B2716" i="120" s="1"/>
  <c r="A574" i="120"/>
  <c r="A931" i="120" s="1"/>
  <c r="A1288" i="120" s="1"/>
  <c r="A1645" i="120" s="1"/>
  <c r="A2002" i="120" s="1"/>
  <c r="A2359" i="120" s="1"/>
  <c r="A2716" i="120" s="1"/>
  <c r="M216" i="120"/>
  <c r="E573" i="120"/>
  <c r="E930" i="120" s="1"/>
  <c r="E1287" i="120" s="1"/>
  <c r="E1644" i="120" s="1"/>
  <c r="E2001" i="120" s="1"/>
  <c r="E2358" i="120" s="1"/>
  <c r="E2715" i="120" s="1"/>
  <c r="D573" i="120"/>
  <c r="D930" i="120" s="1"/>
  <c r="D1287" i="120" s="1"/>
  <c r="D1644" i="120" s="1"/>
  <c r="D2001" i="120" s="1"/>
  <c r="D2358" i="120" s="1"/>
  <c r="D2715" i="120" s="1"/>
  <c r="C573" i="120"/>
  <c r="C930" i="120" s="1"/>
  <c r="C1287" i="120" s="1"/>
  <c r="C1644" i="120" s="1"/>
  <c r="C2001" i="120" s="1"/>
  <c r="C2358" i="120" s="1"/>
  <c r="C2715" i="120" s="1"/>
  <c r="B573" i="120"/>
  <c r="B930" i="120" s="1"/>
  <c r="B1287" i="120" s="1"/>
  <c r="B1644" i="120" s="1"/>
  <c r="B2001" i="120" s="1"/>
  <c r="B2358" i="120" s="1"/>
  <c r="B2715" i="120" s="1"/>
  <c r="A573" i="120"/>
  <c r="A930" i="120" s="1"/>
  <c r="A1287" i="120" s="1"/>
  <c r="A1644" i="120" s="1"/>
  <c r="A2001" i="120" s="1"/>
  <c r="A2358" i="120" s="1"/>
  <c r="A2715" i="120" s="1"/>
  <c r="M215" i="120"/>
  <c r="E572" i="120"/>
  <c r="E929" i="120" s="1"/>
  <c r="E1286" i="120" s="1"/>
  <c r="E1643" i="120" s="1"/>
  <c r="E2000" i="120" s="1"/>
  <c r="E2357" i="120" s="1"/>
  <c r="E2714" i="120" s="1"/>
  <c r="D572" i="120"/>
  <c r="D929" i="120" s="1"/>
  <c r="D1286" i="120" s="1"/>
  <c r="D1643" i="120" s="1"/>
  <c r="D2000" i="120" s="1"/>
  <c r="D2357" i="120" s="1"/>
  <c r="D2714" i="120" s="1"/>
  <c r="C572" i="120"/>
  <c r="C929" i="120" s="1"/>
  <c r="C1286" i="120" s="1"/>
  <c r="C1643" i="120" s="1"/>
  <c r="C2000" i="120" s="1"/>
  <c r="C2357" i="120" s="1"/>
  <c r="C2714" i="120" s="1"/>
  <c r="B572" i="120"/>
  <c r="B929" i="120" s="1"/>
  <c r="B1286" i="120" s="1"/>
  <c r="B1643" i="120" s="1"/>
  <c r="B2000" i="120" s="1"/>
  <c r="B2357" i="120" s="1"/>
  <c r="B2714" i="120" s="1"/>
  <c r="A572" i="120"/>
  <c r="A929" i="120" s="1"/>
  <c r="A1286" i="120" s="1"/>
  <c r="A1643" i="120" s="1"/>
  <c r="A2000" i="120" s="1"/>
  <c r="A2357" i="120" s="1"/>
  <c r="A2714" i="120" s="1"/>
  <c r="M214" i="120"/>
  <c r="E571" i="120"/>
  <c r="E928" i="120" s="1"/>
  <c r="E1285" i="120" s="1"/>
  <c r="E1642" i="120" s="1"/>
  <c r="E1999" i="120" s="1"/>
  <c r="E2356" i="120" s="1"/>
  <c r="E2713" i="120" s="1"/>
  <c r="D571" i="120"/>
  <c r="D928" i="120" s="1"/>
  <c r="D1285" i="120" s="1"/>
  <c r="D1642" i="120" s="1"/>
  <c r="D1999" i="120" s="1"/>
  <c r="D2356" i="120" s="1"/>
  <c r="D2713" i="120" s="1"/>
  <c r="C571" i="120"/>
  <c r="C928" i="120" s="1"/>
  <c r="C1285" i="120" s="1"/>
  <c r="C1642" i="120" s="1"/>
  <c r="C1999" i="120" s="1"/>
  <c r="C2356" i="120" s="1"/>
  <c r="C2713" i="120" s="1"/>
  <c r="B571" i="120"/>
  <c r="B928" i="120" s="1"/>
  <c r="B1285" i="120" s="1"/>
  <c r="B1642" i="120" s="1"/>
  <c r="B1999" i="120" s="1"/>
  <c r="B2356" i="120" s="1"/>
  <c r="B2713" i="120" s="1"/>
  <c r="A571" i="120"/>
  <c r="A928" i="120" s="1"/>
  <c r="A1285" i="120" s="1"/>
  <c r="A1642" i="120" s="1"/>
  <c r="A1999" i="120" s="1"/>
  <c r="A2356" i="120" s="1"/>
  <c r="A2713" i="120" s="1"/>
  <c r="M213" i="120"/>
  <c r="E570" i="120"/>
  <c r="E927" i="120" s="1"/>
  <c r="E1284" i="120" s="1"/>
  <c r="E1641" i="120" s="1"/>
  <c r="E1998" i="120" s="1"/>
  <c r="E2355" i="120" s="1"/>
  <c r="E2712" i="120" s="1"/>
  <c r="D570" i="120"/>
  <c r="D927" i="120" s="1"/>
  <c r="D1284" i="120" s="1"/>
  <c r="D1641" i="120" s="1"/>
  <c r="D1998" i="120" s="1"/>
  <c r="D2355" i="120" s="1"/>
  <c r="D2712" i="120" s="1"/>
  <c r="C570" i="120"/>
  <c r="C927" i="120" s="1"/>
  <c r="C1284" i="120" s="1"/>
  <c r="C1641" i="120" s="1"/>
  <c r="C1998" i="120" s="1"/>
  <c r="C2355" i="120" s="1"/>
  <c r="C2712" i="120" s="1"/>
  <c r="B570" i="120"/>
  <c r="B927" i="120" s="1"/>
  <c r="B1284" i="120" s="1"/>
  <c r="B1641" i="120" s="1"/>
  <c r="B1998" i="120" s="1"/>
  <c r="B2355" i="120" s="1"/>
  <c r="B2712" i="120" s="1"/>
  <c r="A570" i="120"/>
  <c r="A927" i="120" s="1"/>
  <c r="A1284" i="120" s="1"/>
  <c r="A1641" i="120" s="1"/>
  <c r="A1998" i="120" s="1"/>
  <c r="A2355" i="120" s="1"/>
  <c r="A2712" i="120" s="1"/>
  <c r="M212" i="120"/>
  <c r="E569" i="120"/>
  <c r="E926" i="120" s="1"/>
  <c r="E1283" i="120" s="1"/>
  <c r="E1640" i="120" s="1"/>
  <c r="E1997" i="120" s="1"/>
  <c r="E2354" i="120" s="1"/>
  <c r="E2711" i="120" s="1"/>
  <c r="D569" i="120"/>
  <c r="D926" i="120" s="1"/>
  <c r="D1283" i="120" s="1"/>
  <c r="D1640" i="120" s="1"/>
  <c r="D1997" i="120" s="1"/>
  <c r="D2354" i="120" s="1"/>
  <c r="D2711" i="120" s="1"/>
  <c r="C569" i="120"/>
  <c r="C926" i="120" s="1"/>
  <c r="C1283" i="120" s="1"/>
  <c r="C1640" i="120" s="1"/>
  <c r="C1997" i="120" s="1"/>
  <c r="C2354" i="120" s="1"/>
  <c r="C2711" i="120" s="1"/>
  <c r="B569" i="120"/>
  <c r="B926" i="120" s="1"/>
  <c r="B1283" i="120" s="1"/>
  <c r="B1640" i="120" s="1"/>
  <c r="B1997" i="120" s="1"/>
  <c r="B2354" i="120" s="1"/>
  <c r="B2711" i="120" s="1"/>
  <c r="A569" i="120"/>
  <c r="A926" i="120" s="1"/>
  <c r="A1283" i="120" s="1"/>
  <c r="A1640" i="120" s="1"/>
  <c r="A1997" i="120" s="1"/>
  <c r="A2354" i="120" s="1"/>
  <c r="A2711" i="120" s="1"/>
  <c r="M211" i="120"/>
  <c r="E568" i="120"/>
  <c r="E925" i="120" s="1"/>
  <c r="E1282" i="120" s="1"/>
  <c r="E1639" i="120" s="1"/>
  <c r="E1996" i="120" s="1"/>
  <c r="E2353" i="120" s="1"/>
  <c r="E2710" i="120" s="1"/>
  <c r="D568" i="120"/>
  <c r="D925" i="120" s="1"/>
  <c r="D1282" i="120" s="1"/>
  <c r="D1639" i="120" s="1"/>
  <c r="D1996" i="120" s="1"/>
  <c r="D2353" i="120" s="1"/>
  <c r="D2710" i="120" s="1"/>
  <c r="C568" i="120"/>
  <c r="C925" i="120" s="1"/>
  <c r="C1282" i="120" s="1"/>
  <c r="C1639" i="120" s="1"/>
  <c r="C1996" i="120" s="1"/>
  <c r="C2353" i="120" s="1"/>
  <c r="C2710" i="120" s="1"/>
  <c r="B568" i="120"/>
  <c r="B925" i="120" s="1"/>
  <c r="B1282" i="120" s="1"/>
  <c r="B1639" i="120" s="1"/>
  <c r="B1996" i="120" s="1"/>
  <c r="B2353" i="120" s="1"/>
  <c r="B2710" i="120" s="1"/>
  <c r="A568" i="120"/>
  <c r="A925" i="120" s="1"/>
  <c r="A1282" i="120" s="1"/>
  <c r="A1639" i="120" s="1"/>
  <c r="A1996" i="120" s="1"/>
  <c r="A2353" i="120" s="1"/>
  <c r="A2710" i="120" s="1"/>
  <c r="M210" i="120"/>
  <c r="E567" i="120"/>
  <c r="E924" i="120" s="1"/>
  <c r="E1281" i="120" s="1"/>
  <c r="E1638" i="120" s="1"/>
  <c r="E1995" i="120" s="1"/>
  <c r="E2352" i="120" s="1"/>
  <c r="E2709" i="120" s="1"/>
  <c r="D567" i="120"/>
  <c r="D924" i="120" s="1"/>
  <c r="D1281" i="120" s="1"/>
  <c r="D1638" i="120" s="1"/>
  <c r="D1995" i="120" s="1"/>
  <c r="D2352" i="120" s="1"/>
  <c r="D2709" i="120" s="1"/>
  <c r="C567" i="120"/>
  <c r="C924" i="120" s="1"/>
  <c r="C1281" i="120" s="1"/>
  <c r="C1638" i="120" s="1"/>
  <c r="C1995" i="120" s="1"/>
  <c r="C2352" i="120" s="1"/>
  <c r="C2709" i="120" s="1"/>
  <c r="B567" i="120"/>
  <c r="B924" i="120" s="1"/>
  <c r="B1281" i="120" s="1"/>
  <c r="B1638" i="120" s="1"/>
  <c r="B1995" i="120" s="1"/>
  <c r="B2352" i="120" s="1"/>
  <c r="B2709" i="120" s="1"/>
  <c r="A567" i="120"/>
  <c r="A924" i="120" s="1"/>
  <c r="A1281" i="120" s="1"/>
  <c r="A1638" i="120" s="1"/>
  <c r="A1995" i="120" s="1"/>
  <c r="A2352" i="120" s="1"/>
  <c r="A2709" i="120" s="1"/>
  <c r="M209" i="120"/>
  <c r="E566" i="120"/>
  <c r="E923" i="120" s="1"/>
  <c r="E1280" i="120" s="1"/>
  <c r="E1637" i="120" s="1"/>
  <c r="E1994" i="120" s="1"/>
  <c r="E2351" i="120" s="1"/>
  <c r="E2708" i="120" s="1"/>
  <c r="D566" i="120"/>
  <c r="D923" i="120" s="1"/>
  <c r="D1280" i="120" s="1"/>
  <c r="D1637" i="120" s="1"/>
  <c r="D1994" i="120" s="1"/>
  <c r="D2351" i="120" s="1"/>
  <c r="D2708" i="120" s="1"/>
  <c r="C566" i="120"/>
  <c r="C923" i="120" s="1"/>
  <c r="C1280" i="120" s="1"/>
  <c r="C1637" i="120" s="1"/>
  <c r="C1994" i="120" s="1"/>
  <c r="C2351" i="120" s="1"/>
  <c r="C2708" i="120" s="1"/>
  <c r="B566" i="120"/>
  <c r="B923" i="120" s="1"/>
  <c r="B1280" i="120" s="1"/>
  <c r="B1637" i="120" s="1"/>
  <c r="B1994" i="120" s="1"/>
  <c r="B2351" i="120" s="1"/>
  <c r="B2708" i="120" s="1"/>
  <c r="A566" i="120"/>
  <c r="A923" i="120" s="1"/>
  <c r="A1280" i="120" s="1"/>
  <c r="A1637" i="120" s="1"/>
  <c r="A1994" i="120" s="1"/>
  <c r="A2351" i="120" s="1"/>
  <c r="A2708" i="120" s="1"/>
  <c r="M208" i="120"/>
  <c r="E565" i="120"/>
  <c r="E922" i="120" s="1"/>
  <c r="E1279" i="120" s="1"/>
  <c r="E1636" i="120" s="1"/>
  <c r="E1993" i="120" s="1"/>
  <c r="E2350" i="120" s="1"/>
  <c r="E2707" i="120" s="1"/>
  <c r="D565" i="120"/>
  <c r="D922" i="120" s="1"/>
  <c r="D1279" i="120" s="1"/>
  <c r="D1636" i="120" s="1"/>
  <c r="D1993" i="120" s="1"/>
  <c r="D2350" i="120" s="1"/>
  <c r="D2707" i="120" s="1"/>
  <c r="C565" i="120"/>
  <c r="C922" i="120" s="1"/>
  <c r="C1279" i="120" s="1"/>
  <c r="C1636" i="120" s="1"/>
  <c r="C1993" i="120" s="1"/>
  <c r="C2350" i="120" s="1"/>
  <c r="C2707" i="120" s="1"/>
  <c r="B565" i="120"/>
  <c r="B922" i="120" s="1"/>
  <c r="B1279" i="120" s="1"/>
  <c r="B1636" i="120" s="1"/>
  <c r="B1993" i="120" s="1"/>
  <c r="B2350" i="120" s="1"/>
  <c r="B2707" i="120" s="1"/>
  <c r="A565" i="120"/>
  <c r="A922" i="120" s="1"/>
  <c r="A1279" i="120" s="1"/>
  <c r="A1636" i="120" s="1"/>
  <c r="A1993" i="120" s="1"/>
  <c r="A2350" i="120" s="1"/>
  <c r="A2707" i="120" s="1"/>
  <c r="M207" i="120"/>
  <c r="E564" i="120"/>
  <c r="E921" i="120" s="1"/>
  <c r="E1278" i="120" s="1"/>
  <c r="E1635" i="120" s="1"/>
  <c r="E1992" i="120" s="1"/>
  <c r="E2349" i="120" s="1"/>
  <c r="E2706" i="120" s="1"/>
  <c r="D564" i="120"/>
  <c r="D921" i="120" s="1"/>
  <c r="D1278" i="120" s="1"/>
  <c r="D1635" i="120" s="1"/>
  <c r="D1992" i="120" s="1"/>
  <c r="D2349" i="120" s="1"/>
  <c r="D2706" i="120" s="1"/>
  <c r="C564" i="120"/>
  <c r="C921" i="120" s="1"/>
  <c r="C1278" i="120" s="1"/>
  <c r="C1635" i="120" s="1"/>
  <c r="C1992" i="120" s="1"/>
  <c r="C2349" i="120" s="1"/>
  <c r="C2706" i="120" s="1"/>
  <c r="B564" i="120"/>
  <c r="B921" i="120" s="1"/>
  <c r="B1278" i="120" s="1"/>
  <c r="B1635" i="120" s="1"/>
  <c r="B1992" i="120" s="1"/>
  <c r="B2349" i="120" s="1"/>
  <c r="B2706" i="120" s="1"/>
  <c r="A564" i="120"/>
  <c r="A921" i="120" s="1"/>
  <c r="A1278" i="120" s="1"/>
  <c r="A1635" i="120" s="1"/>
  <c r="A1992" i="120" s="1"/>
  <c r="A2349" i="120" s="1"/>
  <c r="A2706" i="120" s="1"/>
  <c r="M206" i="120"/>
  <c r="E563" i="120"/>
  <c r="E920" i="120" s="1"/>
  <c r="E1277" i="120" s="1"/>
  <c r="E1634" i="120" s="1"/>
  <c r="E1991" i="120" s="1"/>
  <c r="E2348" i="120" s="1"/>
  <c r="E2705" i="120" s="1"/>
  <c r="D563" i="120"/>
  <c r="D920" i="120" s="1"/>
  <c r="D1277" i="120" s="1"/>
  <c r="D1634" i="120" s="1"/>
  <c r="D1991" i="120" s="1"/>
  <c r="D2348" i="120" s="1"/>
  <c r="D2705" i="120" s="1"/>
  <c r="C563" i="120"/>
  <c r="C920" i="120" s="1"/>
  <c r="C1277" i="120" s="1"/>
  <c r="C1634" i="120" s="1"/>
  <c r="C1991" i="120" s="1"/>
  <c r="C2348" i="120" s="1"/>
  <c r="C2705" i="120" s="1"/>
  <c r="B563" i="120"/>
  <c r="B920" i="120" s="1"/>
  <c r="B1277" i="120" s="1"/>
  <c r="B1634" i="120" s="1"/>
  <c r="B1991" i="120" s="1"/>
  <c r="B2348" i="120" s="1"/>
  <c r="B2705" i="120" s="1"/>
  <c r="A563" i="120"/>
  <c r="A920" i="120" s="1"/>
  <c r="A1277" i="120" s="1"/>
  <c r="A1634" i="120" s="1"/>
  <c r="A1991" i="120" s="1"/>
  <c r="A2348" i="120" s="1"/>
  <c r="A2705" i="120" s="1"/>
  <c r="M205" i="120"/>
  <c r="E562" i="120"/>
  <c r="E919" i="120" s="1"/>
  <c r="E1276" i="120" s="1"/>
  <c r="E1633" i="120" s="1"/>
  <c r="E1990" i="120" s="1"/>
  <c r="E2347" i="120" s="1"/>
  <c r="E2704" i="120" s="1"/>
  <c r="D562" i="120"/>
  <c r="D919" i="120" s="1"/>
  <c r="D1276" i="120" s="1"/>
  <c r="D1633" i="120" s="1"/>
  <c r="D1990" i="120" s="1"/>
  <c r="D2347" i="120" s="1"/>
  <c r="D2704" i="120" s="1"/>
  <c r="C562" i="120"/>
  <c r="C919" i="120" s="1"/>
  <c r="C1276" i="120" s="1"/>
  <c r="C1633" i="120" s="1"/>
  <c r="C1990" i="120" s="1"/>
  <c r="C2347" i="120" s="1"/>
  <c r="C2704" i="120" s="1"/>
  <c r="B562" i="120"/>
  <c r="B919" i="120" s="1"/>
  <c r="B1276" i="120" s="1"/>
  <c r="B1633" i="120" s="1"/>
  <c r="B1990" i="120" s="1"/>
  <c r="B2347" i="120" s="1"/>
  <c r="B2704" i="120" s="1"/>
  <c r="A562" i="120"/>
  <c r="A919" i="120" s="1"/>
  <c r="A1276" i="120" s="1"/>
  <c r="A1633" i="120" s="1"/>
  <c r="A1990" i="120" s="1"/>
  <c r="A2347" i="120" s="1"/>
  <c r="A2704" i="120" s="1"/>
  <c r="M204" i="120"/>
  <c r="E561" i="120"/>
  <c r="E918" i="120" s="1"/>
  <c r="E1275" i="120" s="1"/>
  <c r="E1632" i="120" s="1"/>
  <c r="E1989" i="120" s="1"/>
  <c r="E2346" i="120" s="1"/>
  <c r="E2703" i="120" s="1"/>
  <c r="D561" i="120"/>
  <c r="D918" i="120" s="1"/>
  <c r="D1275" i="120" s="1"/>
  <c r="D1632" i="120" s="1"/>
  <c r="D1989" i="120" s="1"/>
  <c r="D2346" i="120" s="1"/>
  <c r="D2703" i="120" s="1"/>
  <c r="C561" i="120"/>
  <c r="C918" i="120" s="1"/>
  <c r="C1275" i="120" s="1"/>
  <c r="C1632" i="120" s="1"/>
  <c r="C1989" i="120" s="1"/>
  <c r="C2346" i="120" s="1"/>
  <c r="C2703" i="120" s="1"/>
  <c r="B561" i="120"/>
  <c r="B918" i="120" s="1"/>
  <c r="B1275" i="120" s="1"/>
  <c r="B1632" i="120" s="1"/>
  <c r="B1989" i="120" s="1"/>
  <c r="B2346" i="120" s="1"/>
  <c r="B2703" i="120" s="1"/>
  <c r="A561" i="120"/>
  <c r="A918" i="120" s="1"/>
  <c r="A1275" i="120" s="1"/>
  <c r="A1632" i="120" s="1"/>
  <c r="A1989" i="120" s="1"/>
  <c r="A2346" i="120" s="1"/>
  <c r="A2703" i="120" s="1"/>
  <c r="M203" i="120"/>
  <c r="E560" i="120"/>
  <c r="E917" i="120" s="1"/>
  <c r="E1274" i="120" s="1"/>
  <c r="E1631" i="120" s="1"/>
  <c r="E1988" i="120" s="1"/>
  <c r="E2345" i="120" s="1"/>
  <c r="E2702" i="120" s="1"/>
  <c r="D560" i="120"/>
  <c r="D917" i="120" s="1"/>
  <c r="D1274" i="120" s="1"/>
  <c r="D1631" i="120" s="1"/>
  <c r="D1988" i="120" s="1"/>
  <c r="D2345" i="120" s="1"/>
  <c r="D2702" i="120" s="1"/>
  <c r="C560" i="120"/>
  <c r="C917" i="120" s="1"/>
  <c r="C1274" i="120" s="1"/>
  <c r="C1631" i="120" s="1"/>
  <c r="C1988" i="120" s="1"/>
  <c r="C2345" i="120" s="1"/>
  <c r="C2702" i="120" s="1"/>
  <c r="B560" i="120"/>
  <c r="B917" i="120" s="1"/>
  <c r="B1274" i="120" s="1"/>
  <c r="B1631" i="120" s="1"/>
  <c r="B1988" i="120" s="1"/>
  <c r="B2345" i="120" s="1"/>
  <c r="B2702" i="120" s="1"/>
  <c r="A560" i="120"/>
  <c r="A917" i="120" s="1"/>
  <c r="A1274" i="120" s="1"/>
  <c r="A1631" i="120" s="1"/>
  <c r="A1988" i="120" s="1"/>
  <c r="A2345" i="120" s="1"/>
  <c r="A2702" i="120" s="1"/>
  <c r="M202" i="120"/>
  <c r="E559" i="120"/>
  <c r="E916" i="120" s="1"/>
  <c r="E1273" i="120" s="1"/>
  <c r="E1630" i="120" s="1"/>
  <c r="E1987" i="120" s="1"/>
  <c r="E2344" i="120" s="1"/>
  <c r="E2701" i="120" s="1"/>
  <c r="D559" i="120"/>
  <c r="D916" i="120" s="1"/>
  <c r="D1273" i="120" s="1"/>
  <c r="D1630" i="120" s="1"/>
  <c r="D1987" i="120" s="1"/>
  <c r="D2344" i="120" s="1"/>
  <c r="D2701" i="120" s="1"/>
  <c r="C559" i="120"/>
  <c r="C916" i="120" s="1"/>
  <c r="C1273" i="120" s="1"/>
  <c r="C1630" i="120" s="1"/>
  <c r="C1987" i="120" s="1"/>
  <c r="C2344" i="120" s="1"/>
  <c r="C2701" i="120" s="1"/>
  <c r="B559" i="120"/>
  <c r="B916" i="120" s="1"/>
  <c r="B1273" i="120" s="1"/>
  <c r="B1630" i="120" s="1"/>
  <c r="B1987" i="120" s="1"/>
  <c r="B2344" i="120" s="1"/>
  <c r="B2701" i="120" s="1"/>
  <c r="A559" i="120"/>
  <c r="A916" i="120" s="1"/>
  <c r="A1273" i="120" s="1"/>
  <c r="A1630" i="120" s="1"/>
  <c r="A1987" i="120" s="1"/>
  <c r="A2344" i="120" s="1"/>
  <c r="A2701" i="120" s="1"/>
  <c r="M201" i="120"/>
  <c r="E558" i="120"/>
  <c r="E915" i="120" s="1"/>
  <c r="E1272" i="120" s="1"/>
  <c r="E1629" i="120" s="1"/>
  <c r="E1986" i="120" s="1"/>
  <c r="E2343" i="120" s="1"/>
  <c r="E2700" i="120" s="1"/>
  <c r="D558" i="120"/>
  <c r="D915" i="120" s="1"/>
  <c r="D1272" i="120" s="1"/>
  <c r="D1629" i="120" s="1"/>
  <c r="D1986" i="120" s="1"/>
  <c r="D2343" i="120" s="1"/>
  <c r="D2700" i="120" s="1"/>
  <c r="C558" i="120"/>
  <c r="C915" i="120" s="1"/>
  <c r="C1272" i="120" s="1"/>
  <c r="C1629" i="120" s="1"/>
  <c r="C1986" i="120" s="1"/>
  <c r="C2343" i="120" s="1"/>
  <c r="C2700" i="120" s="1"/>
  <c r="B558" i="120"/>
  <c r="B915" i="120" s="1"/>
  <c r="B1272" i="120" s="1"/>
  <c r="B1629" i="120" s="1"/>
  <c r="B1986" i="120" s="1"/>
  <c r="B2343" i="120" s="1"/>
  <c r="B2700" i="120" s="1"/>
  <c r="A558" i="120"/>
  <c r="A915" i="120" s="1"/>
  <c r="A1272" i="120" s="1"/>
  <c r="A1629" i="120" s="1"/>
  <c r="A1986" i="120" s="1"/>
  <c r="A2343" i="120" s="1"/>
  <c r="A2700" i="120" s="1"/>
  <c r="M200" i="120"/>
  <c r="E557" i="120"/>
  <c r="E914" i="120" s="1"/>
  <c r="E1271" i="120" s="1"/>
  <c r="E1628" i="120" s="1"/>
  <c r="E1985" i="120" s="1"/>
  <c r="E2342" i="120" s="1"/>
  <c r="E2699" i="120" s="1"/>
  <c r="D557" i="120"/>
  <c r="D914" i="120" s="1"/>
  <c r="D1271" i="120" s="1"/>
  <c r="D1628" i="120" s="1"/>
  <c r="D1985" i="120" s="1"/>
  <c r="D2342" i="120" s="1"/>
  <c r="D2699" i="120" s="1"/>
  <c r="C557" i="120"/>
  <c r="C914" i="120" s="1"/>
  <c r="C1271" i="120" s="1"/>
  <c r="C1628" i="120" s="1"/>
  <c r="C1985" i="120" s="1"/>
  <c r="C2342" i="120" s="1"/>
  <c r="C2699" i="120" s="1"/>
  <c r="B557" i="120"/>
  <c r="B914" i="120" s="1"/>
  <c r="B1271" i="120" s="1"/>
  <c r="B1628" i="120" s="1"/>
  <c r="B1985" i="120" s="1"/>
  <c r="B2342" i="120" s="1"/>
  <c r="B2699" i="120" s="1"/>
  <c r="A557" i="120"/>
  <c r="A914" i="120" s="1"/>
  <c r="A1271" i="120" s="1"/>
  <c r="A1628" i="120" s="1"/>
  <c r="A1985" i="120" s="1"/>
  <c r="A2342" i="120" s="1"/>
  <c r="A2699" i="120" s="1"/>
  <c r="M199" i="120"/>
  <c r="E556" i="120"/>
  <c r="E913" i="120" s="1"/>
  <c r="E1270" i="120" s="1"/>
  <c r="E1627" i="120" s="1"/>
  <c r="E1984" i="120" s="1"/>
  <c r="E2341" i="120" s="1"/>
  <c r="E2698" i="120" s="1"/>
  <c r="D556" i="120"/>
  <c r="D913" i="120" s="1"/>
  <c r="D1270" i="120" s="1"/>
  <c r="D1627" i="120" s="1"/>
  <c r="D1984" i="120" s="1"/>
  <c r="D2341" i="120" s="1"/>
  <c r="D2698" i="120" s="1"/>
  <c r="C556" i="120"/>
  <c r="C913" i="120" s="1"/>
  <c r="C1270" i="120" s="1"/>
  <c r="C1627" i="120" s="1"/>
  <c r="C1984" i="120" s="1"/>
  <c r="C2341" i="120" s="1"/>
  <c r="C2698" i="120" s="1"/>
  <c r="B556" i="120"/>
  <c r="B913" i="120" s="1"/>
  <c r="B1270" i="120" s="1"/>
  <c r="B1627" i="120" s="1"/>
  <c r="B1984" i="120" s="1"/>
  <c r="B2341" i="120" s="1"/>
  <c r="B2698" i="120" s="1"/>
  <c r="A556" i="120"/>
  <c r="A913" i="120" s="1"/>
  <c r="A1270" i="120" s="1"/>
  <c r="A1627" i="120" s="1"/>
  <c r="A1984" i="120" s="1"/>
  <c r="A2341" i="120" s="1"/>
  <c r="A2698" i="120" s="1"/>
  <c r="M198" i="120"/>
  <c r="E555" i="120"/>
  <c r="E912" i="120" s="1"/>
  <c r="E1269" i="120" s="1"/>
  <c r="E1626" i="120" s="1"/>
  <c r="E1983" i="120" s="1"/>
  <c r="E2340" i="120" s="1"/>
  <c r="E2697" i="120" s="1"/>
  <c r="D555" i="120"/>
  <c r="D912" i="120" s="1"/>
  <c r="D1269" i="120" s="1"/>
  <c r="D1626" i="120" s="1"/>
  <c r="D1983" i="120" s="1"/>
  <c r="D2340" i="120" s="1"/>
  <c r="D2697" i="120" s="1"/>
  <c r="C555" i="120"/>
  <c r="C912" i="120" s="1"/>
  <c r="C1269" i="120" s="1"/>
  <c r="C1626" i="120" s="1"/>
  <c r="C1983" i="120" s="1"/>
  <c r="C2340" i="120" s="1"/>
  <c r="C2697" i="120" s="1"/>
  <c r="B555" i="120"/>
  <c r="B912" i="120" s="1"/>
  <c r="B1269" i="120" s="1"/>
  <c r="B1626" i="120" s="1"/>
  <c r="B1983" i="120" s="1"/>
  <c r="B2340" i="120" s="1"/>
  <c r="B2697" i="120" s="1"/>
  <c r="A555" i="120"/>
  <c r="A912" i="120" s="1"/>
  <c r="A1269" i="120" s="1"/>
  <c r="A1626" i="120" s="1"/>
  <c r="A1983" i="120" s="1"/>
  <c r="A2340" i="120" s="1"/>
  <c r="A2697" i="120" s="1"/>
  <c r="M197" i="120"/>
  <c r="E554" i="120"/>
  <c r="E911" i="120" s="1"/>
  <c r="E1268" i="120" s="1"/>
  <c r="E1625" i="120" s="1"/>
  <c r="E1982" i="120" s="1"/>
  <c r="E2339" i="120" s="1"/>
  <c r="E2696" i="120" s="1"/>
  <c r="D554" i="120"/>
  <c r="D911" i="120" s="1"/>
  <c r="D1268" i="120" s="1"/>
  <c r="D1625" i="120" s="1"/>
  <c r="D1982" i="120" s="1"/>
  <c r="D2339" i="120" s="1"/>
  <c r="D2696" i="120" s="1"/>
  <c r="C554" i="120"/>
  <c r="C911" i="120" s="1"/>
  <c r="C1268" i="120" s="1"/>
  <c r="C1625" i="120" s="1"/>
  <c r="C1982" i="120" s="1"/>
  <c r="C2339" i="120" s="1"/>
  <c r="C2696" i="120" s="1"/>
  <c r="B554" i="120"/>
  <c r="B911" i="120" s="1"/>
  <c r="B1268" i="120" s="1"/>
  <c r="B1625" i="120" s="1"/>
  <c r="B1982" i="120" s="1"/>
  <c r="B2339" i="120" s="1"/>
  <c r="B2696" i="120" s="1"/>
  <c r="A554" i="120"/>
  <c r="A911" i="120" s="1"/>
  <c r="A1268" i="120" s="1"/>
  <c r="A1625" i="120" s="1"/>
  <c r="A1982" i="120" s="1"/>
  <c r="A2339" i="120" s="1"/>
  <c r="A2696" i="120" s="1"/>
  <c r="M196" i="120"/>
  <c r="E553" i="120"/>
  <c r="E910" i="120" s="1"/>
  <c r="E1267" i="120" s="1"/>
  <c r="E1624" i="120" s="1"/>
  <c r="E1981" i="120" s="1"/>
  <c r="E2338" i="120" s="1"/>
  <c r="E2695" i="120" s="1"/>
  <c r="D553" i="120"/>
  <c r="D910" i="120" s="1"/>
  <c r="D1267" i="120" s="1"/>
  <c r="D1624" i="120" s="1"/>
  <c r="D1981" i="120" s="1"/>
  <c r="D2338" i="120" s="1"/>
  <c r="D2695" i="120" s="1"/>
  <c r="C553" i="120"/>
  <c r="C910" i="120" s="1"/>
  <c r="C1267" i="120" s="1"/>
  <c r="C1624" i="120" s="1"/>
  <c r="C1981" i="120" s="1"/>
  <c r="C2338" i="120" s="1"/>
  <c r="C2695" i="120" s="1"/>
  <c r="B553" i="120"/>
  <c r="B910" i="120" s="1"/>
  <c r="B1267" i="120" s="1"/>
  <c r="B1624" i="120" s="1"/>
  <c r="B1981" i="120" s="1"/>
  <c r="B2338" i="120" s="1"/>
  <c r="B2695" i="120" s="1"/>
  <c r="A553" i="120"/>
  <c r="A910" i="120" s="1"/>
  <c r="A1267" i="120" s="1"/>
  <c r="A1624" i="120" s="1"/>
  <c r="A1981" i="120" s="1"/>
  <c r="A2338" i="120" s="1"/>
  <c r="A2695" i="120" s="1"/>
  <c r="M195" i="120"/>
  <c r="E552" i="120"/>
  <c r="E909" i="120" s="1"/>
  <c r="E1266" i="120" s="1"/>
  <c r="E1623" i="120" s="1"/>
  <c r="E1980" i="120" s="1"/>
  <c r="E2337" i="120" s="1"/>
  <c r="E2694" i="120" s="1"/>
  <c r="D552" i="120"/>
  <c r="D909" i="120" s="1"/>
  <c r="D1266" i="120" s="1"/>
  <c r="D1623" i="120" s="1"/>
  <c r="D1980" i="120" s="1"/>
  <c r="D2337" i="120" s="1"/>
  <c r="D2694" i="120" s="1"/>
  <c r="C552" i="120"/>
  <c r="C909" i="120" s="1"/>
  <c r="C1266" i="120" s="1"/>
  <c r="C1623" i="120" s="1"/>
  <c r="C1980" i="120" s="1"/>
  <c r="C2337" i="120" s="1"/>
  <c r="C2694" i="120" s="1"/>
  <c r="B552" i="120"/>
  <c r="B909" i="120" s="1"/>
  <c r="B1266" i="120" s="1"/>
  <c r="B1623" i="120" s="1"/>
  <c r="B1980" i="120" s="1"/>
  <c r="B2337" i="120" s="1"/>
  <c r="B2694" i="120" s="1"/>
  <c r="A552" i="120"/>
  <c r="A909" i="120" s="1"/>
  <c r="A1266" i="120" s="1"/>
  <c r="A1623" i="120" s="1"/>
  <c r="A1980" i="120" s="1"/>
  <c r="A2337" i="120" s="1"/>
  <c r="A2694" i="120" s="1"/>
  <c r="M194" i="120"/>
  <c r="E551" i="120"/>
  <c r="E908" i="120" s="1"/>
  <c r="E1265" i="120" s="1"/>
  <c r="E1622" i="120" s="1"/>
  <c r="E1979" i="120" s="1"/>
  <c r="E2336" i="120" s="1"/>
  <c r="E2693" i="120" s="1"/>
  <c r="D551" i="120"/>
  <c r="D908" i="120" s="1"/>
  <c r="D1265" i="120" s="1"/>
  <c r="D1622" i="120" s="1"/>
  <c r="D1979" i="120" s="1"/>
  <c r="D2336" i="120" s="1"/>
  <c r="D2693" i="120" s="1"/>
  <c r="C551" i="120"/>
  <c r="C908" i="120" s="1"/>
  <c r="C1265" i="120" s="1"/>
  <c r="C1622" i="120" s="1"/>
  <c r="C1979" i="120" s="1"/>
  <c r="C2336" i="120" s="1"/>
  <c r="C2693" i="120" s="1"/>
  <c r="B551" i="120"/>
  <c r="B908" i="120" s="1"/>
  <c r="B1265" i="120" s="1"/>
  <c r="B1622" i="120" s="1"/>
  <c r="B1979" i="120" s="1"/>
  <c r="B2336" i="120" s="1"/>
  <c r="B2693" i="120" s="1"/>
  <c r="A551" i="120"/>
  <c r="A908" i="120" s="1"/>
  <c r="A1265" i="120" s="1"/>
  <c r="A1622" i="120" s="1"/>
  <c r="A1979" i="120" s="1"/>
  <c r="A2336" i="120" s="1"/>
  <c r="A2693" i="120" s="1"/>
  <c r="M193" i="120"/>
  <c r="E550" i="120"/>
  <c r="E907" i="120" s="1"/>
  <c r="E1264" i="120" s="1"/>
  <c r="E1621" i="120" s="1"/>
  <c r="E1978" i="120" s="1"/>
  <c r="E2335" i="120" s="1"/>
  <c r="E2692" i="120" s="1"/>
  <c r="D550" i="120"/>
  <c r="D907" i="120" s="1"/>
  <c r="D1264" i="120" s="1"/>
  <c r="D1621" i="120" s="1"/>
  <c r="D1978" i="120" s="1"/>
  <c r="D2335" i="120" s="1"/>
  <c r="D2692" i="120" s="1"/>
  <c r="C550" i="120"/>
  <c r="C907" i="120" s="1"/>
  <c r="C1264" i="120" s="1"/>
  <c r="C1621" i="120" s="1"/>
  <c r="C1978" i="120" s="1"/>
  <c r="C2335" i="120" s="1"/>
  <c r="C2692" i="120" s="1"/>
  <c r="B550" i="120"/>
  <c r="B907" i="120" s="1"/>
  <c r="B1264" i="120" s="1"/>
  <c r="B1621" i="120" s="1"/>
  <c r="B1978" i="120" s="1"/>
  <c r="B2335" i="120" s="1"/>
  <c r="B2692" i="120" s="1"/>
  <c r="A550" i="120"/>
  <c r="A907" i="120" s="1"/>
  <c r="A1264" i="120" s="1"/>
  <c r="A1621" i="120" s="1"/>
  <c r="A1978" i="120" s="1"/>
  <c r="A2335" i="120" s="1"/>
  <c r="A2692" i="120" s="1"/>
  <c r="M192" i="120"/>
  <c r="E549" i="120"/>
  <c r="E906" i="120" s="1"/>
  <c r="E1263" i="120" s="1"/>
  <c r="E1620" i="120" s="1"/>
  <c r="E1977" i="120" s="1"/>
  <c r="E2334" i="120" s="1"/>
  <c r="E2691" i="120" s="1"/>
  <c r="D549" i="120"/>
  <c r="D906" i="120" s="1"/>
  <c r="D1263" i="120" s="1"/>
  <c r="D1620" i="120" s="1"/>
  <c r="D1977" i="120" s="1"/>
  <c r="D2334" i="120" s="1"/>
  <c r="D2691" i="120" s="1"/>
  <c r="C549" i="120"/>
  <c r="C906" i="120" s="1"/>
  <c r="C1263" i="120" s="1"/>
  <c r="C1620" i="120" s="1"/>
  <c r="C1977" i="120" s="1"/>
  <c r="C2334" i="120" s="1"/>
  <c r="C2691" i="120" s="1"/>
  <c r="B549" i="120"/>
  <c r="B906" i="120" s="1"/>
  <c r="B1263" i="120" s="1"/>
  <c r="B1620" i="120" s="1"/>
  <c r="B1977" i="120" s="1"/>
  <c r="B2334" i="120" s="1"/>
  <c r="B2691" i="120" s="1"/>
  <c r="A549" i="120"/>
  <c r="A906" i="120" s="1"/>
  <c r="A1263" i="120" s="1"/>
  <c r="A1620" i="120" s="1"/>
  <c r="A1977" i="120" s="1"/>
  <c r="A2334" i="120" s="1"/>
  <c r="A2691" i="120" s="1"/>
  <c r="M191" i="120"/>
  <c r="E548" i="120"/>
  <c r="E905" i="120" s="1"/>
  <c r="E1262" i="120" s="1"/>
  <c r="E1619" i="120" s="1"/>
  <c r="E1976" i="120" s="1"/>
  <c r="E2333" i="120" s="1"/>
  <c r="E2690" i="120" s="1"/>
  <c r="D548" i="120"/>
  <c r="D905" i="120" s="1"/>
  <c r="D1262" i="120" s="1"/>
  <c r="D1619" i="120" s="1"/>
  <c r="D1976" i="120" s="1"/>
  <c r="D2333" i="120" s="1"/>
  <c r="D2690" i="120" s="1"/>
  <c r="C548" i="120"/>
  <c r="C905" i="120" s="1"/>
  <c r="C1262" i="120" s="1"/>
  <c r="C1619" i="120" s="1"/>
  <c r="C1976" i="120" s="1"/>
  <c r="C2333" i="120" s="1"/>
  <c r="C2690" i="120" s="1"/>
  <c r="B548" i="120"/>
  <c r="B905" i="120" s="1"/>
  <c r="B1262" i="120" s="1"/>
  <c r="B1619" i="120" s="1"/>
  <c r="B1976" i="120" s="1"/>
  <c r="B2333" i="120" s="1"/>
  <c r="B2690" i="120" s="1"/>
  <c r="A548" i="120"/>
  <c r="A905" i="120" s="1"/>
  <c r="A1262" i="120" s="1"/>
  <c r="A1619" i="120" s="1"/>
  <c r="A1976" i="120" s="1"/>
  <c r="A2333" i="120" s="1"/>
  <c r="A2690" i="120" s="1"/>
  <c r="M190" i="120"/>
  <c r="E547" i="120"/>
  <c r="E904" i="120" s="1"/>
  <c r="E1261" i="120" s="1"/>
  <c r="E1618" i="120" s="1"/>
  <c r="E1975" i="120" s="1"/>
  <c r="E2332" i="120" s="1"/>
  <c r="E2689" i="120" s="1"/>
  <c r="D547" i="120"/>
  <c r="D904" i="120" s="1"/>
  <c r="D1261" i="120" s="1"/>
  <c r="D1618" i="120" s="1"/>
  <c r="D1975" i="120" s="1"/>
  <c r="D2332" i="120" s="1"/>
  <c r="D2689" i="120" s="1"/>
  <c r="C547" i="120"/>
  <c r="C904" i="120" s="1"/>
  <c r="C1261" i="120" s="1"/>
  <c r="C1618" i="120" s="1"/>
  <c r="C1975" i="120" s="1"/>
  <c r="C2332" i="120" s="1"/>
  <c r="C2689" i="120" s="1"/>
  <c r="B547" i="120"/>
  <c r="B904" i="120" s="1"/>
  <c r="B1261" i="120" s="1"/>
  <c r="B1618" i="120" s="1"/>
  <c r="B1975" i="120" s="1"/>
  <c r="B2332" i="120" s="1"/>
  <c r="B2689" i="120" s="1"/>
  <c r="A547" i="120"/>
  <c r="A904" i="120" s="1"/>
  <c r="A1261" i="120" s="1"/>
  <c r="A1618" i="120" s="1"/>
  <c r="A1975" i="120" s="1"/>
  <c r="A2332" i="120" s="1"/>
  <c r="A2689" i="120" s="1"/>
  <c r="M189" i="120"/>
  <c r="E546" i="120"/>
  <c r="E903" i="120" s="1"/>
  <c r="E1260" i="120" s="1"/>
  <c r="E1617" i="120" s="1"/>
  <c r="E1974" i="120" s="1"/>
  <c r="E2331" i="120" s="1"/>
  <c r="E2688" i="120" s="1"/>
  <c r="D546" i="120"/>
  <c r="D903" i="120" s="1"/>
  <c r="D1260" i="120" s="1"/>
  <c r="D1617" i="120" s="1"/>
  <c r="D1974" i="120" s="1"/>
  <c r="D2331" i="120" s="1"/>
  <c r="D2688" i="120" s="1"/>
  <c r="C546" i="120"/>
  <c r="C903" i="120" s="1"/>
  <c r="C1260" i="120" s="1"/>
  <c r="C1617" i="120" s="1"/>
  <c r="C1974" i="120" s="1"/>
  <c r="C2331" i="120" s="1"/>
  <c r="C2688" i="120" s="1"/>
  <c r="B546" i="120"/>
  <c r="B903" i="120" s="1"/>
  <c r="B1260" i="120" s="1"/>
  <c r="B1617" i="120" s="1"/>
  <c r="B1974" i="120" s="1"/>
  <c r="B2331" i="120" s="1"/>
  <c r="B2688" i="120" s="1"/>
  <c r="A546" i="120"/>
  <c r="A903" i="120" s="1"/>
  <c r="A1260" i="120" s="1"/>
  <c r="A1617" i="120" s="1"/>
  <c r="A1974" i="120" s="1"/>
  <c r="A2331" i="120" s="1"/>
  <c r="A2688" i="120" s="1"/>
  <c r="M188" i="120"/>
  <c r="E545" i="120"/>
  <c r="E902" i="120" s="1"/>
  <c r="E1259" i="120" s="1"/>
  <c r="E1616" i="120" s="1"/>
  <c r="E1973" i="120" s="1"/>
  <c r="E2330" i="120" s="1"/>
  <c r="E2687" i="120" s="1"/>
  <c r="D545" i="120"/>
  <c r="D902" i="120" s="1"/>
  <c r="D1259" i="120" s="1"/>
  <c r="D1616" i="120" s="1"/>
  <c r="D1973" i="120" s="1"/>
  <c r="D2330" i="120" s="1"/>
  <c r="D2687" i="120" s="1"/>
  <c r="C545" i="120"/>
  <c r="C902" i="120" s="1"/>
  <c r="C1259" i="120" s="1"/>
  <c r="C1616" i="120" s="1"/>
  <c r="C1973" i="120" s="1"/>
  <c r="C2330" i="120" s="1"/>
  <c r="C2687" i="120" s="1"/>
  <c r="B545" i="120"/>
  <c r="B902" i="120" s="1"/>
  <c r="B1259" i="120" s="1"/>
  <c r="B1616" i="120" s="1"/>
  <c r="B1973" i="120" s="1"/>
  <c r="B2330" i="120" s="1"/>
  <c r="B2687" i="120" s="1"/>
  <c r="A545" i="120"/>
  <c r="A902" i="120" s="1"/>
  <c r="A1259" i="120" s="1"/>
  <c r="A1616" i="120" s="1"/>
  <c r="A1973" i="120" s="1"/>
  <c r="A2330" i="120" s="1"/>
  <c r="A2687" i="120" s="1"/>
  <c r="M187" i="120"/>
  <c r="E544" i="120"/>
  <c r="E901" i="120" s="1"/>
  <c r="E1258" i="120" s="1"/>
  <c r="E1615" i="120" s="1"/>
  <c r="E1972" i="120" s="1"/>
  <c r="E2329" i="120" s="1"/>
  <c r="E2686" i="120" s="1"/>
  <c r="D544" i="120"/>
  <c r="D901" i="120" s="1"/>
  <c r="D1258" i="120" s="1"/>
  <c r="D1615" i="120" s="1"/>
  <c r="D1972" i="120" s="1"/>
  <c r="D2329" i="120" s="1"/>
  <c r="D2686" i="120" s="1"/>
  <c r="C544" i="120"/>
  <c r="C901" i="120" s="1"/>
  <c r="C1258" i="120" s="1"/>
  <c r="C1615" i="120" s="1"/>
  <c r="C1972" i="120" s="1"/>
  <c r="C2329" i="120" s="1"/>
  <c r="C2686" i="120" s="1"/>
  <c r="B544" i="120"/>
  <c r="B901" i="120" s="1"/>
  <c r="B1258" i="120" s="1"/>
  <c r="B1615" i="120" s="1"/>
  <c r="B1972" i="120" s="1"/>
  <c r="B2329" i="120" s="1"/>
  <c r="B2686" i="120" s="1"/>
  <c r="A544" i="120"/>
  <c r="A901" i="120" s="1"/>
  <c r="A1258" i="120" s="1"/>
  <c r="A1615" i="120" s="1"/>
  <c r="A1972" i="120" s="1"/>
  <c r="A2329" i="120" s="1"/>
  <c r="A2686" i="120" s="1"/>
  <c r="M186" i="120"/>
  <c r="E543" i="120"/>
  <c r="E900" i="120" s="1"/>
  <c r="E1257" i="120" s="1"/>
  <c r="E1614" i="120" s="1"/>
  <c r="E1971" i="120" s="1"/>
  <c r="E2328" i="120" s="1"/>
  <c r="E2685" i="120" s="1"/>
  <c r="D543" i="120"/>
  <c r="D900" i="120" s="1"/>
  <c r="D1257" i="120" s="1"/>
  <c r="D1614" i="120" s="1"/>
  <c r="D1971" i="120" s="1"/>
  <c r="D2328" i="120" s="1"/>
  <c r="D2685" i="120" s="1"/>
  <c r="C543" i="120"/>
  <c r="C900" i="120" s="1"/>
  <c r="C1257" i="120" s="1"/>
  <c r="C1614" i="120" s="1"/>
  <c r="C1971" i="120" s="1"/>
  <c r="C2328" i="120" s="1"/>
  <c r="C2685" i="120" s="1"/>
  <c r="B543" i="120"/>
  <c r="B900" i="120" s="1"/>
  <c r="B1257" i="120" s="1"/>
  <c r="B1614" i="120" s="1"/>
  <c r="B1971" i="120" s="1"/>
  <c r="B2328" i="120" s="1"/>
  <c r="B2685" i="120" s="1"/>
  <c r="A543" i="120"/>
  <c r="A900" i="120" s="1"/>
  <c r="A1257" i="120" s="1"/>
  <c r="A1614" i="120" s="1"/>
  <c r="A1971" i="120" s="1"/>
  <c r="A2328" i="120" s="1"/>
  <c r="A2685" i="120" s="1"/>
  <c r="M185" i="120"/>
  <c r="E542" i="120"/>
  <c r="E899" i="120" s="1"/>
  <c r="E1256" i="120" s="1"/>
  <c r="E1613" i="120" s="1"/>
  <c r="E1970" i="120" s="1"/>
  <c r="E2327" i="120" s="1"/>
  <c r="E2684" i="120" s="1"/>
  <c r="D542" i="120"/>
  <c r="D899" i="120" s="1"/>
  <c r="D1256" i="120" s="1"/>
  <c r="D1613" i="120" s="1"/>
  <c r="D1970" i="120" s="1"/>
  <c r="D2327" i="120" s="1"/>
  <c r="D2684" i="120" s="1"/>
  <c r="C542" i="120"/>
  <c r="C899" i="120" s="1"/>
  <c r="C1256" i="120" s="1"/>
  <c r="C1613" i="120" s="1"/>
  <c r="C1970" i="120" s="1"/>
  <c r="C2327" i="120" s="1"/>
  <c r="C2684" i="120" s="1"/>
  <c r="B542" i="120"/>
  <c r="B899" i="120" s="1"/>
  <c r="B1256" i="120" s="1"/>
  <c r="B1613" i="120" s="1"/>
  <c r="B1970" i="120" s="1"/>
  <c r="B2327" i="120" s="1"/>
  <c r="B2684" i="120" s="1"/>
  <c r="A542" i="120"/>
  <c r="A899" i="120" s="1"/>
  <c r="A1256" i="120" s="1"/>
  <c r="A1613" i="120" s="1"/>
  <c r="A1970" i="120" s="1"/>
  <c r="A2327" i="120" s="1"/>
  <c r="A2684" i="120" s="1"/>
  <c r="M184" i="120"/>
  <c r="E541" i="120"/>
  <c r="E898" i="120" s="1"/>
  <c r="E1255" i="120" s="1"/>
  <c r="E1612" i="120" s="1"/>
  <c r="E1969" i="120" s="1"/>
  <c r="E2326" i="120" s="1"/>
  <c r="E2683" i="120" s="1"/>
  <c r="D541" i="120"/>
  <c r="D898" i="120" s="1"/>
  <c r="D1255" i="120" s="1"/>
  <c r="D1612" i="120" s="1"/>
  <c r="D1969" i="120" s="1"/>
  <c r="D2326" i="120" s="1"/>
  <c r="D2683" i="120" s="1"/>
  <c r="C541" i="120"/>
  <c r="C898" i="120" s="1"/>
  <c r="C1255" i="120" s="1"/>
  <c r="C1612" i="120" s="1"/>
  <c r="C1969" i="120" s="1"/>
  <c r="C2326" i="120" s="1"/>
  <c r="C2683" i="120" s="1"/>
  <c r="B541" i="120"/>
  <c r="B898" i="120" s="1"/>
  <c r="B1255" i="120" s="1"/>
  <c r="B1612" i="120" s="1"/>
  <c r="B1969" i="120" s="1"/>
  <c r="B2326" i="120" s="1"/>
  <c r="B2683" i="120" s="1"/>
  <c r="A541" i="120"/>
  <c r="A898" i="120" s="1"/>
  <c r="A1255" i="120" s="1"/>
  <c r="A1612" i="120" s="1"/>
  <c r="A1969" i="120" s="1"/>
  <c r="A2326" i="120" s="1"/>
  <c r="A2683" i="120" s="1"/>
  <c r="M183" i="120"/>
  <c r="E540" i="120"/>
  <c r="E897" i="120" s="1"/>
  <c r="E1254" i="120" s="1"/>
  <c r="E1611" i="120" s="1"/>
  <c r="E1968" i="120" s="1"/>
  <c r="E2325" i="120" s="1"/>
  <c r="E2682" i="120" s="1"/>
  <c r="D540" i="120"/>
  <c r="D897" i="120" s="1"/>
  <c r="D1254" i="120" s="1"/>
  <c r="D1611" i="120" s="1"/>
  <c r="D1968" i="120" s="1"/>
  <c r="D2325" i="120" s="1"/>
  <c r="D2682" i="120" s="1"/>
  <c r="C540" i="120"/>
  <c r="C897" i="120" s="1"/>
  <c r="C1254" i="120" s="1"/>
  <c r="C1611" i="120" s="1"/>
  <c r="C1968" i="120" s="1"/>
  <c r="C2325" i="120" s="1"/>
  <c r="C2682" i="120" s="1"/>
  <c r="B540" i="120"/>
  <c r="B897" i="120" s="1"/>
  <c r="B1254" i="120" s="1"/>
  <c r="B1611" i="120" s="1"/>
  <c r="B1968" i="120" s="1"/>
  <c r="B2325" i="120" s="1"/>
  <c r="B2682" i="120" s="1"/>
  <c r="A540" i="120"/>
  <c r="A897" i="120" s="1"/>
  <c r="A1254" i="120" s="1"/>
  <c r="A1611" i="120" s="1"/>
  <c r="A1968" i="120" s="1"/>
  <c r="A2325" i="120" s="1"/>
  <c r="A2682" i="120" s="1"/>
  <c r="M182" i="120"/>
  <c r="E539" i="120"/>
  <c r="E896" i="120" s="1"/>
  <c r="E1253" i="120" s="1"/>
  <c r="E1610" i="120" s="1"/>
  <c r="E1967" i="120" s="1"/>
  <c r="E2324" i="120" s="1"/>
  <c r="E2681" i="120" s="1"/>
  <c r="D539" i="120"/>
  <c r="D896" i="120" s="1"/>
  <c r="D1253" i="120" s="1"/>
  <c r="D1610" i="120" s="1"/>
  <c r="D1967" i="120" s="1"/>
  <c r="D2324" i="120" s="1"/>
  <c r="D2681" i="120" s="1"/>
  <c r="B539" i="120"/>
  <c r="B896" i="120" s="1"/>
  <c r="B1253" i="120" s="1"/>
  <c r="B1610" i="120" s="1"/>
  <c r="B1967" i="120" s="1"/>
  <c r="B2324" i="120" s="1"/>
  <c r="B2681" i="120" s="1"/>
  <c r="A539" i="120"/>
  <c r="A896" i="120" s="1"/>
  <c r="A1253" i="120" s="1"/>
  <c r="A1610" i="120" s="1"/>
  <c r="A1967" i="120" s="1"/>
  <c r="A2324" i="120" s="1"/>
  <c r="A2681" i="120" s="1"/>
  <c r="M181" i="120"/>
  <c r="E538" i="120"/>
  <c r="E895" i="120" s="1"/>
  <c r="E1252" i="120" s="1"/>
  <c r="E1609" i="120" s="1"/>
  <c r="E1966" i="120" s="1"/>
  <c r="E2323" i="120" s="1"/>
  <c r="E2680" i="120" s="1"/>
  <c r="D538" i="120"/>
  <c r="D895" i="120" s="1"/>
  <c r="D1252" i="120" s="1"/>
  <c r="D1609" i="120" s="1"/>
  <c r="D1966" i="120" s="1"/>
  <c r="D2323" i="120" s="1"/>
  <c r="D2680" i="120" s="1"/>
  <c r="C538" i="120"/>
  <c r="C895" i="120" s="1"/>
  <c r="C1252" i="120" s="1"/>
  <c r="C1609" i="120" s="1"/>
  <c r="C1966" i="120" s="1"/>
  <c r="C2323" i="120" s="1"/>
  <c r="C2680" i="120" s="1"/>
  <c r="B538" i="120"/>
  <c r="B895" i="120" s="1"/>
  <c r="B1252" i="120" s="1"/>
  <c r="B1609" i="120" s="1"/>
  <c r="B1966" i="120" s="1"/>
  <c r="B2323" i="120" s="1"/>
  <c r="B2680" i="120" s="1"/>
  <c r="A538" i="120"/>
  <c r="A895" i="120" s="1"/>
  <c r="A1252" i="120" s="1"/>
  <c r="A1609" i="120" s="1"/>
  <c r="A1966" i="120" s="1"/>
  <c r="A2323" i="120" s="1"/>
  <c r="A2680" i="120" s="1"/>
  <c r="M180" i="120"/>
  <c r="E537" i="120"/>
  <c r="E894" i="120" s="1"/>
  <c r="E1251" i="120" s="1"/>
  <c r="E1608" i="120" s="1"/>
  <c r="E1965" i="120" s="1"/>
  <c r="E2322" i="120" s="1"/>
  <c r="E2679" i="120" s="1"/>
  <c r="D537" i="120"/>
  <c r="D894" i="120" s="1"/>
  <c r="D1251" i="120" s="1"/>
  <c r="D1608" i="120" s="1"/>
  <c r="D1965" i="120" s="1"/>
  <c r="D2322" i="120" s="1"/>
  <c r="D2679" i="120" s="1"/>
  <c r="C537" i="120"/>
  <c r="C894" i="120" s="1"/>
  <c r="C1251" i="120" s="1"/>
  <c r="C1608" i="120" s="1"/>
  <c r="C1965" i="120" s="1"/>
  <c r="C2322" i="120" s="1"/>
  <c r="C2679" i="120" s="1"/>
  <c r="B537" i="120"/>
  <c r="B894" i="120" s="1"/>
  <c r="B1251" i="120" s="1"/>
  <c r="B1608" i="120" s="1"/>
  <c r="B1965" i="120" s="1"/>
  <c r="B2322" i="120" s="1"/>
  <c r="B2679" i="120" s="1"/>
  <c r="A537" i="120"/>
  <c r="A894" i="120" s="1"/>
  <c r="A1251" i="120" s="1"/>
  <c r="A1608" i="120" s="1"/>
  <c r="A1965" i="120" s="1"/>
  <c r="A2322" i="120" s="1"/>
  <c r="A2679" i="120" s="1"/>
  <c r="M179" i="120"/>
  <c r="E536" i="120"/>
  <c r="E893" i="120" s="1"/>
  <c r="E1250" i="120" s="1"/>
  <c r="E1607" i="120" s="1"/>
  <c r="E1964" i="120" s="1"/>
  <c r="E2321" i="120" s="1"/>
  <c r="E2678" i="120" s="1"/>
  <c r="D536" i="120"/>
  <c r="D893" i="120" s="1"/>
  <c r="D1250" i="120" s="1"/>
  <c r="D1607" i="120" s="1"/>
  <c r="D1964" i="120" s="1"/>
  <c r="D2321" i="120" s="1"/>
  <c r="D2678" i="120" s="1"/>
  <c r="C536" i="120"/>
  <c r="C893" i="120" s="1"/>
  <c r="C1250" i="120" s="1"/>
  <c r="C1607" i="120" s="1"/>
  <c r="C1964" i="120" s="1"/>
  <c r="C2321" i="120" s="1"/>
  <c r="C2678" i="120" s="1"/>
  <c r="B536" i="120"/>
  <c r="B893" i="120" s="1"/>
  <c r="B1250" i="120" s="1"/>
  <c r="B1607" i="120" s="1"/>
  <c r="B1964" i="120" s="1"/>
  <c r="B2321" i="120" s="1"/>
  <c r="B2678" i="120" s="1"/>
  <c r="A536" i="120"/>
  <c r="A893" i="120" s="1"/>
  <c r="A1250" i="120" s="1"/>
  <c r="A1607" i="120" s="1"/>
  <c r="A1964" i="120" s="1"/>
  <c r="A2321" i="120" s="1"/>
  <c r="A2678" i="120" s="1"/>
  <c r="M178" i="120"/>
  <c r="E535" i="120"/>
  <c r="E892" i="120" s="1"/>
  <c r="E1249" i="120" s="1"/>
  <c r="E1606" i="120" s="1"/>
  <c r="E1963" i="120" s="1"/>
  <c r="E2320" i="120" s="1"/>
  <c r="E2677" i="120" s="1"/>
  <c r="D535" i="120"/>
  <c r="D892" i="120" s="1"/>
  <c r="D1249" i="120" s="1"/>
  <c r="D1606" i="120" s="1"/>
  <c r="D1963" i="120" s="1"/>
  <c r="D2320" i="120" s="1"/>
  <c r="D2677" i="120" s="1"/>
  <c r="C535" i="120"/>
  <c r="C892" i="120" s="1"/>
  <c r="C1249" i="120" s="1"/>
  <c r="C1606" i="120" s="1"/>
  <c r="C1963" i="120" s="1"/>
  <c r="C2320" i="120" s="1"/>
  <c r="C2677" i="120" s="1"/>
  <c r="B535" i="120"/>
  <c r="B892" i="120" s="1"/>
  <c r="B1249" i="120" s="1"/>
  <c r="B1606" i="120" s="1"/>
  <c r="B1963" i="120" s="1"/>
  <c r="B2320" i="120" s="1"/>
  <c r="B2677" i="120" s="1"/>
  <c r="A535" i="120"/>
  <c r="A892" i="120" s="1"/>
  <c r="A1249" i="120" s="1"/>
  <c r="A1606" i="120" s="1"/>
  <c r="A1963" i="120" s="1"/>
  <c r="A2320" i="120" s="1"/>
  <c r="A2677" i="120" s="1"/>
  <c r="M177" i="120"/>
  <c r="E534" i="120"/>
  <c r="E891" i="120" s="1"/>
  <c r="E1248" i="120" s="1"/>
  <c r="E1605" i="120" s="1"/>
  <c r="E1962" i="120" s="1"/>
  <c r="E2319" i="120" s="1"/>
  <c r="E2676" i="120" s="1"/>
  <c r="D534" i="120"/>
  <c r="D891" i="120" s="1"/>
  <c r="D1248" i="120" s="1"/>
  <c r="D1605" i="120" s="1"/>
  <c r="D1962" i="120" s="1"/>
  <c r="D2319" i="120" s="1"/>
  <c r="D2676" i="120" s="1"/>
  <c r="C534" i="120"/>
  <c r="C891" i="120" s="1"/>
  <c r="C1248" i="120" s="1"/>
  <c r="C1605" i="120" s="1"/>
  <c r="C1962" i="120" s="1"/>
  <c r="C2319" i="120" s="1"/>
  <c r="C2676" i="120" s="1"/>
  <c r="B534" i="120"/>
  <c r="B891" i="120" s="1"/>
  <c r="B1248" i="120" s="1"/>
  <c r="B1605" i="120" s="1"/>
  <c r="B1962" i="120" s="1"/>
  <c r="B2319" i="120" s="1"/>
  <c r="B2676" i="120" s="1"/>
  <c r="A534" i="120"/>
  <c r="A891" i="120" s="1"/>
  <c r="A1248" i="120" s="1"/>
  <c r="A1605" i="120" s="1"/>
  <c r="A1962" i="120" s="1"/>
  <c r="A2319" i="120" s="1"/>
  <c r="A2676" i="120" s="1"/>
  <c r="M176" i="120"/>
  <c r="E533" i="120"/>
  <c r="E890" i="120" s="1"/>
  <c r="E1247" i="120" s="1"/>
  <c r="E1604" i="120" s="1"/>
  <c r="E1961" i="120" s="1"/>
  <c r="E2318" i="120" s="1"/>
  <c r="E2675" i="120" s="1"/>
  <c r="D533" i="120"/>
  <c r="D890" i="120" s="1"/>
  <c r="D1247" i="120" s="1"/>
  <c r="D1604" i="120" s="1"/>
  <c r="D1961" i="120" s="1"/>
  <c r="D2318" i="120" s="1"/>
  <c r="D2675" i="120" s="1"/>
  <c r="C533" i="120"/>
  <c r="C890" i="120" s="1"/>
  <c r="C1247" i="120" s="1"/>
  <c r="C1604" i="120" s="1"/>
  <c r="C1961" i="120" s="1"/>
  <c r="C2318" i="120" s="1"/>
  <c r="C2675" i="120" s="1"/>
  <c r="B533" i="120"/>
  <c r="B890" i="120" s="1"/>
  <c r="B1247" i="120" s="1"/>
  <c r="B1604" i="120" s="1"/>
  <c r="B1961" i="120" s="1"/>
  <c r="B2318" i="120" s="1"/>
  <c r="B2675" i="120" s="1"/>
  <c r="A533" i="120"/>
  <c r="A890" i="120" s="1"/>
  <c r="A1247" i="120" s="1"/>
  <c r="A1604" i="120" s="1"/>
  <c r="A1961" i="120" s="1"/>
  <c r="A2318" i="120" s="1"/>
  <c r="A2675" i="120" s="1"/>
  <c r="M175" i="120"/>
  <c r="E532" i="120"/>
  <c r="E889" i="120" s="1"/>
  <c r="E1246" i="120" s="1"/>
  <c r="E1603" i="120" s="1"/>
  <c r="E1960" i="120" s="1"/>
  <c r="E2317" i="120" s="1"/>
  <c r="E2674" i="120" s="1"/>
  <c r="D532" i="120"/>
  <c r="D889" i="120" s="1"/>
  <c r="D1246" i="120" s="1"/>
  <c r="D1603" i="120" s="1"/>
  <c r="D1960" i="120" s="1"/>
  <c r="D2317" i="120" s="1"/>
  <c r="D2674" i="120" s="1"/>
  <c r="C532" i="120"/>
  <c r="C889" i="120" s="1"/>
  <c r="C1246" i="120" s="1"/>
  <c r="C1603" i="120" s="1"/>
  <c r="C1960" i="120" s="1"/>
  <c r="C2317" i="120" s="1"/>
  <c r="C2674" i="120" s="1"/>
  <c r="B532" i="120"/>
  <c r="B889" i="120" s="1"/>
  <c r="B1246" i="120" s="1"/>
  <c r="B1603" i="120" s="1"/>
  <c r="B1960" i="120" s="1"/>
  <c r="B2317" i="120" s="1"/>
  <c r="B2674" i="120" s="1"/>
  <c r="A532" i="120"/>
  <c r="A889" i="120" s="1"/>
  <c r="A1246" i="120" s="1"/>
  <c r="A1603" i="120" s="1"/>
  <c r="A1960" i="120" s="1"/>
  <c r="A2317" i="120" s="1"/>
  <c r="A2674" i="120" s="1"/>
  <c r="M174" i="120"/>
  <c r="E531" i="120"/>
  <c r="E888" i="120" s="1"/>
  <c r="E1245" i="120" s="1"/>
  <c r="E1602" i="120" s="1"/>
  <c r="E1959" i="120" s="1"/>
  <c r="E2316" i="120" s="1"/>
  <c r="E2673" i="120" s="1"/>
  <c r="D531" i="120"/>
  <c r="D888" i="120" s="1"/>
  <c r="D1245" i="120" s="1"/>
  <c r="D1602" i="120" s="1"/>
  <c r="D1959" i="120" s="1"/>
  <c r="D2316" i="120" s="1"/>
  <c r="D2673" i="120" s="1"/>
  <c r="C531" i="120"/>
  <c r="C888" i="120" s="1"/>
  <c r="C1245" i="120" s="1"/>
  <c r="C1602" i="120" s="1"/>
  <c r="C1959" i="120" s="1"/>
  <c r="C2316" i="120" s="1"/>
  <c r="C2673" i="120" s="1"/>
  <c r="B531" i="120"/>
  <c r="B888" i="120" s="1"/>
  <c r="B1245" i="120" s="1"/>
  <c r="B1602" i="120" s="1"/>
  <c r="B1959" i="120" s="1"/>
  <c r="B2316" i="120" s="1"/>
  <c r="B2673" i="120" s="1"/>
  <c r="A531" i="120"/>
  <c r="A888" i="120" s="1"/>
  <c r="A1245" i="120" s="1"/>
  <c r="A1602" i="120" s="1"/>
  <c r="A1959" i="120" s="1"/>
  <c r="A2316" i="120" s="1"/>
  <c r="A2673" i="120" s="1"/>
  <c r="M173" i="120"/>
  <c r="E530" i="120"/>
  <c r="E887" i="120" s="1"/>
  <c r="E1244" i="120" s="1"/>
  <c r="E1601" i="120" s="1"/>
  <c r="E1958" i="120" s="1"/>
  <c r="E2315" i="120" s="1"/>
  <c r="E2672" i="120" s="1"/>
  <c r="D530" i="120"/>
  <c r="D887" i="120" s="1"/>
  <c r="D1244" i="120" s="1"/>
  <c r="D1601" i="120" s="1"/>
  <c r="D1958" i="120" s="1"/>
  <c r="D2315" i="120" s="1"/>
  <c r="D2672" i="120" s="1"/>
  <c r="C530" i="120"/>
  <c r="C887" i="120" s="1"/>
  <c r="C1244" i="120" s="1"/>
  <c r="C1601" i="120" s="1"/>
  <c r="C1958" i="120" s="1"/>
  <c r="C2315" i="120" s="1"/>
  <c r="C2672" i="120" s="1"/>
  <c r="B530" i="120"/>
  <c r="B887" i="120" s="1"/>
  <c r="B1244" i="120" s="1"/>
  <c r="B1601" i="120" s="1"/>
  <c r="B1958" i="120" s="1"/>
  <c r="B2315" i="120" s="1"/>
  <c r="B2672" i="120" s="1"/>
  <c r="A530" i="120"/>
  <c r="A887" i="120" s="1"/>
  <c r="A1244" i="120" s="1"/>
  <c r="A1601" i="120" s="1"/>
  <c r="A1958" i="120" s="1"/>
  <c r="A2315" i="120" s="1"/>
  <c r="A2672" i="120" s="1"/>
  <c r="M172" i="120"/>
  <c r="E529" i="120"/>
  <c r="E886" i="120" s="1"/>
  <c r="E1243" i="120" s="1"/>
  <c r="E1600" i="120" s="1"/>
  <c r="E1957" i="120" s="1"/>
  <c r="E2314" i="120" s="1"/>
  <c r="E2671" i="120" s="1"/>
  <c r="D529" i="120"/>
  <c r="D886" i="120" s="1"/>
  <c r="D1243" i="120" s="1"/>
  <c r="D1600" i="120" s="1"/>
  <c r="D1957" i="120" s="1"/>
  <c r="D2314" i="120" s="1"/>
  <c r="D2671" i="120" s="1"/>
  <c r="C529" i="120"/>
  <c r="C886" i="120" s="1"/>
  <c r="C1243" i="120" s="1"/>
  <c r="C1600" i="120" s="1"/>
  <c r="C1957" i="120" s="1"/>
  <c r="C2314" i="120" s="1"/>
  <c r="C2671" i="120" s="1"/>
  <c r="B529" i="120"/>
  <c r="B886" i="120" s="1"/>
  <c r="B1243" i="120" s="1"/>
  <c r="B1600" i="120" s="1"/>
  <c r="B1957" i="120" s="1"/>
  <c r="B2314" i="120" s="1"/>
  <c r="B2671" i="120" s="1"/>
  <c r="A529" i="120"/>
  <c r="A886" i="120" s="1"/>
  <c r="A1243" i="120" s="1"/>
  <c r="A1600" i="120" s="1"/>
  <c r="A1957" i="120" s="1"/>
  <c r="A2314" i="120" s="1"/>
  <c r="A2671" i="120" s="1"/>
  <c r="M171" i="120"/>
  <c r="E528" i="120"/>
  <c r="E885" i="120" s="1"/>
  <c r="E1242" i="120" s="1"/>
  <c r="E1599" i="120" s="1"/>
  <c r="E1956" i="120" s="1"/>
  <c r="E2313" i="120" s="1"/>
  <c r="E2670" i="120" s="1"/>
  <c r="D528" i="120"/>
  <c r="D885" i="120" s="1"/>
  <c r="D1242" i="120" s="1"/>
  <c r="D1599" i="120" s="1"/>
  <c r="D1956" i="120" s="1"/>
  <c r="D2313" i="120" s="1"/>
  <c r="D2670" i="120" s="1"/>
  <c r="C528" i="120"/>
  <c r="C885" i="120" s="1"/>
  <c r="C1242" i="120" s="1"/>
  <c r="C1599" i="120" s="1"/>
  <c r="C1956" i="120" s="1"/>
  <c r="C2313" i="120" s="1"/>
  <c r="C2670" i="120" s="1"/>
  <c r="B528" i="120"/>
  <c r="B885" i="120" s="1"/>
  <c r="B1242" i="120" s="1"/>
  <c r="B1599" i="120" s="1"/>
  <c r="B1956" i="120" s="1"/>
  <c r="B2313" i="120" s="1"/>
  <c r="B2670" i="120" s="1"/>
  <c r="A528" i="120"/>
  <c r="A885" i="120" s="1"/>
  <c r="A1242" i="120" s="1"/>
  <c r="A1599" i="120" s="1"/>
  <c r="A1956" i="120" s="1"/>
  <c r="A2313" i="120" s="1"/>
  <c r="A2670" i="120" s="1"/>
  <c r="M170" i="120"/>
  <c r="E527" i="120"/>
  <c r="E884" i="120" s="1"/>
  <c r="E1241" i="120" s="1"/>
  <c r="E1598" i="120" s="1"/>
  <c r="E1955" i="120" s="1"/>
  <c r="E2312" i="120" s="1"/>
  <c r="E2669" i="120" s="1"/>
  <c r="D527" i="120"/>
  <c r="D884" i="120" s="1"/>
  <c r="D1241" i="120" s="1"/>
  <c r="D1598" i="120" s="1"/>
  <c r="D1955" i="120" s="1"/>
  <c r="D2312" i="120" s="1"/>
  <c r="D2669" i="120" s="1"/>
  <c r="C527" i="120"/>
  <c r="C884" i="120" s="1"/>
  <c r="C1241" i="120" s="1"/>
  <c r="C1598" i="120" s="1"/>
  <c r="C1955" i="120" s="1"/>
  <c r="C2312" i="120" s="1"/>
  <c r="C2669" i="120" s="1"/>
  <c r="B527" i="120"/>
  <c r="B884" i="120" s="1"/>
  <c r="B1241" i="120" s="1"/>
  <c r="B1598" i="120" s="1"/>
  <c r="B1955" i="120" s="1"/>
  <c r="B2312" i="120" s="1"/>
  <c r="B2669" i="120" s="1"/>
  <c r="A527" i="120"/>
  <c r="A884" i="120" s="1"/>
  <c r="A1241" i="120" s="1"/>
  <c r="A1598" i="120" s="1"/>
  <c r="A1955" i="120" s="1"/>
  <c r="A2312" i="120" s="1"/>
  <c r="A2669" i="120" s="1"/>
  <c r="M169" i="120"/>
  <c r="E526" i="120"/>
  <c r="E883" i="120" s="1"/>
  <c r="E1240" i="120" s="1"/>
  <c r="E1597" i="120" s="1"/>
  <c r="E1954" i="120" s="1"/>
  <c r="E2311" i="120" s="1"/>
  <c r="E2668" i="120" s="1"/>
  <c r="D526" i="120"/>
  <c r="D883" i="120" s="1"/>
  <c r="D1240" i="120" s="1"/>
  <c r="D1597" i="120" s="1"/>
  <c r="D1954" i="120" s="1"/>
  <c r="D2311" i="120" s="1"/>
  <c r="D2668" i="120" s="1"/>
  <c r="C526" i="120"/>
  <c r="C883" i="120" s="1"/>
  <c r="C1240" i="120" s="1"/>
  <c r="C1597" i="120" s="1"/>
  <c r="C1954" i="120" s="1"/>
  <c r="C2311" i="120" s="1"/>
  <c r="C2668" i="120" s="1"/>
  <c r="B526" i="120"/>
  <c r="B883" i="120" s="1"/>
  <c r="B1240" i="120" s="1"/>
  <c r="B1597" i="120" s="1"/>
  <c r="B1954" i="120" s="1"/>
  <c r="B2311" i="120" s="1"/>
  <c r="B2668" i="120" s="1"/>
  <c r="A526" i="120"/>
  <c r="A883" i="120" s="1"/>
  <c r="A1240" i="120" s="1"/>
  <c r="A1597" i="120" s="1"/>
  <c r="A1954" i="120" s="1"/>
  <c r="A2311" i="120" s="1"/>
  <c r="A2668" i="120" s="1"/>
  <c r="M168" i="120"/>
  <c r="E525" i="120"/>
  <c r="E882" i="120" s="1"/>
  <c r="E1239" i="120" s="1"/>
  <c r="E1596" i="120" s="1"/>
  <c r="E1953" i="120" s="1"/>
  <c r="E2310" i="120" s="1"/>
  <c r="E2667" i="120" s="1"/>
  <c r="D525" i="120"/>
  <c r="D882" i="120" s="1"/>
  <c r="D1239" i="120" s="1"/>
  <c r="D1596" i="120" s="1"/>
  <c r="D1953" i="120" s="1"/>
  <c r="D2310" i="120" s="1"/>
  <c r="D2667" i="120" s="1"/>
  <c r="C525" i="120"/>
  <c r="C882" i="120" s="1"/>
  <c r="C1239" i="120" s="1"/>
  <c r="C1596" i="120" s="1"/>
  <c r="C1953" i="120" s="1"/>
  <c r="C2310" i="120" s="1"/>
  <c r="C2667" i="120" s="1"/>
  <c r="B525" i="120"/>
  <c r="B882" i="120" s="1"/>
  <c r="B1239" i="120" s="1"/>
  <c r="B1596" i="120" s="1"/>
  <c r="B1953" i="120" s="1"/>
  <c r="B2310" i="120" s="1"/>
  <c r="B2667" i="120" s="1"/>
  <c r="A525" i="120"/>
  <c r="A882" i="120" s="1"/>
  <c r="A1239" i="120" s="1"/>
  <c r="A1596" i="120" s="1"/>
  <c r="A1953" i="120" s="1"/>
  <c r="A2310" i="120" s="1"/>
  <c r="A2667" i="120" s="1"/>
  <c r="M167" i="120"/>
  <c r="E524" i="120"/>
  <c r="E881" i="120" s="1"/>
  <c r="E1238" i="120" s="1"/>
  <c r="E1595" i="120" s="1"/>
  <c r="E1952" i="120" s="1"/>
  <c r="E2309" i="120" s="1"/>
  <c r="E2666" i="120" s="1"/>
  <c r="D524" i="120"/>
  <c r="D881" i="120" s="1"/>
  <c r="D1238" i="120" s="1"/>
  <c r="D1595" i="120" s="1"/>
  <c r="D1952" i="120" s="1"/>
  <c r="D2309" i="120" s="1"/>
  <c r="D2666" i="120" s="1"/>
  <c r="C524" i="120"/>
  <c r="C881" i="120" s="1"/>
  <c r="C1238" i="120" s="1"/>
  <c r="C1595" i="120" s="1"/>
  <c r="C1952" i="120" s="1"/>
  <c r="C2309" i="120" s="1"/>
  <c r="C2666" i="120" s="1"/>
  <c r="B524" i="120"/>
  <c r="B881" i="120" s="1"/>
  <c r="B1238" i="120" s="1"/>
  <c r="B1595" i="120" s="1"/>
  <c r="B1952" i="120" s="1"/>
  <c r="B2309" i="120" s="1"/>
  <c r="B2666" i="120" s="1"/>
  <c r="A524" i="120"/>
  <c r="A881" i="120" s="1"/>
  <c r="A1238" i="120" s="1"/>
  <c r="A1595" i="120" s="1"/>
  <c r="A1952" i="120" s="1"/>
  <c r="A2309" i="120" s="1"/>
  <c r="A2666" i="120" s="1"/>
  <c r="M166" i="120"/>
  <c r="E523" i="120"/>
  <c r="E880" i="120" s="1"/>
  <c r="E1237" i="120" s="1"/>
  <c r="E1594" i="120" s="1"/>
  <c r="E1951" i="120" s="1"/>
  <c r="E2308" i="120" s="1"/>
  <c r="E2665" i="120" s="1"/>
  <c r="D523" i="120"/>
  <c r="D880" i="120" s="1"/>
  <c r="D1237" i="120" s="1"/>
  <c r="D1594" i="120" s="1"/>
  <c r="D1951" i="120" s="1"/>
  <c r="D2308" i="120" s="1"/>
  <c r="D2665" i="120" s="1"/>
  <c r="C523" i="120"/>
  <c r="C880" i="120" s="1"/>
  <c r="C1237" i="120" s="1"/>
  <c r="C1594" i="120" s="1"/>
  <c r="C1951" i="120" s="1"/>
  <c r="C2308" i="120" s="1"/>
  <c r="C2665" i="120" s="1"/>
  <c r="B523" i="120"/>
  <c r="B880" i="120" s="1"/>
  <c r="B1237" i="120" s="1"/>
  <c r="B1594" i="120" s="1"/>
  <c r="B1951" i="120" s="1"/>
  <c r="B2308" i="120" s="1"/>
  <c r="B2665" i="120" s="1"/>
  <c r="A523" i="120"/>
  <c r="A880" i="120" s="1"/>
  <c r="A1237" i="120" s="1"/>
  <c r="A1594" i="120" s="1"/>
  <c r="A1951" i="120" s="1"/>
  <c r="A2308" i="120" s="1"/>
  <c r="A2665" i="120" s="1"/>
  <c r="M165" i="120"/>
  <c r="E522" i="120"/>
  <c r="E879" i="120" s="1"/>
  <c r="E1236" i="120" s="1"/>
  <c r="E1593" i="120" s="1"/>
  <c r="E1950" i="120" s="1"/>
  <c r="E2307" i="120" s="1"/>
  <c r="E2664" i="120" s="1"/>
  <c r="D522" i="120"/>
  <c r="D879" i="120" s="1"/>
  <c r="D1236" i="120" s="1"/>
  <c r="D1593" i="120" s="1"/>
  <c r="D1950" i="120" s="1"/>
  <c r="D2307" i="120" s="1"/>
  <c r="D2664" i="120" s="1"/>
  <c r="C522" i="120"/>
  <c r="C879" i="120" s="1"/>
  <c r="C1236" i="120" s="1"/>
  <c r="C1593" i="120" s="1"/>
  <c r="C1950" i="120" s="1"/>
  <c r="C2307" i="120" s="1"/>
  <c r="C2664" i="120" s="1"/>
  <c r="B522" i="120"/>
  <c r="B879" i="120" s="1"/>
  <c r="B1236" i="120" s="1"/>
  <c r="B1593" i="120" s="1"/>
  <c r="B1950" i="120" s="1"/>
  <c r="B2307" i="120" s="1"/>
  <c r="B2664" i="120" s="1"/>
  <c r="A522" i="120"/>
  <c r="A879" i="120" s="1"/>
  <c r="A1236" i="120" s="1"/>
  <c r="A1593" i="120" s="1"/>
  <c r="A1950" i="120" s="1"/>
  <c r="A2307" i="120" s="1"/>
  <c r="A2664" i="120" s="1"/>
  <c r="M164" i="120"/>
  <c r="E521" i="120"/>
  <c r="E878" i="120" s="1"/>
  <c r="E1235" i="120" s="1"/>
  <c r="E1592" i="120" s="1"/>
  <c r="E1949" i="120" s="1"/>
  <c r="E2306" i="120" s="1"/>
  <c r="E2663" i="120" s="1"/>
  <c r="D521" i="120"/>
  <c r="D878" i="120" s="1"/>
  <c r="D1235" i="120" s="1"/>
  <c r="D1592" i="120" s="1"/>
  <c r="D1949" i="120" s="1"/>
  <c r="D2306" i="120" s="1"/>
  <c r="D2663" i="120" s="1"/>
  <c r="C521" i="120"/>
  <c r="C878" i="120" s="1"/>
  <c r="C1235" i="120" s="1"/>
  <c r="C1592" i="120" s="1"/>
  <c r="C1949" i="120" s="1"/>
  <c r="C2306" i="120" s="1"/>
  <c r="C2663" i="120" s="1"/>
  <c r="B521" i="120"/>
  <c r="B878" i="120" s="1"/>
  <c r="B1235" i="120" s="1"/>
  <c r="B1592" i="120" s="1"/>
  <c r="B1949" i="120" s="1"/>
  <c r="B2306" i="120" s="1"/>
  <c r="B2663" i="120" s="1"/>
  <c r="A521" i="120"/>
  <c r="A878" i="120" s="1"/>
  <c r="A1235" i="120" s="1"/>
  <c r="A1592" i="120" s="1"/>
  <c r="A1949" i="120" s="1"/>
  <c r="A2306" i="120" s="1"/>
  <c r="A2663" i="120" s="1"/>
  <c r="M163" i="120"/>
  <c r="E520" i="120"/>
  <c r="E877" i="120" s="1"/>
  <c r="E1234" i="120" s="1"/>
  <c r="E1591" i="120" s="1"/>
  <c r="E1948" i="120" s="1"/>
  <c r="E2305" i="120" s="1"/>
  <c r="E2662" i="120" s="1"/>
  <c r="D520" i="120"/>
  <c r="D877" i="120" s="1"/>
  <c r="D1234" i="120" s="1"/>
  <c r="D1591" i="120" s="1"/>
  <c r="D1948" i="120" s="1"/>
  <c r="D2305" i="120" s="1"/>
  <c r="D2662" i="120" s="1"/>
  <c r="C520" i="120"/>
  <c r="C877" i="120" s="1"/>
  <c r="C1234" i="120" s="1"/>
  <c r="C1591" i="120" s="1"/>
  <c r="C1948" i="120" s="1"/>
  <c r="C2305" i="120" s="1"/>
  <c r="C2662" i="120" s="1"/>
  <c r="B520" i="120"/>
  <c r="B877" i="120" s="1"/>
  <c r="B1234" i="120" s="1"/>
  <c r="B1591" i="120" s="1"/>
  <c r="B1948" i="120" s="1"/>
  <c r="B2305" i="120" s="1"/>
  <c r="B2662" i="120" s="1"/>
  <c r="A520" i="120"/>
  <c r="A877" i="120" s="1"/>
  <c r="A1234" i="120" s="1"/>
  <c r="A1591" i="120" s="1"/>
  <c r="A1948" i="120" s="1"/>
  <c r="A2305" i="120" s="1"/>
  <c r="A2662" i="120" s="1"/>
  <c r="M162" i="120"/>
  <c r="E519" i="120"/>
  <c r="E876" i="120" s="1"/>
  <c r="E1233" i="120" s="1"/>
  <c r="E1590" i="120" s="1"/>
  <c r="E1947" i="120" s="1"/>
  <c r="E2304" i="120" s="1"/>
  <c r="E2661" i="120" s="1"/>
  <c r="D519" i="120"/>
  <c r="D876" i="120" s="1"/>
  <c r="D1233" i="120" s="1"/>
  <c r="D1590" i="120" s="1"/>
  <c r="D1947" i="120" s="1"/>
  <c r="D2304" i="120" s="1"/>
  <c r="D2661" i="120" s="1"/>
  <c r="C519" i="120"/>
  <c r="C876" i="120" s="1"/>
  <c r="C1233" i="120" s="1"/>
  <c r="C1590" i="120" s="1"/>
  <c r="C1947" i="120" s="1"/>
  <c r="C2304" i="120" s="1"/>
  <c r="C2661" i="120" s="1"/>
  <c r="B519" i="120"/>
  <c r="B876" i="120" s="1"/>
  <c r="B1233" i="120" s="1"/>
  <c r="B1590" i="120" s="1"/>
  <c r="B1947" i="120" s="1"/>
  <c r="B2304" i="120" s="1"/>
  <c r="B2661" i="120" s="1"/>
  <c r="A519" i="120"/>
  <c r="A876" i="120" s="1"/>
  <c r="A1233" i="120" s="1"/>
  <c r="A1590" i="120" s="1"/>
  <c r="A1947" i="120" s="1"/>
  <c r="A2304" i="120" s="1"/>
  <c r="A2661" i="120" s="1"/>
  <c r="M161" i="120"/>
  <c r="E518" i="120"/>
  <c r="E875" i="120" s="1"/>
  <c r="E1232" i="120" s="1"/>
  <c r="E1589" i="120" s="1"/>
  <c r="E1946" i="120" s="1"/>
  <c r="E2303" i="120" s="1"/>
  <c r="E2660" i="120" s="1"/>
  <c r="D518" i="120"/>
  <c r="D875" i="120" s="1"/>
  <c r="D1232" i="120" s="1"/>
  <c r="D1589" i="120" s="1"/>
  <c r="D1946" i="120" s="1"/>
  <c r="D2303" i="120" s="1"/>
  <c r="D2660" i="120" s="1"/>
  <c r="C518" i="120"/>
  <c r="C875" i="120" s="1"/>
  <c r="C1232" i="120" s="1"/>
  <c r="C1589" i="120" s="1"/>
  <c r="C1946" i="120" s="1"/>
  <c r="C2303" i="120" s="1"/>
  <c r="C2660" i="120" s="1"/>
  <c r="B518" i="120"/>
  <c r="B875" i="120" s="1"/>
  <c r="B1232" i="120" s="1"/>
  <c r="B1589" i="120" s="1"/>
  <c r="B1946" i="120" s="1"/>
  <c r="B2303" i="120" s="1"/>
  <c r="B2660" i="120" s="1"/>
  <c r="A518" i="120"/>
  <c r="A875" i="120" s="1"/>
  <c r="A1232" i="120" s="1"/>
  <c r="A1589" i="120" s="1"/>
  <c r="A1946" i="120" s="1"/>
  <c r="A2303" i="120" s="1"/>
  <c r="A2660" i="120" s="1"/>
  <c r="M160" i="120"/>
  <c r="E517" i="120"/>
  <c r="E874" i="120" s="1"/>
  <c r="E1231" i="120" s="1"/>
  <c r="E1588" i="120" s="1"/>
  <c r="E1945" i="120" s="1"/>
  <c r="E2302" i="120" s="1"/>
  <c r="E2659" i="120" s="1"/>
  <c r="D517" i="120"/>
  <c r="D874" i="120" s="1"/>
  <c r="D1231" i="120" s="1"/>
  <c r="D1588" i="120" s="1"/>
  <c r="D1945" i="120" s="1"/>
  <c r="D2302" i="120" s="1"/>
  <c r="D2659" i="120" s="1"/>
  <c r="C517" i="120"/>
  <c r="C874" i="120" s="1"/>
  <c r="C1231" i="120" s="1"/>
  <c r="C1588" i="120" s="1"/>
  <c r="C1945" i="120" s="1"/>
  <c r="C2302" i="120" s="1"/>
  <c r="C2659" i="120" s="1"/>
  <c r="B517" i="120"/>
  <c r="B874" i="120" s="1"/>
  <c r="B1231" i="120" s="1"/>
  <c r="B1588" i="120" s="1"/>
  <c r="B1945" i="120" s="1"/>
  <c r="B2302" i="120" s="1"/>
  <c r="B2659" i="120" s="1"/>
  <c r="A517" i="120"/>
  <c r="A874" i="120" s="1"/>
  <c r="A1231" i="120" s="1"/>
  <c r="A1588" i="120" s="1"/>
  <c r="A1945" i="120" s="1"/>
  <c r="A2302" i="120" s="1"/>
  <c r="A2659" i="120" s="1"/>
  <c r="M159" i="120"/>
  <c r="E516" i="120"/>
  <c r="E873" i="120" s="1"/>
  <c r="E1230" i="120" s="1"/>
  <c r="E1587" i="120" s="1"/>
  <c r="E1944" i="120" s="1"/>
  <c r="E2301" i="120" s="1"/>
  <c r="E2658" i="120" s="1"/>
  <c r="D516" i="120"/>
  <c r="D873" i="120" s="1"/>
  <c r="D1230" i="120" s="1"/>
  <c r="D1587" i="120" s="1"/>
  <c r="D1944" i="120" s="1"/>
  <c r="D2301" i="120" s="1"/>
  <c r="D2658" i="120" s="1"/>
  <c r="C516" i="120"/>
  <c r="C873" i="120" s="1"/>
  <c r="C1230" i="120" s="1"/>
  <c r="C1587" i="120" s="1"/>
  <c r="C1944" i="120" s="1"/>
  <c r="C2301" i="120" s="1"/>
  <c r="C2658" i="120" s="1"/>
  <c r="B516" i="120"/>
  <c r="B873" i="120" s="1"/>
  <c r="B1230" i="120" s="1"/>
  <c r="B1587" i="120" s="1"/>
  <c r="B1944" i="120" s="1"/>
  <c r="B2301" i="120" s="1"/>
  <c r="B2658" i="120" s="1"/>
  <c r="A516" i="120"/>
  <c r="A873" i="120" s="1"/>
  <c r="A1230" i="120" s="1"/>
  <c r="A1587" i="120" s="1"/>
  <c r="A1944" i="120" s="1"/>
  <c r="A2301" i="120" s="1"/>
  <c r="A2658" i="120" s="1"/>
  <c r="M158" i="120"/>
  <c r="E515" i="120"/>
  <c r="E872" i="120" s="1"/>
  <c r="E1229" i="120" s="1"/>
  <c r="E1586" i="120" s="1"/>
  <c r="E1943" i="120" s="1"/>
  <c r="E2300" i="120" s="1"/>
  <c r="E2657" i="120" s="1"/>
  <c r="D515" i="120"/>
  <c r="D872" i="120" s="1"/>
  <c r="D1229" i="120" s="1"/>
  <c r="D1586" i="120" s="1"/>
  <c r="D1943" i="120" s="1"/>
  <c r="D2300" i="120" s="1"/>
  <c r="D2657" i="120" s="1"/>
  <c r="C515" i="120"/>
  <c r="C872" i="120" s="1"/>
  <c r="C1229" i="120" s="1"/>
  <c r="C1586" i="120" s="1"/>
  <c r="C1943" i="120" s="1"/>
  <c r="C2300" i="120" s="1"/>
  <c r="C2657" i="120" s="1"/>
  <c r="B515" i="120"/>
  <c r="B872" i="120" s="1"/>
  <c r="B1229" i="120" s="1"/>
  <c r="B1586" i="120" s="1"/>
  <c r="B1943" i="120" s="1"/>
  <c r="B2300" i="120" s="1"/>
  <c r="B2657" i="120" s="1"/>
  <c r="A515" i="120"/>
  <c r="A872" i="120" s="1"/>
  <c r="A1229" i="120" s="1"/>
  <c r="A1586" i="120" s="1"/>
  <c r="A1943" i="120" s="1"/>
  <c r="A2300" i="120" s="1"/>
  <c r="A2657" i="120" s="1"/>
  <c r="M157" i="120"/>
  <c r="E514" i="120"/>
  <c r="E871" i="120" s="1"/>
  <c r="E1228" i="120" s="1"/>
  <c r="E1585" i="120" s="1"/>
  <c r="E1942" i="120" s="1"/>
  <c r="E2299" i="120" s="1"/>
  <c r="E2656" i="120" s="1"/>
  <c r="D514" i="120"/>
  <c r="D871" i="120" s="1"/>
  <c r="D1228" i="120" s="1"/>
  <c r="D1585" i="120" s="1"/>
  <c r="D1942" i="120" s="1"/>
  <c r="D2299" i="120" s="1"/>
  <c r="D2656" i="120" s="1"/>
  <c r="C514" i="120"/>
  <c r="C871" i="120" s="1"/>
  <c r="C1228" i="120" s="1"/>
  <c r="C1585" i="120" s="1"/>
  <c r="C1942" i="120" s="1"/>
  <c r="C2299" i="120" s="1"/>
  <c r="C2656" i="120" s="1"/>
  <c r="B514" i="120"/>
  <c r="B871" i="120" s="1"/>
  <c r="B1228" i="120" s="1"/>
  <c r="B1585" i="120" s="1"/>
  <c r="B1942" i="120" s="1"/>
  <c r="B2299" i="120" s="1"/>
  <c r="B2656" i="120" s="1"/>
  <c r="A514" i="120"/>
  <c r="A871" i="120" s="1"/>
  <c r="A1228" i="120" s="1"/>
  <c r="A1585" i="120" s="1"/>
  <c r="A1942" i="120" s="1"/>
  <c r="A2299" i="120" s="1"/>
  <c r="A2656" i="120" s="1"/>
  <c r="M156" i="120"/>
  <c r="E513" i="120"/>
  <c r="E870" i="120" s="1"/>
  <c r="E1227" i="120" s="1"/>
  <c r="E1584" i="120" s="1"/>
  <c r="E1941" i="120" s="1"/>
  <c r="E2298" i="120" s="1"/>
  <c r="E2655" i="120" s="1"/>
  <c r="D513" i="120"/>
  <c r="D870" i="120" s="1"/>
  <c r="D1227" i="120" s="1"/>
  <c r="D1584" i="120" s="1"/>
  <c r="D1941" i="120" s="1"/>
  <c r="D2298" i="120" s="1"/>
  <c r="D2655" i="120" s="1"/>
  <c r="C513" i="120"/>
  <c r="C870" i="120" s="1"/>
  <c r="C1227" i="120" s="1"/>
  <c r="C1584" i="120" s="1"/>
  <c r="C1941" i="120" s="1"/>
  <c r="C2298" i="120" s="1"/>
  <c r="C2655" i="120" s="1"/>
  <c r="B513" i="120"/>
  <c r="B870" i="120" s="1"/>
  <c r="B1227" i="120" s="1"/>
  <c r="B1584" i="120" s="1"/>
  <c r="B1941" i="120" s="1"/>
  <c r="B2298" i="120" s="1"/>
  <c r="B2655" i="120" s="1"/>
  <c r="A513" i="120"/>
  <c r="A870" i="120" s="1"/>
  <c r="A1227" i="120" s="1"/>
  <c r="A1584" i="120" s="1"/>
  <c r="A1941" i="120" s="1"/>
  <c r="A2298" i="120" s="1"/>
  <c r="A2655" i="120" s="1"/>
  <c r="M155" i="120"/>
  <c r="E512" i="120"/>
  <c r="E869" i="120" s="1"/>
  <c r="E1226" i="120" s="1"/>
  <c r="E1583" i="120" s="1"/>
  <c r="E1940" i="120" s="1"/>
  <c r="E2297" i="120" s="1"/>
  <c r="E2654" i="120" s="1"/>
  <c r="D512" i="120"/>
  <c r="D869" i="120" s="1"/>
  <c r="D1226" i="120" s="1"/>
  <c r="D1583" i="120" s="1"/>
  <c r="D1940" i="120" s="1"/>
  <c r="D2297" i="120" s="1"/>
  <c r="D2654" i="120" s="1"/>
  <c r="C512" i="120"/>
  <c r="C869" i="120" s="1"/>
  <c r="C1226" i="120" s="1"/>
  <c r="C1583" i="120" s="1"/>
  <c r="C1940" i="120" s="1"/>
  <c r="C2297" i="120" s="1"/>
  <c r="C2654" i="120" s="1"/>
  <c r="B512" i="120"/>
  <c r="B869" i="120" s="1"/>
  <c r="B1226" i="120" s="1"/>
  <c r="B1583" i="120" s="1"/>
  <c r="B1940" i="120" s="1"/>
  <c r="B2297" i="120" s="1"/>
  <c r="B2654" i="120" s="1"/>
  <c r="A512" i="120"/>
  <c r="A869" i="120" s="1"/>
  <c r="A1226" i="120" s="1"/>
  <c r="A1583" i="120" s="1"/>
  <c r="A1940" i="120" s="1"/>
  <c r="A2297" i="120" s="1"/>
  <c r="A2654" i="120" s="1"/>
  <c r="M154" i="120"/>
  <c r="E511" i="120"/>
  <c r="E868" i="120" s="1"/>
  <c r="E1225" i="120" s="1"/>
  <c r="E1582" i="120" s="1"/>
  <c r="E1939" i="120" s="1"/>
  <c r="E2296" i="120" s="1"/>
  <c r="E2653" i="120" s="1"/>
  <c r="D511" i="120"/>
  <c r="D868" i="120" s="1"/>
  <c r="D1225" i="120" s="1"/>
  <c r="D1582" i="120" s="1"/>
  <c r="D1939" i="120" s="1"/>
  <c r="D2296" i="120" s="1"/>
  <c r="D2653" i="120" s="1"/>
  <c r="C511" i="120"/>
  <c r="C868" i="120" s="1"/>
  <c r="C1225" i="120" s="1"/>
  <c r="C1582" i="120" s="1"/>
  <c r="C1939" i="120" s="1"/>
  <c r="C2296" i="120" s="1"/>
  <c r="C2653" i="120" s="1"/>
  <c r="B511" i="120"/>
  <c r="B868" i="120" s="1"/>
  <c r="B1225" i="120" s="1"/>
  <c r="B1582" i="120" s="1"/>
  <c r="B1939" i="120" s="1"/>
  <c r="B2296" i="120" s="1"/>
  <c r="B2653" i="120" s="1"/>
  <c r="A511" i="120"/>
  <c r="A868" i="120" s="1"/>
  <c r="A1225" i="120" s="1"/>
  <c r="A1582" i="120" s="1"/>
  <c r="A1939" i="120" s="1"/>
  <c r="A2296" i="120" s="1"/>
  <c r="A2653" i="120" s="1"/>
  <c r="M153" i="120"/>
  <c r="E510" i="120"/>
  <c r="E867" i="120" s="1"/>
  <c r="E1224" i="120" s="1"/>
  <c r="E1581" i="120" s="1"/>
  <c r="E1938" i="120" s="1"/>
  <c r="E2295" i="120" s="1"/>
  <c r="E2652" i="120" s="1"/>
  <c r="D510" i="120"/>
  <c r="D867" i="120" s="1"/>
  <c r="D1224" i="120" s="1"/>
  <c r="D1581" i="120" s="1"/>
  <c r="D1938" i="120" s="1"/>
  <c r="D2295" i="120" s="1"/>
  <c r="D2652" i="120" s="1"/>
  <c r="C510" i="120"/>
  <c r="C867" i="120" s="1"/>
  <c r="C1224" i="120" s="1"/>
  <c r="C1581" i="120" s="1"/>
  <c r="C1938" i="120" s="1"/>
  <c r="C2295" i="120" s="1"/>
  <c r="C2652" i="120" s="1"/>
  <c r="B510" i="120"/>
  <c r="B867" i="120" s="1"/>
  <c r="B1224" i="120" s="1"/>
  <c r="B1581" i="120" s="1"/>
  <c r="B1938" i="120" s="1"/>
  <c r="B2295" i="120" s="1"/>
  <c r="B2652" i="120" s="1"/>
  <c r="A510" i="120"/>
  <c r="A867" i="120" s="1"/>
  <c r="A1224" i="120" s="1"/>
  <c r="A1581" i="120" s="1"/>
  <c r="A1938" i="120" s="1"/>
  <c r="A2295" i="120" s="1"/>
  <c r="A2652" i="120" s="1"/>
  <c r="M152" i="120"/>
  <c r="E509" i="120"/>
  <c r="E866" i="120" s="1"/>
  <c r="E1223" i="120" s="1"/>
  <c r="E1580" i="120" s="1"/>
  <c r="E1937" i="120" s="1"/>
  <c r="E2294" i="120" s="1"/>
  <c r="E2651" i="120" s="1"/>
  <c r="C509" i="120"/>
  <c r="C866" i="120" s="1"/>
  <c r="C1223" i="120" s="1"/>
  <c r="C1580" i="120" s="1"/>
  <c r="C1937" i="120" s="1"/>
  <c r="C2294" i="120" s="1"/>
  <c r="C2651" i="120" s="1"/>
  <c r="B509" i="120"/>
  <c r="B866" i="120" s="1"/>
  <c r="B1223" i="120" s="1"/>
  <c r="B1580" i="120" s="1"/>
  <c r="B1937" i="120" s="1"/>
  <c r="B2294" i="120" s="1"/>
  <c r="B2651" i="120" s="1"/>
  <c r="A509" i="120"/>
  <c r="A866" i="120" s="1"/>
  <c r="A1223" i="120" s="1"/>
  <c r="A1580" i="120" s="1"/>
  <c r="A1937" i="120" s="1"/>
  <c r="A2294" i="120" s="1"/>
  <c r="A2651" i="120" s="1"/>
  <c r="M151" i="120"/>
  <c r="E508" i="120"/>
  <c r="E865" i="120" s="1"/>
  <c r="E1222" i="120" s="1"/>
  <c r="E1579" i="120" s="1"/>
  <c r="E1936" i="120" s="1"/>
  <c r="E2293" i="120" s="1"/>
  <c r="E2650" i="120" s="1"/>
  <c r="D508" i="120"/>
  <c r="D865" i="120" s="1"/>
  <c r="D1222" i="120" s="1"/>
  <c r="D1579" i="120" s="1"/>
  <c r="D1936" i="120" s="1"/>
  <c r="D2293" i="120" s="1"/>
  <c r="D2650" i="120" s="1"/>
  <c r="C508" i="120"/>
  <c r="C865" i="120" s="1"/>
  <c r="C1222" i="120" s="1"/>
  <c r="C1579" i="120" s="1"/>
  <c r="C1936" i="120" s="1"/>
  <c r="C2293" i="120" s="1"/>
  <c r="C2650" i="120" s="1"/>
  <c r="B508" i="120"/>
  <c r="B865" i="120" s="1"/>
  <c r="B1222" i="120" s="1"/>
  <c r="B1579" i="120" s="1"/>
  <c r="B1936" i="120" s="1"/>
  <c r="B2293" i="120" s="1"/>
  <c r="B2650" i="120" s="1"/>
  <c r="A508" i="120"/>
  <c r="A865" i="120" s="1"/>
  <c r="A1222" i="120" s="1"/>
  <c r="A1579" i="120" s="1"/>
  <c r="A1936" i="120" s="1"/>
  <c r="A2293" i="120" s="1"/>
  <c r="A2650" i="120" s="1"/>
  <c r="M150" i="120"/>
  <c r="E507" i="120"/>
  <c r="E864" i="120" s="1"/>
  <c r="E1221" i="120" s="1"/>
  <c r="E1578" i="120" s="1"/>
  <c r="E1935" i="120" s="1"/>
  <c r="E2292" i="120" s="1"/>
  <c r="E2649" i="120" s="1"/>
  <c r="D507" i="120"/>
  <c r="D864" i="120" s="1"/>
  <c r="D1221" i="120" s="1"/>
  <c r="D1578" i="120" s="1"/>
  <c r="D1935" i="120" s="1"/>
  <c r="D2292" i="120" s="1"/>
  <c r="D2649" i="120" s="1"/>
  <c r="C507" i="120"/>
  <c r="C864" i="120" s="1"/>
  <c r="C1221" i="120" s="1"/>
  <c r="C1578" i="120" s="1"/>
  <c r="C1935" i="120" s="1"/>
  <c r="C2292" i="120" s="1"/>
  <c r="C2649" i="120" s="1"/>
  <c r="B507" i="120"/>
  <c r="B864" i="120" s="1"/>
  <c r="B1221" i="120" s="1"/>
  <c r="B1578" i="120" s="1"/>
  <c r="B1935" i="120" s="1"/>
  <c r="B2292" i="120" s="1"/>
  <c r="B2649" i="120" s="1"/>
  <c r="A507" i="120"/>
  <c r="A864" i="120" s="1"/>
  <c r="A1221" i="120" s="1"/>
  <c r="A1578" i="120" s="1"/>
  <c r="A1935" i="120" s="1"/>
  <c r="A2292" i="120" s="1"/>
  <c r="A2649" i="120" s="1"/>
  <c r="M149" i="120"/>
  <c r="E506" i="120"/>
  <c r="E863" i="120" s="1"/>
  <c r="E1220" i="120" s="1"/>
  <c r="E1577" i="120" s="1"/>
  <c r="E1934" i="120" s="1"/>
  <c r="E2291" i="120" s="1"/>
  <c r="E2648" i="120" s="1"/>
  <c r="D506" i="120"/>
  <c r="D863" i="120" s="1"/>
  <c r="D1220" i="120" s="1"/>
  <c r="D1577" i="120" s="1"/>
  <c r="D1934" i="120" s="1"/>
  <c r="D2291" i="120" s="1"/>
  <c r="D2648" i="120" s="1"/>
  <c r="C506" i="120"/>
  <c r="C863" i="120" s="1"/>
  <c r="C1220" i="120" s="1"/>
  <c r="C1577" i="120" s="1"/>
  <c r="C1934" i="120" s="1"/>
  <c r="C2291" i="120" s="1"/>
  <c r="C2648" i="120" s="1"/>
  <c r="B506" i="120"/>
  <c r="B863" i="120" s="1"/>
  <c r="B1220" i="120" s="1"/>
  <c r="B1577" i="120" s="1"/>
  <c r="B1934" i="120" s="1"/>
  <c r="B2291" i="120" s="1"/>
  <c r="B2648" i="120" s="1"/>
  <c r="A506" i="120"/>
  <c r="A863" i="120" s="1"/>
  <c r="A1220" i="120" s="1"/>
  <c r="A1577" i="120" s="1"/>
  <c r="A1934" i="120" s="1"/>
  <c r="A2291" i="120" s="1"/>
  <c r="A2648" i="120" s="1"/>
  <c r="M148" i="120"/>
  <c r="E505" i="120"/>
  <c r="E862" i="120" s="1"/>
  <c r="E1219" i="120" s="1"/>
  <c r="E1576" i="120" s="1"/>
  <c r="E1933" i="120" s="1"/>
  <c r="E2290" i="120" s="1"/>
  <c r="E2647" i="120" s="1"/>
  <c r="D505" i="120"/>
  <c r="D862" i="120" s="1"/>
  <c r="D1219" i="120" s="1"/>
  <c r="D1576" i="120" s="1"/>
  <c r="D1933" i="120" s="1"/>
  <c r="D2290" i="120" s="1"/>
  <c r="D2647" i="120" s="1"/>
  <c r="C505" i="120"/>
  <c r="C862" i="120" s="1"/>
  <c r="C1219" i="120" s="1"/>
  <c r="C1576" i="120" s="1"/>
  <c r="C1933" i="120" s="1"/>
  <c r="C2290" i="120" s="1"/>
  <c r="C2647" i="120" s="1"/>
  <c r="B505" i="120"/>
  <c r="B862" i="120" s="1"/>
  <c r="B1219" i="120" s="1"/>
  <c r="B1576" i="120" s="1"/>
  <c r="B1933" i="120" s="1"/>
  <c r="B2290" i="120" s="1"/>
  <c r="B2647" i="120" s="1"/>
  <c r="A505" i="120"/>
  <c r="A862" i="120" s="1"/>
  <c r="A1219" i="120" s="1"/>
  <c r="A1576" i="120" s="1"/>
  <c r="A1933" i="120" s="1"/>
  <c r="A2290" i="120" s="1"/>
  <c r="A2647" i="120" s="1"/>
  <c r="M147" i="120"/>
  <c r="E504" i="120"/>
  <c r="E861" i="120" s="1"/>
  <c r="E1218" i="120" s="1"/>
  <c r="E1575" i="120" s="1"/>
  <c r="E1932" i="120" s="1"/>
  <c r="E2289" i="120" s="1"/>
  <c r="E2646" i="120" s="1"/>
  <c r="D504" i="120"/>
  <c r="D861" i="120" s="1"/>
  <c r="D1218" i="120" s="1"/>
  <c r="D1575" i="120" s="1"/>
  <c r="D1932" i="120" s="1"/>
  <c r="D2289" i="120" s="1"/>
  <c r="D2646" i="120" s="1"/>
  <c r="C504" i="120"/>
  <c r="C861" i="120" s="1"/>
  <c r="C1218" i="120" s="1"/>
  <c r="C1575" i="120" s="1"/>
  <c r="C1932" i="120" s="1"/>
  <c r="C2289" i="120" s="1"/>
  <c r="C2646" i="120" s="1"/>
  <c r="B504" i="120"/>
  <c r="B861" i="120" s="1"/>
  <c r="B1218" i="120" s="1"/>
  <c r="B1575" i="120" s="1"/>
  <c r="B1932" i="120" s="1"/>
  <c r="B2289" i="120" s="1"/>
  <c r="B2646" i="120" s="1"/>
  <c r="A504" i="120"/>
  <c r="A861" i="120" s="1"/>
  <c r="A1218" i="120" s="1"/>
  <c r="A1575" i="120" s="1"/>
  <c r="A1932" i="120" s="1"/>
  <c r="A2289" i="120" s="1"/>
  <c r="A2646" i="120" s="1"/>
  <c r="M146" i="120"/>
  <c r="E503" i="120"/>
  <c r="E860" i="120" s="1"/>
  <c r="E1217" i="120" s="1"/>
  <c r="E1574" i="120" s="1"/>
  <c r="E1931" i="120" s="1"/>
  <c r="E2288" i="120" s="1"/>
  <c r="E2645" i="120" s="1"/>
  <c r="D503" i="120"/>
  <c r="D860" i="120" s="1"/>
  <c r="D1217" i="120" s="1"/>
  <c r="D1574" i="120" s="1"/>
  <c r="D1931" i="120" s="1"/>
  <c r="D2288" i="120" s="1"/>
  <c r="D2645" i="120" s="1"/>
  <c r="C503" i="120"/>
  <c r="C860" i="120" s="1"/>
  <c r="C1217" i="120" s="1"/>
  <c r="C1574" i="120" s="1"/>
  <c r="C1931" i="120" s="1"/>
  <c r="C2288" i="120" s="1"/>
  <c r="C2645" i="120" s="1"/>
  <c r="B503" i="120"/>
  <c r="B860" i="120" s="1"/>
  <c r="B1217" i="120" s="1"/>
  <c r="B1574" i="120" s="1"/>
  <c r="B1931" i="120" s="1"/>
  <c r="B2288" i="120" s="1"/>
  <c r="B2645" i="120" s="1"/>
  <c r="A503" i="120"/>
  <c r="A860" i="120" s="1"/>
  <c r="A1217" i="120" s="1"/>
  <c r="A1574" i="120" s="1"/>
  <c r="A1931" i="120" s="1"/>
  <c r="A2288" i="120" s="1"/>
  <c r="A2645" i="120" s="1"/>
  <c r="M145" i="120"/>
  <c r="E502" i="120"/>
  <c r="E859" i="120" s="1"/>
  <c r="E1216" i="120" s="1"/>
  <c r="E1573" i="120" s="1"/>
  <c r="E1930" i="120" s="1"/>
  <c r="E2287" i="120" s="1"/>
  <c r="E2644" i="120" s="1"/>
  <c r="D502" i="120"/>
  <c r="D859" i="120" s="1"/>
  <c r="D1216" i="120" s="1"/>
  <c r="D1573" i="120" s="1"/>
  <c r="D1930" i="120" s="1"/>
  <c r="D2287" i="120" s="1"/>
  <c r="D2644" i="120" s="1"/>
  <c r="C502" i="120"/>
  <c r="C859" i="120" s="1"/>
  <c r="C1216" i="120" s="1"/>
  <c r="C1573" i="120" s="1"/>
  <c r="C1930" i="120" s="1"/>
  <c r="C2287" i="120" s="1"/>
  <c r="C2644" i="120" s="1"/>
  <c r="B502" i="120"/>
  <c r="B859" i="120" s="1"/>
  <c r="B1216" i="120" s="1"/>
  <c r="B1573" i="120" s="1"/>
  <c r="B1930" i="120" s="1"/>
  <c r="B2287" i="120" s="1"/>
  <c r="B2644" i="120" s="1"/>
  <c r="A502" i="120"/>
  <c r="A859" i="120" s="1"/>
  <c r="A1216" i="120" s="1"/>
  <c r="A1573" i="120" s="1"/>
  <c r="A1930" i="120" s="1"/>
  <c r="A2287" i="120" s="1"/>
  <c r="A2644" i="120" s="1"/>
  <c r="M144" i="120"/>
  <c r="E501" i="120"/>
  <c r="E858" i="120" s="1"/>
  <c r="E1215" i="120" s="1"/>
  <c r="E1572" i="120" s="1"/>
  <c r="E1929" i="120" s="1"/>
  <c r="E2286" i="120" s="1"/>
  <c r="E2643" i="120" s="1"/>
  <c r="D501" i="120"/>
  <c r="D858" i="120" s="1"/>
  <c r="D1215" i="120" s="1"/>
  <c r="D1572" i="120" s="1"/>
  <c r="D1929" i="120" s="1"/>
  <c r="D2286" i="120" s="1"/>
  <c r="D2643" i="120" s="1"/>
  <c r="C501" i="120"/>
  <c r="C858" i="120" s="1"/>
  <c r="C1215" i="120" s="1"/>
  <c r="C1572" i="120" s="1"/>
  <c r="C1929" i="120" s="1"/>
  <c r="C2286" i="120" s="1"/>
  <c r="C2643" i="120" s="1"/>
  <c r="B501" i="120"/>
  <c r="B858" i="120" s="1"/>
  <c r="B1215" i="120" s="1"/>
  <c r="B1572" i="120" s="1"/>
  <c r="B1929" i="120" s="1"/>
  <c r="B2286" i="120" s="1"/>
  <c r="B2643" i="120" s="1"/>
  <c r="A501" i="120"/>
  <c r="A858" i="120" s="1"/>
  <c r="A1215" i="120" s="1"/>
  <c r="A1572" i="120" s="1"/>
  <c r="A1929" i="120" s="1"/>
  <c r="A2286" i="120" s="1"/>
  <c r="A2643" i="120" s="1"/>
  <c r="M143" i="120"/>
  <c r="E500" i="120"/>
  <c r="E857" i="120" s="1"/>
  <c r="E1214" i="120" s="1"/>
  <c r="E1571" i="120" s="1"/>
  <c r="E1928" i="120" s="1"/>
  <c r="E2285" i="120" s="1"/>
  <c r="E2642" i="120" s="1"/>
  <c r="D500" i="120"/>
  <c r="D857" i="120" s="1"/>
  <c r="D1214" i="120" s="1"/>
  <c r="D1571" i="120" s="1"/>
  <c r="D1928" i="120" s="1"/>
  <c r="D2285" i="120" s="1"/>
  <c r="D2642" i="120" s="1"/>
  <c r="C500" i="120"/>
  <c r="C857" i="120" s="1"/>
  <c r="C1214" i="120" s="1"/>
  <c r="C1571" i="120" s="1"/>
  <c r="C1928" i="120" s="1"/>
  <c r="C2285" i="120" s="1"/>
  <c r="C2642" i="120" s="1"/>
  <c r="B500" i="120"/>
  <c r="B857" i="120" s="1"/>
  <c r="B1214" i="120" s="1"/>
  <c r="B1571" i="120" s="1"/>
  <c r="B1928" i="120" s="1"/>
  <c r="B2285" i="120" s="1"/>
  <c r="B2642" i="120" s="1"/>
  <c r="A500" i="120"/>
  <c r="A857" i="120" s="1"/>
  <c r="A1214" i="120" s="1"/>
  <c r="A1571" i="120" s="1"/>
  <c r="A1928" i="120" s="1"/>
  <c r="A2285" i="120" s="1"/>
  <c r="A2642" i="120" s="1"/>
  <c r="M142" i="120"/>
  <c r="E499" i="120"/>
  <c r="E856" i="120" s="1"/>
  <c r="E1213" i="120" s="1"/>
  <c r="E1570" i="120" s="1"/>
  <c r="E1927" i="120" s="1"/>
  <c r="E2284" i="120" s="1"/>
  <c r="E2641" i="120" s="1"/>
  <c r="D499" i="120"/>
  <c r="D856" i="120" s="1"/>
  <c r="D1213" i="120" s="1"/>
  <c r="D1570" i="120" s="1"/>
  <c r="D1927" i="120" s="1"/>
  <c r="D2284" i="120" s="1"/>
  <c r="D2641" i="120" s="1"/>
  <c r="C499" i="120"/>
  <c r="C856" i="120" s="1"/>
  <c r="C1213" i="120" s="1"/>
  <c r="C1570" i="120" s="1"/>
  <c r="C1927" i="120" s="1"/>
  <c r="C2284" i="120" s="1"/>
  <c r="C2641" i="120" s="1"/>
  <c r="B499" i="120"/>
  <c r="B856" i="120" s="1"/>
  <c r="B1213" i="120" s="1"/>
  <c r="B1570" i="120" s="1"/>
  <c r="B1927" i="120" s="1"/>
  <c r="B2284" i="120" s="1"/>
  <c r="B2641" i="120" s="1"/>
  <c r="A499" i="120"/>
  <c r="A856" i="120" s="1"/>
  <c r="A1213" i="120" s="1"/>
  <c r="A1570" i="120" s="1"/>
  <c r="A1927" i="120" s="1"/>
  <c r="A2284" i="120" s="1"/>
  <c r="A2641" i="120" s="1"/>
  <c r="M141" i="120"/>
  <c r="E498" i="120"/>
  <c r="E855" i="120" s="1"/>
  <c r="E1212" i="120" s="1"/>
  <c r="E1569" i="120" s="1"/>
  <c r="E1926" i="120" s="1"/>
  <c r="E2283" i="120" s="1"/>
  <c r="E2640" i="120" s="1"/>
  <c r="D498" i="120"/>
  <c r="D855" i="120" s="1"/>
  <c r="D1212" i="120" s="1"/>
  <c r="D1569" i="120" s="1"/>
  <c r="D1926" i="120" s="1"/>
  <c r="D2283" i="120" s="1"/>
  <c r="D2640" i="120" s="1"/>
  <c r="C498" i="120"/>
  <c r="C855" i="120" s="1"/>
  <c r="C1212" i="120" s="1"/>
  <c r="C1569" i="120" s="1"/>
  <c r="C1926" i="120" s="1"/>
  <c r="C2283" i="120" s="1"/>
  <c r="C2640" i="120" s="1"/>
  <c r="B498" i="120"/>
  <c r="B855" i="120" s="1"/>
  <c r="B1212" i="120" s="1"/>
  <c r="B1569" i="120" s="1"/>
  <c r="B1926" i="120" s="1"/>
  <c r="B2283" i="120" s="1"/>
  <c r="B2640" i="120" s="1"/>
  <c r="A498" i="120"/>
  <c r="A855" i="120" s="1"/>
  <c r="A1212" i="120" s="1"/>
  <c r="A1569" i="120" s="1"/>
  <c r="A1926" i="120" s="1"/>
  <c r="A2283" i="120" s="1"/>
  <c r="A2640" i="120" s="1"/>
  <c r="M140" i="120"/>
  <c r="E497" i="120"/>
  <c r="E854" i="120" s="1"/>
  <c r="E1211" i="120" s="1"/>
  <c r="E1568" i="120" s="1"/>
  <c r="E1925" i="120" s="1"/>
  <c r="E2282" i="120" s="1"/>
  <c r="E2639" i="120" s="1"/>
  <c r="D497" i="120"/>
  <c r="D854" i="120" s="1"/>
  <c r="D1211" i="120" s="1"/>
  <c r="D1568" i="120" s="1"/>
  <c r="D1925" i="120" s="1"/>
  <c r="D2282" i="120" s="1"/>
  <c r="D2639" i="120" s="1"/>
  <c r="C497" i="120"/>
  <c r="C854" i="120" s="1"/>
  <c r="C1211" i="120" s="1"/>
  <c r="C1568" i="120" s="1"/>
  <c r="C1925" i="120" s="1"/>
  <c r="C2282" i="120" s="1"/>
  <c r="C2639" i="120" s="1"/>
  <c r="B497" i="120"/>
  <c r="B854" i="120" s="1"/>
  <c r="B1211" i="120" s="1"/>
  <c r="B1568" i="120" s="1"/>
  <c r="B1925" i="120" s="1"/>
  <c r="B2282" i="120" s="1"/>
  <c r="B2639" i="120" s="1"/>
  <c r="A497" i="120"/>
  <c r="A854" i="120" s="1"/>
  <c r="A1211" i="120" s="1"/>
  <c r="A1568" i="120" s="1"/>
  <c r="A1925" i="120" s="1"/>
  <c r="A2282" i="120" s="1"/>
  <c r="A2639" i="120" s="1"/>
  <c r="M139" i="120"/>
  <c r="E496" i="120"/>
  <c r="E853" i="120" s="1"/>
  <c r="E1210" i="120" s="1"/>
  <c r="E1567" i="120" s="1"/>
  <c r="E1924" i="120" s="1"/>
  <c r="E2281" i="120" s="1"/>
  <c r="E2638" i="120" s="1"/>
  <c r="D496" i="120"/>
  <c r="D853" i="120" s="1"/>
  <c r="D1210" i="120" s="1"/>
  <c r="D1567" i="120" s="1"/>
  <c r="D1924" i="120" s="1"/>
  <c r="D2281" i="120" s="1"/>
  <c r="D2638" i="120" s="1"/>
  <c r="C496" i="120"/>
  <c r="C853" i="120" s="1"/>
  <c r="C1210" i="120" s="1"/>
  <c r="C1567" i="120" s="1"/>
  <c r="C1924" i="120" s="1"/>
  <c r="C2281" i="120" s="1"/>
  <c r="C2638" i="120" s="1"/>
  <c r="B496" i="120"/>
  <c r="B853" i="120" s="1"/>
  <c r="B1210" i="120" s="1"/>
  <c r="B1567" i="120" s="1"/>
  <c r="B1924" i="120" s="1"/>
  <c r="B2281" i="120" s="1"/>
  <c r="B2638" i="120" s="1"/>
  <c r="A496" i="120"/>
  <c r="A853" i="120" s="1"/>
  <c r="A1210" i="120" s="1"/>
  <c r="A1567" i="120" s="1"/>
  <c r="A1924" i="120" s="1"/>
  <c r="A2281" i="120" s="1"/>
  <c r="A2638" i="120" s="1"/>
  <c r="M138" i="120"/>
  <c r="E495" i="120"/>
  <c r="E852" i="120" s="1"/>
  <c r="E1209" i="120" s="1"/>
  <c r="E1566" i="120" s="1"/>
  <c r="E1923" i="120" s="1"/>
  <c r="E2280" i="120" s="1"/>
  <c r="E2637" i="120" s="1"/>
  <c r="D495" i="120"/>
  <c r="D852" i="120" s="1"/>
  <c r="D1209" i="120" s="1"/>
  <c r="D1566" i="120" s="1"/>
  <c r="D1923" i="120" s="1"/>
  <c r="D2280" i="120" s="1"/>
  <c r="D2637" i="120" s="1"/>
  <c r="C495" i="120"/>
  <c r="C852" i="120" s="1"/>
  <c r="C1209" i="120" s="1"/>
  <c r="C1566" i="120" s="1"/>
  <c r="C1923" i="120" s="1"/>
  <c r="C2280" i="120" s="1"/>
  <c r="C2637" i="120" s="1"/>
  <c r="B495" i="120"/>
  <c r="B852" i="120" s="1"/>
  <c r="B1209" i="120" s="1"/>
  <c r="B1566" i="120" s="1"/>
  <c r="B1923" i="120" s="1"/>
  <c r="B2280" i="120" s="1"/>
  <c r="B2637" i="120" s="1"/>
  <c r="A495" i="120"/>
  <c r="A852" i="120" s="1"/>
  <c r="A1209" i="120" s="1"/>
  <c r="A1566" i="120" s="1"/>
  <c r="A1923" i="120" s="1"/>
  <c r="A2280" i="120" s="1"/>
  <c r="A2637" i="120" s="1"/>
  <c r="M137" i="120"/>
  <c r="E494" i="120"/>
  <c r="E851" i="120" s="1"/>
  <c r="E1208" i="120" s="1"/>
  <c r="E1565" i="120" s="1"/>
  <c r="E1922" i="120" s="1"/>
  <c r="E2279" i="120" s="1"/>
  <c r="E2636" i="120" s="1"/>
  <c r="D494" i="120"/>
  <c r="D851" i="120" s="1"/>
  <c r="D1208" i="120" s="1"/>
  <c r="D1565" i="120" s="1"/>
  <c r="D1922" i="120" s="1"/>
  <c r="D2279" i="120" s="1"/>
  <c r="D2636" i="120" s="1"/>
  <c r="C494" i="120"/>
  <c r="C851" i="120" s="1"/>
  <c r="C1208" i="120" s="1"/>
  <c r="C1565" i="120" s="1"/>
  <c r="C1922" i="120" s="1"/>
  <c r="C2279" i="120" s="1"/>
  <c r="C2636" i="120" s="1"/>
  <c r="B494" i="120"/>
  <c r="B851" i="120" s="1"/>
  <c r="B1208" i="120" s="1"/>
  <c r="B1565" i="120" s="1"/>
  <c r="B1922" i="120" s="1"/>
  <c r="B2279" i="120" s="1"/>
  <c r="B2636" i="120" s="1"/>
  <c r="A494" i="120"/>
  <c r="A851" i="120" s="1"/>
  <c r="A1208" i="120" s="1"/>
  <c r="A1565" i="120" s="1"/>
  <c r="A1922" i="120" s="1"/>
  <c r="A2279" i="120" s="1"/>
  <c r="A2636" i="120" s="1"/>
  <c r="M136" i="120"/>
  <c r="E493" i="120"/>
  <c r="E850" i="120" s="1"/>
  <c r="E1207" i="120" s="1"/>
  <c r="E1564" i="120" s="1"/>
  <c r="E1921" i="120" s="1"/>
  <c r="E2278" i="120" s="1"/>
  <c r="E2635" i="120" s="1"/>
  <c r="D493" i="120"/>
  <c r="D850" i="120" s="1"/>
  <c r="D1207" i="120" s="1"/>
  <c r="D1564" i="120" s="1"/>
  <c r="D1921" i="120" s="1"/>
  <c r="D2278" i="120" s="1"/>
  <c r="D2635" i="120" s="1"/>
  <c r="C493" i="120"/>
  <c r="C850" i="120" s="1"/>
  <c r="C1207" i="120" s="1"/>
  <c r="C1564" i="120" s="1"/>
  <c r="C1921" i="120" s="1"/>
  <c r="C2278" i="120" s="1"/>
  <c r="C2635" i="120" s="1"/>
  <c r="B493" i="120"/>
  <c r="B850" i="120" s="1"/>
  <c r="B1207" i="120" s="1"/>
  <c r="B1564" i="120" s="1"/>
  <c r="B1921" i="120" s="1"/>
  <c r="B2278" i="120" s="1"/>
  <c r="B2635" i="120" s="1"/>
  <c r="A493" i="120"/>
  <c r="A850" i="120" s="1"/>
  <c r="A1207" i="120" s="1"/>
  <c r="A1564" i="120" s="1"/>
  <c r="A1921" i="120" s="1"/>
  <c r="A2278" i="120" s="1"/>
  <c r="A2635" i="120" s="1"/>
  <c r="M135" i="120"/>
  <c r="E492" i="120"/>
  <c r="E849" i="120" s="1"/>
  <c r="E1206" i="120" s="1"/>
  <c r="E1563" i="120" s="1"/>
  <c r="E1920" i="120" s="1"/>
  <c r="E2277" i="120" s="1"/>
  <c r="E2634" i="120" s="1"/>
  <c r="D492" i="120"/>
  <c r="D849" i="120" s="1"/>
  <c r="D1206" i="120" s="1"/>
  <c r="D1563" i="120" s="1"/>
  <c r="D1920" i="120" s="1"/>
  <c r="D2277" i="120" s="1"/>
  <c r="D2634" i="120" s="1"/>
  <c r="C492" i="120"/>
  <c r="C849" i="120" s="1"/>
  <c r="C1206" i="120" s="1"/>
  <c r="C1563" i="120" s="1"/>
  <c r="C1920" i="120" s="1"/>
  <c r="C2277" i="120" s="1"/>
  <c r="C2634" i="120" s="1"/>
  <c r="B492" i="120"/>
  <c r="B849" i="120" s="1"/>
  <c r="B1206" i="120" s="1"/>
  <c r="B1563" i="120" s="1"/>
  <c r="B1920" i="120" s="1"/>
  <c r="B2277" i="120" s="1"/>
  <c r="B2634" i="120" s="1"/>
  <c r="A492" i="120"/>
  <c r="A849" i="120" s="1"/>
  <c r="A1206" i="120" s="1"/>
  <c r="A1563" i="120" s="1"/>
  <c r="A1920" i="120" s="1"/>
  <c r="A2277" i="120" s="1"/>
  <c r="A2634" i="120" s="1"/>
  <c r="M134" i="120"/>
  <c r="E491" i="120"/>
  <c r="E848" i="120" s="1"/>
  <c r="E1205" i="120" s="1"/>
  <c r="E1562" i="120" s="1"/>
  <c r="E1919" i="120" s="1"/>
  <c r="E2276" i="120" s="1"/>
  <c r="E2633" i="120" s="1"/>
  <c r="D491" i="120"/>
  <c r="D848" i="120" s="1"/>
  <c r="D1205" i="120" s="1"/>
  <c r="D1562" i="120" s="1"/>
  <c r="D1919" i="120" s="1"/>
  <c r="D2276" i="120" s="1"/>
  <c r="D2633" i="120" s="1"/>
  <c r="C491" i="120"/>
  <c r="C848" i="120" s="1"/>
  <c r="C1205" i="120" s="1"/>
  <c r="C1562" i="120" s="1"/>
  <c r="C1919" i="120" s="1"/>
  <c r="C2276" i="120" s="1"/>
  <c r="C2633" i="120" s="1"/>
  <c r="B491" i="120"/>
  <c r="B848" i="120" s="1"/>
  <c r="B1205" i="120" s="1"/>
  <c r="B1562" i="120" s="1"/>
  <c r="B1919" i="120" s="1"/>
  <c r="B2276" i="120" s="1"/>
  <c r="B2633" i="120" s="1"/>
  <c r="A491" i="120"/>
  <c r="A848" i="120" s="1"/>
  <c r="A1205" i="120" s="1"/>
  <c r="A1562" i="120" s="1"/>
  <c r="A1919" i="120" s="1"/>
  <c r="A2276" i="120" s="1"/>
  <c r="A2633" i="120" s="1"/>
  <c r="M133" i="120"/>
  <c r="E490" i="120"/>
  <c r="E847" i="120" s="1"/>
  <c r="E1204" i="120" s="1"/>
  <c r="E1561" i="120" s="1"/>
  <c r="E1918" i="120" s="1"/>
  <c r="E2275" i="120" s="1"/>
  <c r="E2632" i="120" s="1"/>
  <c r="D490" i="120"/>
  <c r="D847" i="120" s="1"/>
  <c r="D1204" i="120" s="1"/>
  <c r="D1561" i="120" s="1"/>
  <c r="D1918" i="120" s="1"/>
  <c r="D2275" i="120" s="1"/>
  <c r="D2632" i="120" s="1"/>
  <c r="C490" i="120"/>
  <c r="C847" i="120" s="1"/>
  <c r="C1204" i="120" s="1"/>
  <c r="C1561" i="120" s="1"/>
  <c r="C1918" i="120" s="1"/>
  <c r="C2275" i="120" s="1"/>
  <c r="C2632" i="120" s="1"/>
  <c r="B490" i="120"/>
  <c r="B847" i="120" s="1"/>
  <c r="B1204" i="120" s="1"/>
  <c r="B1561" i="120" s="1"/>
  <c r="B1918" i="120" s="1"/>
  <c r="B2275" i="120" s="1"/>
  <c r="B2632" i="120" s="1"/>
  <c r="A490" i="120"/>
  <c r="A847" i="120" s="1"/>
  <c r="A1204" i="120" s="1"/>
  <c r="A1561" i="120" s="1"/>
  <c r="A1918" i="120" s="1"/>
  <c r="A2275" i="120" s="1"/>
  <c r="A2632" i="120" s="1"/>
  <c r="M132" i="120"/>
  <c r="E489" i="120"/>
  <c r="E846" i="120" s="1"/>
  <c r="E1203" i="120" s="1"/>
  <c r="E1560" i="120" s="1"/>
  <c r="E1917" i="120" s="1"/>
  <c r="E2274" i="120" s="1"/>
  <c r="E2631" i="120" s="1"/>
  <c r="D489" i="120"/>
  <c r="D846" i="120" s="1"/>
  <c r="D1203" i="120" s="1"/>
  <c r="D1560" i="120" s="1"/>
  <c r="D1917" i="120" s="1"/>
  <c r="D2274" i="120" s="1"/>
  <c r="D2631" i="120" s="1"/>
  <c r="C489" i="120"/>
  <c r="C846" i="120" s="1"/>
  <c r="C1203" i="120" s="1"/>
  <c r="C1560" i="120" s="1"/>
  <c r="C1917" i="120" s="1"/>
  <c r="C2274" i="120" s="1"/>
  <c r="C2631" i="120" s="1"/>
  <c r="B489" i="120"/>
  <c r="B846" i="120" s="1"/>
  <c r="B1203" i="120" s="1"/>
  <c r="B1560" i="120" s="1"/>
  <c r="B1917" i="120" s="1"/>
  <c r="B2274" i="120" s="1"/>
  <c r="B2631" i="120" s="1"/>
  <c r="A489" i="120"/>
  <c r="A846" i="120" s="1"/>
  <c r="A1203" i="120" s="1"/>
  <c r="A1560" i="120" s="1"/>
  <c r="A1917" i="120" s="1"/>
  <c r="A2274" i="120" s="1"/>
  <c r="A2631" i="120" s="1"/>
  <c r="M131" i="120"/>
  <c r="E488" i="120"/>
  <c r="E845" i="120" s="1"/>
  <c r="E1202" i="120" s="1"/>
  <c r="E1559" i="120" s="1"/>
  <c r="E1916" i="120" s="1"/>
  <c r="E2273" i="120" s="1"/>
  <c r="E2630" i="120" s="1"/>
  <c r="D488" i="120"/>
  <c r="D845" i="120" s="1"/>
  <c r="D1202" i="120" s="1"/>
  <c r="D1559" i="120" s="1"/>
  <c r="D1916" i="120" s="1"/>
  <c r="D2273" i="120" s="1"/>
  <c r="D2630" i="120" s="1"/>
  <c r="C488" i="120"/>
  <c r="C845" i="120" s="1"/>
  <c r="C1202" i="120" s="1"/>
  <c r="C1559" i="120" s="1"/>
  <c r="C1916" i="120" s="1"/>
  <c r="C2273" i="120" s="1"/>
  <c r="C2630" i="120" s="1"/>
  <c r="B488" i="120"/>
  <c r="B845" i="120" s="1"/>
  <c r="B1202" i="120" s="1"/>
  <c r="B1559" i="120" s="1"/>
  <c r="B1916" i="120" s="1"/>
  <c r="B2273" i="120" s="1"/>
  <c r="B2630" i="120" s="1"/>
  <c r="A488" i="120"/>
  <c r="A845" i="120" s="1"/>
  <c r="A1202" i="120" s="1"/>
  <c r="A1559" i="120" s="1"/>
  <c r="A1916" i="120" s="1"/>
  <c r="A2273" i="120" s="1"/>
  <c r="A2630" i="120" s="1"/>
  <c r="M130" i="120"/>
  <c r="E487" i="120"/>
  <c r="E844" i="120" s="1"/>
  <c r="E1201" i="120" s="1"/>
  <c r="E1558" i="120" s="1"/>
  <c r="E1915" i="120" s="1"/>
  <c r="E2272" i="120" s="1"/>
  <c r="E2629" i="120" s="1"/>
  <c r="D487" i="120"/>
  <c r="D844" i="120" s="1"/>
  <c r="D1201" i="120" s="1"/>
  <c r="D1558" i="120" s="1"/>
  <c r="D1915" i="120" s="1"/>
  <c r="D2272" i="120" s="1"/>
  <c r="D2629" i="120" s="1"/>
  <c r="C487" i="120"/>
  <c r="C844" i="120" s="1"/>
  <c r="C1201" i="120" s="1"/>
  <c r="C1558" i="120" s="1"/>
  <c r="C1915" i="120" s="1"/>
  <c r="C2272" i="120" s="1"/>
  <c r="C2629" i="120" s="1"/>
  <c r="B487" i="120"/>
  <c r="B844" i="120" s="1"/>
  <c r="B1201" i="120" s="1"/>
  <c r="B1558" i="120" s="1"/>
  <c r="B1915" i="120" s="1"/>
  <c r="B2272" i="120" s="1"/>
  <c r="B2629" i="120" s="1"/>
  <c r="A487" i="120"/>
  <c r="A844" i="120" s="1"/>
  <c r="A1201" i="120" s="1"/>
  <c r="A1558" i="120" s="1"/>
  <c r="A1915" i="120" s="1"/>
  <c r="A2272" i="120" s="1"/>
  <c r="A2629" i="120" s="1"/>
  <c r="M129" i="120"/>
  <c r="E486" i="120"/>
  <c r="E843" i="120" s="1"/>
  <c r="E1200" i="120" s="1"/>
  <c r="E1557" i="120" s="1"/>
  <c r="E1914" i="120" s="1"/>
  <c r="E2271" i="120" s="1"/>
  <c r="E2628" i="120" s="1"/>
  <c r="D486" i="120"/>
  <c r="D843" i="120" s="1"/>
  <c r="D1200" i="120" s="1"/>
  <c r="D1557" i="120" s="1"/>
  <c r="D1914" i="120" s="1"/>
  <c r="D2271" i="120" s="1"/>
  <c r="D2628" i="120" s="1"/>
  <c r="C486" i="120"/>
  <c r="C843" i="120" s="1"/>
  <c r="C1200" i="120" s="1"/>
  <c r="C1557" i="120" s="1"/>
  <c r="C1914" i="120" s="1"/>
  <c r="C2271" i="120" s="1"/>
  <c r="C2628" i="120" s="1"/>
  <c r="B486" i="120"/>
  <c r="B843" i="120" s="1"/>
  <c r="B1200" i="120" s="1"/>
  <c r="B1557" i="120" s="1"/>
  <c r="B1914" i="120" s="1"/>
  <c r="B2271" i="120" s="1"/>
  <c r="B2628" i="120" s="1"/>
  <c r="A486" i="120"/>
  <c r="A843" i="120" s="1"/>
  <c r="A1200" i="120" s="1"/>
  <c r="A1557" i="120" s="1"/>
  <c r="A1914" i="120" s="1"/>
  <c r="A2271" i="120" s="1"/>
  <c r="A2628" i="120" s="1"/>
  <c r="M128" i="120"/>
  <c r="E485" i="120"/>
  <c r="E842" i="120" s="1"/>
  <c r="E1199" i="120" s="1"/>
  <c r="E1556" i="120" s="1"/>
  <c r="E1913" i="120" s="1"/>
  <c r="E2270" i="120" s="1"/>
  <c r="E2627" i="120" s="1"/>
  <c r="D485" i="120"/>
  <c r="D842" i="120" s="1"/>
  <c r="D1199" i="120" s="1"/>
  <c r="D1556" i="120" s="1"/>
  <c r="D1913" i="120" s="1"/>
  <c r="D2270" i="120" s="1"/>
  <c r="D2627" i="120" s="1"/>
  <c r="C485" i="120"/>
  <c r="C842" i="120" s="1"/>
  <c r="C1199" i="120" s="1"/>
  <c r="C1556" i="120" s="1"/>
  <c r="C1913" i="120" s="1"/>
  <c r="C2270" i="120" s="1"/>
  <c r="C2627" i="120" s="1"/>
  <c r="B485" i="120"/>
  <c r="B842" i="120" s="1"/>
  <c r="B1199" i="120" s="1"/>
  <c r="B1556" i="120" s="1"/>
  <c r="B1913" i="120" s="1"/>
  <c r="B2270" i="120" s="1"/>
  <c r="B2627" i="120" s="1"/>
  <c r="A485" i="120"/>
  <c r="A842" i="120" s="1"/>
  <c r="A1199" i="120" s="1"/>
  <c r="A1556" i="120" s="1"/>
  <c r="A1913" i="120" s="1"/>
  <c r="A2270" i="120" s="1"/>
  <c r="A2627" i="120" s="1"/>
  <c r="M127" i="120"/>
  <c r="E484" i="120"/>
  <c r="E841" i="120" s="1"/>
  <c r="E1198" i="120" s="1"/>
  <c r="E1555" i="120" s="1"/>
  <c r="E1912" i="120" s="1"/>
  <c r="E2269" i="120" s="1"/>
  <c r="E2626" i="120" s="1"/>
  <c r="D484" i="120"/>
  <c r="D841" i="120" s="1"/>
  <c r="D1198" i="120" s="1"/>
  <c r="D1555" i="120" s="1"/>
  <c r="D1912" i="120" s="1"/>
  <c r="D2269" i="120" s="1"/>
  <c r="D2626" i="120" s="1"/>
  <c r="C484" i="120"/>
  <c r="C841" i="120" s="1"/>
  <c r="C1198" i="120" s="1"/>
  <c r="C1555" i="120" s="1"/>
  <c r="C1912" i="120" s="1"/>
  <c r="C2269" i="120" s="1"/>
  <c r="C2626" i="120" s="1"/>
  <c r="B484" i="120"/>
  <c r="B841" i="120" s="1"/>
  <c r="B1198" i="120" s="1"/>
  <c r="B1555" i="120" s="1"/>
  <c r="B1912" i="120" s="1"/>
  <c r="B2269" i="120" s="1"/>
  <c r="B2626" i="120" s="1"/>
  <c r="A484" i="120"/>
  <c r="A841" i="120" s="1"/>
  <c r="A1198" i="120" s="1"/>
  <c r="A1555" i="120" s="1"/>
  <c r="A1912" i="120" s="1"/>
  <c r="A2269" i="120" s="1"/>
  <c r="A2626" i="120" s="1"/>
  <c r="M126" i="120"/>
  <c r="E483" i="120"/>
  <c r="E840" i="120" s="1"/>
  <c r="E1197" i="120" s="1"/>
  <c r="E1554" i="120" s="1"/>
  <c r="E1911" i="120" s="1"/>
  <c r="E2268" i="120" s="1"/>
  <c r="E2625" i="120" s="1"/>
  <c r="D483" i="120"/>
  <c r="D840" i="120" s="1"/>
  <c r="D1197" i="120" s="1"/>
  <c r="D1554" i="120" s="1"/>
  <c r="D1911" i="120" s="1"/>
  <c r="D2268" i="120" s="1"/>
  <c r="D2625" i="120" s="1"/>
  <c r="C483" i="120"/>
  <c r="C840" i="120" s="1"/>
  <c r="C1197" i="120" s="1"/>
  <c r="C1554" i="120" s="1"/>
  <c r="C1911" i="120" s="1"/>
  <c r="C2268" i="120" s="1"/>
  <c r="C2625" i="120" s="1"/>
  <c r="B483" i="120"/>
  <c r="B840" i="120" s="1"/>
  <c r="B1197" i="120" s="1"/>
  <c r="B1554" i="120" s="1"/>
  <c r="B1911" i="120" s="1"/>
  <c r="B2268" i="120" s="1"/>
  <c r="B2625" i="120" s="1"/>
  <c r="A483" i="120"/>
  <c r="A840" i="120" s="1"/>
  <c r="A1197" i="120" s="1"/>
  <c r="A1554" i="120" s="1"/>
  <c r="A1911" i="120" s="1"/>
  <c r="A2268" i="120" s="1"/>
  <c r="A2625" i="120" s="1"/>
  <c r="M125" i="120"/>
  <c r="E482" i="120"/>
  <c r="E839" i="120" s="1"/>
  <c r="E1196" i="120" s="1"/>
  <c r="E1553" i="120" s="1"/>
  <c r="E1910" i="120" s="1"/>
  <c r="E2267" i="120" s="1"/>
  <c r="E2624" i="120" s="1"/>
  <c r="D482" i="120"/>
  <c r="D839" i="120" s="1"/>
  <c r="D1196" i="120" s="1"/>
  <c r="D1553" i="120" s="1"/>
  <c r="D1910" i="120" s="1"/>
  <c r="D2267" i="120" s="1"/>
  <c r="D2624" i="120" s="1"/>
  <c r="C482" i="120"/>
  <c r="C839" i="120" s="1"/>
  <c r="C1196" i="120" s="1"/>
  <c r="C1553" i="120" s="1"/>
  <c r="C1910" i="120" s="1"/>
  <c r="C2267" i="120" s="1"/>
  <c r="C2624" i="120" s="1"/>
  <c r="B482" i="120"/>
  <c r="B839" i="120" s="1"/>
  <c r="B1196" i="120" s="1"/>
  <c r="B1553" i="120" s="1"/>
  <c r="B1910" i="120" s="1"/>
  <c r="B2267" i="120" s="1"/>
  <c r="B2624" i="120" s="1"/>
  <c r="A482" i="120"/>
  <c r="A839" i="120" s="1"/>
  <c r="A1196" i="120" s="1"/>
  <c r="A1553" i="120" s="1"/>
  <c r="A1910" i="120" s="1"/>
  <c r="A2267" i="120" s="1"/>
  <c r="A2624" i="120" s="1"/>
  <c r="M124" i="120"/>
  <c r="E481" i="120"/>
  <c r="E838" i="120" s="1"/>
  <c r="E1195" i="120" s="1"/>
  <c r="E1552" i="120" s="1"/>
  <c r="E1909" i="120" s="1"/>
  <c r="E2266" i="120" s="1"/>
  <c r="E2623" i="120" s="1"/>
  <c r="D481" i="120"/>
  <c r="D838" i="120" s="1"/>
  <c r="D1195" i="120" s="1"/>
  <c r="D1552" i="120" s="1"/>
  <c r="D1909" i="120" s="1"/>
  <c r="D2266" i="120" s="1"/>
  <c r="D2623" i="120" s="1"/>
  <c r="C481" i="120"/>
  <c r="C838" i="120" s="1"/>
  <c r="C1195" i="120" s="1"/>
  <c r="C1552" i="120" s="1"/>
  <c r="C1909" i="120" s="1"/>
  <c r="C2266" i="120" s="1"/>
  <c r="C2623" i="120" s="1"/>
  <c r="B481" i="120"/>
  <c r="B838" i="120" s="1"/>
  <c r="B1195" i="120" s="1"/>
  <c r="B1552" i="120" s="1"/>
  <c r="B1909" i="120" s="1"/>
  <c r="B2266" i="120" s="1"/>
  <c r="B2623" i="120" s="1"/>
  <c r="A481" i="120"/>
  <c r="A838" i="120" s="1"/>
  <c r="A1195" i="120" s="1"/>
  <c r="A1552" i="120" s="1"/>
  <c r="A1909" i="120" s="1"/>
  <c r="A2266" i="120" s="1"/>
  <c r="A2623" i="120" s="1"/>
  <c r="M123" i="120"/>
  <c r="E480" i="120"/>
  <c r="E837" i="120" s="1"/>
  <c r="E1194" i="120" s="1"/>
  <c r="E1551" i="120" s="1"/>
  <c r="E1908" i="120" s="1"/>
  <c r="E2265" i="120" s="1"/>
  <c r="E2622" i="120" s="1"/>
  <c r="D480" i="120"/>
  <c r="D837" i="120" s="1"/>
  <c r="D1194" i="120" s="1"/>
  <c r="D1551" i="120" s="1"/>
  <c r="D1908" i="120" s="1"/>
  <c r="D2265" i="120" s="1"/>
  <c r="D2622" i="120" s="1"/>
  <c r="C480" i="120"/>
  <c r="C837" i="120" s="1"/>
  <c r="C1194" i="120" s="1"/>
  <c r="C1551" i="120" s="1"/>
  <c r="C1908" i="120" s="1"/>
  <c r="C2265" i="120" s="1"/>
  <c r="C2622" i="120" s="1"/>
  <c r="B480" i="120"/>
  <c r="B837" i="120" s="1"/>
  <c r="B1194" i="120" s="1"/>
  <c r="B1551" i="120" s="1"/>
  <c r="B1908" i="120" s="1"/>
  <c r="B2265" i="120" s="1"/>
  <c r="B2622" i="120" s="1"/>
  <c r="A480" i="120"/>
  <c r="A837" i="120" s="1"/>
  <c r="A1194" i="120" s="1"/>
  <c r="A1551" i="120" s="1"/>
  <c r="A1908" i="120" s="1"/>
  <c r="A2265" i="120" s="1"/>
  <c r="A2622" i="120" s="1"/>
  <c r="M122" i="120"/>
  <c r="E479" i="120"/>
  <c r="E836" i="120" s="1"/>
  <c r="E1193" i="120" s="1"/>
  <c r="E1550" i="120" s="1"/>
  <c r="E1907" i="120" s="1"/>
  <c r="E2264" i="120" s="1"/>
  <c r="E2621" i="120" s="1"/>
  <c r="D479" i="120"/>
  <c r="D836" i="120" s="1"/>
  <c r="D1193" i="120" s="1"/>
  <c r="D1550" i="120" s="1"/>
  <c r="D1907" i="120" s="1"/>
  <c r="D2264" i="120" s="1"/>
  <c r="D2621" i="120" s="1"/>
  <c r="C479" i="120"/>
  <c r="C836" i="120" s="1"/>
  <c r="C1193" i="120" s="1"/>
  <c r="C1550" i="120" s="1"/>
  <c r="C1907" i="120" s="1"/>
  <c r="C2264" i="120" s="1"/>
  <c r="C2621" i="120" s="1"/>
  <c r="B479" i="120"/>
  <c r="B836" i="120" s="1"/>
  <c r="B1193" i="120" s="1"/>
  <c r="B1550" i="120" s="1"/>
  <c r="B1907" i="120" s="1"/>
  <c r="B2264" i="120" s="1"/>
  <c r="B2621" i="120" s="1"/>
  <c r="A479" i="120"/>
  <c r="A836" i="120" s="1"/>
  <c r="A1193" i="120" s="1"/>
  <c r="A1550" i="120" s="1"/>
  <c r="A1907" i="120" s="1"/>
  <c r="A2264" i="120" s="1"/>
  <c r="A2621" i="120" s="1"/>
  <c r="M121" i="120"/>
  <c r="E478" i="120"/>
  <c r="E835" i="120" s="1"/>
  <c r="E1192" i="120" s="1"/>
  <c r="E1549" i="120" s="1"/>
  <c r="E1906" i="120" s="1"/>
  <c r="E2263" i="120" s="1"/>
  <c r="E2620" i="120" s="1"/>
  <c r="D478" i="120"/>
  <c r="D835" i="120" s="1"/>
  <c r="D1192" i="120" s="1"/>
  <c r="D1549" i="120" s="1"/>
  <c r="D1906" i="120" s="1"/>
  <c r="D2263" i="120" s="1"/>
  <c r="D2620" i="120" s="1"/>
  <c r="C478" i="120"/>
  <c r="C835" i="120" s="1"/>
  <c r="C1192" i="120" s="1"/>
  <c r="C1549" i="120" s="1"/>
  <c r="C1906" i="120" s="1"/>
  <c r="C2263" i="120" s="1"/>
  <c r="C2620" i="120" s="1"/>
  <c r="B478" i="120"/>
  <c r="B835" i="120" s="1"/>
  <c r="B1192" i="120" s="1"/>
  <c r="B1549" i="120" s="1"/>
  <c r="B1906" i="120" s="1"/>
  <c r="B2263" i="120" s="1"/>
  <c r="B2620" i="120" s="1"/>
  <c r="A478" i="120"/>
  <c r="A835" i="120" s="1"/>
  <c r="A1192" i="120" s="1"/>
  <c r="A1549" i="120" s="1"/>
  <c r="A1906" i="120" s="1"/>
  <c r="A2263" i="120" s="1"/>
  <c r="A2620" i="120" s="1"/>
  <c r="M120" i="120"/>
  <c r="E477" i="120"/>
  <c r="E834" i="120" s="1"/>
  <c r="E1191" i="120" s="1"/>
  <c r="E1548" i="120" s="1"/>
  <c r="E1905" i="120" s="1"/>
  <c r="E2262" i="120" s="1"/>
  <c r="E2619" i="120" s="1"/>
  <c r="D477" i="120"/>
  <c r="D834" i="120" s="1"/>
  <c r="D1191" i="120" s="1"/>
  <c r="D1548" i="120" s="1"/>
  <c r="D1905" i="120" s="1"/>
  <c r="D2262" i="120" s="1"/>
  <c r="D2619" i="120" s="1"/>
  <c r="C477" i="120"/>
  <c r="C834" i="120" s="1"/>
  <c r="C1191" i="120" s="1"/>
  <c r="C1548" i="120" s="1"/>
  <c r="C1905" i="120" s="1"/>
  <c r="C2262" i="120" s="1"/>
  <c r="C2619" i="120" s="1"/>
  <c r="B477" i="120"/>
  <c r="B834" i="120" s="1"/>
  <c r="B1191" i="120" s="1"/>
  <c r="B1548" i="120" s="1"/>
  <c r="B1905" i="120" s="1"/>
  <c r="B2262" i="120" s="1"/>
  <c r="B2619" i="120" s="1"/>
  <c r="A477" i="120"/>
  <c r="A834" i="120" s="1"/>
  <c r="A1191" i="120" s="1"/>
  <c r="A1548" i="120" s="1"/>
  <c r="A1905" i="120" s="1"/>
  <c r="A2262" i="120" s="1"/>
  <c r="A2619" i="120" s="1"/>
  <c r="M119" i="120"/>
  <c r="E476" i="120"/>
  <c r="E833" i="120" s="1"/>
  <c r="E1190" i="120" s="1"/>
  <c r="E1547" i="120" s="1"/>
  <c r="E1904" i="120" s="1"/>
  <c r="E2261" i="120" s="1"/>
  <c r="E2618" i="120" s="1"/>
  <c r="D476" i="120"/>
  <c r="D833" i="120" s="1"/>
  <c r="D1190" i="120" s="1"/>
  <c r="D1547" i="120" s="1"/>
  <c r="D1904" i="120" s="1"/>
  <c r="D2261" i="120" s="1"/>
  <c r="D2618" i="120" s="1"/>
  <c r="C476" i="120"/>
  <c r="C833" i="120" s="1"/>
  <c r="C1190" i="120" s="1"/>
  <c r="C1547" i="120" s="1"/>
  <c r="C1904" i="120" s="1"/>
  <c r="C2261" i="120" s="1"/>
  <c r="C2618" i="120" s="1"/>
  <c r="B476" i="120"/>
  <c r="B833" i="120" s="1"/>
  <c r="B1190" i="120" s="1"/>
  <c r="B1547" i="120" s="1"/>
  <c r="B1904" i="120" s="1"/>
  <c r="B2261" i="120" s="1"/>
  <c r="B2618" i="120" s="1"/>
  <c r="A476" i="120"/>
  <c r="A833" i="120" s="1"/>
  <c r="A1190" i="120" s="1"/>
  <c r="A1547" i="120" s="1"/>
  <c r="A1904" i="120" s="1"/>
  <c r="A2261" i="120" s="1"/>
  <c r="A2618" i="120" s="1"/>
  <c r="M118" i="120"/>
  <c r="E475" i="120"/>
  <c r="E832" i="120" s="1"/>
  <c r="E1189" i="120" s="1"/>
  <c r="E1546" i="120" s="1"/>
  <c r="E1903" i="120" s="1"/>
  <c r="E2260" i="120" s="1"/>
  <c r="E2617" i="120" s="1"/>
  <c r="D475" i="120"/>
  <c r="D832" i="120" s="1"/>
  <c r="D1189" i="120" s="1"/>
  <c r="D1546" i="120" s="1"/>
  <c r="D1903" i="120" s="1"/>
  <c r="D2260" i="120" s="1"/>
  <c r="D2617" i="120" s="1"/>
  <c r="C475" i="120"/>
  <c r="C832" i="120" s="1"/>
  <c r="C1189" i="120" s="1"/>
  <c r="C1546" i="120" s="1"/>
  <c r="C1903" i="120" s="1"/>
  <c r="C2260" i="120" s="1"/>
  <c r="C2617" i="120" s="1"/>
  <c r="B475" i="120"/>
  <c r="B832" i="120" s="1"/>
  <c r="B1189" i="120" s="1"/>
  <c r="B1546" i="120" s="1"/>
  <c r="B1903" i="120" s="1"/>
  <c r="B2260" i="120" s="1"/>
  <c r="B2617" i="120" s="1"/>
  <c r="A475" i="120"/>
  <c r="A832" i="120" s="1"/>
  <c r="A1189" i="120" s="1"/>
  <c r="A1546" i="120" s="1"/>
  <c r="A1903" i="120" s="1"/>
  <c r="A2260" i="120" s="1"/>
  <c r="A2617" i="120" s="1"/>
  <c r="M117" i="120"/>
  <c r="E474" i="120"/>
  <c r="E831" i="120" s="1"/>
  <c r="E1188" i="120" s="1"/>
  <c r="E1545" i="120" s="1"/>
  <c r="E1902" i="120" s="1"/>
  <c r="E2259" i="120" s="1"/>
  <c r="E2616" i="120" s="1"/>
  <c r="D474" i="120"/>
  <c r="D831" i="120" s="1"/>
  <c r="D1188" i="120" s="1"/>
  <c r="D1545" i="120" s="1"/>
  <c r="D1902" i="120" s="1"/>
  <c r="D2259" i="120" s="1"/>
  <c r="D2616" i="120" s="1"/>
  <c r="C474" i="120"/>
  <c r="C831" i="120" s="1"/>
  <c r="C1188" i="120" s="1"/>
  <c r="C1545" i="120" s="1"/>
  <c r="C1902" i="120" s="1"/>
  <c r="C2259" i="120" s="1"/>
  <c r="C2616" i="120" s="1"/>
  <c r="B474" i="120"/>
  <c r="B831" i="120" s="1"/>
  <c r="B1188" i="120" s="1"/>
  <c r="B1545" i="120" s="1"/>
  <c r="B1902" i="120" s="1"/>
  <c r="B2259" i="120" s="1"/>
  <c r="B2616" i="120" s="1"/>
  <c r="A474" i="120"/>
  <c r="A831" i="120" s="1"/>
  <c r="A1188" i="120" s="1"/>
  <c r="A1545" i="120" s="1"/>
  <c r="A1902" i="120" s="1"/>
  <c r="A2259" i="120" s="1"/>
  <c r="A2616" i="120" s="1"/>
  <c r="M116" i="120"/>
  <c r="E473" i="120"/>
  <c r="E830" i="120" s="1"/>
  <c r="E1187" i="120" s="1"/>
  <c r="E1544" i="120" s="1"/>
  <c r="E1901" i="120" s="1"/>
  <c r="E2258" i="120" s="1"/>
  <c r="E2615" i="120" s="1"/>
  <c r="D473" i="120"/>
  <c r="D830" i="120" s="1"/>
  <c r="D1187" i="120" s="1"/>
  <c r="D1544" i="120" s="1"/>
  <c r="D1901" i="120" s="1"/>
  <c r="D2258" i="120" s="1"/>
  <c r="D2615" i="120" s="1"/>
  <c r="C473" i="120"/>
  <c r="C830" i="120" s="1"/>
  <c r="C1187" i="120" s="1"/>
  <c r="C1544" i="120" s="1"/>
  <c r="C1901" i="120" s="1"/>
  <c r="C2258" i="120" s="1"/>
  <c r="C2615" i="120" s="1"/>
  <c r="B473" i="120"/>
  <c r="B830" i="120" s="1"/>
  <c r="B1187" i="120" s="1"/>
  <c r="B1544" i="120" s="1"/>
  <c r="B1901" i="120" s="1"/>
  <c r="B2258" i="120" s="1"/>
  <c r="B2615" i="120" s="1"/>
  <c r="A473" i="120"/>
  <c r="A830" i="120" s="1"/>
  <c r="A1187" i="120" s="1"/>
  <c r="A1544" i="120" s="1"/>
  <c r="A1901" i="120" s="1"/>
  <c r="A2258" i="120" s="1"/>
  <c r="A2615" i="120" s="1"/>
  <c r="M115" i="120"/>
  <c r="E472" i="120"/>
  <c r="E829" i="120" s="1"/>
  <c r="E1186" i="120" s="1"/>
  <c r="E1543" i="120" s="1"/>
  <c r="E1900" i="120" s="1"/>
  <c r="E2257" i="120" s="1"/>
  <c r="E2614" i="120" s="1"/>
  <c r="D472" i="120"/>
  <c r="D829" i="120" s="1"/>
  <c r="D1186" i="120" s="1"/>
  <c r="D1543" i="120" s="1"/>
  <c r="D1900" i="120" s="1"/>
  <c r="D2257" i="120" s="1"/>
  <c r="D2614" i="120" s="1"/>
  <c r="C472" i="120"/>
  <c r="C829" i="120" s="1"/>
  <c r="C1186" i="120" s="1"/>
  <c r="C1543" i="120" s="1"/>
  <c r="C1900" i="120" s="1"/>
  <c r="C2257" i="120" s="1"/>
  <c r="C2614" i="120" s="1"/>
  <c r="B472" i="120"/>
  <c r="B829" i="120" s="1"/>
  <c r="B1186" i="120" s="1"/>
  <c r="B1543" i="120" s="1"/>
  <c r="B1900" i="120" s="1"/>
  <c r="B2257" i="120" s="1"/>
  <c r="B2614" i="120" s="1"/>
  <c r="A472" i="120"/>
  <c r="A829" i="120" s="1"/>
  <c r="A1186" i="120" s="1"/>
  <c r="A1543" i="120" s="1"/>
  <c r="A1900" i="120" s="1"/>
  <c r="A2257" i="120" s="1"/>
  <c r="A2614" i="120" s="1"/>
  <c r="M114" i="120"/>
  <c r="E471" i="120"/>
  <c r="E828" i="120" s="1"/>
  <c r="E1185" i="120" s="1"/>
  <c r="E1542" i="120" s="1"/>
  <c r="E1899" i="120" s="1"/>
  <c r="E2256" i="120" s="1"/>
  <c r="E2613" i="120" s="1"/>
  <c r="D471" i="120"/>
  <c r="D828" i="120" s="1"/>
  <c r="D1185" i="120" s="1"/>
  <c r="D1542" i="120" s="1"/>
  <c r="D1899" i="120" s="1"/>
  <c r="D2256" i="120" s="1"/>
  <c r="D2613" i="120" s="1"/>
  <c r="C471" i="120"/>
  <c r="C828" i="120" s="1"/>
  <c r="C1185" i="120" s="1"/>
  <c r="C1542" i="120" s="1"/>
  <c r="C1899" i="120" s="1"/>
  <c r="C2256" i="120" s="1"/>
  <c r="C2613" i="120" s="1"/>
  <c r="B471" i="120"/>
  <c r="B828" i="120" s="1"/>
  <c r="B1185" i="120" s="1"/>
  <c r="B1542" i="120" s="1"/>
  <c r="B1899" i="120" s="1"/>
  <c r="B2256" i="120" s="1"/>
  <c r="B2613" i="120" s="1"/>
  <c r="A471" i="120"/>
  <c r="A828" i="120" s="1"/>
  <c r="A1185" i="120" s="1"/>
  <c r="A1542" i="120" s="1"/>
  <c r="A1899" i="120" s="1"/>
  <c r="A2256" i="120" s="1"/>
  <c r="A2613" i="120" s="1"/>
  <c r="M113" i="120"/>
  <c r="E470" i="120"/>
  <c r="E827" i="120" s="1"/>
  <c r="E1184" i="120" s="1"/>
  <c r="E1541" i="120" s="1"/>
  <c r="E1898" i="120" s="1"/>
  <c r="E2255" i="120" s="1"/>
  <c r="E2612" i="120" s="1"/>
  <c r="D470" i="120"/>
  <c r="D827" i="120" s="1"/>
  <c r="D1184" i="120" s="1"/>
  <c r="D1541" i="120" s="1"/>
  <c r="D1898" i="120" s="1"/>
  <c r="D2255" i="120" s="1"/>
  <c r="D2612" i="120" s="1"/>
  <c r="C470" i="120"/>
  <c r="C827" i="120" s="1"/>
  <c r="C1184" i="120" s="1"/>
  <c r="C1541" i="120" s="1"/>
  <c r="C1898" i="120" s="1"/>
  <c r="C2255" i="120" s="1"/>
  <c r="C2612" i="120" s="1"/>
  <c r="B470" i="120"/>
  <c r="B827" i="120" s="1"/>
  <c r="B1184" i="120" s="1"/>
  <c r="B1541" i="120" s="1"/>
  <c r="B1898" i="120" s="1"/>
  <c r="B2255" i="120" s="1"/>
  <c r="B2612" i="120" s="1"/>
  <c r="A470" i="120"/>
  <c r="A827" i="120" s="1"/>
  <c r="A1184" i="120" s="1"/>
  <c r="A1541" i="120" s="1"/>
  <c r="A1898" i="120" s="1"/>
  <c r="A2255" i="120" s="1"/>
  <c r="A2612" i="120" s="1"/>
  <c r="M112" i="120"/>
  <c r="E469" i="120"/>
  <c r="E826" i="120" s="1"/>
  <c r="E1183" i="120" s="1"/>
  <c r="E1540" i="120" s="1"/>
  <c r="E1897" i="120" s="1"/>
  <c r="E2254" i="120" s="1"/>
  <c r="E2611" i="120" s="1"/>
  <c r="D469" i="120"/>
  <c r="D826" i="120" s="1"/>
  <c r="D1183" i="120" s="1"/>
  <c r="D1540" i="120" s="1"/>
  <c r="D1897" i="120" s="1"/>
  <c r="D2254" i="120" s="1"/>
  <c r="D2611" i="120" s="1"/>
  <c r="C469" i="120"/>
  <c r="C826" i="120" s="1"/>
  <c r="C1183" i="120" s="1"/>
  <c r="C1540" i="120" s="1"/>
  <c r="C1897" i="120" s="1"/>
  <c r="C2254" i="120" s="1"/>
  <c r="C2611" i="120" s="1"/>
  <c r="B469" i="120"/>
  <c r="B826" i="120" s="1"/>
  <c r="B1183" i="120" s="1"/>
  <c r="B1540" i="120" s="1"/>
  <c r="B1897" i="120" s="1"/>
  <c r="B2254" i="120" s="1"/>
  <c r="B2611" i="120" s="1"/>
  <c r="A469" i="120"/>
  <c r="A826" i="120" s="1"/>
  <c r="A1183" i="120" s="1"/>
  <c r="A1540" i="120" s="1"/>
  <c r="A1897" i="120" s="1"/>
  <c r="A2254" i="120" s="1"/>
  <c r="A2611" i="120" s="1"/>
  <c r="M111" i="120"/>
  <c r="E468" i="120"/>
  <c r="E825" i="120" s="1"/>
  <c r="E1182" i="120" s="1"/>
  <c r="E1539" i="120" s="1"/>
  <c r="E1896" i="120" s="1"/>
  <c r="E2253" i="120" s="1"/>
  <c r="E2610" i="120" s="1"/>
  <c r="D468" i="120"/>
  <c r="D825" i="120" s="1"/>
  <c r="D1182" i="120" s="1"/>
  <c r="D1539" i="120" s="1"/>
  <c r="D1896" i="120" s="1"/>
  <c r="D2253" i="120" s="1"/>
  <c r="D2610" i="120" s="1"/>
  <c r="C468" i="120"/>
  <c r="C825" i="120" s="1"/>
  <c r="C1182" i="120" s="1"/>
  <c r="C1539" i="120" s="1"/>
  <c r="C1896" i="120" s="1"/>
  <c r="C2253" i="120" s="1"/>
  <c r="C2610" i="120" s="1"/>
  <c r="B468" i="120"/>
  <c r="B825" i="120" s="1"/>
  <c r="B1182" i="120" s="1"/>
  <c r="B1539" i="120" s="1"/>
  <c r="B1896" i="120" s="1"/>
  <c r="B2253" i="120" s="1"/>
  <c r="B2610" i="120" s="1"/>
  <c r="A468" i="120"/>
  <c r="A825" i="120" s="1"/>
  <c r="A1182" i="120" s="1"/>
  <c r="A1539" i="120" s="1"/>
  <c r="A1896" i="120" s="1"/>
  <c r="A2253" i="120" s="1"/>
  <c r="A2610" i="120" s="1"/>
  <c r="M110" i="120"/>
  <c r="E467" i="120"/>
  <c r="E824" i="120" s="1"/>
  <c r="E1181" i="120" s="1"/>
  <c r="E1538" i="120" s="1"/>
  <c r="E1895" i="120" s="1"/>
  <c r="E2252" i="120" s="1"/>
  <c r="E2609" i="120" s="1"/>
  <c r="D467" i="120"/>
  <c r="D824" i="120" s="1"/>
  <c r="D1181" i="120" s="1"/>
  <c r="D1538" i="120" s="1"/>
  <c r="D1895" i="120" s="1"/>
  <c r="D2252" i="120" s="1"/>
  <c r="D2609" i="120" s="1"/>
  <c r="C467" i="120"/>
  <c r="C824" i="120" s="1"/>
  <c r="C1181" i="120" s="1"/>
  <c r="C1538" i="120" s="1"/>
  <c r="C1895" i="120" s="1"/>
  <c r="C2252" i="120" s="1"/>
  <c r="C2609" i="120" s="1"/>
  <c r="B467" i="120"/>
  <c r="B824" i="120" s="1"/>
  <c r="B1181" i="120" s="1"/>
  <c r="B1538" i="120" s="1"/>
  <c r="B1895" i="120" s="1"/>
  <c r="B2252" i="120" s="1"/>
  <c r="B2609" i="120" s="1"/>
  <c r="A467" i="120"/>
  <c r="A824" i="120" s="1"/>
  <c r="A1181" i="120" s="1"/>
  <c r="A1538" i="120" s="1"/>
  <c r="A1895" i="120" s="1"/>
  <c r="A2252" i="120" s="1"/>
  <c r="A2609" i="120" s="1"/>
  <c r="M109" i="120"/>
  <c r="E466" i="120"/>
  <c r="E823" i="120" s="1"/>
  <c r="E1180" i="120" s="1"/>
  <c r="E1537" i="120" s="1"/>
  <c r="E1894" i="120" s="1"/>
  <c r="E2251" i="120" s="1"/>
  <c r="E2608" i="120" s="1"/>
  <c r="D466" i="120"/>
  <c r="D823" i="120" s="1"/>
  <c r="D1180" i="120" s="1"/>
  <c r="D1537" i="120" s="1"/>
  <c r="D1894" i="120" s="1"/>
  <c r="D2251" i="120" s="1"/>
  <c r="D2608" i="120" s="1"/>
  <c r="C466" i="120"/>
  <c r="C823" i="120" s="1"/>
  <c r="C1180" i="120" s="1"/>
  <c r="C1537" i="120" s="1"/>
  <c r="C1894" i="120" s="1"/>
  <c r="C2251" i="120" s="1"/>
  <c r="C2608" i="120" s="1"/>
  <c r="B466" i="120"/>
  <c r="B823" i="120" s="1"/>
  <c r="B1180" i="120" s="1"/>
  <c r="B1537" i="120" s="1"/>
  <c r="B1894" i="120" s="1"/>
  <c r="B2251" i="120" s="1"/>
  <c r="B2608" i="120" s="1"/>
  <c r="A466" i="120"/>
  <c r="A823" i="120" s="1"/>
  <c r="A1180" i="120" s="1"/>
  <c r="A1537" i="120" s="1"/>
  <c r="A1894" i="120" s="1"/>
  <c r="A2251" i="120" s="1"/>
  <c r="A2608" i="120" s="1"/>
  <c r="M108" i="120"/>
  <c r="E465" i="120"/>
  <c r="E822" i="120" s="1"/>
  <c r="E1179" i="120" s="1"/>
  <c r="E1536" i="120" s="1"/>
  <c r="E1893" i="120" s="1"/>
  <c r="E2250" i="120" s="1"/>
  <c r="E2607" i="120" s="1"/>
  <c r="D465" i="120"/>
  <c r="D822" i="120" s="1"/>
  <c r="D1179" i="120" s="1"/>
  <c r="D1536" i="120" s="1"/>
  <c r="D1893" i="120" s="1"/>
  <c r="D2250" i="120" s="1"/>
  <c r="D2607" i="120" s="1"/>
  <c r="C465" i="120"/>
  <c r="C822" i="120" s="1"/>
  <c r="C1179" i="120" s="1"/>
  <c r="C1536" i="120" s="1"/>
  <c r="C1893" i="120" s="1"/>
  <c r="C2250" i="120" s="1"/>
  <c r="C2607" i="120" s="1"/>
  <c r="B465" i="120"/>
  <c r="B822" i="120" s="1"/>
  <c r="B1179" i="120" s="1"/>
  <c r="B1536" i="120" s="1"/>
  <c r="B1893" i="120" s="1"/>
  <c r="B2250" i="120" s="1"/>
  <c r="B2607" i="120" s="1"/>
  <c r="A465" i="120"/>
  <c r="A822" i="120" s="1"/>
  <c r="A1179" i="120" s="1"/>
  <c r="A1536" i="120" s="1"/>
  <c r="A1893" i="120" s="1"/>
  <c r="A2250" i="120" s="1"/>
  <c r="A2607" i="120" s="1"/>
  <c r="M107" i="120"/>
  <c r="E464" i="120"/>
  <c r="E821" i="120" s="1"/>
  <c r="E1178" i="120" s="1"/>
  <c r="E1535" i="120" s="1"/>
  <c r="E1892" i="120" s="1"/>
  <c r="E2249" i="120" s="1"/>
  <c r="E2606" i="120" s="1"/>
  <c r="D464" i="120"/>
  <c r="D821" i="120" s="1"/>
  <c r="D1178" i="120" s="1"/>
  <c r="D1535" i="120" s="1"/>
  <c r="D1892" i="120" s="1"/>
  <c r="D2249" i="120" s="1"/>
  <c r="D2606" i="120" s="1"/>
  <c r="C464" i="120"/>
  <c r="C821" i="120" s="1"/>
  <c r="C1178" i="120" s="1"/>
  <c r="C1535" i="120" s="1"/>
  <c r="C1892" i="120" s="1"/>
  <c r="C2249" i="120" s="1"/>
  <c r="C2606" i="120" s="1"/>
  <c r="B464" i="120"/>
  <c r="B821" i="120" s="1"/>
  <c r="B1178" i="120" s="1"/>
  <c r="B1535" i="120" s="1"/>
  <c r="B1892" i="120" s="1"/>
  <c r="B2249" i="120" s="1"/>
  <c r="B2606" i="120" s="1"/>
  <c r="A464" i="120"/>
  <c r="A821" i="120" s="1"/>
  <c r="A1178" i="120" s="1"/>
  <c r="A1535" i="120" s="1"/>
  <c r="A1892" i="120" s="1"/>
  <c r="A2249" i="120" s="1"/>
  <c r="A2606" i="120" s="1"/>
  <c r="M106" i="120"/>
  <c r="E463" i="120"/>
  <c r="E820" i="120" s="1"/>
  <c r="E1177" i="120" s="1"/>
  <c r="E1534" i="120" s="1"/>
  <c r="E1891" i="120" s="1"/>
  <c r="E2248" i="120" s="1"/>
  <c r="E2605" i="120" s="1"/>
  <c r="D463" i="120"/>
  <c r="D820" i="120" s="1"/>
  <c r="D1177" i="120" s="1"/>
  <c r="D1534" i="120" s="1"/>
  <c r="D1891" i="120" s="1"/>
  <c r="D2248" i="120" s="1"/>
  <c r="D2605" i="120" s="1"/>
  <c r="C463" i="120"/>
  <c r="C820" i="120" s="1"/>
  <c r="C1177" i="120" s="1"/>
  <c r="C1534" i="120" s="1"/>
  <c r="C1891" i="120" s="1"/>
  <c r="C2248" i="120" s="1"/>
  <c r="C2605" i="120" s="1"/>
  <c r="B463" i="120"/>
  <c r="B820" i="120" s="1"/>
  <c r="B1177" i="120" s="1"/>
  <c r="B1534" i="120" s="1"/>
  <c r="B1891" i="120" s="1"/>
  <c r="B2248" i="120" s="1"/>
  <c r="B2605" i="120" s="1"/>
  <c r="A463" i="120"/>
  <c r="A820" i="120" s="1"/>
  <c r="A1177" i="120" s="1"/>
  <c r="A1534" i="120" s="1"/>
  <c r="A1891" i="120" s="1"/>
  <c r="A2248" i="120" s="1"/>
  <c r="A2605" i="120" s="1"/>
  <c r="M105" i="120"/>
  <c r="E462" i="120"/>
  <c r="E819" i="120" s="1"/>
  <c r="E1176" i="120" s="1"/>
  <c r="E1533" i="120" s="1"/>
  <c r="E1890" i="120" s="1"/>
  <c r="E2247" i="120" s="1"/>
  <c r="E2604" i="120" s="1"/>
  <c r="D462" i="120"/>
  <c r="D819" i="120" s="1"/>
  <c r="D1176" i="120" s="1"/>
  <c r="D1533" i="120" s="1"/>
  <c r="D1890" i="120" s="1"/>
  <c r="D2247" i="120" s="1"/>
  <c r="D2604" i="120" s="1"/>
  <c r="C462" i="120"/>
  <c r="C819" i="120" s="1"/>
  <c r="C1176" i="120" s="1"/>
  <c r="C1533" i="120" s="1"/>
  <c r="C1890" i="120" s="1"/>
  <c r="C2247" i="120" s="1"/>
  <c r="C2604" i="120" s="1"/>
  <c r="B462" i="120"/>
  <c r="B819" i="120" s="1"/>
  <c r="B1176" i="120" s="1"/>
  <c r="B1533" i="120" s="1"/>
  <c r="B1890" i="120" s="1"/>
  <c r="B2247" i="120" s="1"/>
  <c r="B2604" i="120" s="1"/>
  <c r="A462" i="120"/>
  <c r="A819" i="120" s="1"/>
  <c r="A1176" i="120" s="1"/>
  <c r="A1533" i="120" s="1"/>
  <c r="A1890" i="120" s="1"/>
  <c r="A2247" i="120" s="1"/>
  <c r="A2604" i="120" s="1"/>
  <c r="M104" i="120"/>
  <c r="E461" i="120"/>
  <c r="E818" i="120" s="1"/>
  <c r="E1175" i="120" s="1"/>
  <c r="E1532" i="120" s="1"/>
  <c r="E1889" i="120" s="1"/>
  <c r="E2246" i="120" s="1"/>
  <c r="E2603" i="120" s="1"/>
  <c r="D461" i="120"/>
  <c r="D818" i="120" s="1"/>
  <c r="D1175" i="120" s="1"/>
  <c r="D1532" i="120" s="1"/>
  <c r="D1889" i="120" s="1"/>
  <c r="D2246" i="120" s="1"/>
  <c r="D2603" i="120" s="1"/>
  <c r="C461" i="120"/>
  <c r="C818" i="120" s="1"/>
  <c r="C1175" i="120" s="1"/>
  <c r="C1532" i="120" s="1"/>
  <c r="C1889" i="120" s="1"/>
  <c r="C2246" i="120" s="1"/>
  <c r="C2603" i="120" s="1"/>
  <c r="B461" i="120"/>
  <c r="B818" i="120" s="1"/>
  <c r="B1175" i="120" s="1"/>
  <c r="B1532" i="120" s="1"/>
  <c r="B1889" i="120" s="1"/>
  <c r="B2246" i="120" s="1"/>
  <c r="B2603" i="120" s="1"/>
  <c r="A461" i="120"/>
  <c r="A818" i="120" s="1"/>
  <c r="A1175" i="120" s="1"/>
  <c r="A1532" i="120" s="1"/>
  <c r="A1889" i="120" s="1"/>
  <c r="A2246" i="120" s="1"/>
  <c r="A2603" i="120" s="1"/>
  <c r="M103" i="120"/>
  <c r="E460" i="120"/>
  <c r="E817" i="120" s="1"/>
  <c r="E1174" i="120" s="1"/>
  <c r="E1531" i="120" s="1"/>
  <c r="E1888" i="120" s="1"/>
  <c r="E2245" i="120" s="1"/>
  <c r="E2602" i="120" s="1"/>
  <c r="D460" i="120"/>
  <c r="D817" i="120" s="1"/>
  <c r="D1174" i="120" s="1"/>
  <c r="D1531" i="120" s="1"/>
  <c r="D1888" i="120" s="1"/>
  <c r="D2245" i="120" s="1"/>
  <c r="D2602" i="120" s="1"/>
  <c r="B460" i="120"/>
  <c r="B817" i="120" s="1"/>
  <c r="B1174" i="120" s="1"/>
  <c r="B1531" i="120" s="1"/>
  <c r="B1888" i="120" s="1"/>
  <c r="B2245" i="120" s="1"/>
  <c r="B2602" i="120" s="1"/>
  <c r="A460" i="120"/>
  <c r="A817" i="120" s="1"/>
  <c r="A1174" i="120" s="1"/>
  <c r="A1531" i="120" s="1"/>
  <c r="A1888" i="120" s="1"/>
  <c r="A2245" i="120" s="1"/>
  <c r="A2602" i="120" s="1"/>
  <c r="M102" i="120"/>
  <c r="E459" i="120"/>
  <c r="E816" i="120" s="1"/>
  <c r="E1173" i="120" s="1"/>
  <c r="E1530" i="120" s="1"/>
  <c r="E1887" i="120" s="1"/>
  <c r="E2244" i="120" s="1"/>
  <c r="E2601" i="120" s="1"/>
  <c r="D459" i="120"/>
  <c r="D816" i="120" s="1"/>
  <c r="D1173" i="120" s="1"/>
  <c r="D1530" i="120" s="1"/>
  <c r="D1887" i="120" s="1"/>
  <c r="D2244" i="120" s="1"/>
  <c r="D2601" i="120" s="1"/>
  <c r="B459" i="120"/>
  <c r="B816" i="120" s="1"/>
  <c r="B1173" i="120" s="1"/>
  <c r="B1530" i="120" s="1"/>
  <c r="B1887" i="120" s="1"/>
  <c r="B2244" i="120" s="1"/>
  <c r="B2601" i="120" s="1"/>
  <c r="A459" i="120"/>
  <c r="A816" i="120" s="1"/>
  <c r="A1173" i="120" s="1"/>
  <c r="A1530" i="120" s="1"/>
  <c r="A1887" i="120" s="1"/>
  <c r="A2244" i="120" s="1"/>
  <c r="A2601" i="120" s="1"/>
  <c r="M101" i="120"/>
  <c r="E458" i="120"/>
  <c r="E815" i="120" s="1"/>
  <c r="E1172" i="120" s="1"/>
  <c r="E1529" i="120" s="1"/>
  <c r="E1886" i="120" s="1"/>
  <c r="E2243" i="120" s="1"/>
  <c r="E2600" i="120" s="1"/>
  <c r="D458" i="120"/>
  <c r="D815" i="120" s="1"/>
  <c r="D1172" i="120" s="1"/>
  <c r="D1529" i="120" s="1"/>
  <c r="D1886" i="120" s="1"/>
  <c r="D2243" i="120" s="1"/>
  <c r="D2600" i="120" s="1"/>
  <c r="B458" i="120"/>
  <c r="B815" i="120" s="1"/>
  <c r="B1172" i="120" s="1"/>
  <c r="B1529" i="120" s="1"/>
  <c r="B1886" i="120" s="1"/>
  <c r="B2243" i="120" s="1"/>
  <c r="B2600" i="120" s="1"/>
  <c r="A458" i="120"/>
  <c r="A815" i="120" s="1"/>
  <c r="A1172" i="120" s="1"/>
  <c r="A1529" i="120" s="1"/>
  <c r="A1886" i="120" s="1"/>
  <c r="A2243" i="120" s="1"/>
  <c r="A2600" i="120" s="1"/>
  <c r="M100" i="120"/>
  <c r="E457" i="120"/>
  <c r="E814" i="120" s="1"/>
  <c r="E1171" i="120" s="1"/>
  <c r="E1528" i="120" s="1"/>
  <c r="E1885" i="120" s="1"/>
  <c r="E2242" i="120" s="1"/>
  <c r="E2599" i="120" s="1"/>
  <c r="D457" i="120"/>
  <c r="D814" i="120" s="1"/>
  <c r="D1171" i="120" s="1"/>
  <c r="D1528" i="120" s="1"/>
  <c r="D1885" i="120" s="1"/>
  <c r="D2242" i="120" s="1"/>
  <c r="D2599" i="120" s="1"/>
  <c r="B457" i="120"/>
  <c r="B814" i="120" s="1"/>
  <c r="B1171" i="120" s="1"/>
  <c r="B1528" i="120" s="1"/>
  <c r="B1885" i="120" s="1"/>
  <c r="B2242" i="120" s="1"/>
  <c r="B2599" i="120" s="1"/>
  <c r="A457" i="120"/>
  <c r="A814" i="120" s="1"/>
  <c r="A1171" i="120" s="1"/>
  <c r="A1528" i="120" s="1"/>
  <c r="A1885" i="120" s="1"/>
  <c r="A2242" i="120" s="1"/>
  <c r="A2599" i="120" s="1"/>
  <c r="O99" i="120"/>
  <c r="P99" i="120" s="1"/>
  <c r="M99" i="120"/>
  <c r="E456" i="120"/>
  <c r="E813" i="120" s="1"/>
  <c r="E1170" i="120" s="1"/>
  <c r="E1527" i="120" s="1"/>
  <c r="E1884" i="120" s="1"/>
  <c r="E2241" i="120" s="1"/>
  <c r="E2598" i="120" s="1"/>
  <c r="D456" i="120"/>
  <c r="D813" i="120" s="1"/>
  <c r="D1170" i="120" s="1"/>
  <c r="D1527" i="120" s="1"/>
  <c r="D1884" i="120" s="1"/>
  <c r="D2241" i="120" s="1"/>
  <c r="D2598" i="120" s="1"/>
  <c r="B456" i="120"/>
  <c r="B813" i="120" s="1"/>
  <c r="B1170" i="120" s="1"/>
  <c r="B1527" i="120" s="1"/>
  <c r="B1884" i="120" s="1"/>
  <c r="B2241" i="120" s="1"/>
  <c r="B2598" i="120" s="1"/>
  <c r="A456" i="120"/>
  <c r="A813" i="120" s="1"/>
  <c r="A1170" i="120" s="1"/>
  <c r="A1527" i="120" s="1"/>
  <c r="A1884" i="120" s="1"/>
  <c r="A2241" i="120" s="1"/>
  <c r="A2598" i="120" s="1"/>
  <c r="M98" i="120"/>
  <c r="E455" i="120"/>
  <c r="E812" i="120" s="1"/>
  <c r="E1169" i="120" s="1"/>
  <c r="E1526" i="120" s="1"/>
  <c r="E1883" i="120" s="1"/>
  <c r="E2240" i="120" s="1"/>
  <c r="E2597" i="120" s="1"/>
  <c r="D455" i="120"/>
  <c r="D812" i="120" s="1"/>
  <c r="D1169" i="120" s="1"/>
  <c r="D1526" i="120" s="1"/>
  <c r="D1883" i="120" s="1"/>
  <c r="D2240" i="120" s="1"/>
  <c r="D2597" i="120" s="1"/>
  <c r="B455" i="120"/>
  <c r="B812" i="120" s="1"/>
  <c r="B1169" i="120" s="1"/>
  <c r="B1526" i="120" s="1"/>
  <c r="B1883" i="120" s="1"/>
  <c r="B2240" i="120" s="1"/>
  <c r="B2597" i="120" s="1"/>
  <c r="A455" i="120"/>
  <c r="A812" i="120" s="1"/>
  <c r="A1169" i="120" s="1"/>
  <c r="A1526" i="120" s="1"/>
  <c r="A1883" i="120" s="1"/>
  <c r="A2240" i="120" s="1"/>
  <c r="A2597" i="120" s="1"/>
  <c r="M97" i="120"/>
  <c r="E454" i="120"/>
  <c r="E811" i="120" s="1"/>
  <c r="E1168" i="120" s="1"/>
  <c r="E1525" i="120" s="1"/>
  <c r="E1882" i="120" s="1"/>
  <c r="E2239" i="120" s="1"/>
  <c r="E2596" i="120" s="1"/>
  <c r="D454" i="120"/>
  <c r="D811" i="120" s="1"/>
  <c r="D1168" i="120" s="1"/>
  <c r="D1525" i="120" s="1"/>
  <c r="D1882" i="120" s="1"/>
  <c r="D2239" i="120" s="1"/>
  <c r="D2596" i="120" s="1"/>
  <c r="C454" i="120"/>
  <c r="C811" i="120" s="1"/>
  <c r="C1168" i="120" s="1"/>
  <c r="C1525" i="120" s="1"/>
  <c r="C1882" i="120" s="1"/>
  <c r="C2239" i="120" s="1"/>
  <c r="C2596" i="120" s="1"/>
  <c r="B454" i="120"/>
  <c r="B811" i="120" s="1"/>
  <c r="B1168" i="120" s="1"/>
  <c r="B1525" i="120" s="1"/>
  <c r="B1882" i="120" s="1"/>
  <c r="B2239" i="120" s="1"/>
  <c r="B2596" i="120" s="1"/>
  <c r="A454" i="120"/>
  <c r="A811" i="120" s="1"/>
  <c r="A1168" i="120" s="1"/>
  <c r="A1525" i="120" s="1"/>
  <c r="A1882" i="120" s="1"/>
  <c r="A2239" i="120" s="1"/>
  <c r="A2596" i="120" s="1"/>
  <c r="M96" i="120"/>
  <c r="O96" i="120" s="1"/>
  <c r="E453" i="120"/>
  <c r="E810" i="120" s="1"/>
  <c r="E1167" i="120" s="1"/>
  <c r="E1524" i="120" s="1"/>
  <c r="E1881" i="120" s="1"/>
  <c r="E2238" i="120" s="1"/>
  <c r="E2595" i="120" s="1"/>
  <c r="D453" i="120"/>
  <c r="D810" i="120" s="1"/>
  <c r="D1167" i="120" s="1"/>
  <c r="D1524" i="120" s="1"/>
  <c r="D1881" i="120" s="1"/>
  <c r="D2238" i="120" s="1"/>
  <c r="D2595" i="120" s="1"/>
  <c r="B453" i="120"/>
  <c r="B810" i="120" s="1"/>
  <c r="B1167" i="120" s="1"/>
  <c r="B1524" i="120" s="1"/>
  <c r="B1881" i="120" s="1"/>
  <c r="B2238" i="120" s="1"/>
  <c r="B2595" i="120" s="1"/>
  <c r="A453" i="120"/>
  <c r="A810" i="120" s="1"/>
  <c r="A1167" i="120" s="1"/>
  <c r="A1524" i="120" s="1"/>
  <c r="A1881" i="120" s="1"/>
  <c r="A2238" i="120" s="1"/>
  <c r="A2595" i="120" s="1"/>
  <c r="M95" i="120"/>
  <c r="O95" i="120" s="1"/>
  <c r="P95" i="120" s="1"/>
  <c r="E452" i="120"/>
  <c r="E809" i="120" s="1"/>
  <c r="E1166" i="120" s="1"/>
  <c r="E1523" i="120" s="1"/>
  <c r="E1880" i="120" s="1"/>
  <c r="E2237" i="120" s="1"/>
  <c r="E2594" i="120" s="1"/>
  <c r="D452" i="120"/>
  <c r="D809" i="120" s="1"/>
  <c r="D1166" i="120" s="1"/>
  <c r="D1523" i="120" s="1"/>
  <c r="D1880" i="120" s="1"/>
  <c r="D2237" i="120" s="1"/>
  <c r="D2594" i="120" s="1"/>
  <c r="B452" i="120"/>
  <c r="B809" i="120" s="1"/>
  <c r="B1166" i="120" s="1"/>
  <c r="B1523" i="120" s="1"/>
  <c r="B1880" i="120" s="1"/>
  <c r="B2237" i="120" s="1"/>
  <c r="B2594" i="120" s="1"/>
  <c r="A452" i="120"/>
  <c r="A809" i="120" s="1"/>
  <c r="A1166" i="120" s="1"/>
  <c r="A1523" i="120" s="1"/>
  <c r="A1880" i="120" s="1"/>
  <c r="A2237" i="120" s="1"/>
  <c r="A2594" i="120" s="1"/>
  <c r="M94" i="120"/>
  <c r="O94" i="120" s="1"/>
  <c r="P94" i="120" s="1"/>
  <c r="E451" i="120"/>
  <c r="E808" i="120" s="1"/>
  <c r="E1165" i="120" s="1"/>
  <c r="E1522" i="120" s="1"/>
  <c r="E1879" i="120" s="1"/>
  <c r="E2236" i="120" s="1"/>
  <c r="E2593" i="120" s="1"/>
  <c r="D451" i="120"/>
  <c r="D808" i="120" s="1"/>
  <c r="D1165" i="120" s="1"/>
  <c r="D1522" i="120" s="1"/>
  <c r="D1879" i="120" s="1"/>
  <c r="D2236" i="120" s="1"/>
  <c r="D2593" i="120" s="1"/>
  <c r="B451" i="120"/>
  <c r="B808" i="120" s="1"/>
  <c r="B1165" i="120" s="1"/>
  <c r="B1522" i="120" s="1"/>
  <c r="B1879" i="120" s="1"/>
  <c r="B2236" i="120" s="1"/>
  <c r="B2593" i="120" s="1"/>
  <c r="A451" i="120"/>
  <c r="A808" i="120" s="1"/>
  <c r="A1165" i="120" s="1"/>
  <c r="A1522" i="120" s="1"/>
  <c r="A1879" i="120" s="1"/>
  <c r="A2236" i="120" s="1"/>
  <c r="A2593" i="120" s="1"/>
  <c r="M93" i="120"/>
  <c r="E450" i="120"/>
  <c r="E807" i="120" s="1"/>
  <c r="E1164" i="120" s="1"/>
  <c r="E1521" i="120" s="1"/>
  <c r="E1878" i="120" s="1"/>
  <c r="E2235" i="120" s="1"/>
  <c r="E2592" i="120" s="1"/>
  <c r="D450" i="120"/>
  <c r="D807" i="120" s="1"/>
  <c r="D1164" i="120" s="1"/>
  <c r="D1521" i="120" s="1"/>
  <c r="D1878" i="120" s="1"/>
  <c r="D2235" i="120" s="1"/>
  <c r="D2592" i="120" s="1"/>
  <c r="B450" i="120"/>
  <c r="B807" i="120" s="1"/>
  <c r="B1164" i="120" s="1"/>
  <c r="B1521" i="120" s="1"/>
  <c r="B1878" i="120" s="1"/>
  <c r="B2235" i="120" s="1"/>
  <c r="B2592" i="120" s="1"/>
  <c r="A450" i="120"/>
  <c r="A807" i="120" s="1"/>
  <c r="A1164" i="120" s="1"/>
  <c r="A1521" i="120" s="1"/>
  <c r="A1878" i="120" s="1"/>
  <c r="A2235" i="120" s="1"/>
  <c r="A2592" i="120" s="1"/>
  <c r="M92" i="120"/>
  <c r="O92" i="120" s="1"/>
  <c r="P92" i="120" s="1"/>
  <c r="E449" i="120"/>
  <c r="E806" i="120" s="1"/>
  <c r="E1163" i="120" s="1"/>
  <c r="E1520" i="120" s="1"/>
  <c r="E1877" i="120" s="1"/>
  <c r="E2234" i="120" s="1"/>
  <c r="E2591" i="120" s="1"/>
  <c r="D449" i="120"/>
  <c r="D806" i="120" s="1"/>
  <c r="D1163" i="120" s="1"/>
  <c r="D1520" i="120" s="1"/>
  <c r="D1877" i="120" s="1"/>
  <c r="D2234" i="120" s="1"/>
  <c r="D2591" i="120" s="1"/>
  <c r="B449" i="120"/>
  <c r="B806" i="120" s="1"/>
  <c r="B1163" i="120" s="1"/>
  <c r="B1520" i="120" s="1"/>
  <c r="B1877" i="120" s="1"/>
  <c r="B2234" i="120" s="1"/>
  <c r="B2591" i="120" s="1"/>
  <c r="A449" i="120"/>
  <c r="A806" i="120" s="1"/>
  <c r="A1163" i="120" s="1"/>
  <c r="A1520" i="120" s="1"/>
  <c r="A1877" i="120" s="1"/>
  <c r="A2234" i="120" s="1"/>
  <c r="A2591" i="120" s="1"/>
  <c r="M91" i="120"/>
  <c r="E448" i="120"/>
  <c r="E805" i="120" s="1"/>
  <c r="E1162" i="120" s="1"/>
  <c r="E1519" i="120" s="1"/>
  <c r="E1876" i="120" s="1"/>
  <c r="E2233" i="120" s="1"/>
  <c r="E2590" i="120" s="1"/>
  <c r="D448" i="120"/>
  <c r="D805" i="120" s="1"/>
  <c r="D1162" i="120" s="1"/>
  <c r="D1519" i="120" s="1"/>
  <c r="D1876" i="120" s="1"/>
  <c r="D2233" i="120" s="1"/>
  <c r="D2590" i="120" s="1"/>
  <c r="C448" i="120"/>
  <c r="C805" i="120" s="1"/>
  <c r="C1162" i="120" s="1"/>
  <c r="C1519" i="120" s="1"/>
  <c r="C1876" i="120" s="1"/>
  <c r="C2233" i="120" s="1"/>
  <c r="C2590" i="120" s="1"/>
  <c r="B448" i="120"/>
  <c r="B805" i="120" s="1"/>
  <c r="B1162" i="120" s="1"/>
  <c r="B1519" i="120" s="1"/>
  <c r="B1876" i="120" s="1"/>
  <c r="B2233" i="120" s="1"/>
  <c r="B2590" i="120" s="1"/>
  <c r="A448" i="120"/>
  <c r="A805" i="120" s="1"/>
  <c r="A1162" i="120" s="1"/>
  <c r="A1519" i="120" s="1"/>
  <c r="A1876" i="120" s="1"/>
  <c r="A2233" i="120" s="1"/>
  <c r="A2590" i="120" s="1"/>
  <c r="M90" i="120"/>
  <c r="E447" i="120"/>
  <c r="E804" i="120" s="1"/>
  <c r="E1161" i="120" s="1"/>
  <c r="E1518" i="120" s="1"/>
  <c r="E1875" i="120" s="1"/>
  <c r="E2232" i="120" s="1"/>
  <c r="E2589" i="120" s="1"/>
  <c r="D447" i="120"/>
  <c r="D804" i="120" s="1"/>
  <c r="D1161" i="120" s="1"/>
  <c r="D1518" i="120" s="1"/>
  <c r="D1875" i="120" s="1"/>
  <c r="D2232" i="120" s="1"/>
  <c r="D2589" i="120" s="1"/>
  <c r="C447" i="120"/>
  <c r="C804" i="120" s="1"/>
  <c r="C1161" i="120" s="1"/>
  <c r="C1518" i="120" s="1"/>
  <c r="C1875" i="120" s="1"/>
  <c r="C2232" i="120" s="1"/>
  <c r="C2589" i="120" s="1"/>
  <c r="B447" i="120"/>
  <c r="B804" i="120" s="1"/>
  <c r="B1161" i="120" s="1"/>
  <c r="B1518" i="120" s="1"/>
  <c r="B1875" i="120" s="1"/>
  <c r="B2232" i="120" s="1"/>
  <c r="B2589" i="120" s="1"/>
  <c r="A447" i="120"/>
  <c r="A804" i="120" s="1"/>
  <c r="A1161" i="120" s="1"/>
  <c r="A1518" i="120" s="1"/>
  <c r="A1875" i="120" s="1"/>
  <c r="A2232" i="120" s="1"/>
  <c r="A2589" i="120" s="1"/>
  <c r="M89" i="120"/>
  <c r="E446" i="120"/>
  <c r="E803" i="120" s="1"/>
  <c r="E1160" i="120" s="1"/>
  <c r="E1517" i="120" s="1"/>
  <c r="E1874" i="120" s="1"/>
  <c r="E2231" i="120" s="1"/>
  <c r="E2588" i="120" s="1"/>
  <c r="D446" i="120"/>
  <c r="D803" i="120" s="1"/>
  <c r="D1160" i="120" s="1"/>
  <c r="D1517" i="120" s="1"/>
  <c r="D1874" i="120" s="1"/>
  <c r="D2231" i="120" s="1"/>
  <c r="D2588" i="120" s="1"/>
  <c r="C446" i="120"/>
  <c r="C803" i="120" s="1"/>
  <c r="C1160" i="120" s="1"/>
  <c r="C1517" i="120" s="1"/>
  <c r="C1874" i="120" s="1"/>
  <c r="C2231" i="120" s="1"/>
  <c r="C2588" i="120" s="1"/>
  <c r="B446" i="120"/>
  <c r="B803" i="120" s="1"/>
  <c r="B1160" i="120" s="1"/>
  <c r="B1517" i="120" s="1"/>
  <c r="B1874" i="120" s="1"/>
  <c r="B2231" i="120" s="1"/>
  <c r="B2588" i="120" s="1"/>
  <c r="A446" i="120"/>
  <c r="A803" i="120" s="1"/>
  <c r="A1160" i="120" s="1"/>
  <c r="A1517" i="120" s="1"/>
  <c r="A1874" i="120" s="1"/>
  <c r="A2231" i="120" s="1"/>
  <c r="A2588" i="120" s="1"/>
  <c r="M88" i="120"/>
  <c r="E445" i="120"/>
  <c r="E802" i="120" s="1"/>
  <c r="E1159" i="120" s="1"/>
  <c r="E1516" i="120" s="1"/>
  <c r="E1873" i="120" s="1"/>
  <c r="E2230" i="120" s="1"/>
  <c r="E2587" i="120" s="1"/>
  <c r="D445" i="120"/>
  <c r="D802" i="120" s="1"/>
  <c r="D1159" i="120" s="1"/>
  <c r="D1516" i="120" s="1"/>
  <c r="D1873" i="120" s="1"/>
  <c r="D2230" i="120" s="1"/>
  <c r="D2587" i="120" s="1"/>
  <c r="C445" i="120"/>
  <c r="C802" i="120" s="1"/>
  <c r="C1159" i="120" s="1"/>
  <c r="C1516" i="120" s="1"/>
  <c r="C1873" i="120" s="1"/>
  <c r="C2230" i="120" s="1"/>
  <c r="C2587" i="120" s="1"/>
  <c r="B445" i="120"/>
  <c r="B802" i="120" s="1"/>
  <c r="B1159" i="120" s="1"/>
  <c r="B1516" i="120" s="1"/>
  <c r="B1873" i="120" s="1"/>
  <c r="B2230" i="120" s="1"/>
  <c r="B2587" i="120" s="1"/>
  <c r="A445" i="120"/>
  <c r="A802" i="120" s="1"/>
  <c r="A1159" i="120" s="1"/>
  <c r="A1516" i="120" s="1"/>
  <c r="A1873" i="120" s="1"/>
  <c r="A2230" i="120" s="1"/>
  <c r="A2587" i="120" s="1"/>
  <c r="M87" i="120"/>
  <c r="E444" i="120"/>
  <c r="E801" i="120" s="1"/>
  <c r="E1158" i="120" s="1"/>
  <c r="E1515" i="120" s="1"/>
  <c r="E1872" i="120" s="1"/>
  <c r="E2229" i="120" s="1"/>
  <c r="E2586" i="120" s="1"/>
  <c r="D444" i="120"/>
  <c r="D801" i="120" s="1"/>
  <c r="D1158" i="120" s="1"/>
  <c r="D1515" i="120" s="1"/>
  <c r="D1872" i="120" s="1"/>
  <c r="D2229" i="120" s="1"/>
  <c r="D2586" i="120" s="1"/>
  <c r="C444" i="120"/>
  <c r="C801" i="120" s="1"/>
  <c r="C1158" i="120" s="1"/>
  <c r="C1515" i="120" s="1"/>
  <c r="C1872" i="120" s="1"/>
  <c r="C2229" i="120" s="1"/>
  <c r="C2586" i="120" s="1"/>
  <c r="B444" i="120"/>
  <c r="B801" i="120" s="1"/>
  <c r="B1158" i="120" s="1"/>
  <c r="B1515" i="120" s="1"/>
  <c r="B1872" i="120" s="1"/>
  <c r="B2229" i="120" s="1"/>
  <c r="B2586" i="120" s="1"/>
  <c r="A444" i="120"/>
  <c r="A801" i="120" s="1"/>
  <c r="A1158" i="120" s="1"/>
  <c r="A1515" i="120" s="1"/>
  <c r="A1872" i="120" s="1"/>
  <c r="A2229" i="120" s="1"/>
  <c r="A2586" i="120" s="1"/>
  <c r="M86" i="120"/>
  <c r="E443" i="120"/>
  <c r="E800" i="120" s="1"/>
  <c r="E1157" i="120" s="1"/>
  <c r="E1514" i="120" s="1"/>
  <c r="E1871" i="120" s="1"/>
  <c r="E2228" i="120" s="1"/>
  <c r="E2585" i="120" s="1"/>
  <c r="D443" i="120"/>
  <c r="D800" i="120" s="1"/>
  <c r="D1157" i="120" s="1"/>
  <c r="D1514" i="120" s="1"/>
  <c r="D1871" i="120" s="1"/>
  <c r="D2228" i="120" s="1"/>
  <c r="D2585" i="120" s="1"/>
  <c r="C443" i="120"/>
  <c r="C800" i="120" s="1"/>
  <c r="C1157" i="120" s="1"/>
  <c r="C1514" i="120" s="1"/>
  <c r="C1871" i="120" s="1"/>
  <c r="C2228" i="120" s="1"/>
  <c r="C2585" i="120" s="1"/>
  <c r="B443" i="120"/>
  <c r="B800" i="120" s="1"/>
  <c r="B1157" i="120" s="1"/>
  <c r="B1514" i="120" s="1"/>
  <c r="B1871" i="120" s="1"/>
  <c r="B2228" i="120" s="1"/>
  <c r="B2585" i="120" s="1"/>
  <c r="A443" i="120"/>
  <c r="A800" i="120" s="1"/>
  <c r="A1157" i="120" s="1"/>
  <c r="A1514" i="120" s="1"/>
  <c r="A1871" i="120" s="1"/>
  <c r="A2228" i="120" s="1"/>
  <c r="A2585" i="120" s="1"/>
  <c r="M85" i="120"/>
  <c r="E442" i="120"/>
  <c r="E799" i="120" s="1"/>
  <c r="E1156" i="120" s="1"/>
  <c r="E1513" i="120" s="1"/>
  <c r="E1870" i="120" s="1"/>
  <c r="E2227" i="120" s="1"/>
  <c r="E2584" i="120" s="1"/>
  <c r="D442" i="120"/>
  <c r="D799" i="120" s="1"/>
  <c r="D1156" i="120" s="1"/>
  <c r="D1513" i="120" s="1"/>
  <c r="D1870" i="120" s="1"/>
  <c r="D2227" i="120" s="1"/>
  <c r="D2584" i="120" s="1"/>
  <c r="C442" i="120"/>
  <c r="C799" i="120" s="1"/>
  <c r="C1156" i="120" s="1"/>
  <c r="C1513" i="120" s="1"/>
  <c r="C1870" i="120" s="1"/>
  <c r="C2227" i="120" s="1"/>
  <c r="C2584" i="120" s="1"/>
  <c r="B442" i="120"/>
  <c r="B799" i="120" s="1"/>
  <c r="B1156" i="120" s="1"/>
  <c r="B1513" i="120" s="1"/>
  <c r="B1870" i="120" s="1"/>
  <c r="B2227" i="120" s="1"/>
  <c r="B2584" i="120" s="1"/>
  <c r="A442" i="120"/>
  <c r="A799" i="120" s="1"/>
  <c r="A1156" i="120" s="1"/>
  <c r="A1513" i="120" s="1"/>
  <c r="A1870" i="120" s="1"/>
  <c r="A2227" i="120" s="1"/>
  <c r="A2584" i="120" s="1"/>
  <c r="M84" i="120"/>
  <c r="E441" i="120"/>
  <c r="E798" i="120" s="1"/>
  <c r="E1155" i="120" s="1"/>
  <c r="E1512" i="120" s="1"/>
  <c r="E1869" i="120" s="1"/>
  <c r="E2226" i="120" s="1"/>
  <c r="E2583" i="120" s="1"/>
  <c r="B441" i="120"/>
  <c r="B798" i="120" s="1"/>
  <c r="B1155" i="120" s="1"/>
  <c r="B1512" i="120" s="1"/>
  <c r="B1869" i="120" s="1"/>
  <c r="B2226" i="120" s="1"/>
  <c r="B2583" i="120" s="1"/>
  <c r="A441" i="120"/>
  <c r="A798" i="120" s="1"/>
  <c r="A1155" i="120" s="1"/>
  <c r="A1512" i="120" s="1"/>
  <c r="A1869" i="120" s="1"/>
  <c r="A2226" i="120" s="1"/>
  <c r="A2583" i="120" s="1"/>
  <c r="M83" i="120"/>
  <c r="D440" i="120"/>
  <c r="D797" i="120" s="1"/>
  <c r="D1154" i="120" s="1"/>
  <c r="D1511" i="120" s="1"/>
  <c r="D1868" i="120" s="1"/>
  <c r="D2225" i="120" s="1"/>
  <c r="D2582" i="120" s="1"/>
  <c r="C440" i="120"/>
  <c r="C797" i="120" s="1"/>
  <c r="C1154" i="120" s="1"/>
  <c r="C1511" i="120" s="1"/>
  <c r="C1868" i="120" s="1"/>
  <c r="C2225" i="120" s="1"/>
  <c r="C2582" i="120" s="1"/>
  <c r="B440" i="120"/>
  <c r="B797" i="120" s="1"/>
  <c r="B1154" i="120" s="1"/>
  <c r="B1511" i="120" s="1"/>
  <c r="B1868" i="120" s="1"/>
  <c r="B2225" i="120" s="1"/>
  <c r="B2582" i="120" s="1"/>
  <c r="A440" i="120"/>
  <c r="A797" i="120" s="1"/>
  <c r="A1154" i="120" s="1"/>
  <c r="A1511" i="120" s="1"/>
  <c r="A1868" i="120" s="1"/>
  <c r="A2225" i="120" s="1"/>
  <c r="A2582" i="120" s="1"/>
  <c r="M82" i="120"/>
  <c r="E439" i="120"/>
  <c r="E796" i="120" s="1"/>
  <c r="E1153" i="120" s="1"/>
  <c r="E1510" i="120" s="1"/>
  <c r="E1867" i="120" s="1"/>
  <c r="E2224" i="120" s="1"/>
  <c r="E2581" i="120" s="1"/>
  <c r="B439" i="120"/>
  <c r="B796" i="120" s="1"/>
  <c r="B1153" i="120" s="1"/>
  <c r="B1510" i="120" s="1"/>
  <c r="B1867" i="120" s="1"/>
  <c r="B2224" i="120" s="1"/>
  <c r="B2581" i="120" s="1"/>
  <c r="A439" i="120"/>
  <c r="A796" i="120" s="1"/>
  <c r="A1153" i="120" s="1"/>
  <c r="A1510" i="120" s="1"/>
  <c r="A1867" i="120" s="1"/>
  <c r="A2224" i="120" s="1"/>
  <c r="A2581" i="120" s="1"/>
  <c r="M81" i="120"/>
  <c r="O81" i="120" s="1"/>
  <c r="P81" i="120" s="1"/>
  <c r="C438" i="120"/>
  <c r="C795" i="120" s="1"/>
  <c r="C1152" i="120" s="1"/>
  <c r="C1509" i="120" s="1"/>
  <c r="C1866" i="120" s="1"/>
  <c r="C2223" i="120" s="1"/>
  <c r="C2580" i="120" s="1"/>
  <c r="B438" i="120"/>
  <c r="B795" i="120" s="1"/>
  <c r="B1152" i="120" s="1"/>
  <c r="B1509" i="120" s="1"/>
  <c r="B1866" i="120" s="1"/>
  <c r="B2223" i="120" s="1"/>
  <c r="B2580" i="120" s="1"/>
  <c r="A438" i="120"/>
  <c r="A795" i="120" s="1"/>
  <c r="A1152" i="120" s="1"/>
  <c r="A1509" i="120" s="1"/>
  <c r="A1866" i="120" s="1"/>
  <c r="A2223" i="120" s="1"/>
  <c r="A2580" i="120" s="1"/>
  <c r="M80" i="120"/>
  <c r="O80" i="120" s="1"/>
  <c r="E437" i="120"/>
  <c r="E794" i="120" s="1"/>
  <c r="E1151" i="120" s="1"/>
  <c r="E1508" i="120" s="1"/>
  <c r="E1865" i="120" s="1"/>
  <c r="E2222" i="120" s="1"/>
  <c r="E2579" i="120" s="1"/>
  <c r="B437" i="120"/>
  <c r="B794" i="120" s="1"/>
  <c r="B1151" i="120" s="1"/>
  <c r="B1508" i="120" s="1"/>
  <c r="B1865" i="120" s="1"/>
  <c r="B2222" i="120" s="1"/>
  <c r="B2579" i="120" s="1"/>
  <c r="A437" i="120"/>
  <c r="A794" i="120" s="1"/>
  <c r="A1151" i="120" s="1"/>
  <c r="A1508" i="120" s="1"/>
  <c r="A1865" i="120" s="1"/>
  <c r="A2222" i="120" s="1"/>
  <c r="A2579" i="120" s="1"/>
  <c r="M79" i="120"/>
  <c r="E436" i="120"/>
  <c r="E793" i="120" s="1"/>
  <c r="E1150" i="120" s="1"/>
  <c r="E1507" i="120" s="1"/>
  <c r="E1864" i="120" s="1"/>
  <c r="E2221" i="120" s="1"/>
  <c r="E2578" i="120" s="1"/>
  <c r="B436" i="120"/>
  <c r="B793" i="120" s="1"/>
  <c r="B1150" i="120" s="1"/>
  <c r="B1507" i="120" s="1"/>
  <c r="B1864" i="120" s="1"/>
  <c r="B2221" i="120" s="1"/>
  <c r="B2578" i="120" s="1"/>
  <c r="A436" i="120"/>
  <c r="A793" i="120" s="1"/>
  <c r="A1150" i="120" s="1"/>
  <c r="A1507" i="120" s="1"/>
  <c r="A1864" i="120" s="1"/>
  <c r="A2221" i="120" s="1"/>
  <c r="A2578" i="120" s="1"/>
  <c r="M78" i="120"/>
  <c r="O78" i="120" s="1"/>
  <c r="B435" i="120"/>
  <c r="B792" i="120" s="1"/>
  <c r="B1149" i="120" s="1"/>
  <c r="B1506" i="120" s="1"/>
  <c r="B1863" i="120" s="1"/>
  <c r="B2220" i="120" s="1"/>
  <c r="B2577" i="120" s="1"/>
  <c r="A435" i="120"/>
  <c r="A792" i="120" s="1"/>
  <c r="A1149" i="120" s="1"/>
  <c r="A1506" i="120" s="1"/>
  <c r="A1863" i="120" s="1"/>
  <c r="A2220" i="120" s="1"/>
  <c r="A2577" i="120" s="1"/>
  <c r="M77" i="120"/>
  <c r="O77" i="120" s="1"/>
  <c r="P77" i="120" s="1"/>
  <c r="D434" i="120"/>
  <c r="D791" i="120" s="1"/>
  <c r="D1148" i="120" s="1"/>
  <c r="D1505" i="120" s="1"/>
  <c r="D1862" i="120" s="1"/>
  <c r="D2219" i="120" s="1"/>
  <c r="D2576" i="120" s="1"/>
  <c r="C434" i="120"/>
  <c r="C791" i="120" s="1"/>
  <c r="C1148" i="120" s="1"/>
  <c r="C1505" i="120" s="1"/>
  <c r="C1862" i="120" s="1"/>
  <c r="C2219" i="120" s="1"/>
  <c r="C2576" i="120" s="1"/>
  <c r="B434" i="120"/>
  <c r="B791" i="120" s="1"/>
  <c r="B1148" i="120" s="1"/>
  <c r="B1505" i="120" s="1"/>
  <c r="B1862" i="120" s="1"/>
  <c r="B2219" i="120" s="1"/>
  <c r="B2576" i="120" s="1"/>
  <c r="A434" i="120"/>
  <c r="A791" i="120" s="1"/>
  <c r="A1148" i="120" s="1"/>
  <c r="A1505" i="120" s="1"/>
  <c r="A1862" i="120" s="1"/>
  <c r="A2219" i="120" s="1"/>
  <c r="A2576" i="120" s="1"/>
  <c r="M76" i="120"/>
  <c r="O76" i="120" s="1"/>
  <c r="P76" i="120" s="1"/>
  <c r="E433" i="120"/>
  <c r="E790" i="120" s="1"/>
  <c r="E1147" i="120" s="1"/>
  <c r="E1504" i="120" s="1"/>
  <c r="E1861" i="120" s="1"/>
  <c r="E2218" i="120" s="1"/>
  <c r="E2575" i="120" s="1"/>
  <c r="B433" i="120"/>
  <c r="B790" i="120" s="1"/>
  <c r="B1147" i="120" s="1"/>
  <c r="B1504" i="120" s="1"/>
  <c r="B1861" i="120" s="1"/>
  <c r="B2218" i="120" s="1"/>
  <c r="B2575" i="120" s="1"/>
  <c r="A433" i="120"/>
  <c r="A790" i="120" s="1"/>
  <c r="A1147" i="120" s="1"/>
  <c r="A1504" i="120" s="1"/>
  <c r="A1861" i="120" s="1"/>
  <c r="A2218" i="120" s="1"/>
  <c r="A2575" i="120" s="1"/>
  <c r="M75" i="120"/>
  <c r="D432" i="120"/>
  <c r="D789" i="120" s="1"/>
  <c r="D1146" i="120" s="1"/>
  <c r="D1503" i="120" s="1"/>
  <c r="D1860" i="120" s="1"/>
  <c r="D2217" i="120" s="1"/>
  <c r="D2574" i="120" s="1"/>
  <c r="C432" i="120"/>
  <c r="C789" i="120" s="1"/>
  <c r="C1146" i="120" s="1"/>
  <c r="C1503" i="120" s="1"/>
  <c r="C1860" i="120" s="1"/>
  <c r="C2217" i="120" s="1"/>
  <c r="C2574" i="120" s="1"/>
  <c r="B432" i="120"/>
  <c r="B789" i="120" s="1"/>
  <c r="B1146" i="120" s="1"/>
  <c r="B1503" i="120" s="1"/>
  <c r="B1860" i="120" s="1"/>
  <c r="B2217" i="120" s="1"/>
  <c r="B2574" i="120" s="1"/>
  <c r="A432" i="120"/>
  <c r="A789" i="120" s="1"/>
  <c r="A1146" i="120" s="1"/>
  <c r="A1503" i="120" s="1"/>
  <c r="A1860" i="120" s="1"/>
  <c r="A2217" i="120" s="1"/>
  <c r="A2574" i="120" s="1"/>
  <c r="M74" i="120"/>
  <c r="E431" i="120"/>
  <c r="E788" i="120" s="1"/>
  <c r="E1145" i="120" s="1"/>
  <c r="E1502" i="120" s="1"/>
  <c r="E1859" i="120" s="1"/>
  <c r="E2216" i="120" s="1"/>
  <c r="E2573" i="120" s="1"/>
  <c r="D431" i="120"/>
  <c r="D788" i="120" s="1"/>
  <c r="D1145" i="120" s="1"/>
  <c r="D1502" i="120" s="1"/>
  <c r="D1859" i="120" s="1"/>
  <c r="D2216" i="120" s="1"/>
  <c r="D2573" i="120" s="1"/>
  <c r="C431" i="120"/>
  <c r="C788" i="120" s="1"/>
  <c r="C1145" i="120" s="1"/>
  <c r="C1502" i="120" s="1"/>
  <c r="C1859" i="120" s="1"/>
  <c r="C2216" i="120" s="1"/>
  <c r="C2573" i="120" s="1"/>
  <c r="B431" i="120"/>
  <c r="B788" i="120" s="1"/>
  <c r="B1145" i="120" s="1"/>
  <c r="B1502" i="120" s="1"/>
  <c r="B1859" i="120" s="1"/>
  <c r="B2216" i="120" s="1"/>
  <c r="B2573" i="120" s="1"/>
  <c r="A431" i="120"/>
  <c r="A788" i="120" s="1"/>
  <c r="A1145" i="120" s="1"/>
  <c r="A1502" i="120" s="1"/>
  <c r="A1859" i="120" s="1"/>
  <c r="A2216" i="120" s="1"/>
  <c r="A2573" i="120" s="1"/>
  <c r="M73" i="120"/>
  <c r="E430" i="120"/>
  <c r="E787" i="120" s="1"/>
  <c r="E1144" i="120" s="1"/>
  <c r="E1501" i="120" s="1"/>
  <c r="E1858" i="120" s="1"/>
  <c r="E2215" i="120" s="1"/>
  <c r="E2572" i="120" s="1"/>
  <c r="B430" i="120"/>
  <c r="B787" i="120" s="1"/>
  <c r="B1144" i="120" s="1"/>
  <c r="B1501" i="120" s="1"/>
  <c r="B1858" i="120" s="1"/>
  <c r="B2215" i="120" s="1"/>
  <c r="B2572" i="120" s="1"/>
  <c r="A430" i="120"/>
  <c r="A787" i="120" s="1"/>
  <c r="A1144" i="120" s="1"/>
  <c r="A1501" i="120" s="1"/>
  <c r="A1858" i="120" s="1"/>
  <c r="A2215" i="120" s="1"/>
  <c r="A2572" i="120" s="1"/>
  <c r="M72" i="120"/>
  <c r="D429" i="120"/>
  <c r="D786" i="120" s="1"/>
  <c r="D1143" i="120" s="1"/>
  <c r="D1500" i="120" s="1"/>
  <c r="D1857" i="120" s="1"/>
  <c r="D2214" i="120" s="1"/>
  <c r="D2571" i="120" s="1"/>
  <c r="C429" i="120"/>
  <c r="C786" i="120" s="1"/>
  <c r="C1143" i="120" s="1"/>
  <c r="C1500" i="120" s="1"/>
  <c r="C1857" i="120" s="1"/>
  <c r="C2214" i="120" s="1"/>
  <c r="C2571" i="120" s="1"/>
  <c r="B429" i="120"/>
  <c r="B786" i="120" s="1"/>
  <c r="B1143" i="120" s="1"/>
  <c r="B1500" i="120" s="1"/>
  <c r="B1857" i="120" s="1"/>
  <c r="B2214" i="120" s="1"/>
  <c r="B2571" i="120" s="1"/>
  <c r="A429" i="120"/>
  <c r="A786" i="120" s="1"/>
  <c r="A1143" i="120" s="1"/>
  <c r="A1500" i="120" s="1"/>
  <c r="A1857" i="120" s="1"/>
  <c r="A2214" i="120" s="1"/>
  <c r="A2571" i="120" s="1"/>
  <c r="M71" i="120"/>
  <c r="E428" i="120"/>
  <c r="E785" i="120" s="1"/>
  <c r="E1142" i="120" s="1"/>
  <c r="E1499" i="120" s="1"/>
  <c r="E1856" i="120" s="1"/>
  <c r="E2213" i="120" s="1"/>
  <c r="E2570" i="120" s="1"/>
  <c r="B428" i="120"/>
  <c r="B785" i="120" s="1"/>
  <c r="B1142" i="120" s="1"/>
  <c r="B1499" i="120" s="1"/>
  <c r="B1856" i="120" s="1"/>
  <c r="B2213" i="120" s="1"/>
  <c r="B2570" i="120" s="1"/>
  <c r="A428" i="120"/>
  <c r="A785" i="120" s="1"/>
  <c r="A1142" i="120" s="1"/>
  <c r="A1499" i="120" s="1"/>
  <c r="A1856" i="120" s="1"/>
  <c r="A2213" i="120" s="1"/>
  <c r="A2570" i="120" s="1"/>
  <c r="M70" i="120"/>
  <c r="D427" i="120"/>
  <c r="D784" i="120" s="1"/>
  <c r="D1141" i="120" s="1"/>
  <c r="D1498" i="120" s="1"/>
  <c r="D1855" i="120" s="1"/>
  <c r="D2212" i="120" s="1"/>
  <c r="D2569" i="120" s="1"/>
  <c r="C427" i="120"/>
  <c r="C784" i="120" s="1"/>
  <c r="C1141" i="120" s="1"/>
  <c r="C1498" i="120" s="1"/>
  <c r="C1855" i="120" s="1"/>
  <c r="C2212" i="120" s="1"/>
  <c r="C2569" i="120" s="1"/>
  <c r="B427" i="120"/>
  <c r="B784" i="120" s="1"/>
  <c r="B1141" i="120" s="1"/>
  <c r="B1498" i="120" s="1"/>
  <c r="B1855" i="120" s="1"/>
  <c r="B2212" i="120" s="1"/>
  <c r="B2569" i="120" s="1"/>
  <c r="A427" i="120"/>
  <c r="A784" i="120" s="1"/>
  <c r="A1141" i="120" s="1"/>
  <c r="A1498" i="120" s="1"/>
  <c r="A1855" i="120" s="1"/>
  <c r="A2212" i="120" s="1"/>
  <c r="A2569" i="120" s="1"/>
  <c r="M69" i="120"/>
  <c r="E426" i="120"/>
  <c r="E783" i="120" s="1"/>
  <c r="E1140" i="120" s="1"/>
  <c r="E1497" i="120" s="1"/>
  <c r="E1854" i="120" s="1"/>
  <c r="E2211" i="120" s="1"/>
  <c r="E2568" i="120" s="1"/>
  <c r="B426" i="120"/>
  <c r="B783" i="120" s="1"/>
  <c r="B1140" i="120" s="1"/>
  <c r="B1497" i="120" s="1"/>
  <c r="B1854" i="120" s="1"/>
  <c r="B2211" i="120" s="1"/>
  <c r="B2568" i="120" s="1"/>
  <c r="A426" i="120"/>
  <c r="A783" i="120" s="1"/>
  <c r="A1140" i="120" s="1"/>
  <c r="A1497" i="120" s="1"/>
  <c r="A1854" i="120" s="1"/>
  <c r="A2211" i="120" s="1"/>
  <c r="A2568" i="120" s="1"/>
  <c r="M68" i="120"/>
  <c r="O68" i="120" s="1"/>
  <c r="P68" i="120" s="1"/>
  <c r="E425" i="120"/>
  <c r="E782" i="120" s="1"/>
  <c r="E1139" i="120" s="1"/>
  <c r="E1496" i="120" s="1"/>
  <c r="E1853" i="120" s="1"/>
  <c r="E2210" i="120" s="1"/>
  <c r="E2567" i="120" s="1"/>
  <c r="B425" i="120"/>
  <c r="B782" i="120" s="1"/>
  <c r="B1139" i="120" s="1"/>
  <c r="B1496" i="120" s="1"/>
  <c r="B1853" i="120" s="1"/>
  <c r="B2210" i="120" s="1"/>
  <c r="B2567" i="120" s="1"/>
  <c r="A425" i="120"/>
  <c r="A782" i="120" s="1"/>
  <c r="A1139" i="120" s="1"/>
  <c r="A1496" i="120" s="1"/>
  <c r="A1853" i="120" s="1"/>
  <c r="A2210" i="120" s="1"/>
  <c r="A2567" i="120" s="1"/>
  <c r="M67" i="120"/>
  <c r="O67" i="120" s="1"/>
  <c r="D424" i="120"/>
  <c r="D781" i="120" s="1"/>
  <c r="D1138" i="120" s="1"/>
  <c r="D1495" i="120" s="1"/>
  <c r="D1852" i="120" s="1"/>
  <c r="D2209" i="120" s="1"/>
  <c r="D2566" i="120" s="1"/>
  <c r="C424" i="120"/>
  <c r="C781" i="120" s="1"/>
  <c r="C1138" i="120" s="1"/>
  <c r="C1495" i="120" s="1"/>
  <c r="C1852" i="120" s="1"/>
  <c r="C2209" i="120" s="1"/>
  <c r="C2566" i="120" s="1"/>
  <c r="B424" i="120"/>
  <c r="B781" i="120" s="1"/>
  <c r="B1138" i="120" s="1"/>
  <c r="B1495" i="120" s="1"/>
  <c r="B1852" i="120" s="1"/>
  <c r="B2209" i="120" s="1"/>
  <c r="B2566" i="120" s="1"/>
  <c r="A424" i="120"/>
  <c r="A781" i="120" s="1"/>
  <c r="A1138" i="120" s="1"/>
  <c r="A1495" i="120" s="1"/>
  <c r="A1852" i="120" s="1"/>
  <c r="A2209" i="120" s="1"/>
  <c r="A2566" i="120" s="1"/>
  <c r="M66" i="120"/>
  <c r="E423" i="120"/>
  <c r="E780" i="120" s="1"/>
  <c r="E1137" i="120" s="1"/>
  <c r="E1494" i="120" s="1"/>
  <c r="E1851" i="120" s="1"/>
  <c r="E2208" i="120" s="1"/>
  <c r="E2565" i="120" s="1"/>
  <c r="B423" i="120"/>
  <c r="B780" i="120" s="1"/>
  <c r="B1137" i="120" s="1"/>
  <c r="B1494" i="120" s="1"/>
  <c r="B1851" i="120" s="1"/>
  <c r="B2208" i="120" s="1"/>
  <c r="B2565" i="120" s="1"/>
  <c r="A423" i="120"/>
  <c r="A780" i="120" s="1"/>
  <c r="A1137" i="120" s="1"/>
  <c r="A1494" i="120" s="1"/>
  <c r="A1851" i="120" s="1"/>
  <c r="A2208" i="120" s="1"/>
  <c r="A2565" i="120" s="1"/>
  <c r="M65" i="120"/>
  <c r="E422" i="120"/>
  <c r="E779" i="120" s="1"/>
  <c r="E1136" i="120" s="1"/>
  <c r="E1493" i="120" s="1"/>
  <c r="E1850" i="120" s="1"/>
  <c r="E2207" i="120" s="1"/>
  <c r="E2564" i="120" s="1"/>
  <c r="B422" i="120"/>
  <c r="B779" i="120" s="1"/>
  <c r="B1136" i="120" s="1"/>
  <c r="B1493" i="120" s="1"/>
  <c r="B1850" i="120" s="1"/>
  <c r="B2207" i="120" s="1"/>
  <c r="B2564" i="120" s="1"/>
  <c r="M64" i="120"/>
  <c r="E421" i="120"/>
  <c r="E778" i="120" s="1"/>
  <c r="E1135" i="120" s="1"/>
  <c r="E1492" i="120" s="1"/>
  <c r="E1849" i="120" s="1"/>
  <c r="E2206" i="120" s="1"/>
  <c r="E2563" i="120" s="1"/>
  <c r="B421" i="120"/>
  <c r="B778" i="120" s="1"/>
  <c r="B1135" i="120" s="1"/>
  <c r="B1492" i="120" s="1"/>
  <c r="B1849" i="120" s="1"/>
  <c r="B2206" i="120" s="1"/>
  <c r="B2563" i="120" s="1"/>
  <c r="A421" i="120"/>
  <c r="A778" i="120" s="1"/>
  <c r="A1135" i="120" s="1"/>
  <c r="A1492" i="120" s="1"/>
  <c r="A1849" i="120" s="1"/>
  <c r="A2206" i="120" s="1"/>
  <c r="A2563" i="120" s="1"/>
  <c r="M63" i="120"/>
  <c r="E420" i="120"/>
  <c r="E777" i="120" s="1"/>
  <c r="E1134" i="120" s="1"/>
  <c r="E1491" i="120" s="1"/>
  <c r="E1848" i="120" s="1"/>
  <c r="E2205" i="120" s="1"/>
  <c r="E2562" i="120" s="1"/>
  <c r="D420" i="120"/>
  <c r="D777" i="120" s="1"/>
  <c r="D1134" i="120" s="1"/>
  <c r="D1491" i="120" s="1"/>
  <c r="D1848" i="120" s="1"/>
  <c r="D2205" i="120" s="1"/>
  <c r="D2562" i="120" s="1"/>
  <c r="C420" i="120"/>
  <c r="C777" i="120" s="1"/>
  <c r="C1134" i="120" s="1"/>
  <c r="C1491" i="120" s="1"/>
  <c r="C1848" i="120" s="1"/>
  <c r="C2205" i="120" s="1"/>
  <c r="C2562" i="120" s="1"/>
  <c r="B420" i="120"/>
  <c r="B777" i="120" s="1"/>
  <c r="B1134" i="120" s="1"/>
  <c r="B1491" i="120" s="1"/>
  <c r="B1848" i="120" s="1"/>
  <c r="B2205" i="120" s="1"/>
  <c r="B2562" i="120" s="1"/>
  <c r="A420" i="120"/>
  <c r="A777" i="120" s="1"/>
  <c r="A1134" i="120" s="1"/>
  <c r="A1491" i="120" s="1"/>
  <c r="A1848" i="120" s="1"/>
  <c r="A2205" i="120" s="1"/>
  <c r="A2562" i="120" s="1"/>
  <c r="M62" i="120"/>
  <c r="E419" i="120"/>
  <c r="E776" i="120" s="1"/>
  <c r="E1133" i="120" s="1"/>
  <c r="E1490" i="120" s="1"/>
  <c r="E1847" i="120" s="1"/>
  <c r="E2204" i="120" s="1"/>
  <c r="E2561" i="120" s="1"/>
  <c r="B419" i="120"/>
  <c r="B776" i="120" s="1"/>
  <c r="B1133" i="120" s="1"/>
  <c r="B1490" i="120" s="1"/>
  <c r="B1847" i="120" s="1"/>
  <c r="B2204" i="120" s="1"/>
  <c r="B2561" i="120" s="1"/>
  <c r="A419" i="120"/>
  <c r="A776" i="120" s="1"/>
  <c r="A1133" i="120" s="1"/>
  <c r="A1490" i="120" s="1"/>
  <c r="A1847" i="120" s="1"/>
  <c r="A2204" i="120" s="1"/>
  <c r="A2561" i="120" s="1"/>
  <c r="M61" i="120"/>
  <c r="O61" i="120" s="1"/>
  <c r="P61" i="120" s="1"/>
  <c r="D418" i="120"/>
  <c r="D775" i="120" s="1"/>
  <c r="D1132" i="120" s="1"/>
  <c r="D1489" i="120" s="1"/>
  <c r="D1846" i="120" s="1"/>
  <c r="D2203" i="120" s="1"/>
  <c r="D2560" i="120" s="1"/>
  <c r="C418" i="120"/>
  <c r="C775" i="120" s="1"/>
  <c r="C1132" i="120" s="1"/>
  <c r="C1489" i="120" s="1"/>
  <c r="C1846" i="120" s="1"/>
  <c r="C2203" i="120" s="1"/>
  <c r="C2560" i="120" s="1"/>
  <c r="B418" i="120"/>
  <c r="B775" i="120" s="1"/>
  <c r="B1132" i="120" s="1"/>
  <c r="B1489" i="120" s="1"/>
  <c r="B1846" i="120" s="1"/>
  <c r="B2203" i="120" s="1"/>
  <c r="B2560" i="120" s="1"/>
  <c r="A418" i="120"/>
  <c r="A775" i="120" s="1"/>
  <c r="A1132" i="120" s="1"/>
  <c r="A1489" i="120" s="1"/>
  <c r="A1846" i="120" s="1"/>
  <c r="A2203" i="120" s="1"/>
  <c r="A2560" i="120" s="1"/>
  <c r="M60" i="120"/>
  <c r="E417" i="120"/>
  <c r="E774" i="120" s="1"/>
  <c r="E1131" i="120" s="1"/>
  <c r="E1488" i="120" s="1"/>
  <c r="E1845" i="120" s="1"/>
  <c r="E2202" i="120" s="1"/>
  <c r="E2559" i="120" s="1"/>
  <c r="B417" i="120"/>
  <c r="B774" i="120" s="1"/>
  <c r="B1131" i="120" s="1"/>
  <c r="B1488" i="120" s="1"/>
  <c r="B1845" i="120" s="1"/>
  <c r="B2202" i="120" s="1"/>
  <c r="B2559" i="120" s="1"/>
  <c r="A417" i="120"/>
  <c r="A774" i="120" s="1"/>
  <c r="A1131" i="120" s="1"/>
  <c r="A1488" i="120" s="1"/>
  <c r="A1845" i="120" s="1"/>
  <c r="A2202" i="120" s="1"/>
  <c r="A2559" i="120" s="1"/>
  <c r="M59" i="120"/>
  <c r="E416" i="120"/>
  <c r="E773" i="120" s="1"/>
  <c r="E1130" i="120" s="1"/>
  <c r="E1487" i="120" s="1"/>
  <c r="E1844" i="120" s="1"/>
  <c r="E2201" i="120" s="1"/>
  <c r="E2558" i="120" s="1"/>
  <c r="B416" i="120"/>
  <c r="B773" i="120" s="1"/>
  <c r="B1130" i="120" s="1"/>
  <c r="B1487" i="120" s="1"/>
  <c r="B1844" i="120" s="1"/>
  <c r="B2201" i="120" s="1"/>
  <c r="B2558" i="120" s="1"/>
  <c r="A416" i="120"/>
  <c r="A773" i="120" s="1"/>
  <c r="A1130" i="120" s="1"/>
  <c r="A1487" i="120" s="1"/>
  <c r="A1844" i="120" s="1"/>
  <c r="A2201" i="120" s="1"/>
  <c r="A2558" i="120" s="1"/>
  <c r="M58" i="120"/>
  <c r="E415" i="120"/>
  <c r="E772" i="120" s="1"/>
  <c r="E1129" i="120" s="1"/>
  <c r="E1486" i="120" s="1"/>
  <c r="E1843" i="120" s="1"/>
  <c r="E2200" i="120" s="1"/>
  <c r="E2557" i="120" s="1"/>
  <c r="B415" i="120"/>
  <c r="B772" i="120" s="1"/>
  <c r="B1129" i="120" s="1"/>
  <c r="B1486" i="120" s="1"/>
  <c r="B1843" i="120" s="1"/>
  <c r="B2200" i="120" s="1"/>
  <c r="B2557" i="120" s="1"/>
  <c r="A415" i="120"/>
  <c r="A772" i="120" s="1"/>
  <c r="A1129" i="120" s="1"/>
  <c r="A1486" i="120" s="1"/>
  <c r="A1843" i="120" s="1"/>
  <c r="A2200" i="120" s="1"/>
  <c r="A2557" i="120" s="1"/>
  <c r="M57" i="120"/>
  <c r="O57" i="120" s="1"/>
  <c r="P57" i="120" s="1"/>
  <c r="E414" i="120"/>
  <c r="E771" i="120" s="1"/>
  <c r="E1128" i="120" s="1"/>
  <c r="E1485" i="120" s="1"/>
  <c r="E1842" i="120" s="1"/>
  <c r="E2199" i="120" s="1"/>
  <c r="E2556" i="120" s="1"/>
  <c r="D414" i="120"/>
  <c r="D771" i="120" s="1"/>
  <c r="D1128" i="120" s="1"/>
  <c r="D1485" i="120" s="1"/>
  <c r="D1842" i="120" s="1"/>
  <c r="D2199" i="120" s="1"/>
  <c r="D2556" i="120" s="1"/>
  <c r="C414" i="120"/>
  <c r="C771" i="120" s="1"/>
  <c r="C1128" i="120" s="1"/>
  <c r="C1485" i="120" s="1"/>
  <c r="C1842" i="120" s="1"/>
  <c r="C2199" i="120" s="1"/>
  <c r="C2556" i="120" s="1"/>
  <c r="B414" i="120"/>
  <c r="B771" i="120" s="1"/>
  <c r="B1128" i="120" s="1"/>
  <c r="B1485" i="120" s="1"/>
  <c r="B1842" i="120" s="1"/>
  <c r="B2199" i="120" s="1"/>
  <c r="B2556" i="120" s="1"/>
  <c r="A414" i="120"/>
  <c r="A771" i="120" s="1"/>
  <c r="A1128" i="120" s="1"/>
  <c r="A1485" i="120" s="1"/>
  <c r="A1842" i="120" s="1"/>
  <c r="A2199" i="120" s="1"/>
  <c r="A2556" i="120" s="1"/>
  <c r="M56" i="120"/>
  <c r="O56" i="120" s="1"/>
  <c r="E413" i="120"/>
  <c r="E770" i="120" s="1"/>
  <c r="E1127" i="120" s="1"/>
  <c r="E1484" i="120" s="1"/>
  <c r="E1841" i="120" s="1"/>
  <c r="E2198" i="120" s="1"/>
  <c r="E2555" i="120" s="1"/>
  <c r="B413" i="120"/>
  <c r="B770" i="120" s="1"/>
  <c r="B1127" i="120" s="1"/>
  <c r="B1484" i="120" s="1"/>
  <c r="B1841" i="120" s="1"/>
  <c r="B2198" i="120" s="1"/>
  <c r="B2555" i="120" s="1"/>
  <c r="A413" i="120"/>
  <c r="A770" i="120" s="1"/>
  <c r="A1127" i="120" s="1"/>
  <c r="A1484" i="120" s="1"/>
  <c r="A1841" i="120" s="1"/>
  <c r="A2198" i="120" s="1"/>
  <c r="A2555" i="120" s="1"/>
  <c r="M55" i="120"/>
  <c r="D412" i="120"/>
  <c r="D769" i="120" s="1"/>
  <c r="D1126" i="120" s="1"/>
  <c r="D1483" i="120" s="1"/>
  <c r="D1840" i="120" s="1"/>
  <c r="D2197" i="120" s="1"/>
  <c r="D2554" i="120" s="1"/>
  <c r="C412" i="120"/>
  <c r="C769" i="120" s="1"/>
  <c r="C1126" i="120" s="1"/>
  <c r="C1483" i="120" s="1"/>
  <c r="C1840" i="120" s="1"/>
  <c r="C2197" i="120" s="1"/>
  <c r="C2554" i="120" s="1"/>
  <c r="B412" i="120"/>
  <c r="B769" i="120" s="1"/>
  <c r="B1126" i="120" s="1"/>
  <c r="B1483" i="120" s="1"/>
  <c r="B1840" i="120" s="1"/>
  <c r="B2197" i="120" s="1"/>
  <c r="B2554" i="120" s="1"/>
  <c r="A412" i="120"/>
  <c r="A769" i="120" s="1"/>
  <c r="A1126" i="120" s="1"/>
  <c r="A1483" i="120" s="1"/>
  <c r="A1840" i="120" s="1"/>
  <c r="A2197" i="120" s="1"/>
  <c r="A2554" i="120" s="1"/>
  <c r="M54" i="120"/>
  <c r="E411" i="120"/>
  <c r="E768" i="120" s="1"/>
  <c r="E1125" i="120" s="1"/>
  <c r="E1482" i="120" s="1"/>
  <c r="E1839" i="120" s="1"/>
  <c r="E2196" i="120" s="1"/>
  <c r="E2553" i="120" s="1"/>
  <c r="B411" i="120"/>
  <c r="B768" i="120" s="1"/>
  <c r="B1125" i="120" s="1"/>
  <c r="B1482" i="120" s="1"/>
  <c r="B1839" i="120" s="1"/>
  <c r="B2196" i="120" s="1"/>
  <c r="B2553" i="120" s="1"/>
  <c r="A411" i="120"/>
  <c r="A768" i="120" s="1"/>
  <c r="A1125" i="120" s="1"/>
  <c r="A1482" i="120" s="1"/>
  <c r="A1839" i="120" s="1"/>
  <c r="A2196" i="120" s="1"/>
  <c r="A2553" i="120" s="1"/>
  <c r="M53" i="120"/>
  <c r="O53" i="120" s="1"/>
  <c r="P53" i="120" s="1"/>
  <c r="E410" i="120"/>
  <c r="E767" i="120" s="1"/>
  <c r="E1124" i="120" s="1"/>
  <c r="E1481" i="120" s="1"/>
  <c r="E1838" i="120" s="1"/>
  <c r="E2195" i="120" s="1"/>
  <c r="E2552" i="120" s="1"/>
  <c r="B410" i="120"/>
  <c r="B767" i="120" s="1"/>
  <c r="B1124" i="120" s="1"/>
  <c r="B1481" i="120" s="1"/>
  <c r="B1838" i="120" s="1"/>
  <c r="B2195" i="120" s="1"/>
  <c r="B2552" i="120" s="1"/>
  <c r="A410" i="120"/>
  <c r="A767" i="120" s="1"/>
  <c r="A1124" i="120" s="1"/>
  <c r="A1481" i="120" s="1"/>
  <c r="A1838" i="120" s="1"/>
  <c r="A2195" i="120" s="1"/>
  <c r="A2552" i="120" s="1"/>
  <c r="M52" i="120"/>
  <c r="O52" i="120" s="1"/>
  <c r="E409" i="120"/>
  <c r="E766" i="120" s="1"/>
  <c r="E1123" i="120" s="1"/>
  <c r="E1480" i="120" s="1"/>
  <c r="E1837" i="120" s="1"/>
  <c r="E2194" i="120" s="1"/>
  <c r="E2551" i="120" s="1"/>
  <c r="B409" i="120"/>
  <c r="B766" i="120" s="1"/>
  <c r="B1123" i="120" s="1"/>
  <c r="B1480" i="120" s="1"/>
  <c r="B1837" i="120" s="1"/>
  <c r="B2194" i="120" s="1"/>
  <c r="B2551" i="120" s="1"/>
  <c r="A409" i="120"/>
  <c r="A766" i="120" s="1"/>
  <c r="A1123" i="120" s="1"/>
  <c r="A1480" i="120" s="1"/>
  <c r="A1837" i="120" s="1"/>
  <c r="A2194" i="120" s="1"/>
  <c r="A2551" i="120" s="1"/>
  <c r="M51" i="120"/>
  <c r="D408" i="120"/>
  <c r="D765" i="120" s="1"/>
  <c r="D1122" i="120" s="1"/>
  <c r="D1479" i="120" s="1"/>
  <c r="D1836" i="120" s="1"/>
  <c r="D2193" i="120" s="1"/>
  <c r="D2550" i="120" s="1"/>
  <c r="C408" i="120"/>
  <c r="C765" i="120" s="1"/>
  <c r="C1122" i="120" s="1"/>
  <c r="C1479" i="120" s="1"/>
  <c r="C1836" i="120" s="1"/>
  <c r="C2193" i="120" s="1"/>
  <c r="C2550" i="120" s="1"/>
  <c r="B408" i="120"/>
  <c r="B765" i="120" s="1"/>
  <c r="B1122" i="120" s="1"/>
  <c r="B1479" i="120" s="1"/>
  <c r="B1836" i="120" s="1"/>
  <c r="B2193" i="120" s="1"/>
  <c r="B2550" i="120" s="1"/>
  <c r="A408" i="120"/>
  <c r="A765" i="120" s="1"/>
  <c r="A1122" i="120" s="1"/>
  <c r="A1479" i="120" s="1"/>
  <c r="A1836" i="120" s="1"/>
  <c r="A2193" i="120" s="1"/>
  <c r="A2550" i="120" s="1"/>
  <c r="M50" i="120"/>
  <c r="E407" i="120"/>
  <c r="E764" i="120" s="1"/>
  <c r="E1121" i="120" s="1"/>
  <c r="E1478" i="120" s="1"/>
  <c r="E1835" i="120" s="1"/>
  <c r="E2192" i="120" s="1"/>
  <c r="E2549" i="120" s="1"/>
  <c r="B407" i="120"/>
  <c r="B764" i="120" s="1"/>
  <c r="B1121" i="120" s="1"/>
  <c r="B1478" i="120" s="1"/>
  <c r="B1835" i="120" s="1"/>
  <c r="B2192" i="120" s="1"/>
  <c r="B2549" i="120" s="1"/>
  <c r="A407" i="120"/>
  <c r="A764" i="120" s="1"/>
  <c r="A1121" i="120" s="1"/>
  <c r="A1478" i="120" s="1"/>
  <c r="A1835" i="120" s="1"/>
  <c r="A2192" i="120" s="1"/>
  <c r="A2549" i="120" s="1"/>
  <c r="M49" i="120"/>
  <c r="E406" i="120"/>
  <c r="E763" i="120" s="1"/>
  <c r="E1120" i="120" s="1"/>
  <c r="E1477" i="120" s="1"/>
  <c r="E1834" i="120" s="1"/>
  <c r="E2191" i="120" s="1"/>
  <c r="E2548" i="120" s="1"/>
  <c r="B406" i="120"/>
  <c r="B763" i="120" s="1"/>
  <c r="B1120" i="120" s="1"/>
  <c r="B1477" i="120" s="1"/>
  <c r="B1834" i="120" s="1"/>
  <c r="B2191" i="120" s="1"/>
  <c r="B2548" i="120" s="1"/>
  <c r="A406" i="120"/>
  <c r="A763" i="120" s="1"/>
  <c r="A1120" i="120" s="1"/>
  <c r="A1477" i="120" s="1"/>
  <c r="A1834" i="120" s="1"/>
  <c r="A2191" i="120" s="1"/>
  <c r="A2548" i="120" s="1"/>
  <c r="M48" i="120"/>
  <c r="E405" i="120"/>
  <c r="E762" i="120" s="1"/>
  <c r="E1119" i="120" s="1"/>
  <c r="E1476" i="120" s="1"/>
  <c r="E1833" i="120" s="1"/>
  <c r="E2190" i="120" s="1"/>
  <c r="E2547" i="120" s="1"/>
  <c r="B405" i="120"/>
  <c r="B762" i="120" s="1"/>
  <c r="B1119" i="120" s="1"/>
  <c r="B1476" i="120" s="1"/>
  <c r="B1833" i="120" s="1"/>
  <c r="B2190" i="120" s="1"/>
  <c r="B2547" i="120" s="1"/>
  <c r="A405" i="120"/>
  <c r="A762" i="120" s="1"/>
  <c r="A1119" i="120" s="1"/>
  <c r="A1476" i="120" s="1"/>
  <c r="A1833" i="120" s="1"/>
  <c r="A2190" i="120" s="1"/>
  <c r="A2547" i="120" s="1"/>
  <c r="M47" i="120"/>
  <c r="D404" i="120"/>
  <c r="D761" i="120" s="1"/>
  <c r="D1118" i="120" s="1"/>
  <c r="D1475" i="120" s="1"/>
  <c r="D1832" i="120" s="1"/>
  <c r="D2189" i="120" s="1"/>
  <c r="D2546" i="120" s="1"/>
  <c r="C404" i="120"/>
  <c r="C761" i="120" s="1"/>
  <c r="C1118" i="120" s="1"/>
  <c r="C1475" i="120" s="1"/>
  <c r="C1832" i="120" s="1"/>
  <c r="C2189" i="120" s="1"/>
  <c r="C2546" i="120" s="1"/>
  <c r="B404" i="120"/>
  <c r="B761" i="120" s="1"/>
  <c r="B1118" i="120" s="1"/>
  <c r="B1475" i="120" s="1"/>
  <c r="B1832" i="120" s="1"/>
  <c r="B2189" i="120" s="1"/>
  <c r="B2546" i="120" s="1"/>
  <c r="A404" i="120"/>
  <c r="A761" i="120" s="1"/>
  <c r="A1118" i="120" s="1"/>
  <c r="A1475" i="120" s="1"/>
  <c r="A1832" i="120" s="1"/>
  <c r="A2189" i="120" s="1"/>
  <c r="A2546" i="120" s="1"/>
  <c r="M46" i="120"/>
  <c r="E403" i="120"/>
  <c r="E760" i="120" s="1"/>
  <c r="E1117" i="120" s="1"/>
  <c r="E1474" i="120" s="1"/>
  <c r="E1831" i="120" s="1"/>
  <c r="E2188" i="120" s="1"/>
  <c r="E2545" i="120" s="1"/>
  <c r="B403" i="120"/>
  <c r="B760" i="120" s="1"/>
  <c r="B1117" i="120" s="1"/>
  <c r="B1474" i="120" s="1"/>
  <c r="B1831" i="120" s="1"/>
  <c r="B2188" i="120" s="1"/>
  <c r="B2545" i="120" s="1"/>
  <c r="A403" i="120"/>
  <c r="A760" i="120" s="1"/>
  <c r="A1117" i="120" s="1"/>
  <c r="A1474" i="120" s="1"/>
  <c r="A1831" i="120" s="1"/>
  <c r="A2188" i="120" s="1"/>
  <c r="A2545" i="120" s="1"/>
  <c r="O45" i="120"/>
  <c r="P45" i="120" s="1"/>
  <c r="M45" i="120"/>
  <c r="E402" i="120"/>
  <c r="E759" i="120" s="1"/>
  <c r="E1116" i="120" s="1"/>
  <c r="E1473" i="120" s="1"/>
  <c r="E1830" i="120" s="1"/>
  <c r="E2187" i="120" s="1"/>
  <c r="E2544" i="120" s="1"/>
  <c r="B402" i="120"/>
  <c r="B759" i="120" s="1"/>
  <c r="B1116" i="120" s="1"/>
  <c r="B1473" i="120" s="1"/>
  <c r="B1830" i="120" s="1"/>
  <c r="B2187" i="120" s="1"/>
  <c r="B2544" i="120" s="1"/>
  <c r="A402" i="120"/>
  <c r="A759" i="120" s="1"/>
  <c r="A1116" i="120" s="1"/>
  <c r="A1473" i="120" s="1"/>
  <c r="A1830" i="120" s="1"/>
  <c r="A2187" i="120" s="1"/>
  <c r="A2544" i="120" s="1"/>
  <c r="M44" i="120"/>
  <c r="E401" i="120"/>
  <c r="E758" i="120" s="1"/>
  <c r="E1115" i="120" s="1"/>
  <c r="E1472" i="120" s="1"/>
  <c r="E1829" i="120" s="1"/>
  <c r="E2186" i="120" s="1"/>
  <c r="E2543" i="120" s="1"/>
  <c r="B401" i="120"/>
  <c r="B758" i="120" s="1"/>
  <c r="B1115" i="120" s="1"/>
  <c r="B1472" i="120" s="1"/>
  <c r="B1829" i="120" s="1"/>
  <c r="B2186" i="120" s="1"/>
  <c r="B2543" i="120" s="1"/>
  <c r="A401" i="120"/>
  <c r="A758" i="120" s="1"/>
  <c r="A1115" i="120" s="1"/>
  <c r="A1472" i="120" s="1"/>
  <c r="A1829" i="120" s="1"/>
  <c r="A2186" i="120" s="1"/>
  <c r="A2543" i="120" s="1"/>
  <c r="M43" i="120"/>
  <c r="E400" i="120"/>
  <c r="E757" i="120" s="1"/>
  <c r="E1114" i="120" s="1"/>
  <c r="E1471" i="120" s="1"/>
  <c r="E1828" i="120" s="1"/>
  <c r="E2185" i="120" s="1"/>
  <c r="E2542" i="120" s="1"/>
  <c r="B400" i="120"/>
  <c r="B757" i="120" s="1"/>
  <c r="B1114" i="120" s="1"/>
  <c r="B1471" i="120" s="1"/>
  <c r="B1828" i="120" s="1"/>
  <c r="B2185" i="120" s="1"/>
  <c r="B2542" i="120" s="1"/>
  <c r="A400" i="120"/>
  <c r="A757" i="120" s="1"/>
  <c r="A1114" i="120" s="1"/>
  <c r="A1471" i="120" s="1"/>
  <c r="A1828" i="120" s="1"/>
  <c r="A2185" i="120" s="1"/>
  <c r="A2542" i="120" s="1"/>
  <c r="M42" i="120"/>
  <c r="E399" i="120"/>
  <c r="E756" i="120" s="1"/>
  <c r="E1113" i="120" s="1"/>
  <c r="E1470" i="120" s="1"/>
  <c r="E1827" i="120" s="1"/>
  <c r="E2184" i="120" s="1"/>
  <c r="E2541" i="120" s="1"/>
  <c r="B399" i="120"/>
  <c r="B756" i="120" s="1"/>
  <c r="B1113" i="120" s="1"/>
  <c r="B1470" i="120" s="1"/>
  <c r="B1827" i="120" s="1"/>
  <c r="B2184" i="120" s="1"/>
  <c r="B2541" i="120" s="1"/>
  <c r="A399" i="120"/>
  <c r="A756" i="120" s="1"/>
  <c r="A1113" i="120" s="1"/>
  <c r="A1470" i="120" s="1"/>
  <c r="A1827" i="120" s="1"/>
  <c r="A2184" i="120" s="1"/>
  <c r="A2541" i="120" s="1"/>
  <c r="M41" i="120"/>
  <c r="O41" i="120" s="1"/>
  <c r="P41" i="120" s="1"/>
  <c r="E398" i="120"/>
  <c r="E755" i="120" s="1"/>
  <c r="E1112" i="120" s="1"/>
  <c r="E1469" i="120" s="1"/>
  <c r="E1826" i="120" s="1"/>
  <c r="E2183" i="120" s="1"/>
  <c r="E2540" i="120" s="1"/>
  <c r="B398" i="120"/>
  <c r="B755" i="120" s="1"/>
  <c r="B1112" i="120" s="1"/>
  <c r="B1469" i="120" s="1"/>
  <c r="B1826" i="120" s="1"/>
  <c r="B2183" i="120" s="1"/>
  <c r="B2540" i="120" s="1"/>
  <c r="A398" i="120"/>
  <c r="A755" i="120" s="1"/>
  <c r="A1112" i="120" s="1"/>
  <c r="A1469" i="120" s="1"/>
  <c r="A1826" i="120" s="1"/>
  <c r="A2183" i="120" s="1"/>
  <c r="A2540" i="120" s="1"/>
  <c r="M40" i="120"/>
  <c r="E397" i="120"/>
  <c r="E754" i="120" s="1"/>
  <c r="E1111" i="120" s="1"/>
  <c r="E1468" i="120" s="1"/>
  <c r="E1825" i="120" s="1"/>
  <c r="E2182" i="120" s="1"/>
  <c r="E2539" i="120" s="1"/>
  <c r="B397" i="120"/>
  <c r="B754" i="120" s="1"/>
  <c r="B1111" i="120" s="1"/>
  <c r="B1468" i="120" s="1"/>
  <c r="B1825" i="120" s="1"/>
  <c r="B2182" i="120" s="1"/>
  <c r="B2539" i="120" s="1"/>
  <c r="A397" i="120"/>
  <c r="A754" i="120" s="1"/>
  <c r="A1111" i="120" s="1"/>
  <c r="A1468" i="120" s="1"/>
  <c r="A1825" i="120" s="1"/>
  <c r="A2182" i="120" s="1"/>
  <c r="A2539" i="120" s="1"/>
  <c r="M39" i="120"/>
  <c r="E396" i="120"/>
  <c r="E753" i="120" s="1"/>
  <c r="E1110" i="120" s="1"/>
  <c r="E1467" i="120" s="1"/>
  <c r="E1824" i="120" s="1"/>
  <c r="E2181" i="120" s="1"/>
  <c r="E2538" i="120" s="1"/>
  <c r="B396" i="120"/>
  <c r="B753" i="120" s="1"/>
  <c r="B1110" i="120" s="1"/>
  <c r="B1467" i="120" s="1"/>
  <c r="B1824" i="120" s="1"/>
  <c r="B2181" i="120" s="1"/>
  <c r="B2538" i="120" s="1"/>
  <c r="A396" i="120"/>
  <c r="A753" i="120" s="1"/>
  <c r="A1110" i="120" s="1"/>
  <c r="A1467" i="120" s="1"/>
  <c r="A1824" i="120" s="1"/>
  <c r="A2181" i="120" s="1"/>
  <c r="A2538" i="120" s="1"/>
  <c r="M38" i="120"/>
  <c r="D395" i="120"/>
  <c r="D752" i="120" s="1"/>
  <c r="D1109" i="120" s="1"/>
  <c r="D1466" i="120" s="1"/>
  <c r="D1823" i="120" s="1"/>
  <c r="D2180" i="120" s="1"/>
  <c r="D2537" i="120" s="1"/>
  <c r="C395" i="120"/>
  <c r="C752" i="120" s="1"/>
  <c r="C1109" i="120" s="1"/>
  <c r="C1466" i="120" s="1"/>
  <c r="C1823" i="120" s="1"/>
  <c r="C2180" i="120" s="1"/>
  <c r="C2537" i="120" s="1"/>
  <c r="B395" i="120"/>
  <c r="B752" i="120" s="1"/>
  <c r="B1109" i="120" s="1"/>
  <c r="B1466" i="120" s="1"/>
  <c r="B1823" i="120" s="1"/>
  <c r="B2180" i="120" s="1"/>
  <c r="B2537" i="120" s="1"/>
  <c r="A395" i="120"/>
  <c r="A752" i="120" s="1"/>
  <c r="A1109" i="120" s="1"/>
  <c r="A1466" i="120" s="1"/>
  <c r="A1823" i="120" s="1"/>
  <c r="A2180" i="120" s="1"/>
  <c r="A2537" i="120" s="1"/>
  <c r="M37" i="120"/>
  <c r="O37" i="120" s="1"/>
  <c r="P37" i="120" s="1"/>
  <c r="E394" i="120"/>
  <c r="E751" i="120" s="1"/>
  <c r="E1108" i="120" s="1"/>
  <c r="E1465" i="120" s="1"/>
  <c r="E1822" i="120" s="1"/>
  <c r="E2179" i="120" s="1"/>
  <c r="E2536" i="120" s="1"/>
  <c r="B394" i="120"/>
  <c r="B751" i="120" s="1"/>
  <c r="B1108" i="120" s="1"/>
  <c r="B1465" i="120" s="1"/>
  <c r="B1822" i="120" s="1"/>
  <c r="B2179" i="120" s="1"/>
  <c r="B2536" i="120" s="1"/>
  <c r="A394" i="120"/>
  <c r="A751" i="120" s="1"/>
  <c r="A1108" i="120" s="1"/>
  <c r="A1465" i="120" s="1"/>
  <c r="A1822" i="120" s="1"/>
  <c r="A2179" i="120" s="1"/>
  <c r="A2536" i="120" s="1"/>
  <c r="M36" i="120"/>
  <c r="E393" i="120"/>
  <c r="E750" i="120" s="1"/>
  <c r="E1107" i="120" s="1"/>
  <c r="E1464" i="120" s="1"/>
  <c r="E1821" i="120" s="1"/>
  <c r="E2178" i="120" s="1"/>
  <c r="E2535" i="120" s="1"/>
  <c r="B393" i="120"/>
  <c r="B750" i="120" s="1"/>
  <c r="B1107" i="120" s="1"/>
  <c r="B1464" i="120" s="1"/>
  <c r="B1821" i="120" s="1"/>
  <c r="B2178" i="120" s="1"/>
  <c r="B2535" i="120" s="1"/>
  <c r="A393" i="120"/>
  <c r="A750" i="120" s="1"/>
  <c r="A1107" i="120" s="1"/>
  <c r="A1464" i="120" s="1"/>
  <c r="A1821" i="120" s="1"/>
  <c r="A2178" i="120" s="1"/>
  <c r="A2535" i="120" s="1"/>
  <c r="M35" i="120"/>
  <c r="E392" i="120"/>
  <c r="E749" i="120" s="1"/>
  <c r="E1106" i="120" s="1"/>
  <c r="E1463" i="120" s="1"/>
  <c r="E1820" i="120" s="1"/>
  <c r="E2177" i="120" s="1"/>
  <c r="E2534" i="120" s="1"/>
  <c r="B392" i="120"/>
  <c r="B749" i="120" s="1"/>
  <c r="B1106" i="120" s="1"/>
  <c r="B1463" i="120" s="1"/>
  <c r="B1820" i="120" s="1"/>
  <c r="B2177" i="120" s="1"/>
  <c r="B2534" i="120" s="1"/>
  <c r="A392" i="120"/>
  <c r="A749" i="120" s="1"/>
  <c r="A1106" i="120" s="1"/>
  <c r="A1463" i="120" s="1"/>
  <c r="A1820" i="120" s="1"/>
  <c r="A2177" i="120" s="1"/>
  <c r="A2534" i="120" s="1"/>
  <c r="M34" i="120"/>
  <c r="E391" i="120"/>
  <c r="E748" i="120" s="1"/>
  <c r="E1105" i="120" s="1"/>
  <c r="E1462" i="120" s="1"/>
  <c r="E1819" i="120" s="1"/>
  <c r="E2176" i="120" s="1"/>
  <c r="E2533" i="120" s="1"/>
  <c r="B391" i="120"/>
  <c r="B748" i="120" s="1"/>
  <c r="B1105" i="120" s="1"/>
  <c r="B1462" i="120" s="1"/>
  <c r="B1819" i="120" s="1"/>
  <c r="B2176" i="120" s="1"/>
  <c r="B2533" i="120" s="1"/>
  <c r="A391" i="120"/>
  <c r="A748" i="120" s="1"/>
  <c r="A1105" i="120" s="1"/>
  <c r="A1462" i="120" s="1"/>
  <c r="A1819" i="120" s="1"/>
  <c r="A2176" i="120" s="1"/>
  <c r="A2533" i="120" s="1"/>
  <c r="M33" i="120"/>
  <c r="O33" i="120" s="1"/>
  <c r="P33" i="120" s="1"/>
  <c r="E390" i="120"/>
  <c r="E747" i="120" s="1"/>
  <c r="E1104" i="120" s="1"/>
  <c r="E1461" i="120" s="1"/>
  <c r="E1818" i="120" s="1"/>
  <c r="E2175" i="120" s="1"/>
  <c r="E2532" i="120" s="1"/>
  <c r="B390" i="120"/>
  <c r="B747" i="120" s="1"/>
  <c r="B1104" i="120" s="1"/>
  <c r="B1461" i="120" s="1"/>
  <c r="B1818" i="120" s="1"/>
  <c r="B2175" i="120" s="1"/>
  <c r="B2532" i="120" s="1"/>
  <c r="A390" i="120"/>
  <c r="A747" i="120" s="1"/>
  <c r="A1104" i="120" s="1"/>
  <c r="A1461" i="120" s="1"/>
  <c r="A1818" i="120" s="1"/>
  <c r="A2175" i="120" s="1"/>
  <c r="A2532" i="120" s="1"/>
  <c r="M32" i="120"/>
  <c r="D389" i="120"/>
  <c r="D746" i="120" s="1"/>
  <c r="D1103" i="120" s="1"/>
  <c r="D1460" i="120" s="1"/>
  <c r="D1817" i="120" s="1"/>
  <c r="D2174" i="120" s="1"/>
  <c r="D2531" i="120" s="1"/>
  <c r="C389" i="120"/>
  <c r="C746" i="120" s="1"/>
  <c r="C1103" i="120" s="1"/>
  <c r="C1460" i="120" s="1"/>
  <c r="C1817" i="120" s="1"/>
  <c r="C2174" i="120" s="1"/>
  <c r="C2531" i="120" s="1"/>
  <c r="B389" i="120"/>
  <c r="B746" i="120" s="1"/>
  <c r="B1103" i="120" s="1"/>
  <c r="B1460" i="120" s="1"/>
  <c r="B1817" i="120" s="1"/>
  <c r="B2174" i="120" s="1"/>
  <c r="B2531" i="120" s="1"/>
  <c r="A389" i="120"/>
  <c r="A746" i="120" s="1"/>
  <c r="A1103" i="120" s="1"/>
  <c r="A1460" i="120" s="1"/>
  <c r="A1817" i="120" s="1"/>
  <c r="A2174" i="120" s="1"/>
  <c r="A2531" i="120" s="1"/>
  <c r="M31" i="120"/>
  <c r="E388" i="120"/>
  <c r="E745" i="120" s="1"/>
  <c r="E1102" i="120" s="1"/>
  <c r="E1459" i="120" s="1"/>
  <c r="E1816" i="120" s="1"/>
  <c r="E2173" i="120" s="1"/>
  <c r="E2530" i="120" s="1"/>
  <c r="B388" i="120"/>
  <c r="B745" i="120" s="1"/>
  <c r="B1102" i="120" s="1"/>
  <c r="B1459" i="120" s="1"/>
  <c r="B1816" i="120" s="1"/>
  <c r="B2173" i="120" s="1"/>
  <c r="B2530" i="120" s="1"/>
  <c r="A388" i="120"/>
  <c r="A745" i="120" s="1"/>
  <c r="A1102" i="120" s="1"/>
  <c r="A1459" i="120" s="1"/>
  <c r="A1816" i="120" s="1"/>
  <c r="A2173" i="120" s="1"/>
  <c r="A2530" i="120" s="1"/>
  <c r="M30" i="120"/>
  <c r="E387" i="120"/>
  <c r="E744" i="120" s="1"/>
  <c r="E1101" i="120" s="1"/>
  <c r="E1458" i="120" s="1"/>
  <c r="E1815" i="120" s="1"/>
  <c r="E2172" i="120" s="1"/>
  <c r="E2529" i="120" s="1"/>
  <c r="B387" i="120"/>
  <c r="B744" i="120" s="1"/>
  <c r="B1101" i="120" s="1"/>
  <c r="B1458" i="120" s="1"/>
  <c r="B1815" i="120" s="1"/>
  <c r="B2172" i="120" s="1"/>
  <c r="B2529" i="120" s="1"/>
  <c r="A387" i="120"/>
  <c r="A744" i="120" s="1"/>
  <c r="A1101" i="120" s="1"/>
  <c r="A1458" i="120" s="1"/>
  <c r="A1815" i="120" s="1"/>
  <c r="A2172" i="120" s="1"/>
  <c r="A2529" i="120" s="1"/>
  <c r="M29" i="120"/>
  <c r="O29" i="120" s="1"/>
  <c r="P29" i="120" s="1"/>
  <c r="D386" i="120"/>
  <c r="D743" i="120" s="1"/>
  <c r="D1100" i="120" s="1"/>
  <c r="D1457" i="120" s="1"/>
  <c r="D1814" i="120" s="1"/>
  <c r="D2171" i="120" s="1"/>
  <c r="D2528" i="120" s="1"/>
  <c r="C386" i="120"/>
  <c r="C743" i="120" s="1"/>
  <c r="C1100" i="120" s="1"/>
  <c r="C1457" i="120" s="1"/>
  <c r="C1814" i="120" s="1"/>
  <c r="C2171" i="120" s="1"/>
  <c r="C2528" i="120" s="1"/>
  <c r="B386" i="120"/>
  <c r="B743" i="120" s="1"/>
  <c r="B1100" i="120" s="1"/>
  <c r="B1457" i="120" s="1"/>
  <c r="B1814" i="120" s="1"/>
  <c r="B2171" i="120" s="1"/>
  <c r="B2528" i="120" s="1"/>
  <c r="A386" i="120"/>
  <c r="A743" i="120" s="1"/>
  <c r="A1100" i="120" s="1"/>
  <c r="A1457" i="120" s="1"/>
  <c r="A1814" i="120" s="1"/>
  <c r="A2171" i="120" s="1"/>
  <c r="A2528" i="120" s="1"/>
  <c r="M28" i="120"/>
  <c r="E385" i="120"/>
  <c r="E742" i="120" s="1"/>
  <c r="E1099" i="120" s="1"/>
  <c r="E1456" i="120" s="1"/>
  <c r="E1813" i="120" s="1"/>
  <c r="E2170" i="120" s="1"/>
  <c r="E2527" i="120" s="1"/>
  <c r="B385" i="120"/>
  <c r="B742" i="120" s="1"/>
  <c r="B1099" i="120" s="1"/>
  <c r="B1456" i="120" s="1"/>
  <c r="B1813" i="120" s="1"/>
  <c r="B2170" i="120" s="1"/>
  <c r="B2527" i="120" s="1"/>
  <c r="A385" i="120"/>
  <c r="A742" i="120" s="1"/>
  <c r="A1099" i="120" s="1"/>
  <c r="A1456" i="120" s="1"/>
  <c r="A1813" i="120" s="1"/>
  <c r="A2170" i="120" s="1"/>
  <c r="A2527" i="120" s="1"/>
  <c r="M27" i="120"/>
  <c r="E384" i="120"/>
  <c r="E741" i="120" s="1"/>
  <c r="E1098" i="120" s="1"/>
  <c r="E1455" i="120" s="1"/>
  <c r="E1812" i="120" s="1"/>
  <c r="E2169" i="120" s="1"/>
  <c r="E2526" i="120" s="1"/>
  <c r="B384" i="120"/>
  <c r="B741" i="120" s="1"/>
  <c r="B1098" i="120" s="1"/>
  <c r="B1455" i="120" s="1"/>
  <c r="B1812" i="120" s="1"/>
  <c r="B2169" i="120" s="1"/>
  <c r="B2526" i="120" s="1"/>
  <c r="A384" i="120"/>
  <c r="A741" i="120" s="1"/>
  <c r="A1098" i="120" s="1"/>
  <c r="A1455" i="120" s="1"/>
  <c r="A1812" i="120" s="1"/>
  <c r="A2169" i="120" s="1"/>
  <c r="A2526" i="120" s="1"/>
  <c r="M26" i="120"/>
  <c r="E383" i="120"/>
  <c r="E740" i="120" s="1"/>
  <c r="E1097" i="120" s="1"/>
  <c r="E1454" i="120" s="1"/>
  <c r="E1811" i="120" s="1"/>
  <c r="E2168" i="120" s="1"/>
  <c r="E2525" i="120" s="1"/>
  <c r="B383" i="120"/>
  <c r="B740" i="120" s="1"/>
  <c r="B1097" i="120" s="1"/>
  <c r="B1454" i="120" s="1"/>
  <c r="B1811" i="120" s="1"/>
  <c r="B2168" i="120" s="1"/>
  <c r="B2525" i="120" s="1"/>
  <c r="A383" i="120"/>
  <c r="A740" i="120" s="1"/>
  <c r="A1097" i="120" s="1"/>
  <c r="A1454" i="120" s="1"/>
  <c r="A1811" i="120" s="1"/>
  <c r="A2168" i="120" s="1"/>
  <c r="A2525" i="120" s="1"/>
  <c r="M25" i="120"/>
  <c r="O25" i="120" s="1"/>
  <c r="P25" i="120" s="1"/>
  <c r="E382" i="120"/>
  <c r="E739" i="120" s="1"/>
  <c r="E1096" i="120" s="1"/>
  <c r="E1453" i="120" s="1"/>
  <c r="E1810" i="120" s="1"/>
  <c r="E2167" i="120" s="1"/>
  <c r="E2524" i="120" s="1"/>
  <c r="B382" i="120"/>
  <c r="B739" i="120" s="1"/>
  <c r="B1096" i="120" s="1"/>
  <c r="B1453" i="120" s="1"/>
  <c r="B1810" i="120" s="1"/>
  <c r="B2167" i="120" s="1"/>
  <c r="B2524" i="120" s="1"/>
  <c r="A382" i="120"/>
  <c r="A739" i="120" s="1"/>
  <c r="A1096" i="120" s="1"/>
  <c r="A1453" i="120" s="1"/>
  <c r="A1810" i="120" s="1"/>
  <c r="A2167" i="120" s="1"/>
  <c r="A2524" i="120" s="1"/>
  <c r="M24" i="120"/>
  <c r="E381" i="120"/>
  <c r="E738" i="120" s="1"/>
  <c r="E1095" i="120" s="1"/>
  <c r="E1452" i="120" s="1"/>
  <c r="E1809" i="120" s="1"/>
  <c r="E2166" i="120" s="1"/>
  <c r="E2523" i="120" s="1"/>
  <c r="B381" i="120"/>
  <c r="B738" i="120" s="1"/>
  <c r="B1095" i="120" s="1"/>
  <c r="B1452" i="120" s="1"/>
  <c r="B1809" i="120" s="1"/>
  <c r="B2166" i="120" s="1"/>
  <c r="B2523" i="120" s="1"/>
  <c r="A381" i="120"/>
  <c r="A738" i="120" s="1"/>
  <c r="A1095" i="120" s="1"/>
  <c r="A1452" i="120" s="1"/>
  <c r="A1809" i="120" s="1"/>
  <c r="A2166" i="120" s="1"/>
  <c r="A2523" i="120" s="1"/>
  <c r="M23" i="120"/>
  <c r="D380" i="120"/>
  <c r="D737" i="120" s="1"/>
  <c r="D1094" i="120" s="1"/>
  <c r="D1451" i="120" s="1"/>
  <c r="D1808" i="120" s="1"/>
  <c r="D2165" i="120" s="1"/>
  <c r="D2522" i="120" s="1"/>
  <c r="C380" i="120"/>
  <c r="C737" i="120" s="1"/>
  <c r="C1094" i="120" s="1"/>
  <c r="C1451" i="120" s="1"/>
  <c r="C1808" i="120" s="1"/>
  <c r="C2165" i="120" s="1"/>
  <c r="C2522" i="120" s="1"/>
  <c r="B380" i="120"/>
  <c r="B737" i="120" s="1"/>
  <c r="B1094" i="120" s="1"/>
  <c r="B1451" i="120" s="1"/>
  <c r="B1808" i="120" s="1"/>
  <c r="B2165" i="120" s="1"/>
  <c r="B2522" i="120" s="1"/>
  <c r="A380" i="120"/>
  <c r="A737" i="120" s="1"/>
  <c r="A1094" i="120" s="1"/>
  <c r="A1451" i="120" s="1"/>
  <c r="A1808" i="120" s="1"/>
  <c r="A2165" i="120" s="1"/>
  <c r="A2522" i="120" s="1"/>
  <c r="M22" i="120"/>
  <c r="E379" i="120"/>
  <c r="E736" i="120" s="1"/>
  <c r="E1093" i="120" s="1"/>
  <c r="E1450" i="120" s="1"/>
  <c r="E1807" i="120" s="1"/>
  <c r="E2164" i="120" s="1"/>
  <c r="E2521" i="120" s="1"/>
  <c r="B379" i="120"/>
  <c r="B736" i="120" s="1"/>
  <c r="B1093" i="120" s="1"/>
  <c r="B1450" i="120" s="1"/>
  <c r="B1807" i="120" s="1"/>
  <c r="B2164" i="120" s="1"/>
  <c r="B2521" i="120" s="1"/>
  <c r="A379" i="120"/>
  <c r="A736" i="120" s="1"/>
  <c r="A1093" i="120" s="1"/>
  <c r="A1450" i="120" s="1"/>
  <c r="A1807" i="120" s="1"/>
  <c r="A2164" i="120" s="1"/>
  <c r="A2521" i="120" s="1"/>
  <c r="M21" i="120"/>
  <c r="O21" i="120" s="1"/>
  <c r="P21" i="120" s="1"/>
  <c r="E378" i="120"/>
  <c r="E735" i="120" s="1"/>
  <c r="E1092" i="120" s="1"/>
  <c r="E1449" i="120" s="1"/>
  <c r="E1806" i="120" s="1"/>
  <c r="E2163" i="120" s="1"/>
  <c r="E2520" i="120" s="1"/>
  <c r="B378" i="120"/>
  <c r="B735" i="120" s="1"/>
  <c r="B1092" i="120" s="1"/>
  <c r="B1449" i="120" s="1"/>
  <c r="B1806" i="120" s="1"/>
  <c r="B2163" i="120" s="1"/>
  <c r="B2520" i="120" s="1"/>
  <c r="A378" i="120"/>
  <c r="A735" i="120" s="1"/>
  <c r="A1092" i="120" s="1"/>
  <c r="A1449" i="120" s="1"/>
  <c r="A1806" i="120" s="1"/>
  <c r="A2163" i="120" s="1"/>
  <c r="A2520" i="120" s="1"/>
  <c r="M20" i="120"/>
  <c r="O20" i="120" s="1"/>
  <c r="E377" i="120"/>
  <c r="E734" i="120" s="1"/>
  <c r="E1091" i="120" s="1"/>
  <c r="E1448" i="120" s="1"/>
  <c r="E1805" i="120" s="1"/>
  <c r="E2162" i="120" s="1"/>
  <c r="E2519" i="120" s="1"/>
  <c r="B377" i="120"/>
  <c r="B734" i="120" s="1"/>
  <c r="B1091" i="120" s="1"/>
  <c r="B1448" i="120" s="1"/>
  <c r="B1805" i="120" s="1"/>
  <c r="B2162" i="120" s="1"/>
  <c r="B2519" i="120" s="1"/>
  <c r="A377" i="120"/>
  <c r="A734" i="120" s="1"/>
  <c r="A1091" i="120" s="1"/>
  <c r="A1448" i="120" s="1"/>
  <c r="A1805" i="120" s="1"/>
  <c r="A2162" i="120" s="1"/>
  <c r="A2519" i="120" s="1"/>
  <c r="M19" i="120"/>
  <c r="E376" i="120"/>
  <c r="E733" i="120" s="1"/>
  <c r="E1090" i="120" s="1"/>
  <c r="E1447" i="120" s="1"/>
  <c r="E1804" i="120" s="1"/>
  <c r="E2161" i="120" s="1"/>
  <c r="E2518" i="120" s="1"/>
  <c r="B376" i="120"/>
  <c r="B733" i="120" s="1"/>
  <c r="B1090" i="120" s="1"/>
  <c r="B1447" i="120" s="1"/>
  <c r="B1804" i="120" s="1"/>
  <c r="B2161" i="120" s="1"/>
  <c r="B2518" i="120" s="1"/>
  <c r="A376" i="120"/>
  <c r="A733" i="120" s="1"/>
  <c r="A1090" i="120" s="1"/>
  <c r="A1447" i="120" s="1"/>
  <c r="A1804" i="120" s="1"/>
  <c r="A2161" i="120" s="1"/>
  <c r="A2518" i="120" s="1"/>
  <c r="M18" i="120"/>
  <c r="D375" i="120"/>
  <c r="D732" i="120" s="1"/>
  <c r="D1089" i="120" s="1"/>
  <c r="D1446" i="120" s="1"/>
  <c r="D1803" i="120" s="1"/>
  <c r="D2160" i="120" s="1"/>
  <c r="D2517" i="120" s="1"/>
  <c r="C375" i="120"/>
  <c r="C732" i="120" s="1"/>
  <c r="C1089" i="120" s="1"/>
  <c r="C1446" i="120" s="1"/>
  <c r="C1803" i="120" s="1"/>
  <c r="C2160" i="120" s="1"/>
  <c r="C2517" i="120" s="1"/>
  <c r="B375" i="120"/>
  <c r="B732" i="120" s="1"/>
  <c r="B1089" i="120" s="1"/>
  <c r="B1446" i="120" s="1"/>
  <c r="B1803" i="120" s="1"/>
  <c r="B2160" i="120" s="1"/>
  <c r="B2517" i="120" s="1"/>
  <c r="A375" i="120"/>
  <c r="A732" i="120" s="1"/>
  <c r="A1089" i="120" s="1"/>
  <c r="A1446" i="120" s="1"/>
  <c r="A1803" i="120" s="1"/>
  <c r="A2160" i="120" s="1"/>
  <c r="A2517" i="120" s="1"/>
  <c r="M17" i="120"/>
  <c r="O17" i="120" s="1"/>
  <c r="P17" i="120" s="1"/>
  <c r="E374" i="120"/>
  <c r="E731" i="120" s="1"/>
  <c r="E1088" i="120" s="1"/>
  <c r="E1445" i="120" s="1"/>
  <c r="E1802" i="120" s="1"/>
  <c r="E2159" i="120" s="1"/>
  <c r="E2516" i="120" s="1"/>
  <c r="B374" i="120"/>
  <c r="B731" i="120" s="1"/>
  <c r="B1088" i="120" s="1"/>
  <c r="B1445" i="120" s="1"/>
  <c r="B1802" i="120" s="1"/>
  <c r="B2159" i="120" s="1"/>
  <c r="B2516" i="120" s="1"/>
  <c r="A374" i="120"/>
  <c r="A731" i="120" s="1"/>
  <c r="A1088" i="120" s="1"/>
  <c r="A1445" i="120" s="1"/>
  <c r="A1802" i="120" s="1"/>
  <c r="A2159" i="120" s="1"/>
  <c r="A2516" i="120" s="1"/>
  <c r="M16" i="120"/>
  <c r="D373" i="120"/>
  <c r="D730" i="120" s="1"/>
  <c r="D1087" i="120" s="1"/>
  <c r="D1444" i="120" s="1"/>
  <c r="D1801" i="120" s="1"/>
  <c r="D2158" i="120" s="1"/>
  <c r="D2515" i="120" s="1"/>
  <c r="C373" i="120"/>
  <c r="C730" i="120" s="1"/>
  <c r="C1087" i="120" s="1"/>
  <c r="C1444" i="120" s="1"/>
  <c r="C1801" i="120" s="1"/>
  <c r="C2158" i="120" s="1"/>
  <c r="C2515" i="120" s="1"/>
  <c r="B373" i="120"/>
  <c r="B730" i="120" s="1"/>
  <c r="B1087" i="120" s="1"/>
  <c r="B1444" i="120" s="1"/>
  <c r="B1801" i="120" s="1"/>
  <c r="B2158" i="120" s="1"/>
  <c r="B2515" i="120" s="1"/>
  <c r="A373" i="120"/>
  <c r="A730" i="120" s="1"/>
  <c r="A1087" i="120" s="1"/>
  <c r="A1444" i="120" s="1"/>
  <c r="A1801" i="120" s="1"/>
  <c r="A2158" i="120" s="1"/>
  <c r="A2515" i="120" s="1"/>
  <c r="M15" i="120"/>
  <c r="E372" i="120"/>
  <c r="E729" i="120" s="1"/>
  <c r="E1086" i="120" s="1"/>
  <c r="E1443" i="120" s="1"/>
  <c r="E1800" i="120" s="1"/>
  <c r="E2157" i="120" s="1"/>
  <c r="E2514" i="120" s="1"/>
  <c r="B372" i="120"/>
  <c r="B729" i="120" s="1"/>
  <c r="B1086" i="120" s="1"/>
  <c r="B1443" i="120" s="1"/>
  <c r="B1800" i="120" s="1"/>
  <c r="B2157" i="120" s="1"/>
  <c r="B2514" i="120" s="1"/>
  <c r="A372" i="120"/>
  <c r="A729" i="120" s="1"/>
  <c r="A1086" i="120" s="1"/>
  <c r="A1443" i="120" s="1"/>
  <c r="A1800" i="120" s="1"/>
  <c r="A2157" i="120" s="1"/>
  <c r="A2514" i="120" s="1"/>
  <c r="M14" i="120"/>
  <c r="E371" i="120"/>
  <c r="E728" i="120" s="1"/>
  <c r="E1085" i="120" s="1"/>
  <c r="E1442" i="120" s="1"/>
  <c r="E1799" i="120" s="1"/>
  <c r="E2156" i="120" s="1"/>
  <c r="E2513" i="120" s="1"/>
  <c r="B371" i="120"/>
  <c r="B728" i="120" s="1"/>
  <c r="B1085" i="120" s="1"/>
  <c r="B1442" i="120" s="1"/>
  <c r="B1799" i="120" s="1"/>
  <c r="B2156" i="120" s="1"/>
  <c r="B2513" i="120" s="1"/>
  <c r="A371" i="120"/>
  <c r="A728" i="120" s="1"/>
  <c r="A1085" i="120" s="1"/>
  <c r="A1442" i="120" s="1"/>
  <c r="A1799" i="120" s="1"/>
  <c r="A2156" i="120" s="1"/>
  <c r="A2513" i="120" s="1"/>
  <c r="M13" i="120"/>
  <c r="O13" i="120" s="1"/>
  <c r="P13" i="120" s="1"/>
  <c r="E370" i="120"/>
  <c r="E727" i="120" s="1"/>
  <c r="E1084" i="120" s="1"/>
  <c r="E1441" i="120" s="1"/>
  <c r="E1798" i="120" s="1"/>
  <c r="E2155" i="120" s="1"/>
  <c r="E2512" i="120" s="1"/>
  <c r="B370" i="120"/>
  <c r="B727" i="120" s="1"/>
  <c r="B1084" i="120" s="1"/>
  <c r="B1441" i="120" s="1"/>
  <c r="B1798" i="120" s="1"/>
  <c r="B2155" i="120" s="1"/>
  <c r="B2512" i="120" s="1"/>
  <c r="A370" i="120"/>
  <c r="A727" i="120" s="1"/>
  <c r="A1084" i="120" s="1"/>
  <c r="A1441" i="120" s="1"/>
  <c r="A1798" i="120" s="1"/>
  <c r="A2155" i="120" s="1"/>
  <c r="A2512" i="120" s="1"/>
  <c r="M12" i="120"/>
  <c r="E369" i="120"/>
  <c r="E726" i="120" s="1"/>
  <c r="E1083" i="120" s="1"/>
  <c r="E1440" i="120" s="1"/>
  <c r="E1797" i="120" s="1"/>
  <c r="E2154" i="120" s="1"/>
  <c r="E2511" i="120" s="1"/>
  <c r="B369" i="120"/>
  <c r="B726" i="120" s="1"/>
  <c r="B1083" i="120" s="1"/>
  <c r="B1440" i="120" s="1"/>
  <c r="B1797" i="120" s="1"/>
  <c r="B2154" i="120" s="1"/>
  <c r="B2511" i="120" s="1"/>
  <c r="A369" i="120"/>
  <c r="A726" i="120" s="1"/>
  <c r="A1083" i="120" s="1"/>
  <c r="A1440" i="120" s="1"/>
  <c r="A1797" i="120" s="1"/>
  <c r="A2154" i="120" s="1"/>
  <c r="A2511" i="120" s="1"/>
  <c r="M11" i="120"/>
  <c r="D368" i="120"/>
  <c r="D725" i="120" s="1"/>
  <c r="D1082" i="120" s="1"/>
  <c r="D1439" i="120" s="1"/>
  <c r="D1796" i="120" s="1"/>
  <c r="D2153" i="120" s="1"/>
  <c r="D2510" i="120" s="1"/>
  <c r="C368" i="120"/>
  <c r="C725" i="120" s="1"/>
  <c r="C1082" i="120" s="1"/>
  <c r="C1439" i="120" s="1"/>
  <c r="C1796" i="120" s="1"/>
  <c r="C2153" i="120" s="1"/>
  <c r="C2510" i="120" s="1"/>
  <c r="B368" i="120"/>
  <c r="B725" i="120" s="1"/>
  <c r="B1082" i="120" s="1"/>
  <c r="B1439" i="120" s="1"/>
  <c r="B1796" i="120" s="1"/>
  <c r="B2153" i="120" s="1"/>
  <c r="B2510" i="120" s="1"/>
  <c r="A368" i="120"/>
  <c r="A725" i="120" s="1"/>
  <c r="A1082" i="120" s="1"/>
  <c r="A1439" i="120" s="1"/>
  <c r="A1796" i="120" s="1"/>
  <c r="A2153" i="120" s="1"/>
  <c r="A2510" i="120" s="1"/>
  <c r="E367" i="120"/>
  <c r="E724" i="120" s="1"/>
  <c r="E1081" i="120" s="1"/>
  <c r="E1438" i="120" s="1"/>
  <c r="E1795" i="120" s="1"/>
  <c r="E2152" i="120" s="1"/>
  <c r="E2509" i="120" s="1"/>
  <c r="D367" i="120"/>
  <c r="D724" i="120" s="1"/>
  <c r="D1081" i="120" s="1"/>
  <c r="D1438" i="120" s="1"/>
  <c r="D1795" i="120" s="1"/>
  <c r="D2152" i="120" s="1"/>
  <c r="D2509" i="120" s="1"/>
  <c r="C367" i="120"/>
  <c r="C724" i="120" s="1"/>
  <c r="C1081" i="120" s="1"/>
  <c r="C1438" i="120" s="1"/>
  <c r="C1795" i="120" s="1"/>
  <c r="C2152" i="120" s="1"/>
  <c r="C2509" i="120" s="1"/>
  <c r="B367" i="120"/>
  <c r="B724" i="120" s="1"/>
  <c r="B1081" i="120" s="1"/>
  <c r="B1438" i="120" s="1"/>
  <c r="B1795" i="120" s="1"/>
  <c r="B2152" i="120" s="1"/>
  <c r="B2509" i="120" s="1"/>
  <c r="A367" i="120"/>
  <c r="A724" i="120" s="1"/>
  <c r="A1081" i="120" s="1"/>
  <c r="A1438" i="120" s="1"/>
  <c r="A1795" i="120" s="1"/>
  <c r="A2152" i="120" s="1"/>
  <c r="A2509" i="120" s="1"/>
  <c r="B366" i="120"/>
  <c r="K53" i="119" l="1"/>
  <c r="F58" i="119"/>
  <c r="AT35" i="119"/>
  <c r="BF35" i="119" s="1"/>
  <c r="S39" i="119"/>
  <c r="S362" i="119" s="1"/>
  <c r="BF39" i="119"/>
  <c r="AT39" i="119"/>
  <c r="T19" i="119"/>
  <c r="Q362" i="119"/>
  <c r="F35" i="119"/>
  <c r="F50" i="119"/>
  <c r="K50" i="119" s="1"/>
  <c r="BF82" i="119"/>
  <c r="Q82" i="119"/>
  <c r="T82" i="119" s="1"/>
  <c r="T121" i="119"/>
  <c r="R44" i="119"/>
  <c r="T44" i="119" s="1"/>
  <c r="AT44" i="119"/>
  <c r="BF44" i="119" s="1"/>
  <c r="F26" i="119"/>
  <c r="K25" i="119"/>
  <c r="F65" i="119"/>
  <c r="K20" i="119"/>
  <c r="F21" i="119"/>
  <c r="K19" i="119"/>
  <c r="K68" i="119"/>
  <c r="F69" i="119"/>
  <c r="K69" i="119" s="1"/>
  <c r="BF78" i="119"/>
  <c r="AT25" i="119"/>
  <c r="BF25" i="119" s="1"/>
  <c r="AS362" i="119"/>
  <c r="AT30" i="119"/>
  <c r="BF30" i="119" s="1"/>
  <c r="T35" i="119"/>
  <c r="F40" i="119"/>
  <c r="K39" i="119"/>
  <c r="AT82" i="119"/>
  <c r="T117" i="119"/>
  <c r="F13" i="119"/>
  <c r="AT40" i="119"/>
  <c r="BF40" i="119" s="1"/>
  <c r="AT27" i="119"/>
  <c r="BF27" i="119" s="1"/>
  <c r="AT34" i="119"/>
  <c r="BF34" i="119" s="1"/>
  <c r="AT71" i="119"/>
  <c r="BF71" i="119" s="1"/>
  <c r="AT78" i="119"/>
  <c r="AT84" i="119"/>
  <c r="BF84" i="119" s="1"/>
  <c r="O1842" i="120"/>
  <c r="P1842" i="120"/>
  <c r="O2160" i="120"/>
  <c r="P2160" i="120"/>
  <c r="O1453" i="120"/>
  <c r="P1453" i="120" s="1"/>
  <c r="O1846" i="120"/>
  <c r="P1846" i="120" s="1"/>
  <c r="O2188" i="120"/>
  <c r="P2188" i="120"/>
  <c r="O758" i="120"/>
  <c r="P758" i="120" s="1"/>
  <c r="O1473" i="120"/>
  <c r="P1473" i="120"/>
  <c r="O454" i="120"/>
  <c r="P454" i="120"/>
  <c r="O2522" i="120"/>
  <c r="P2522" i="120" s="1"/>
  <c r="O1512" i="120"/>
  <c r="P1512" i="120" s="1"/>
  <c r="P1091" i="120"/>
  <c r="O1123" i="120"/>
  <c r="P1123" i="120" s="1"/>
  <c r="P742" i="120"/>
  <c r="P1446" i="120"/>
  <c r="O1119" i="120"/>
  <c r="P1119" i="120"/>
  <c r="P1168" i="120"/>
  <c r="O1168" i="120"/>
  <c r="P1843" i="120"/>
  <c r="O2597" i="120"/>
  <c r="P2597" i="120" s="1"/>
  <c r="P1461" i="120"/>
  <c r="O1503" i="120"/>
  <c r="P1503" i="120"/>
  <c r="O1857" i="120"/>
  <c r="P1857" i="120"/>
  <c r="O2204" i="120"/>
  <c r="P2204" i="120"/>
  <c r="P450" i="120"/>
  <c r="O1087" i="120"/>
  <c r="P1087" i="120"/>
  <c r="P2172" i="120"/>
  <c r="P2538" i="120"/>
  <c r="O1149" i="120"/>
  <c r="P1149" i="120" s="1"/>
  <c r="O1511" i="120"/>
  <c r="P1511" i="120"/>
  <c r="P385" i="120"/>
  <c r="O1457" i="120"/>
  <c r="P1457" i="120"/>
  <c r="P1489" i="120"/>
  <c r="P1492" i="120"/>
  <c r="O1508" i="120"/>
  <c r="P1508" i="120" s="1"/>
  <c r="P1525" i="120"/>
  <c r="P2156" i="120"/>
  <c r="P2529" i="120"/>
  <c r="O1843" i="120"/>
  <c r="P2155" i="120"/>
  <c r="O2155" i="120"/>
  <c r="O2222" i="120"/>
  <c r="P2222" i="120"/>
  <c r="P2534" i="120"/>
  <c r="P2558" i="120"/>
  <c r="P2574" i="120"/>
  <c r="O2574" i="120"/>
  <c r="P2596" i="120"/>
  <c r="P1865" i="120"/>
  <c r="O1868" i="120"/>
  <c r="P1868" i="120"/>
  <c r="O2514" i="120"/>
  <c r="P2514" i="120" s="1"/>
  <c r="P2571" i="120"/>
  <c r="O2571" i="120"/>
  <c r="P1854" i="120"/>
  <c r="P2546" i="120"/>
  <c r="O2563" i="120"/>
  <c r="P2563" i="120"/>
  <c r="P2195" i="120"/>
  <c r="O2550" i="120"/>
  <c r="P2550" i="120" s="1"/>
  <c r="O2513" i="120"/>
  <c r="P2513" i="120"/>
  <c r="O2530" i="120"/>
  <c r="P2530" i="120" s="1"/>
  <c r="P2567" i="120"/>
  <c r="O2567" i="120"/>
  <c r="O2217" i="120"/>
  <c r="P2217" i="120" s="1"/>
  <c r="P1878" i="120"/>
  <c r="P2171" i="120"/>
  <c r="O2195" i="120"/>
  <c r="O2171" i="120"/>
  <c r="P2176" i="120"/>
  <c r="P2215" i="120"/>
  <c r="P2240" i="120"/>
  <c r="P2531" i="120"/>
  <c r="P30" i="120"/>
  <c r="O30" i="120"/>
  <c r="O22" i="120"/>
  <c r="P22" i="120" s="1"/>
  <c r="O27" i="120"/>
  <c r="P27" i="120" s="1"/>
  <c r="P55" i="120"/>
  <c r="O55" i="120"/>
  <c r="O69" i="120"/>
  <c r="P69" i="120" s="1"/>
  <c r="O18" i="120"/>
  <c r="P18" i="120" s="1"/>
  <c r="O51" i="120"/>
  <c r="P51" i="120" s="1"/>
  <c r="O66" i="120"/>
  <c r="P66" i="120" s="1"/>
  <c r="O75" i="120"/>
  <c r="P75" i="120" s="1"/>
  <c r="O93" i="120"/>
  <c r="P93" i="120" s="1"/>
  <c r="P54" i="120"/>
  <c r="O54" i="120"/>
  <c r="O15" i="120"/>
  <c r="P15" i="120" s="1"/>
  <c r="O42" i="120"/>
  <c r="P42" i="120" s="1"/>
  <c r="O47" i="120"/>
  <c r="P47" i="120" s="1"/>
  <c r="P19" i="120"/>
  <c r="O19" i="120"/>
  <c r="O46" i="120"/>
  <c r="P46" i="120" s="1"/>
  <c r="O11" i="120"/>
  <c r="P11" i="120" s="1"/>
  <c r="O38" i="120"/>
  <c r="P38" i="120" s="1"/>
  <c r="O43" i="120"/>
  <c r="P43" i="120" s="1"/>
  <c r="O26" i="120"/>
  <c r="P26" i="120" s="1"/>
  <c r="O31" i="120"/>
  <c r="P31" i="120" s="1"/>
  <c r="P14" i="120"/>
  <c r="O14" i="120"/>
  <c r="O23" i="120"/>
  <c r="P23" i="120" s="1"/>
  <c r="P34" i="120"/>
  <c r="O34" i="120"/>
  <c r="P48" i="120"/>
  <c r="P72" i="120"/>
  <c r="O72" i="120"/>
  <c r="P84" i="120"/>
  <c r="O84" i="120"/>
  <c r="P744" i="120"/>
  <c r="O744" i="120"/>
  <c r="P736" i="120"/>
  <c r="O736" i="120"/>
  <c r="O787" i="120"/>
  <c r="P787" i="120" s="1"/>
  <c r="O794" i="120"/>
  <c r="P794" i="120" s="1"/>
  <c r="O380" i="120"/>
  <c r="P380" i="120" s="1"/>
  <c r="O405" i="120"/>
  <c r="P405" i="120" s="1"/>
  <c r="P423" i="120"/>
  <c r="O423" i="120"/>
  <c r="O439" i="120"/>
  <c r="P439" i="120" s="1"/>
  <c r="O1478" i="120"/>
  <c r="P1478" i="120" s="1"/>
  <c r="O12" i="120"/>
  <c r="P12" i="120" s="1"/>
  <c r="O24" i="120"/>
  <c r="P24" i="120" s="1"/>
  <c r="O36" i="120"/>
  <c r="P36" i="120" s="1"/>
  <c r="O40" i="120"/>
  <c r="P40" i="120" s="1"/>
  <c r="O44" i="120"/>
  <c r="P44" i="120" s="1"/>
  <c r="O48" i="120"/>
  <c r="P78" i="120"/>
  <c r="O98" i="120"/>
  <c r="P98" i="120" s="1"/>
  <c r="O368" i="120"/>
  <c r="P368" i="120" s="1"/>
  <c r="O371" i="120"/>
  <c r="P371" i="120" s="1"/>
  <c r="O377" i="120"/>
  <c r="P377" i="120" s="1"/>
  <c r="P389" i="120"/>
  <c r="O391" i="120"/>
  <c r="P391" i="120" s="1"/>
  <c r="O394" i="120"/>
  <c r="P394" i="120" s="1"/>
  <c r="P397" i="120"/>
  <c r="O399" i="120"/>
  <c r="P399" i="120" s="1"/>
  <c r="O402" i="120"/>
  <c r="P402" i="120" s="1"/>
  <c r="O407" i="120"/>
  <c r="P407" i="120" s="1"/>
  <c r="O410" i="120"/>
  <c r="P410" i="120" s="1"/>
  <c r="P413" i="120"/>
  <c r="O415" i="120"/>
  <c r="P415" i="120" s="1"/>
  <c r="O418" i="120"/>
  <c r="P418" i="120" s="1"/>
  <c r="O433" i="120"/>
  <c r="P433" i="120" s="1"/>
  <c r="O436" i="120"/>
  <c r="P436" i="120" s="1"/>
  <c r="P441" i="120"/>
  <c r="O441" i="120"/>
  <c r="O812" i="120"/>
  <c r="P812" i="120" s="1"/>
  <c r="O1460" i="120"/>
  <c r="P1460" i="120" s="1"/>
  <c r="P80" i="120"/>
  <c r="O91" i="120"/>
  <c r="P91" i="120" s="1"/>
  <c r="N360" i="120"/>
  <c r="O388" i="120"/>
  <c r="P388" i="120" s="1"/>
  <c r="O396" i="120"/>
  <c r="P396" i="120" s="1"/>
  <c r="O404" i="120"/>
  <c r="P404" i="120" s="1"/>
  <c r="P412" i="120"/>
  <c r="O412" i="120"/>
  <c r="O428" i="120"/>
  <c r="P428" i="120" s="1"/>
  <c r="O438" i="120"/>
  <c r="P438" i="120" s="1"/>
  <c r="O449" i="120"/>
  <c r="P449" i="120" s="1"/>
  <c r="O455" i="120"/>
  <c r="P455" i="120" s="1"/>
  <c r="I1076" i="120"/>
  <c r="O728" i="120"/>
  <c r="P728" i="120" s="1"/>
  <c r="O737" i="120"/>
  <c r="P737" i="120" s="1"/>
  <c r="O750" i="120"/>
  <c r="P750" i="120" s="1"/>
  <c r="P757" i="120"/>
  <c r="O757" i="120"/>
  <c r="O781" i="120"/>
  <c r="P781" i="120" s="1"/>
  <c r="O790" i="120"/>
  <c r="P790" i="120" s="1"/>
  <c r="O1441" i="120"/>
  <c r="P1441" i="120" s="1"/>
  <c r="P83" i="120"/>
  <c r="O83" i="120"/>
  <c r="G486" i="120"/>
  <c r="G843" i="120" s="1"/>
  <c r="G1200" i="120" s="1"/>
  <c r="G1557" i="120" s="1"/>
  <c r="G1914" i="120" s="1"/>
  <c r="G2271" i="120" s="1"/>
  <c r="G2628" i="120" s="1"/>
  <c r="O421" i="120"/>
  <c r="P421" i="120" s="1"/>
  <c r="O429" i="120"/>
  <c r="P429" i="120" s="1"/>
  <c r="O798" i="120"/>
  <c r="P798" i="120" s="1"/>
  <c r="J362" i="120"/>
  <c r="P20" i="120"/>
  <c r="P52" i="120"/>
  <c r="P56" i="120"/>
  <c r="P67" i="120"/>
  <c r="O70" i="120"/>
  <c r="M10" i="120"/>
  <c r="P70" i="120"/>
  <c r="O82" i="120"/>
  <c r="P82" i="120" s="1"/>
  <c r="I719" i="120"/>
  <c r="O376" i="120"/>
  <c r="P376" i="120" s="1"/>
  <c r="O379" i="120"/>
  <c r="P379" i="120" s="1"/>
  <c r="O422" i="120"/>
  <c r="P422" i="120" s="1"/>
  <c r="O425" i="120"/>
  <c r="P425" i="120" s="1"/>
  <c r="P430" i="120"/>
  <c r="O430" i="120"/>
  <c r="J1076" i="120"/>
  <c r="M724" i="120"/>
  <c r="O740" i="120"/>
  <c r="P740" i="120" s="1"/>
  <c r="O768" i="120"/>
  <c r="P768" i="120" s="1"/>
  <c r="P1137" i="120"/>
  <c r="O1137" i="120"/>
  <c r="O756" i="120"/>
  <c r="P756" i="120" s="1"/>
  <c r="O772" i="120"/>
  <c r="P772" i="120" s="1"/>
  <c r="O783" i="120"/>
  <c r="P783" i="120" s="1"/>
  <c r="O453" i="120"/>
  <c r="P453" i="120" s="1"/>
  <c r="O805" i="120"/>
  <c r="P805" i="120" s="1"/>
  <c r="I362" i="120"/>
  <c r="O16" i="120"/>
  <c r="P16" i="120" s="1"/>
  <c r="O28" i="120"/>
  <c r="P28" i="120" s="1"/>
  <c r="O32" i="120"/>
  <c r="P32" i="120" s="1"/>
  <c r="P96" i="120"/>
  <c r="O79" i="120"/>
  <c r="P79" i="120" s="1"/>
  <c r="O97" i="120"/>
  <c r="P97" i="120" s="1"/>
  <c r="J719" i="120"/>
  <c r="M367" i="120"/>
  <c r="O373" i="120"/>
  <c r="P373" i="120" s="1"/>
  <c r="O393" i="120"/>
  <c r="P393" i="120" s="1"/>
  <c r="O401" i="120"/>
  <c r="P401" i="120" s="1"/>
  <c r="O409" i="120"/>
  <c r="P409" i="120" s="1"/>
  <c r="O417" i="120"/>
  <c r="P417" i="120" s="1"/>
  <c r="O427" i="120"/>
  <c r="P427" i="120" s="1"/>
  <c r="O435" i="120"/>
  <c r="P435" i="120" s="1"/>
  <c r="P448" i="120"/>
  <c r="O448" i="120"/>
  <c r="P738" i="120"/>
  <c r="P383" i="120"/>
  <c r="O383" i="120"/>
  <c r="P770" i="120"/>
  <c r="O384" i="120"/>
  <c r="P384" i="120" s="1"/>
  <c r="O387" i="120"/>
  <c r="P387" i="120" s="1"/>
  <c r="O390" i="120"/>
  <c r="P390" i="120" s="1"/>
  <c r="O395" i="120"/>
  <c r="P395" i="120" s="1"/>
  <c r="O398" i="120"/>
  <c r="P398" i="120" s="1"/>
  <c r="O403" i="120"/>
  <c r="P403" i="120" s="1"/>
  <c r="O406" i="120"/>
  <c r="P406" i="120" s="1"/>
  <c r="P411" i="120"/>
  <c r="O411" i="120"/>
  <c r="O414" i="120"/>
  <c r="P414" i="120" s="1"/>
  <c r="O419" i="120"/>
  <c r="P419" i="120" s="1"/>
  <c r="O432" i="120"/>
  <c r="P432" i="120" s="1"/>
  <c r="P437" i="120"/>
  <c r="O437" i="120"/>
  <c r="P440" i="120"/>
  <c r="O440" i="120"/>
  <c r="P751" i="120"/>
  <c r="P782" i="120"/>
  <c r="O1095" i="120"/>
  <c r="P1095" i="120" s="1"/>
  <c r="P426" i="120"/>
  <c r="O426" i="120"/>
  <c r="O732" i="120"/>
  <c r="P732" i="120" s="1"/>
  <c r="O752" i="120"/>
  <c r="P752" i="120" s="1"/>
  <c r="H129" i="120"/>
  <c r="N129" i="120" s="1"/>
  <c r="F486" i="120"/>
  <c r="O372" i="120"/>
  <c r="P372" i="120" s="1"/>
  <c r="O375" i="120"/>
  <c r="P375" i="120" s="1"/>
  <c r="O392" i="120"/>
  <c r="P392" i="120" s="1"/>
  <c r="P400" i="120"/>
  <c r="O400" i="120"/>
  <c r="O408" i="120"/>
  <c r="P408" i="120" s="1"/>
  <c r="O416" i="120"/>
  <c r="P416" i="120" s="1"/>
  <c r="P434" i="120"/>
  <c r="O434" i="120"/>
  <c r="O451" i="120"/>
  <c r="P451" i="120" s="1"/>
  <c r="P456" i="120"/>
  <c r="O725" i="120"/>
  <c r="P725" i="120" s="1"/>
  <c r="O760" i="120"/>
  <c r="P760" i="120" s="1"/>
  <c r="O769" i="120"/>
  <c r="P769" i="120" s="1"/>
  <c r="O1165" i="120"/>
  <c r="P1165" i="120" s="1"/>
  <c r="P1128" i="120"/>
  <c r="O730" i="120"/>
  <c r="P730" i="120" s="1"/>
  <c r="P775" i="120"/>
  <c r="P791" i="120"/>
  <c r="O792" i="120"/>
  <c r="P792" i="120" s="1"/>
  <c r="O810" i="120"/>
  <c r="P810" i="120" s="1"/>
  <c r="O1796" i="120"/>
  <c r="P1796" i="120" s="1"/>
  <c r="O1821" i="120"/>
  <c r="P1821" i="120" s="1"/>
  <c r="O748" i="120"/>
  <c r="P748" i="120" s="1"/>
  <c r="O779" i="120"/>
  <c r="P779" i="120" s="1"/>
  <c r="O780" i="120"/>
  <c r="P780" i="120" s="1"/>
  <c r="P786" i="120"/>
  <c r="O1116" i="120"/>
  <c r="P1116" i="120" s="1"/>
  <c r="O1143" i="120"/>
  <c r="P1143" i="120" s="1"/>
  <c r="O1445" i="120"/>
  <c r="P1445" i="120" s="1"/>
  <c r="O1488" i="120"/>
  <c r="P1488" i="120" s="1"/>
  <c r="O729" i="120"/>
  <c r="P729" i="120" s="1"/>
  <c r="O754" i="120"/>
  <c r="P754" i="120" s="1"/>
  <c r="O761" i="120"/>
  <c r="P761" i="120" s="1"/>
  <c r="O785" i="120"/>
  <c r="P785" i="120" s="1"/>
  <c r="O791" i="120"/>
  <c r="O1106" i="120"/>
  <c r="P1106" i="120" s="1"/>
  <c r="O1132" i="120"/>
  <c r="P1132" i="120" s="1"/>
  <c r="F717" i="120"/>
  <c r="O370" i="120"/>
  <c r="P370" i="120" s="1"/>
  <c r="O374" i="120"/>
  <c r="P374" i="120" s="1"/>
  <c r="O378" i="120"/>
  <c r="P378" i="120" s="1"/>
  <c r="O382" i="120"/>
  <c r="P382" i="120" s="1"/>
  <c r="O386" i="120"/>
  <c r="P386" i="120" s="1"/>
  <c r="O452" i="120"/>
  <c r="P452" i="120" s="1"/>
  <c r="P733" i="120"/>
  <c r="O734" i="120"/>
  <c r="P734" i="120" s="1"/>
  <c r="O741" i="120"/>
  <c r="P741" i="120" s="1"/>
  <c r="P765" i="120"/>
  <c r="O766" i="120"/>
  <c r="P766" i="120" s="1"/>
  <c r="O773" i="120"/>
  <c r="P773" i="120" s="1"/>
  <c r="P795" i="120"/>
  <c r="O796" i="120"/>
  <c r="P796" i="120" s="1"/>
  <c r="P813" i="120"/>
  <c r="G717" i="120"/>
  <c r="G1074" i="120" s="1"/>
  <c r="G1431" i="120" s="1"/>
  <c r="G1788" i="120" s="1"/>
  <c r="G2145" i="120" s="1"/>
  <c r="G2502" i="120" s="1"/>
  <c r="G2859" i="120" s="1"/>
  <c r="P727" i="120"/>
  <c r="P745" i="120"/>
  <c r="O753" i="120"/>
  <c r="P753" i="120" s="1"/>
  <c r="O784" i="120"/>
  <c r="P784" i="120" s="1"/>
  <c r="O1090" i="120"/>
  <c r="P1090" i="120" s="1"/>
  <c r="P1122" i="120"/>
  <c r="O1122" i="120"/>
  <c r="O1084" i="120"/>
  <c r="P1084" i="120" s="1"/>
  <c r="O1100" i="120"/>
  <c r="P1100" i="120" s="1"/>
  <c r="O1126" i="120"/>
  <c r="P1126" i="120" s="1"/>
  <c r="O1133" i="120"/>
  <c r="P1133" i="120" s="1"/>
  <c r="O1141" i="120"/>
  <c r="P1141" i="120" s="1"/>
  <c r="P1468" i="120"/>
  <c r="O1468" i="120"/>
  <c r="O1110" i="120"/>
  <c r="P1110" i="120" s="1"/>
  <c r="O1117" i="120"/>
  <c r="P1117" i="120" s="1"/>
  <c r="O1152" i="120"/>
  <c r="P1152" i="120" s="1"/>
  <c r="O1448" i="120"/>
  <c r="P1448" i="120" s="1"/>
  <c r="P1456" i="120"/>
  <c r="O1484" i="120"/>
  <c r="P1484" i="120" s="1"/>
  <c r="O1507" i="120"/>
  <c r="P1507" i="120" s="1"/>
  <c r="O1085" i="120"/>
  <c r="P1085" i="120" s="1"/>
  <c r="O1094" i="120"/>
  <c r="P1094" i="120" s="1"/>
  <c r="O1101" i="120"/>
  <c r="P1101" i="120" s="1"/>
  <c r="O1146" i="120"/>
  <c r="P1146" i="120" s="1"/>
  <c r="O1163" i="120"/>
  <c r="P1163" i="120" s="1"/>
  <c r="O1456" i="120"/>
  <c r="O727" i="120"/>
  <c r="O731" i="120"/>
  <c r="P731" i="120" s="1"/>
  <c r="O735" i="120"/>
  <c r="P735" i="120" s="1"/>
  <c r="O739" i="120"/>
  <c r="P739" i="120" s="1"/>
  <c r="O743" i="120"/>
  <c r="P743" i="120" s="1"/>
  <c r="O751" i="120"/>
  <c r="O755" i="120"/>
  <c r="P755" i="120" s="1"/>
  <c r="O759" i="120"/>
  <c r="P759" i="120" s="1"/>
  <c r="O763" i="120"/>
  <c r="P763" i="120" s="1"/>
  <c r="O767" i="120"/>
  <c r="P767" i="120" s="1"/>
  <c r="O771" i="120"/>
  <c r="P771" i="120" s="1"/>
  <c r="O775" i="120"/>
  <c r="O778" i="120"/>
  <c r="P778" i="120" s="1"/>
  <c r="O782" i="120"/>
  <c r="O786" i="120"/>
  <c r="O789" i="120"/>
  <c r="P789" i="120" s="1"/>
  <c r="O793" i="120"/>
  <c r="P793" i="120" s="1"/>
  <c r="O797" i="120"/>
  <c r="P797" i="120" s="1"/>
  <c r="O811" i="120"/>
  <c r="P811" i="120" s="1"/>
  <c r="O1127" i="120"/>
  <c r="P1127" i="120" s="1"/>
  <c r="O1142" i="120"/>
  <c r="P1142" i="120" s="1"/>
  <c r="O1111" i="120"/>
  <c r="P1111" i="120"/>
  <c r="O1147" i="120"/>
  <c r="P1147" i="120" s="1"/>
  <c r="P1164" i="120"/>
  <c r="P1452" i="120"/>
  <c r="O1472" i="120"/>
  <c r="P1472" i="120" s="1"/>
  <c r="P1490" i="120"/>
  <c r="O1089" i="120"/>
  <c r="P1089" i="120" s="1"/>
  <c r="O1105" i="120"/>
  <c r="P1105" i="120" s="1"/>
  <c r="O1121" i="120"/>
  <c r="P1121" i="120" s="1"/>
  <c r="O1136" i="120"/>
  <c r="P1136" i="120" s="1"/>
  <c r="P1151" i="120"/>
  <c r="O1151" i="120"/>
  <c r="O1162" i="120"/>
  <c r="P1162" i="120" s="1"/>
  <c r="J1433" i="120"/>
  <c r="O1495" i="120"/>
  <c r="P1495" i="120" s="1"/>
  <c r="O1520" i="120"/>
  <c r="P1520" i="120" s="1"/>
  <c r="P1082" i="120"/>
  <c r="O1082" i="120"/>
  <c r="P1098" i="120"/>
  <c r="O1098" i="120"/>
  <c r="O1130" i="120"/>
  <c r="P1130" i="120" s="1"/>
  <c r="P1440" i="120"/>
  <c r="O1475" i="120"/>
  <c r="P1475" i="120" s="1"/>
  <c r="O1485" i="120"/>
  <c r="P1485" i="120"/>
  <c r="O1499" i="120"/>
  <c r="P1499" i="120" s="1"/>
  <c r="P1524" i="120"/>
  <c r="O1524" i="120"/>
  <c r="P1083" i="120"/>
  <c r="O1093" i="120"/>
  <c r="P1093" i="120" s="1"/>
  <c r="P1099" i="120"/>
  <c r="O1104" i="120"/>
  <c r="P1104" i="120" s="1"/>
  <c r="O1109" i="120"/>
  <c r="P1109" i="120" s="1"/>
  <c r="P1115" i="120"/>
  <c r="O1125" i="120"/>
  <c r="P1125" i="120" s="1"/>
  <c r="P1131" i="120"/>
  <c r="O1140" i="120"/>
  <c r="P1140" i="120" s="1"/>
  <c r="O1155" i="120"/>
  <c r="P1155" i="120" s="1"/>
  <c r="O1166" i="120"/>
  <c r="P1166" i="120" s="1"/>
  <c r="O1449" i="120"/>
  <c r="P1449" i="120" s="1"/>
  <c r="O1469" i="120"/>
  <c r="P1469" i="120" s="1"/>
  <c r="O1086" i="120"/>
  <c r="P1086" i="120" s="1"/>
  <c r="O1102" i="120"/>
  <c r="P1102" i="120" s="1"/>
  <c r="O1118" i="120"/>
  <c r="P1118" i="120" s="1"/>
  <c r="O1148" i="120"/>
  <c r="P1148" i="120" s="1"/>
  <c r="P1447" i="120"/>
  <c r="P1451" i="120"/>
  <c r="O1451" i="120"/>
  <c r="O1455" i="120"/>
  <c r="P1455" i="120" s="1"/>
  <c r="O1459" i="120"/>
  <c r="P1459" i="120" s="1"/>
  <c r="O1506" i="120"/>
  <c r="P1506" i="120" s="1"/>
  <c r="P1527" i="120"/>
  <c r="O1527" i="120"/>
  <c r="O2175" i="120"/>
  <c r="P2175" i="120" s="1"/>
  <c r="M1433" i="120"/>
  <c r="O1081" i="120"/>
  <c r="P1081" i="120" s="1"/>
  <c r="O1113" i="120"/>
  <c r="P1113" i="120" s="1"/>
  <c r="O1129" i="120"/>
  <c r="P1129" i="120" s="1"/>
  <c r="O1144" i="120"/>
  <c r="P1144" i="120" s="1"/>
  <c r="O1439" i="120"/>
  <c r="P1439" i="120" s="1"/>
  <c r="O1496" i="120"/>
  <c r="P1496" i="120"/>
  <c r="O1510" i="120"/>
  <c r="P1510" i="120" s="1"/>
  <c r="O1521" i="120"/>
  <c r="P1521" i="120" s="1"/>
  <c r="P1829" i="120"/>
  <c r="O1829" i="120"/>
  <c r="I1433" i="120"/>
  <c r="O1463" i="120"/>
  <c r="P1463" i="120" s="1"/>
  <c r="O1479" i="120"/>
  <c r="P1479" i="120" s="1"/>
  <c r="O1801" i="120"/>
  <c r="P1801" i="120" s="1"/>
  <c r="O1810" i="120"/>
  <c r="P1810" i="120" s="1"/>
  <c r="O1812" i="120"/>
  <c r="P1812" i="120" s="1"/>
  <c r="P1862" i="120"/>
  <c r="O1862" i="120"/>
  <c r="O1876" i="120"/>
  <c r="P1876" i="120" s="1"/>
  <c r="O1467" i="120"/>
  <c r="P1467" i="120" s="1"/>
  <c r="O1483" i="120"/>
  <c r="P1483" i="120" s="1"/>
  <c r="P1494" i="120"/>
  <c r="O1494" i="120"/>
  <c r="O1505" i="120"/>
  <c r="P1505" i="120" s="1"/>
  <c r="O1519" i="120"/>
  <c r="P1519" i="120" s="1"/>
  <c r="O1817" i="120"/>
  <c r="P1817" i="120" s="1"/>
  <c r="I1790" i="120"/>
  <c r="O1476" i="120"/>
  <c r="P1476" i="120" s="1"/>
  <c r="O1802" i="120"/>
  <c r="P1802" i="120" s="1"/>
  <c r="O1804" i="120"/>
  <c r="P1804" i="120" s="1"/>
  <c r="J1790" i="120"/>
  <c r="M1438" i="120"/>
  <c r="O1440" i="120"/>
  <c r="O1471" i="120"/>
  <c r="P1471" i="120" s="1"/>
  <c r="P1477" i="120"/>
  <c r="O1487" i="120"/>
  <c r="P1487" i="120" s="1"/>
  <c r="O1498" i="120"/>
  <c r="P1498" i="120" s="1"/>
  <c r="O1509" i="120"/>
  <c r="P1509" i="120" s="1"/>
  <c r="O1523" i="120"/>
  <c r="P1523" i="120" s="1"/>
  <c r="O1825" i="120"/>
  <c r="P1825" i="120" s="1"/>
  <c r="O1845" i="120"/>
  <c r="P1845" i="120" s="1"/>
  <c r="O2211" i="120"/>
  <c r="P2211" i="120" s="1"/>
  <c r="O1464" i="120"/>
  <c r="P1464" i="120" s="1"/>
  <c r="O1480" i="120"/>
  <c r="P1480" i="120" s="1"/>
  <c r="O1809" i="120"/>
  <c r="P1809" i="120" s="1"/>
  <c r="O1818" i="120"/>
  <c r="P1818" i="120" s="1"/>
  <c r="O1850" i="120"/>
  <c r="P1850" i="120" s="1"/>
  <c r="O1799" i="120"/>
  <c r="P1799" i="120" s="1"/>
  <c r="P1807" i="120"/>
  <c r="O1807" i="120"/>
  <c r="O1815" i="120"/>
  <c r="P1815" i="120" s="1"/>
  <c r="O1822" i="120"/>
  <c r="P1822" i="120" s="1"/>
  <c r="O1867" i="120"/>
  <c r="P1867" i="120" s="1"/>
  <c r="P1881" i="120"/>
  <c r="O1881" i="120"/>
  <c r="P2153" i="120"/>
  <c r="O2153" i="120"/>
  <c r="O1798" i="120"/>
  <c r="P1798" i="120" s="1"/>
  <c r="O1806" i="120"/>
  <c r="P1806" i="120" s="1"/>
  <c r="O1814" i="120"/>
  <c r="P1814" i="120" s="1"/>
  <c r="P1826" i="120"/>
  <c r="O1826" i="120"/>
  <c r="O1833" i="120"/>
  <c r="P1833" i="120" s="1"/>
  <c r="O1839" i="120"/>
  <c r="P1839" i="120" s="1"/>
  <c r="O1851" i="120"/>
  <c r="P1851" i="120" s="1"/>
  <c r="O2201" i="120"/>
  <c r="P2201" i="120" s="1"/>
  <c r="O1856" i="120"/>
  <c r="P1856" i="120" s="1"/>
  <c r="O1803" i="120"/>
  <c r="P1803" i="120" s="1"/>
  <c r="O1811" i="120"/>
  <c r="P1811" i="120" s="1"/>
  <c r="O1836" i="120"/>
  <c r="P1836" i="120" s="1"/>
  <c r="O1861" i="120"/>
  <c r="P1861" i="120" s="1"/>
  <c r="O1797" i="120"/>
  <c r="P1797" i="120" s="1"/>
  <c r="O1800" i="120"/>
  <c r="P1800" i="120" s="1"/>
  <c r="O1805" i="120"/>
  <c r="P1805" i="120" s="1"/>
  <c r="O1808" i="120"/>
  <c r="P1808" i="120" s="1"/>
  <c r="O1813" i="120"/>
  <c r="P1813" i="120" s="1"/>
  <c r="O1816" i="120"/>
  <c r="P1816" i="120" s="1"/>
  <c r="O1834" i="120"/>
  <c r="P1834" i="120"/>
  <c r="O1840" i="120"/>
  <c r="P1840" i="120" s="1"/>
  <c r="O2224" i="120"/>
  <c r="P2224" i="120" s="1"/>
  <c r="O1820" i="120"/>
  <c r="P1820" i="120" s="1"/>
  <c r="O1824" i="120"/>
  <c r="P1824" i="120" s="1"/>
  <c r="O1828" i="120"/>
  <c r="P1828" i="120" s="1"/>
  <c r="O1844" i="120"/>
  <c r="P1844" i="120" s="1"/>
  <c r="O1855" i="120"/>
  <c r="P1855" i="120" s="1"/>
  <c r="O1866" i="120"/>
  <c r="P1866" i="120" s="1"/>
  <c r="O1880" i="120"/>
  <c r="P1880" i="120" s="1"/>
  <c r="O2168" i="120"/>
  <c r="P2168" i="120" s="1"/>
  <c r="O2197" i="120"/>
  <c r="P2197" i="120" s="1"/>
  <c r="O1819" i="120"/>
  <c r="P1819" i="120" s="1"/>
  <c r="O1823" i="120"/>
  <c r="P1823" i="120" s="1"/>
  <c r="O1827" i="120"/>
  <c r="P1827" i="120" s="1"/>
  <c r="O1837" i="120"/>
  <c r="P1837" i="120" s="1"/>
  <c r="O1832" i="120"/>
  <c r="P1832" i="120" s="1"/>
  <c r="P1838" i="120"/>
  <c r="P1849" i="120"/>
  <c r="P1860" i="120"/>
  <c r="P1884" i="120"/>
  <c r="O1884" i="120"/>
  <c r="O2212" i="120"/>
  <c r="P2212" i="120" s="1"/>
  <c r="O1841" i="120"/>
  <c r="P1841" i="120" s="1"/>
  <c r="O1852" i="120"/>
  <c r="P1852" i="120" s="1"/>
  <c r="O1863" i="120"/>
  <c r="P1863" i="120" s="1"/>
  <c r="O1877" i="120"/>
  <c r="P1877" i="120" s="1"/>
  <c r="O2174" i="120"/>
  <c r="P2174" i="120" s="1"/>
  <c r="O2220" i="120"/>
  <c r="P2220" i="120" s="1"/>
  <c r="O2164" i="120"/>
  <c r="P2164" i="120" s="1"/>
  <c r="O2186" i="120"/>
  <c r="P2186" i="120" s="1"/>
  <c r="O2158" i="120"/>
  <c r="P2158" i="120" s="1"/>
  <c r="O2181" i="120"/>
  <c r="P2181" i="120" s="1"/>
  <c r="P2189" i="120"/>
  <c r="O2214" i="120"/>
  <c r="P2214" i="120" s="1"/>
  <c r="I2147" i="120"/>
  <c r="O2159" i="120"/>
  <c r="P2159" i="120" s="1"/>
  <c r="O2169" i="120"/>
  <c r="P2169" i="120" s="1"/>
  <c r="J2147" i="120"/>
  <c r="O2185" i="120"/>
  <c r="P2185" i="120" s="1"/>
  <c r="M1795" i="120"/>
  <c r="O2154" i="120"/>
  <c r="P2154" i="120" s="1"/>
  <c r="P2190" i="120"/>
  <c r="O2208" i="120"/>
  <c r="P2208" i="120" s="1"/>
  <c r="O2219" i="120"/>
  <c r="P2219" i="120" s="1"/>
  <c r="O2236" i="120"/>
  <c r="P2236" i="120"/>
  <c r="O2241" i="120"/>
  <c r="P2241" i="120" s="1"/>
  <c r="P2170" i="120"/>
  <c r="O2170" i="120"/>
  <c r="O2190" i="120"/>
  <c r="O2193" i="120"/>
  <c r="P2193" i="120" s="1"/>
  <c r="O2202" i="120"/>
  <c r="P2202" i="120" s="1"/>
  <c r="O2213" i="120"/>
  <c r="P2213" i="120" s="1"/>
  <c r="O2191" i="120"/>
  <c r="P2191" i="120" s="1"/>
  <c r="O2238" i="120"/>
  <c r="P2238" i="120" s="1"/>
  <c r="O2180" i="120"/>
  <c r="P2180" i="120"/>
  <c r="P2184" i="120"/>
  <c r="O2196" i="120"/>
  <c r="P2196" i="120" s="1"/>
  <c r="P2200" i="120"/>
  <c r="O2223" i="120"/>
  <c r="P2223" i="120" s="1"/>
  <c r="O2163" i="120"/>
  <c r="P2163" i="120" s="1"/>
  <c r="P2207" i="120"/>
  <c r="O2209" i="120"/>
  <c r="P2209" i="120" s="1"/>
  <c r="O2235" i="120"/>
  <c r="P2235" i="120" s="1"/>
  <c r="O2157" i="120"/>
  <c r="P2157" i="120" s="1"/>
  <c r="O2165" i="120"/>
  <c r="P2165" i="120" s="1"/>
  <c r="P2225" i="120"/>
  <c r="O2225" i="120"/>
  <c r="O2237" i="120"/>
  <c r="P2237" i="120" s="1"/>
  <c r="O2540" i="120"/>
  <c r="P2540" i="120" s="1"/>
  <c r="M2504" i="120"/>
  <c r="O2152" i="120"/>
  <c r="P2152" i="120" s="1"/>
  <c r="O2162" i="120"/>
  <c r="P2162" i="120" s="1"/>
  <c r="P2173" i="120"/>
  <c r="P2178" i="120"/>
  <c r="O2233" i="120"/>
  <c r="P2233" i="120" s="1"/>
  <c r="O2234" i="120"/>
  <c r="P2234" i="120" s="1"/>
  <c r="P2182" i="120"/>
  <c r="O2187" i="120"/>
  <c r="P2187" i="120" s="1"/>
  <c r="P2192" i="120"/>
  <c r="O2203" i="120"/>
  <c r="P2203" i="120" s="1"/>
  <c r="O2221" i="120"/>
  <c r="P2221" i="120" s="1"/>
  <c r="P2226" i="120"/>
  <c r="O2533" i="120"/>
  <c r="P2533" i="120" s="1"/>
  <c r="I2504" i="120"/>
  <c r="O2161" i="120"/>
  <c r="P2161" i="120" s="1"/>
  <c r="O2166" i="120"/>
  <c r="P2166" i="120" s="1"/>
  <c r="O2177" i="120"/>
  <c r="P2177" i="120" s="1"/>
  <c r="O2182" i="120"/>
  <c r="P2194" i="120"/>
  <c r="O2198" i="120"/>
  <c r="P2198" i="120" s="1"/>
  <c r="J2504" i="120"/>
  <c r="O2510" i="120"/>
  <c r="P2510" i="120" s="1"/>
  <c r="O2517" i="120"/>
  <c r="P2517" i="120" s="1"/>
  <c r="O2526" i="120"/>
  <c r="P2526" i="120" s="1"/>
  <c r="O2577" i="120"/>
  <c r="P2577" i="120" s="1"/>
  <c r="I2861" i="120"/>
  <c r="P2553" i="120"/>
  <c r="O2521" i="120"/>
  <c r="P2521" i="120"/>
  <c r="M2861" i="120"/>
  <c r="O2509" i="120"/>
  <c r="P2509" i="120" s="1"/>
  <c r="O2537" i="120"/>
  <c r="P2537" i="120" s="1"/>
  <c r="O2559" i="120"/>
  <c r="P2559" i="120" s="1"/>
  <c r="O2518" i="120"/>
  <c r="P2518" i="120" s="1"/>
  <c r="O2556" i="120"/>
  <c r="P2556" i="120" s="1"/>
  <c r="O2525" i="120"/>
  <c r="P2525" i="120" s="1"/>
  <c r="O2544" i="120"/>
  <c r="P2544" i="120" s="1"/>
  <c r="P2549" i="120"/>
  <c r="O2566" i="120"/>
  <c r="P2566" i="120" s="1"/>
  <c r="O2516" i="120"/>
  <c r="P2516" i="120" s="1"/>
  <c r="O2524" i="120"/>
  <c r="P2524" i="120" s="1"/>
  <c r="O2569" i="120"/>
  <c r="P2569" i="120" s="1"/>
  <c r="O2539" i="120"/>
  <c r="P2539" i="120" s="1"/>
  <c r="O2552" i="120"/>
  <c r="P2552" i="120" s="1"/>
  <c r="O2555" i="120"/>
  <c r="P2555" i="120" s="1"/>
  <c r="O2561" i="120"/>
  <c r="P2561" i="120"/>
  <c r="P2519" i="120"/>
  <c r="O2545" i="120"/>
  <c r="P2545" i="120" s="1"/>
  <c r="O2557" i="120"/>
  <c r="P2557" i="120"/>
  <c r="O2564" i="120"/>
  <c r="P2564" i="120" s="1"/>
  <c r="O2511" i="120"/>
  <c r="P2511" i="120" s="1"/>
  <c r="P2515" i="120"/>
  <c r="O2515" i="120"/>
  <c r="O2519" i="120"/>
  <c r="O2523" i="120"/>
  <c r="P2523" i="120" s="1"/>
  <c r="O2527" i="120"/>
  <c r="P2527" i="120" s="1"/>
  <c r="P2554" i="120"/>
  <c r="O2560" i="120"/>
  <c r="P2560" i="120" s="1"/>
  <c r="O2572" i="120"/>
  <c r="P2572" i="120" s="1"/>
  <c r="O2594" i="120"/>
  <c r="P2594" i="120"/>
  <c r="O2536" i="120"/>
  <c r="P2536" i="120" s="1"/>
  <c r="O2541" i="120"/>
  <c r="P2541" i="120" s="1"/>
  <c r="P2565" i="120"/>
  <c r="O2568" i="120"/>
  <c r="P2568" i="120" s="1"/>
  <c r="J2861" i="120"/>
  <c r="O2579" i="120"/>
  <c r="P2579" i="120" s="1"/>
  <c r="P2512" i="120"/>
  <c r="P2520" i="120"/>
  <c r="P2528" i="120"/>
  <c r="O2581" i="120"/>
  <c r="P2581" i="120" s="1"/>
  <c r="O2590" i="120"/>
  <c r="P2590" i="120" s="1"/>
  <c r="O2592" i="120"/>
  <c r="P2592" i="120"/>
  <c r="O2532" i="120"/>
  <c r="P2532" i="120" s="1"/>
  <c r="O2548" i="120"/>
  <c r="P2548" i="120" s="1"/>
  <c r="O2576" i="120"/>
  <c r="P2576" i="120" s="1"/>
  <c r="O2583" i="120"/>
  <c r="P2583" i="120" s="1"/>
  <c r="O2598" i="120"/>
  <c r="P2598" i="120" s="1"/>
  <c r="P2575" i="120"/>
  <c r="O2575" i="120"/>
  <c r="O2580" i="120"/>
  <c r="P2580" i="120" s="1"/>
  <c r="O2595" i="120"/>
  <c r="P2595" i="120" s="1"/>
  <c r="O2591" i="120"/>
  <c r="P2591" i="120" s="1"/>
  <c r="K40" i="119" l="1"/>
  <c r="F41" i="119"/>
  <c r="K65" i="119"/>
  <c r="F66" i="119"/>
  <c r="K66" i="119" s="1"/>
  <c r="K26" i="119"/>
  <c r="F27" i="119"/>
  <c r="K58" i="119"/>
  <c r="F59" i="119"/>
  <c r="K13" i="119"/>
  <c r="F14" i="119"/>
  <c r="T39" i="119"/>
  <c r="T362" i="119" s="1"/>
  <c r="R362" i="119"/>
  <c r="K21" i="119"/>
  <c r="F22" i="119"/>
  <c r="K22" i="119" s="1"/>
  <c r="F36" i="119"/>
  <c r="F37" i="119" s="1"/>
  <c r="K35" i="119"/>
  <c r="AT362" i="119"/>
  <c r="M719" i="120"/>
  <c r="O367" i="120"/>
  <c r="P367" i="120" s="1"/>
  <c r="P724" i="120"/>
  <c r="M1076" i="120"/>
  <c r="O724" i="120"/>
  <c r="O1795" i="120"/>
  <c r="P1795" i="120" s="1"/>
  <c r="M2147" i="120"/>
  <c r="F1074" i="120"/>
  <c r="H717" i="120"/>
  <c r="N717" i="120" s="1"/>
  <c r="O10" i="120"/>
  <c r="P10" i="120" s="1"/>
  <c r="M362" i="120"/>
  <c r="F843" i="120"/>
  <c r="H486" i="120"/>
  <c r="N486" i="120" s="1"/>
  <c r="M1790" i="120"/>
  <c r="O1438" i="120"/>
  <c r="P1438" i="120" s="1"/>
  <c r="K27" i="119" l="1"/>
  <c r="F28" i="119"/>
  <c r="K14" i="119"/>
  <c r="F15" i="119"/>
  <c r="K15" i="119" s="1"/>
  <c r="F42" i="119"/>
  <c r="K41" i="119"/>
  <c r="F60" i="119"/>
  <c r="K59" i="119"/>
  <c r="F1431" i="120"/>
  <c r="H1074" i="120"/>
  <c r="N1074" i="120" s="1"/>
  <c r="F1200" i="120"/>
  <c r="H843" i="120"/>
  <c r="N843" i="120" s="1"/>
  <c r="F43" i="119" l="1"/>
  <c r="K42" i="119"/>
  <c r="F1788" i="120"/>
  <c r="H1431" i="120"/>
  <c r="N1431" i="120" s="1"/>
  <c r="F1557" i="120"/>
  <c r="H1200" i="120"/>
  <c r="N1200" i="120" s="1"/>
  <c r="K43" i="119" l="1"/>
  <c r="F44" i="119"/>
  <c r="H1557" i="120"/>
  <c r="N1557" i="120" s="1"/>
  <c r="F1914" i="120"/>
  <c r="F2145" i="120"/>
  <c r="H1788" i="120"/>
  <c r="N1788" i="120" s="1"/>
  <c r="F45" i="119" l="1"/>
  <c r="K44" i="119"/>
  <c r="F2502" i="120"/>
  <c r="H2145" i="120"/>
  <c r="N2145" i="120" s="1"/>
  <c r="F2271" i="120"/>
  <c r="H1914" i="120"/>
  <c r="N1914" i="120" s="1"/>
  <c r="F46" i="119" l="1"/>
  <c r="K45" i="119"/>
  <c r="F2628" i="120"/>
  <c r="H2628" i="120" s="1"/>
  <c r="N2628" i="120" s="1"/>
  <c r="H2271" i="120"/>
  <c r="N2271" i="120" s="1"/>
  <c r="F2859" i="120"/>
  <c r="H2859" i="120" s="1"/>
  <c r="N2859" i="120" s="1"/>
  <c r="H2502" i="120"/>
  <c r="N2502" i="120" s="1"/>
  <c r="G368" i="120"/>
  <c r="G725" i="120" s="1"/>
  <c r="G1082" i="120" s="1"/>
  <c r="G1439" i="120" s="1"/>
  <c r="G1796" i="120" s="1"/>
  <c r="G2153" i="120" s="1"/>
  <c r="G2510" i="120" s="1"/>
  <c r="G369" i="120"/>
  <c r="G726" i="120" s="1"/>
  <c r="G1083" i="120" s="1"/>
  <c r="G1440" i="120" s="1"/>
  <c r="G1797" i="120" s="1"/>
  <c r="G2154" i="120" s="1"/>
  <c r="G2511" i="120" s="1"/>
  <c r="G370" i="120"/>
  <c r="G727" i="120" s="1"/>
  <c r="G1084" i="120" s="1"/>
  <c r="G1441" i="120" s="1"/>
  <c r="G1798" i="120" s="1"/>
  <c r="G2155" i="120" s="1"/>
  <c r="G2512" i="120" s="1"/>
  <c r="G372" i="120"/>
  <c r="G729" i="120" s="1"/>
  <c r="G1086" i="120" s="1"/>
  <c r="G1443" i="120" s="1"/>
  <c r="G1800" i="120" s="1"/>
  <c r="G2157" i="120" s="1"/>
  <c r="G2514" i="120" s="1"/>
  <c r="G373" i="120"/>
  <c r="G730" i="120" s="1"/>
  <c r="G1087" i="120" s="1"/>
  <c r="G1444" i="120" s="1"/>
  <c r="G1801" i="120" s="1"/>
  <c r="G2158" i="120" s="1"/>
  <c r="G2515" i="120" s="1"/>
  <c r="G374" i="120"/>
  <c r="G731" i="120" s="1"/>
  <c r="G1088" i="120" s="1"/>
  <c r="G1445" i="120" s="1"/>
  <c r="G1802" i="120" s="1"/>
  <c r="G2159" i="120" s="1"/>
  <c r="G2516" i="120" s="1"/>
  <c r="G378" i="120"/>
  <c r="G735" i="120" s="1"/>
  <c r="G1092" i="120" s="1"/>
  <c r="G1449" i="120" s="1"/>
  <c r="G1806" i="120" s="1"/>
  <c r="G2163" i="120" s="1"/>
  <c r="G2520" i="120" s="1"/>
  <c r="G379" i="120"/>
  <c r="G736" i="120" s="1"/>
  <c r="G1093" i="120" s="1"/>
  <c r="G1450" i="120" s="1"/>
  <c r="G1807" i="120" s="1"/>
  <c r="G2164" i="120" s="1"/>
  <c r="G2521" i="120" s="1"/>
  <c r="G380" i="120"/>
  <c r="G737" i="120" s="1"/>
  <c r="G1094" i="120" s="1"/>
  <c r="G1451" i="120" s="1"/>
  <c r="G1808" i="120" s="1"/>
  <c r="G2165" i="120" s="1"/>
  <c r="G2522" i="120" s="1"/>
  <c r="G381" i="120"/>
  <c r="G738" i="120" s="1"/>
  <c r="G1095" i="120" s="1"/>
  <c r="G1452" i="120" s="1"/>
  <c r="G1809" i="120" s="1"/>
  <c r="G2166" i="120" s="1"/>
  <c r="G2523" i="120" s="1"/>
  <c r="G383" i="120"/>
  <c r="G740" i="120" s="1"/>
  <c r="G1097" i="120" s="1"/>
  <c r="G385" i="120"/>
  <c r="G742" i="120" s="1"/>
  <c r="G1099" i="120" s="1"/>
  <c r="G1456" i="120" s="1"/>
  <c r="G1813" i="120" s="1"/>
  <c r="G2170" i="120" s="1"/>
  <c r="G2527" i="120" s="1"/>
  <c r="G386" i="120"/>
  <c r="G743" i="120" s="1"/>
  <c r="G1100" i="120" s="1"/>
  <c r="G1457" i="120" s="1"/>
  <c r="G1814" i="120" s="1"/>
  <c r="G2171" i="120" s="1"/>
  <c r="G2528" i="120" s="1"/>
  <c r="G388" i="120"/>
  <c r="G745" i="120" s="1"/>
  <c r="G1102" i="120" s="1"/>
  <c r="G1459" i="120" s="1"/>
  <c r="G1816" i="120" s="1"/>
  <c r="G2173" i="120" s="1"/>
  <c r="G2530" i="120" s="1"/>
  <c r="G389" i="120"/>
  <c r="G746" i="120" s="1"/>
  <c r="G1103" i="120" s="1"/>
  <c r="G1460" i="120" s="1"/>
  <c r="G1817" i="120" s="1"/>
  <c r="G2174" i="120" s="1"/>
  <c r="G2531" i="120" s="1"/>
  <c r="G390" i="120"/>
  <c r="G747" i="120" s="1"/>
  <c r="G393" i="120"/>
  <c r="G750" i="120" s="1"/>
  <c r="G1107" i="120" s="1"/>
  <c r="G1464" i="120" s="1"/>
  <c r="G1821" i="120" s="1"/>
  <c r="G2178" i="120" s="1"/>
  <c r="G2535" i="120" s="1"/>
  <c r="G394" i="120"/>
  <c r="G751" i="120" s="1"/>
  <c r="G1108" i="120" s="1"/>
  <c r="G1465" i="120" s="1"/>
  <c r="G1822" i="120" s="1"/>
  <c r="G2179" i="120" s="1"/>
  <c r="G2536" i="120" s="1"/>
  <c r="G395" i="120"/>
  <c r="G752" i="120" s="1"/>
  <c r="G1109" i="120" s="1"/>
  <c r="G1466" i="120" s="1"/>
  <c r="G1823" i="120" s="1"/>
  <c r="G2180" i="120" s="1"/>
  <c r="G2537" i="120" s="1"/>
  <c r="G398" i="120"/>
  <c r="G755" i="120" s="1"/>
  <c r="G1112" i="120" s="1"/>
  <c r="G400" i="120"/>
  <c r="G757" i="120" s="1"/>
  <c r="G1114" i="120" s="1"/>
  <c r="G404" i="120"/>
  <c r="G761" i="120" s="1"/>
  <c r="G1118" i="120" s="1"/>
  <c r="G1475" i="120" s="1"/>
  <c r="G1832" i="120" s="1"/>
  <c r="G2189" i="120" s="1"/>
  <c r="G2546" i="120" s="1"/>
  <c r="G405" i="120"/>
  <c r="G762" i="120" s="1"/>
  <c r="G408" i="120"/>
  <c r="G765" i="120" s="1"/>
  <c r="G1122" i="120" s="1"/>
  <c r="G1479" i="120" s="1"/>
  <c r="G1836" i="120" s="1"/>
  <c r="G2193" i="120" s="1"/>
  <c r="G2550" i="120" s="1"/>
  <c r="G409" i="120"/>
  <c r="G766" i="120" s="1"/>
  <c r="G1123" i="120" s="1"/>
  <c r="G1480" i="120" s="1"/>
  <c r="G1837" i="120" s="1"/>
  <c r="G2194" i="120" s="1"/>
  <c r="G2551" i="120" s="1"/>
  <c r="G412" i="120"/>
  <c r="G769" i="120" s="1"/>
  <c r="G1126" i="120" s="1"/>
  <c r="G1483" i="120" s="1"/>
  <c r="G1840" i="120" s="1"/>
  <c r="G2197" i="120" s="1"/>
  <c r="G2554" i="120" s="1"/>
  <c r="G413" i="120"/>
  <c r="G770" i="120" s="1"/>
  <c r="G1127" i="120" s="1"/>
  <c r="G1484" i="120" s="1"/>
  <c r="G1841" i="120" s="1"/>
  <c r="G2198" i="120" s="1"/>
  <c r="G2555" i="120" s="1"/>
  <c r="G414" i="120"/>
  <c r="G771" i="120" s="1"/>
  <c r="G1128" i="120" s="1"/>
  <c r="G1485" i="120" s="1"/>
  <c r="G1842" i="120" s="1"/>
  <c r="G2199" i="120" s="1"/>
  <c r="G2556" i="120" s="1"/>
  <c r="G418" i="120"/>
  <c r="G775" i="120" s="1"/>
  <c r="G1132" i="120" s="1"/>
  <c r="G1489" i="120" s="1"/>
  <c r="G1846" i="120" s="1"/>
  <c r="G2203" i="120" s="1"/>
  <c r="G2560" i="120" s="1"/>
  <c r="G420" i="120"/>
  <c r="G777" i="120" s="1"/>
  <c r="G1134" i="120" s="1"/>
  <c r="G1491" i="120" s="1"/>
  <c r="G1848" i="120" s="1"/>
  <c r="G2205" i="120" s="1"/>
  <c r="G2562" i="120" s="1"/>
  <c r="G423" i="120"/>
  <c r="G780" i="120" s="1"/>
  <c r="G1137" i="120" s="1"/>
  <c r="G1494" i="120" s="1"/>
  <c r="G1851" i="120" s="1"/>
  <c r="G2208" i="120" s="1"/>
  <c r="G2565" i="120" s="1"/>
  <c r="G424" i="120"/>
  <c r="G781" i="120" s="1"/>
  <c r="G1138" i="120" s="1"/>
  <c r="G1495" i="120" s="1"/>
  <c r="G1852" i="120" s="1"/>
  <c r="G2209" i="120" s="1"/>
  <c r="G2566" i="120" s="1"/>
  <c r="G425" i="120"/>
  <c r="G782" i="120" s="1"/>
  <c r="G1139" i="120" s="1"/>
  <c r="G426" i="120"/>
  <c r="G783" i="120" s="1"/>
  <c r="G1140" i="120" s="1"/>
  <c r="G1497" i="120" s="1"/>
  <c r="G1854" i="120" s="1"/>
  <c r="G2211" i="120" s="1"/>
  <c r="G2568" i="120" s="1"/>
  <c r="G427" i="120"/>
  <c r="G784" i="120" s="1"/>
  <c r="G1141" i="120" s="1"/>
  <c r="G1498" i="120" s="1"/>
  <c r="G1855" i="120" s="1"/>
  <c r="G2212" i="120" s="1"/>
  <c r="G2569" i="120" s="1"/>
  <c r="G429" i="120"/>
  <c r="G786" i="120" s="1"/>
  <c r="G1143" i="120" s="1"/>
  <c r="G1500" i="120" s="1"/>
  <c r="G1857" i="120" s="1"/>
  <c r="G2214" i="120" s="1"/>
  <c r="G2571" i="120" s="1"/>
  <c r="G431" i="120"/>
  <c r="G788" i="120" s="1"/>
  <c r="G1145" i="120" s="1"/>
  <c r="G1502" i="120" s="1"/>
  <c r="G1859" i="120" s="1"/>
  <c r="G2216" i="120" s="1"/>
  <c r="G2573" i="120" s="1"/>
  <c r="G433" i="120"/>
  <c r="G790" i="120" s="1"/>
  <c r="G1147" i="120" s="1"/>
  <c r="G1504" i="120" s="1"/>
  <c r="G1861" i="120" s="1"/>
  <c r="G2218" i="120" s="1"/>
  <c r="G2575" i="120" s="1"/>
  <c r="G434" i="120"/>
  <c r="G791" i="120" s="1"/>
  <c r="G1148" i="120" s="1"/>
  <c r="G1505" i="120" s="1"/>
  <c r="G1862" i="120" s="1"/>
  <c r="G2219" i="120" s="1"/>
  <c r="G2576" i="120" s="1"/>
  <c r="G436" i="120"/>
  <c r="G793" i="120" s="1"/>
  <c r="G1150" i="120" s="1"/>
  <c r="G1507" i="120" s="1"/>
  <c r="G1864" i="120" s="1"/>
  <c r="G2221" i="120" s="1"/>
  <c r="G2578" i="120" s="1"/>
  <c r="G437" i="120"/>
  <c r="G794" i="120" s="1"/>
  <c r="G1151" i="120" s="1"/>
  <c r="G1508" i="120" s="1"/>
  <c r="G1865" i="120" s="1"/>
  <c r="G2222" i="120" s="1"/>
  <c r="G2579" i="120" s="1"/>
  <c r="G438" i="120"/>
  <c r="G795" i="120" s="1"/>
  <c r="G1152" i="120" s="1"/>
  <c r="G1509" i="120" s="1"/>
  <c r="G1866" i="120" s="1"/>
  <c r="G2223" i="120" s="1"/>
  <c r="G2580" i="120" s="1"/>
  <c r="G440" i="120"/>
  <c r="G797" i="120" s="1"/>
  <c r="G1154" i="120" s="1"/>
  <c r="G1511" i="120" s="1"/>
  <c r="G1868" i="120" s="1"/>
  <c r="G2225" i="120" s="1"/>
  <c r="G2582" i="120" s="1"/>
  <c r="G442" i="120"/>
  <c r="G799" i="120" s="1"/>
  <c r="G1156" i="120" s="1"/>
  <c r="G1513" i="120" s="1"/>
  <c r="G1870" i="120" s="1"/>
  <c r="G2227" i="120" s="1"/>
  <c r="G2584" i="120" s="1"/>
  <c r="G443" i="120"/>
  <c r="G800" i="120" s="1"/>
  <c r="G1157" i="120" s="1"/>
  <c r="G1514" i="120" s="1"/>
  <c r="G1871" i="120" s="1"/>
  <c r="G2228" i="120" s="1"/>
  <c r="G2585" i="120" s="1"/>
  <c r="G444" i="120"/>
  <c r="G801" i="120" s="1"/>
  <c r="G1158" i="120" s="1"/>
  <c r="G1515" i="120" s="1"/>
  <c r="G1872" i="120" s="1"/>
  <c r="G2229" i="120" s="1"/>
  <c r="G2586" i="120" s="1"/>
  <c r="G446" i="120"/>
  <c r="G803" i="120" s="1"/>
  <c r="G1160" i="120" s="1"/>
  <c r="G1517" i="120" s="1"/>
  <c r="G1874" i="120" s="1"/>
  <c r="G2231" i="120" s="1"/>
  <c r="G2588" i="120" s="1"/>
  <c r="G447" i="120"/>
  <c r="G804" i="120" s="1"/>
  <c r="G1161" i="120" s="1"/>
  <c r="G1518" i="120" s="1"/>
  <c r="G1875" i="120" s="1"/>
  <c r="G2232" i="120" s="1"/>
  <c r="G2589" i="120" s="1"/>
  <c r="G448" i="120"/>
  <c r="G805" i="120" s="1"/>
  <c r="G1162" i="120" s="1"/>
  <c r="G1519" i="120" s="1"/>
  <c r="G1876" i="120" s="1"/>
  <c r="G2233" i="120" s="1"/>
  <c r="G2590" i="120" s="1"/>
  <c r="G449" i="120"/>
  <c r="G806" i="120" s="1"/>
  <c r="G450" i="120"/>
  <c r="G807" i="120" s="1"/>
  <c r="G451" i="120"/>
  <c r="G808" i="120" s="1"/>
  <c r="G453" i="120"/>
  <c r="G810" i="120" s="1"/>
  <c r="G1167" i="120" s="1"/>
  <c r="G1524" i="120" s="1"/>
  <c r="G1881" i="120" s="1"/>
  <c r="G2238" i="120" s="1"/>
  <c r="G2595" i="120" s="1"/>
  <c r="G454" i="120"/>
  <c r="G811" i="120" s="1"/>
  <c r="G1168" i="120" s="1"/>
  <c r="G1525" i="120" s="1"/>
  <c r="G1882" i="120" s="1"/>
  <c r="G2239" i="120" s="1"/>
  <c r="G2596" i="120" s="1"/>
  <c r="G455" i="120"/>
  <c r="G812" i="120" s="1"/>
  <c r="G1169" i="120" s="1"/>
  <c r="G456" i="120"/>
  <c r="G813" i="120" s="1"/>
  <c r="G1170" i="120" s="1"/>
  <c r="G457" i="120"/>
  <c r="G814" i="120" s="1"/>
  <c r="G1171" i="120" s="1"/>
  <c r="G1528" i="120" s="1"/>
  <c r="G1885" i="120" s="1"/>
  <c r="G2242" i="120" s="1"/>
  <c r="G2599" i="120" s="1"/>
  <c r="G458" i="120"/>
  <c r="G815" i="120" s="1"/>
  <c r="G1172" i="120" s="1"/>
  <c r="G1529" i="120" s="1"/>
  <c r="G1886" i="120" s="1"/>
  <c r="G2243" i="120" s="1"/>
  <c r="G2600" i="120" s="1"/>
  <c r="G459" i="120"/>
  <c r="G816" i="120" s="1"/>
  <c r="G1173" i="120" s="1"/>
  <c r="G1530" i="120" s="1"/>
  <c r="G1887" i="120" s="1"/>
  <c r="G2244" i="120" s="1"/>
  <c r="G2601" i="120" s="1"/>
  <c r="G460" i="120"/>
  <c r="G817" i="120" s="1"/>
  <c r="G1174" i="120" s="1"/>
  <c r="G1531" i="120" s="1"/>
  <c r="G1888" i="120" s="1"/>
  <c r="G2245" i="120" s="1"/>
  <c r="G2602" i="120" s="1"/>
  <c r="G461" i="120"/>
  <c r="G818" i="120" s="1"/>
  <c r="G1175" i="120" s="1"/>
  <c r="G1532" i="120" s="1"/>
  <c r="G1889" i="120" s="1"/>
  <c r="G2246" i="120" s="1"/>
  <c r="G2603" i="120" s="1"/>
  <c r="G462" i="120"/>
  <c r="G819" i="120" s="1"/>
  <c r="G1176" i="120" s="1"/>
  <c r="G1533" i="120" s="1"/>
  <c r="G1890" i="120" s="1"/>
  <c r="G2247" i="120" s="1"/>
  <c r="G2604" i="120" s="1"/>
  <c r="G463" i="120"/>
  <c r="G820" i="120" s="1"/>
  <c r="G1177" i="120" s="1"/>
  <c r="G1534" i="120" s="1"/>
  <c r="G1891" i="120" s="1"/>
  <c r="G2248" i="120" s="1"/>
  <c r="G2605" i="120" s="1"/>
  <c r="G464" i="120"/>
  <c r="G821" i="120" s="1"/>
  <c r="G1178" i="120" s="1"/>
  <c r="G1535" i="120" s="1"/>
  <c r="G1892" i="120" s="1"/>
  <c r="G2249" i="120" s="1"/>
  <c r="G2606" i="120" s="1"/>
  <c r="G465" i="120"/>
  <c r="G822" i="120" s="1"/>
  <c r="G1179" i="120" s="1"/>
  <c r="G1536" i="120" s="1"/>
  <c r="G1893" i="120" s="1"/>
  <c r="G2250" i="120" s="1"/>
  <c r="G2607" i="120" s="1"/>
  <c r="G466" i="120"/>
  <c r="G823" i="120" s="1"/>
  <c r="G1180" i="120" s="1"/>
  <c r="G1537" i="120" s="1"/>
  <c r="G1894" i="120" s="1"/>
  <c r="G2251" i="120" s="1"/>
  <c r="G2608" i="120" s="1"/>
  <c r="G467" i="120"/>
  <c r="G824" i="120" s="1"/>
  <c r="G1181" i="120" s="1"/>
  <c r="G1538" i="120" s="1"/>
  <c r="G1895" i="120" s="1"/>
  <c r="G2252" i="120" s="1"/>
  <c r="G2609" i="120" s="1"/>
  <c r="G468" i="120"/>
  <c r="G825" i="120" s="1"/>
  <c r="G1182" i="120" s="1"/>
  <c r="G1539" i="120" s="1"/>
  <c r="G1896" i="120" s="1"/>
  <c r="G2253" i="120" s="1"/>
  <c r="G2610" i="120" s="1"/>
  <c r="G469" i="120"/>
  <c r="G826" i="120" s="1"/>
  <c r="G1183" i="120" s="1"/>
  <c r="G1540" i="120" s="1"/>
  <c r="G1897" i="120" s="1"/>
  <c r="G2254" i="120" s="1"/>
  <c r="G2611" i="120" s="1"/>
  <c r="G470" i="120"/>
  <c r="G827" i="120" s="1"/>
  <c r="G1184" i="120" s="1"/>
  <c r="G1541" i="120" s="1"/>
  <c r="G1898" i="120" s="1"/>
  <c r="G2255" i="120" s="1"/>
  <c r="G2612" i="120" s="1"/>
  <c r="G471" i="120"/>
  <c r="G828" i="120" s="1"/>
  <c r="G1185" i="120" s="1"/>
  <c r="G1542" i="120" s="1"/>
  <c r="G1899" i="120" s="1"/>
  <c r="G2256" i="120" s="1"/>
  <c r="G2613" i="120" s="1"/>
  <c r="G472" i="120"/>
  <c r="G829" i="120" s="1"/>
  <c r="G1186" i="120" s="1"/>
  <c r="G1543" i="120" s="1"/>
  <c r="G1900" i="120" s="1"/>
  <c r="G2257" i="120" s="1"/>
  <c r="G2614" i="120" s="1"/>
  <c r="G473" i="120"/>
  <c r="G830" i="120" s="1"/>
  <c r="G1187" i="120" s="1"/>
  <c r="G1544" i="120" s="1"/>
  <c r="G1901" i="120" s="1"/>
  <c r="G2258" i="120" s="1"/>
  <c r="G2615" i="120" s="1"/>
  <c r="G474" i="120"/>
  <c r="G831" i="120" s="1"/>
  <c r="G1188" i="120" s="1"/>
  <c r="G1545" i="120" s="1"/>
  <c r="G1902" i="120" s="1"/>
  <c r="G2259" i="120" s="1"/>
  <c r="G2616" i="120" s="1"/>
  <c r="G475" i="120"/>
  <c r="G832" i="120" s="1"/>
  <c r="G1189" i="120" s="1"/>
  <c r="G1546" i="120" s="1"/>
  <c r="G1903" i="120" s="1"/>
  <c r="G2260" i="120" s="1"/>
  <c r="G2617" i="120" s="1"/>
  <c r="G476" i="120"/>
  <c r="G833" i="120" s="1"/>
  <c r="G1190" i="120" s="1"/>
  <c r="G1547" i="120" s="1"/>
  <c r="G1904" i="120" s="1"/>
  <c r="G2261" i="120" s="1"/>
  <c r="G2618" i="120" s="1"/>
  <c r="G477" i="120"/>
  <c r="G834" i="120" s="1"/>
  <c r="G1191" i="120" s="1"/>
  <c r="G1548" i="120" s="1"/>
  <c r="G1905" i="120" s="1"/>
  <c r="G2262" i="120" s="1"/>
  <c r="G2619" i="120" s="1"/>
  <c r="G478" i="120"/>
  <c r="G835" i="120" s="1"/>
  <c r="G1192" i="120" s="1"/>
  <c r="G1549" i="120" s="1"/>
  <c r="G1906" i="120" s="1"/>
  <c r="G2263" i="120" s="1"/>
  <c r="G2620" i="120" s="1"/>
  <c r="G479" i="120"/>
  <c r="G836" i="120" s="1"/>
  <c r="G1193" i="120" s="1"/>
  <c r="G1550" i="120" s="1"/>
  <c r="G1907" i="120" s="1"/>
  <c r="G2264" i="120" s="1"/>
  <c r="G2621" i="120" s="1"/>
  <c r="G480" i="120"/>
  <c r="G837" i="120" s="1"/>
  <c r="G1194" i="120" s="1"/>
  <c r="G1551" i="120" s="1"/>
  <c r="G1908" i="120" s="1"/>
  <c r="G2265" i="120" s="1"/>
  <c r="G2622" i="120" s="1"/>
  <c r="G481" i="120"/>
  <c r="G838" i="120" s="1"/>
  <c r="G1195" i="120" s="1"/>
  <c r="G1552" i="120" s="1"/>
  <c r="G1909" i="120" s="1"/>
  <c r="G2266" i="120" s="1"/>
  <c r="G2623" i="120" s="1"/>
  <c r="G482" i="120"/>
  <c r="G839" i="120" s="1"/>
  <c r="G1196" i="120" s="1"/>
  <c r="G1553" i="120" s="1"/>
  <c r="G1910" i="120" s="1"/>
  <c r="G2267" i="120" s="1"/>
  <c r="G2624" i="120" s="1"/>
  <c r="G483" i="120"/>
  <c r="G840" i="120" s="1"/>
  <c r="G1197" i="120" s="1"/>
  <c r="G1554" i="120" s="1"/>
  <c r="G1911" i="120" s="1"/>
  <c r="G2268" i="120" s="1"/>
  <c r="G2625" i="120" s="1"/>
  <c r="G484" i="120"/>
  <c r="G841" i="120" s="1"/>
  <c r="G1198" i="120" s="1"/>
  <c r="G1555" i="120" s="1"/>
  <c r="G1912" i="120" s="1"/>
  <c r="G2269" i="120" s="1"/>
  <c r="G2626" i="120" s="1"/>
  <c r="G485" i="120"/>
  <c r="G842" i="120" s="1"/>
  <c r="G1199" i="120" s="1"/>
  <c r="G1556" i="120" s="1"/>
  <c r="G1913" i="120" s="1"/>
  <c r="G2270" i="120" s="1"/>
  <c r="G2627" i="120" s="1"/>
  <c r="F371" i="120"/>
  <c r="F375" i="120"/>
  <c r="F403" i="120"/>
  <c r="F411" i="120"/>
  <c r="F432" i="120"/>
  <c r="F445" i="120"/>
  <c r="F452" i="120"/>
  <c r="F457" i="120" l="1"/>
  <c r="H100" i="120"/>
  <c r="N100" i="120" s="1"/>
  <c r="F420" i="120"/>
  <c r="H63" i="120"/>
  <c r="N63" i="120" s="1"/>
  <c r="G704" i="120"/>
  <c r="G1061" i="120" s="1"/>
  <c r="G1418" i="120" s="1"/>
  <c r="G1775" i="120" s="1"/>
  <c r="G2132" i="120" s="1"/>
  <c r="G2489" i="120" s="1"/>
  <c r="G2846" i="120" s="1"/>
  <c r="G656" i="120"/>
  <c r="G1013" i="120" s="1"/>
  <c r="G1370" i="120" s="1"/>
  <c r="G1727" i="120" s="1"/>
  <c r="G2084" i="120" s="1"/>
  <c r="G2441" i="120" s="1"/>
  <c r="G2798" i="120" s="1"/>
  <c r="G600" i="120"/>
  <c r="G957" i="120" s="1"/>
  <c r="G1314" i="120" s="1"/>
  <c r="G1671" i="120" s="1"/>
  <c r="G2028" i="120" s="1"/>
  <c r="G2385" i="120" s="1"/>
  <c r="G2742" i="120" s="1"/>
  <c r="G560" i="120"/>
  <c r="G917" i="120" s="1"/>
  <c r="G1274" i="120" s="1"/>
  <c r="G1631" i="120" s="1"/>
  <c r="G1988" i="120" s="1"/>
  <c r="G2345" i="120" s="1"/>
  <c r="G2702" i="120" s="1"/>
  <c r="G1526" i="120"/>
  <c r="G1883" i="120" s="1"/>
  <c r="G2240" i="120" s="1"/>
  <c r="G2597" i="120" s="1"/>
  <c r="O1169" i="120"/>
  <c r="P1169" i="120" s="1"/>
  <c r="F438" i="120"/>
  <c r="H81" i="120"/>
  <c r="N81" i="120" s="1"/>
  <c r="H16" i="120"/>
  <c r="N16" i="120" s="1"/>
  <c r="F373" i="120"/>
  <c r="G687" i="120"/>
  <c r="G1044" i="120" s="1"/>
  <c r="G1401" i="120" s="1"/>
  <c r="G1758" i="120" s="1"/>
  <c r="G2115" i="120" s="1"/>
  <c r="G2472" i="120" s="1"/>
  <c r="G2829" i="120" s="1"/>
  <c r="G663" i="120"/>
  <c r="G1020" i="120" s="1"/>
  <c r="G1377" i="120" s="1"/>
  <c r="G1734" i="120" s="1"/>
  <c r="G2091" i="120" s="1"/>
  <c r="G2448" i="120" s="1"/>
  <c r="G2805" i="120" s="1"/>
  <c r="G639" i="120"/>
  <c r="G996" i="120" s="1"/>
  <c r="G1353" i="120" s="1"/>
  <c r="G1710" i="120" s="1"/>
  <c r="G2067" i="120" s="1"/>
  <c r="G2424" i="120" s="1"/>
  <c r="G2781" i="120" s="1"/>
  <c r="G607" i="120"/>
  <c r="G964" i="120" s="1"/>
  <c r="G1321" i="120" s="1"/>
  <c r="G1678" i="120" s="1"/>
  <c r="G2035" i="120" s="1"/>
  <c r="G2392" i="120" s="1"/>
  <c r="G2749" i="120" s="1"/>
  <c r="G583" i="120"/>
  <c r="G940" i="120" s="1"/>
  <c r="G1297" i="120" s="1"/>
  <c r="G1654" i="120" s="1"/>
  <c r="G2011" i="120" s="1"/>
  <c r="G2368" i="120" s="1"/>
  <c r="G2725" i="120" s="1"/>
  <c r="G535" i="120"/>
  <c r="G892" i="120" s="1"/>
  <c r="G1249" i="120" s="1"/>
  <c r="G1606" i="120" s="1"/>
  <c r="G1963" i="120" s="1"/>
  <c r="G2320" i="120" s="1"/>
  <c r="G2677" i="120" s="1"/>
  <c r="H125" i="120"/>
  <c r="N125" i="120" s="1"/>
  <c r="F482" i="120"/>
  <c r="H106" i="120"/>
  <c r="N106" i="120" s="1"/>
  <c r="F463" i="120"/>
  <c r="H98" i="120"/>
  <c r="N98" i="120" s="1"/>
  <c r="F455" i="120"/>
  <c r="F447" i="120"/>
  <c r="H90" i="120"/>
  <c r="N90" i="120" s="1"/>
  <c r="F437" i="120"/>
  <c r="H80" i="120"/>
  <c r="N80" i="120" s="1"/>
  <c r="H69" i="120"/>
  <c r="N69" i="120" s="1"/>
  <c r="F426" i="120"/>
  <c r="F418" i="120"/>
  <c r="H61" i="120"/>
  <c r="N61" i="120" s="1"/>
  <c r="F408" i="120"/>
  <c r="H51" i="120"/>
  <c r="N51" i="120" s="1"/>
  <c r="H38" i="120"/>
  <c r="N38" i="120" s="1"/>
  <c r="F395" i="120"/>
  <c r="H26" i="120"/>
  <c r="N26" i="120" s="1"/>
  <c r="F383" i="120"/>
  <c r="H15" i="120"/>
  <c r="N15" i="120" s="1"/>
  <c r="F372" i="120"/>
  <c r="G713" i="120"/>
  <c r="G1070" i="120" s="1"/>
  <c r="G1427" i="120" s="1"/>
  <c r="G1784" i="120" s="1"/>
  <c r="G2141" i="120" s="1"/>
  <c r="G2498" i="120" s="1"/>
  <c r="G2855" i="120" s="1"/>
  <c r="G702" i="120"/>
  <c r="G1059" i="120" s="1"/>
  <c r="G1416" i="120" s="1"/>
  <c r="G1773" i="120" s="1"/>
  <c r="G2130" i="120" s="1"/>
  <c r="G2487" i="120" s="1"/>
  <c r="G2844" i="120" s="1"/>
  <c r="G694" i="120"/>
  <c r="G1051" i="120" s="1"/>
  <c r="G1408" i="120" s="1"/>
  <c r="G1765" i="120" s="1"/>
  <c r="G2122" i="120" s="1"/>
  <c r="G2479" i="120" s="1"/>
  <c r="G2836" i="120" s="1"/>
  <c r="G686" i="120"/>
  <c r="G1043" i="120" s="1"/>
  <c r="G1400" i="120" s="1"/>
  <c r="G1757" i="120" s="1"/>
  <c r="G2114" i="120" s="1"/>
  <c r="G2471" i="120" s="1"/>
  <c r="G2828" i="120" s="1"/>
  <c r="G678" i="120"/>
  <c r="G1035" i="120" s="1"/>
  <c r="G1392" i="120" s="1"/>
  <c r="G1749" i="120" s="1"/>
  <c r="G2106" i="120" s="1"/>
  <c r="G2463" i="120" s="1"/>
  <c r="G2820" i="120" s="1"/>
  <c r="G670" i="120"/>
  <c r="G1027" i="120" s="1"/>
  <c r="G1384" i="120" s="1"/>
  <c r="G1741" i="120" s="1"/>
  <c r="G2098" i="120" s="1"/>
  <c r="G2455" i="120" s="1"/>
  <c r="G2812" i="120" s="1"/>
  <c r="G662" i="120"/>
  <c r="G1019" i="120" s="1"/>
  <c r="G1376" i="120" s="1"/>
  <c r="G1733" i="120" s="1"/>
  <c r="G2090" i="120" s="1"/>
  <c r="G2447" i="120" s="1"/>
  <c r="G2804" i="120" s="1"/>
  <c r="G654" i="120"/>
  <c r="G1011" i="120" s="1"/>
  <c r="G1368" i="120" s="1"/>
  <c r="G1725" i="120" s="1"/>
  <c r="G2082" i="120" s="1"/>
  <c r="G2439" i="120" s="1"/>
  <c r="G2796" i="120" s="1"/>
  <c r="G646" i="120"/>
  <c r="G1003" i="120" s="1"/>
  <c r="G1360" i="120" s="1"/>
  <c r="G1717" i="120" s="1"/>
  <c r="G2074" i="120" s="1"/>
  <c r="G2431" i="120" s="1"/>
  <c r="G2788" i="120" s="1"/>
  <c r="G638" i="120"/>
  <c r="G995" i="120" s="1"/>
  <c r="G1352" i="120" s="1"/>
  <c r="G1709" i="120" s="1"/>
  <c r="G2066" i="120" s="1"/>
  <c r="G2423" i="120" s="1"/>
  <c r="G2780" i="120" s="1"/>
  <c r="G630" i="120"/>
  <c r="G987" i="120" s="1"/>
  <c r="G1344" i="120" s="1"/>
  <c r="G1701" i="120" s="1"/>
  <c r="G2058" i="120" s="1"/>
  <c r="G2415" i="120" s="1"/>
  <c r="G2772" i="120" s="1"/>
  <c r="G622" i="120"/>
  <c r="G979" i="120" s="1"/>
  <c r="G1336" i="120" s="1"/>
  <c r="G1693" i="120" s="1"/>
  <c r="G2050" i="120" s="1"/>
  <c r="G2407" i="120" s="1"/>
  <c r="G2764" i="120" s="1"/>
  <c r="G614" i="120"/>
  <c r="G971" i="120" s="1"/>
  <c r="G1328" i="120" s="1"/>
  <c r="G1685" i="120" s="1"/>
  <c r="G2042" i="120" s="1"/>
  <c r="G2399" i="120" s="1"/>
  <c r="G2756" i="120" s="1"/>
  <c r="G606" i="120"/>
  <c r="G963" i="120" s="1"/>
  <c r="G1320" i="120" s="1"/>
  <c r="G1677" i="120" s="1"/>
  <c r="G2034" i="120" s="1"/>
  <c r="G2391" i="120" s="1"/>
  <c r="G2748" i="120" s="1"/>
  <c r="G598" i="120"/>
  <c r="G955" i="120" s="1"/>
  <c r="G1312" i="120" s="1"/>
  <c r="G1669" i="120" s="1"/>
  <c r="G2026" i="120" s="1"/>
  <c r="G2383" i="120" s="1"/>
  <c r="G2740" i="120" s="1"/>
  <c r="G590" i="120"/>
  <c r="G947" i="120" s="1"/>
  <c r="G1304" i="120" s="1"/>
  <c r="G1661" i="120" s="1"/>
  <c r="G2018" i="120" s="1"/>
  <c r="G2375" i="120" s="1"/>
  <c r="G2732" i="120" s="1"/>
  <c r="G582" i="120"/>
  <c r="G939" i="120" s="1"/>
  <c r="G1296" i="120" s="1"/>
  <c r="G1653" i="120" s="1"/>
  <c r="G2010" i="120" s="1"/>
  <c r="G2367" i="120" s="1"/>
  <c r="G2724" i="120" s="1"/>
  <c r="G574" i="120"/>
  <c r="G931" i="120" s="1"/>
  <c r="G1288" i="120" s="1"/>
  <c r="G1645" i="120" s="1"/>
  <c r="G2002" i="120" s="1"/>
  <c r="G2359" i="120" s="1"/>
  <c r="G2716" i="120" s="1"/>
  <c r="G566" i="120"/>
  <c r="G923" i="120" s="1"/>
  <c r="G1280" i="120" s="1"/>
  <c r="G1637" i="120" s="1"/>
  <c r="G1994" i="120" s="1"/>
  <c r="G2351" i="120" s="1"/>
  <c r="G2708" i="120" s="1"/>
  <c r="G558" i="120"/>
  <c r="G915" i="120" s="1"/>
  <c r="G1272" i="120" s="1"/>
  <c r="G1629" i="120" s="1"/>
  <c r="G1986" i="120" s="1"/>
  <c r="G2343" i="120" s="1"/>
  <c r="G2700" i="120" s="1"/>
  <c r="G550" i="120"/>
  <c r="G907" i="120" s="1"/>
  <c r="G1264" i="120" s="1"/>
  <c r="G1621" i="120" s="1"/>
  <c r="G1978" i="120" s="1"/>
  <c r="G2335" i="120" s="1"/>
  <c r="G2692" i="120" s="1"/>
  <c r="G542" i="120"/>
  <c r="G899" i="120" s="1"/>
  <c r="G1256" i="120" s="1"/>
  <c r="G1613" i="120" s="1"/>
  <c r="G1970" i="120" s="1"/>
  <c r="G2327" i="120" s="1"/>
  <c r="G2684" i="120" s="1"/>
  <c r="G534" i="120"/>
  <c r="G891" i="120" s="1"/>
  <c r="G1248" i="120" s="1"/>
  <c r="G1605" i="120" s="1"/>
  <c r="G1962" i="120" s="1"/>
  <c r="G2319" i="120" s="1"/>
  <c r="G2676" i="120" s="1"/>
  <c r="G526" i="120"/>
  <c r="G883" i="120" s="1"/>
  <c r="G1240" i="120" s="1"/>
  <c r="G1597" i="120" s="1"/>
  <c r="G1954" i="120" s="1"/>
  <c r="G2311" i="120" s="1"/>
  <c r="G2668" i="120" s="1"/>
  <c r="G518" i="120"/>
  <c r="G875" i="120" s="1"/>
  <c r="G1232" i="120" s="1"/>
  <c r="G1589" i="120" s="1"/>
  <c r="G1946" i="120" s="1"/>
  <c r="G2303" i="120" s="1"/>
  <c r="G2660" i="120" s="1"/>
  <c r="G510" i="120"/>
  <c r="G867" i="120" s="1"/>
  <c r="G1224" i="120" s="1"/>
  <c r="G1581" i="120" s="1"/>
  <c r="G1938" i="120" s="1"/>
  <c r="G2295" i="120" s="1"/>
  <c r="G2652" i="120" s="1"/>
  <c r="G502" i="120"/>
  <c r="G859" i="120" s="1"/>
  <c r="G1216" i="120" s="1"/>
  <c r="G1573" i="120" s="1"/>
  <c r="G1930" i="120" s="1"/>
  <c r="G2287" i="120" s="1"/>
  <c r="G2644" i="120" s="1"/>
  <c r="G494" i="120"/>
  <c r="G851" i="120" s="1"/>
  <c r="G1208" i="120" s="1"/>
  <c r="G1565" i="120" s="1"/>
  <c r="G1922" i="120" s="1"/>
  <c r="G2279" i="120" s="1"/>
  <c r="G2636" i="120" s="1"/>
  <c r="H88" i="120"/>
  <c r="N88" i="120" s="1"/>
  <c r="G445" i="120"/>
  <c r="G802" i="120" s="1"/>
  <c r="G1159" i="120" s="1"/>
  <c r="G1516" i="120" s="1"/>
  <c r="G1873" i="120" s="1"/>
  <c r="G2230" i="120" s="1"/>
  <c r="G2587" i="120" s="1"/>
  <c r="O59" i="120"/>
  <c r="P59" i="120" s="1"/>
  <c r="G416" i="120"/>
  <c r="G773" i="120" s="1"/>
  <c r="G1130" i="120" s="1"/>
  <c r="G1487" i="120" s="1"/>
  <c r="G1844" i="120" s="1"/>
  <c r="G2201" i="120" s="1"/>
  <c r="G2558" i="120" s="1"/>
  <c r="G407" i="120"/>
  <c r="G764" i="120" s="1"/>
  <c r="O50" i="120"/>
  <c r="P50" i="120" s="1"/>
  <c r="H14" i="120"/>
  <c r="N14" i="120" s="1"/>
  <c r="G371" i="120"/>
  <c r="G728" i="120" s="1"/>
  <c r="G1085" i="120" s="1"/>
  <c r="G1442" i="120" s="1"/>
  <c r="G1799" i="120" s="1"/>
  <c r="G2156" i="120" s="1"/>
  <c r="G2513" i="120" s="1"/>
  <c r="F768" i="120"/>
  <c r="H411" i="120"/>
  <c r="N411" i="120" s="1"/>
  <c r="G715" i="120"/>
  <c r="G1072" i="120" s="1"/>
  <c r="G1429" i="120" s="1"/>
  <c r="G1786" i="120" s="1"/>
  <c r="G2143" i="120" s="1"/>
  <c r="G2500" i="120" s="1"/>
  <c r="G2857" i="120" s="1"/>
  <c r="G664" i="120"/>
  <c r="G1021" i="120" s="1"/>
  <c r="G1378" i="120" s="1"/>
  <c r="G1735" i="120" s="1"/>
  <c r="G2092" i="120" s="1"/>
  <c r="G2449" i="120" s="1"/>
  <c r="G2806" i="120" s="1"/>
  <c r="G608" i="120"/>
  <c r="G965" i="120" s="1"/>
  <c r="G1322" i="120" s="1"/>
  <c r="G1679" i="120" s="1"/>
  <c r="G2036" i="120" s="1"/>
  <c r="G2393" i="120" s="1"/>
  <c r="G2750" i="120" s="1"/>
  <c r="G552" i="120"/>
  <c r="G909" i="120" s="1"/>
  <c r="G1266" i="120" s="1"/>
  <c r="G1623" i="120" s="1"/>
  <c r="G1980" i="120" s="1"/>
  <c r="G2337" i="120" s="1"/>
  <c r="G2694" i="120" s="1"/>
  <c r="F483" i="120"/>
  <c r="H126" i="120"/>
  <c r="N126" i="120" s="1"/>
  <c r="H70" i="120"/>
  <c r="N70" i="120" s="1"/>
  <c r="F427" i="120"/>
  <c r="H28" i="120"/>
  <c r="N28" i="120" s="1"/>
  <c r="F385" i="120"/>
  <c r="G695" i="120"/>
  <c r="G1052" i="120" s="1"/>
  <c r="G1409" i="120" s="1"/>
  <c r="G1766" i="120" s="1"/>
  <c r="G2123" i="120" s="1"/>
  <c r="G2480" i="120" s="1"/>
  <c r="G2837" i="120" s="1"/>
  <c r="G655" i="120"/>
  <c r="G1012" i="120" s="1"/>
  <c r="G1369" i="120" s="1"/>
  <c r="G1726" i="120" s="1"/>
  <c r="G2083" i="120" s="1"/>
  <c r="G2440" i="120" s="1"/>
  <c r="G2797" i="120" s="1"/>
  <c r="G623" i="120"/>
  <c r="G980" i="120" s="1"/>
  <c r="G1337" i="120" s="1"/>
  <c r="G1694" i="120" s="1"/>
  <c r="G2051" i="120" s="1"/>
  <c r="G2408" i="120" s="1"/>
  <c r="G2765" i="120" s="1"/>
  <c r="G599" i="120"/>
  <c r="G956" i="120" s="1"/>
  <c r="G1313" i="120" s="1"/>
  <c r="G1670" i="120" s="1"/>
  <c r="G2027" i="120" s="1"/>
  <c r="G2384" i="120" s="1"/>
  <c r="G2741" i="120" s="1"/>
  <c r="G575" i="120"/>
  <c r="G932" i="120" s="1"/>
  <c r="G1289" i="120" s="1"/>
  <c r="G1646" i="120" s="1"/>
  <c r="G2003" i="120" s="1"/>
  <c r="G2360" i="120" s="1"/>
  <c r="G2717" i="120" s="1"/>
  <c r="G551" i="120"/>
  <c r="G908" i="120" s="1"/>
  <c r="G1265" i="120" s="1"/>
  <c r="G1622" i="120" s="1"/>
  <c r="G1979" i="120" s="1"/>
  <c r="G2336" i="120" s="1"/>
  <c r="G2693" i="120" s="1"/>
  <c r="G543" i="120"/>
  <c r="G900" i="120" s="1"/>
  <c r="G1257" i="120" s="1"/>
  <c r="G1614" i="120" s="1"/>
  <c r="G1971" i="120" s="1"/>
  <c r="G2328" i="120" s="1"/>
  <c r="G2685" i="120" s="1"/>
  <c r="G527" i="120"/>
  <c r="G884" i="120" s="1"/>
  <c r="G1241" i="120" s="1"/>
  <c r="G1598" i="120" s="1"/>
  <c r="G1955" i="120" s="1"/>
  <c r="G2312" i="120" s="1"/>
  <c r="G2669" i="120" s="1"/>
  <c r="G511" i="120"/>
  <c r="G868" i="120" s="1"/>
  <c r="G1225" i="120" s="1"/>
  <c r="G1582" i="120" s="1"/>
  <c r="G1939" i="120" s="1"/>
  <c r="G2296" i="120" s="1"/>
  <c r="G2653" i="120" s="1"/>
  <c r="G503" i="120"/>
  <c r="G860" i="120" s="1"/>
  <c r="G1217" i="120" s="1"/>
  <c r="G1574" i="120" s="1"/>
  <c r="G1931" i="120" s="1"/>
  <c r="G2288" i="120" s="1"/>
  <c r="G2645" i="120" s="1"/>
  <c r="G487" i="120"/>
  <c r="G844" i="120" s="1"/>
  <c r="G1201" i="120" s="1"/>
  <c r="G1558" i="120" s="1"/>
  <c r="G1915" i="120" s="1"/>
  <c r="G2272" i="120" s="1"/>
  <c r="G2629" i="120" s="1"/>
  <c r="G1496" i="120"/>
  <c r="G1853" i="120" s="1"/>
  <c r="G2210" i="120" s="1"/>
  <c r="G2567" i="120" s="1"/>
  <c r="O1139" i="120"/>
  <c r="P1139" i="120" s="1"/>
  <c r="G417" i="120"/>
  <c r="G774" i="120" s="1"/>
  <c r="G1131" i="120" s="1"/>
  <c r="G1488" i="120" s="1"/>
  <c r="G1845" i="120" s="1"/>
  <c r="G2202" i="120" s="1"/>
  <c r="G2559" i="120" s="1"/>
  <c r="O60" i="120"/>
  <c r="P60" i="120" s="1"/>
  <c r="G1454" i="120"/>
  <c r="G1811" i="120" s="1"/>
  <c r="G2168" i="120" s="1"/>
  <c r="G2525" i="120" s="1"/>
  <c r="O1097" i="120"/>
  <c r="P1097" i="120" s="1"/>
  <c r="F446" i="120"/>
  <c r="H89" i="120"/>
  <c r="N89" i="120" s="1"/>
  <c r="F728" i="120"/>
  <c r="G693" i="120"/>
  <c r="G1050" i="120" s="1"/>
  <c r="G1407" i="120" s="1"/>
  <c r="G1764" i="120" s="1"/>
  <c r="G2121" i="120" s="1"/>
  <c r="G2478" i="120" s="1"/>
  <c r="G2835" i="120" s="1"/>
  <c r="G645" i="120"/>
  <c r="G1002" i="120" s="1"/>
  <c r="G1359" i="120" s="1"/>
  <c r="G1716" i="120" s="1"/>
  <c r="G2073" i="120" s="1"/>
  <c r="G2430" i="120" s="1"/>
  <c r="G2787" i="120" s="1"/>
  <c r="G597" i="120"/>
  <c r="G954" i="120" s="1"/>
  <c r="G1311" i="120" s="1"/>
  <c r="G1668" i="120" s="1"/>
  <c r="G2025" i="120" s="1"/>
  <c r="G2382" i="120" s="1"/>
  <c r="G2739" i="120" s="1"/>
  <c r="G549" i="120"/>
  <c r="G906" i="120" s="1"/>
  <c r="G1263" i="120" s="1"/>
  <c r="G1620" i="120" s="1"/>
  <c r="G1977" i="120" s="1"/>
  <c r="G2334" i="120" s="1"/>
  <c r="G2691" i="120" s="1"/>
  <c r="G509" i="120"/>
  <c r="G866" i="120" s="1"/>
  <c r="G1223" i="120" s="1"/>
  <c r="G1580" i="120" s="1"/>
  <c r="G1937" i="120" s="1"/>
  <c r="G2294" i="120" s="1"/>
  <c r="G2651" i="120" s="1"/>
  <c r="H95" i="120"/>
  <c r="N95" i="120" s="1"/>
  <c r="G452" i="120"/>
  <c r="G809" i="120" s="1"/>
  <c r="G415" i="120"/>
  <c r="G772" i="120" s="1"/>
  <c r="G1129" i="120" s="1"/>
  <c r="G1486" i="120" s="1"/>
  <c r="G1843" i="120" s="1"/>
  <c r="G2200" i="120" s="1"/>
  <c r="G2557" i="120" s="1"/>
  <c r="O58" i="120"/>
  <c r="P58" i="120" s="1"/>
  <c r="G406" i="120"/>
  <c r="G763" i="120" s="1"/>
  <c r="G1120" i="120" s="1"/>
  <c r="G1477" i="120" s="1"/>
  <c r="G1834" i="120" s="1"/>
  <c r="G2191" i="120" s="1"/>
  <c r="G2548" i="120" s="1"/>
  <c r="O49" i="120"/>
  <c r="P49" i="120" s="1"/>
  <c r="F461" i="120"/>
  <c r="H104" i="120"/>
  <c r="N104" i="120" s="1"/>
  <c r="F453" i="120"/>
  <c r="H96" i="120"/>
  <c r="N96" i="120" s="1"/>
  <c r="F802" i="120"/>
  <c r="F434" i="120"/>
  <c r="H77" i="120"/>
  <c r="N77" i="120" s="1"/>
  <c r="H67" i="120"/>
  <c r="N67" i="120" s="1"/>
  <c r="F424" i="120"/>
  <c r="F416" i="120"/>
  <c r="H59" i="120"/>
  <c r="N59" i="120" s="1"/>
  <c r="F406" i="120"/>
  <c r="H49" i="120"/>
  <c r="N49" i="120" s="1"/>
  <c r="H36" i="120"/>
  <c r="N36" i="120" s="1"/>
  <c r="F393" i="120"/>
  <c r="F380" i="120"/>
  <c r="H23" i="120"/>
  <c r="N23" i="120" s="1"/>
  <c r="F370" i="120"/>
  <c r="H13" i="120"/>
  <c r="N13" i="120" s="1"/>
  <c r="G710" i="120"/>
  <c r="G1067" i="120" s="1"/>
  <c r="G1424" i="120" s="1"/>
  <c r="G1781" i="120" s="1"/>
  <c r="G2138" i="120" s="1"/>
  <c r="G2495" i="120" s="1"/>
  <c r="G2852" i="120" s="1"/>
  <c r="G700" i="120"/>
  <c r="G1057" i="120" s="1"/>
  <c r="G1414" i="120" s="1"/>
  <c r="G1771" i="120" s="1"/>
  <c r="G2128" i="120" s="1"/>
  <c r="G2485" i="120" s="1"/>
  <c r="G2842" i="120" s="1"/>
  <c r="G692" i="120"/>
  <c r="G1049" i="120" s="1"/>
  <c r="G1406" i="120" s="1"/>
  <c r="G1763" i="120" s="1"/>
  <c r="G2120" i="120" s="1"/>
  <c r="G2477" i="120" s="1"/>
  <c r="G2834" i="120" s="1"/>
  <c r="G684" i="120"/>
  <c r="G1041" i="120" s="1"/>
  <c r="G1398" i="120" s="1"/>
  <c r="G1755" i="120" s="1"/>
  <c r="G2112" i="120" s="1"/>
  <c r="G2469" i="120" s="1"/>
  <c r="G2826" i="120" s="1"/>
  <c r="G676" i="120"/>
  <c r="G1033" i="120" s="1"/>
  <c r="G1390" i="120" s="1"/>
  <c r="G1747" i="120" s="1"/>
  <c r="G2104" i="120" s="1"/>
  <c r="G2461" i="120" s="1"/>
  <c r="G2818" i="120" s="1"/>
  <c r="G668" i="120"/>
  <c r="G1025" i="120" s="1"/>
  <c r="G1382" i="120" s="1"/>
  <c r="G1739" i="120" s="1"/>
  <c r="G2096" i="120" s="1"/>
  <c r="G2453" i="120" s="1"/>
  <c r="G2810" i="120" s="1"/>
  <c r="G660" i="120"/>
  <c r="G1017" i="120" s="1"/>
  <c r="G1374" i="120" s="1"/>
  <c r="G1731" i="120" s="1"/>
  <c r="G2088" i="120" s="1"/>
  <c r="G2445" i="120" s="1"/>
  <c r="G2802" i="120" s="1"/>
  <c r="G652" i="120"/>
  <c r="G1009" i="120" s="1"/>
  <c r="G1366" i="120" s="1"/>
  <c r="G1723" i="120" s="1"/>
  <c r="G2080" i="120" s="1"/>
  <c r="G2437" i="120" s="1"/>
  <c r="G2794" i="120" s="1"/>
  <c r="G644" i="120"/>
  <c r="G1001" i="120" s="1"/>
  <c r="G1358" i="120" s="1"/>
  <c r="G1715" i="120" s="1"/>
  <c r="G2072" i="120" s="1"/>
  <c r="G2429" i="120" s="1"/>
  <c r="G2786" i="120" s="1"/>
  <c r="G636" i="120"/>
  <c r="G993" i="120" s="1"/>
  <c r="G1350" i="120" s="1"/>
  <c r="G1707" i="120" s="1"/>
  <c r="G2064" i="120" s="1"/>
  <c r="G2421" i="120" s="1"/>
  <c r="G2778" i="120" s="1"/>
  <c r="G628" i="120"/>
  <c r="G985" i="120" s="1"/>
  <c r="G1342" i="120" s="1"/>
  <c r="G1699" i="120" s="1"/>
  <c r="G2056" i="120" s="1"/>
  <c r="G2413" i="120" s="1"/>
  <c r="G2770" i="120" s="1"/>
  <c r="G620" i="120"/>
  <c r="G977" i="120" s="1"/>
  <c r="G1334" i="120" s="1"/>
  <c r="G1691" i="120" s="1"/>
  <c r="G2048" i="120" s="1"/>
  <c r="G2405" i="120" s="1"/>
  <c r="G2762" i="120" s="1"/>
  <c r="G612" i="120"/>
  <c r="G969" i="120" s="1"/>
  <c r="G1326" i="120" s="1"/>
  <c r="G1683" i="120" s="1"/>
  <c r="G2040" i="120" s="1"/>
  <c r="G2397" i="120" s="1"/>
  <c r="G2754" i="120" s="1"/>
  <c r="G604" i="120"/>
  <c r="G961" i="120" s="1"/>
  <c r="G1318" i="120" s="1"/>
  <c r="G1675" i="120" s="1"/>
  <c r="G2032" i="120" s="1"/>
  <c r="G2389" i="120" s="1"/>
  <c r="G2746" i="120" s="1"/>
  <c r="G596" i="120"/>
  <c r="G953" i="120" s="1"/>
  <c r="G1310" i="120" s="1"/>
  <c r="G1667" i="120" s="1"/>
  <c r="G2024" i="120" s="1"/>
  <c r="G2381" i="120" s="1"/>
  <c r="G2738" i="120" s="1"/>
  <c r="G588" i="120"/>
  <c r="G945" i="120" s="1"/>
  <c r="G1302" i="120" s="1"/>
  <c r="G1659" i="120" s="1"/>
  <c r="G2016" i="120" s="1"/>
  <c r="G2373" i="120" s="1"/>
  <c r="G2730" i="120" s="1"/>
  <c r="G580" i="120"/>
  <c r="G937" i="120" s="1"/>
  <c r="G1294" i="120" s="1"/>
  <c r="G1651" i="120" s="1"/>
  <c r="G2008" i="120" s="1"/>
  <c r="G2365" i="120" s="1"/>
  <c r="G2722" i="120" s="1"/>
  <c r="G572" i="120"/>
  <c r="G929" i="120" s="1"/>
  <c r="G1286" i="120" s="1"/>
  <c r="G1643" i="120" s="1"/>
  <c r="G2000" i="120" s="1"/>
  <c r="G2357" i="120" s="1"/>
  <c r="G2714" i="120" s="1"/>
  <c r="G564" i="120"/>
  <c r="G921" i="120" s="1"/>
  <c r="G1278" i="120" s="1"/>
  <c r="G1635" i="120" s="1"/>
  <c r="G1992" i="120" s="1"/>
  <c r="G2349" i="120" s="1"/>
  <c r="G2706" i="120" s="1"/>
  <c r="G556" i="120"/>
  <c r="G913" i="120" s="1"/>
  <c r="G1270" i="120" s="1"/>
  <c r="G1627" i="120" s="1"/>
  <c r="G1984" i="120" s="1"/>
  <c r="G2341" i="120" s="1"/>
  <c r="G2698" i="120" s="1"/>
  <c r="G548" i="120"/>
  <c r="G905" i="120" s="1"/>
  <c r="G1262" i="120" s="1"/>
  <c r="G1619" i="120" s="1"/>
  <c r="G1976" i="120" s="1"/>
  <c r="G2333" i="120" s="1"/>
  <c r="G2690" i="120" s="1"/>
  <c r="G540" i="120"/>
  <c r="G897" i="120" s="1"/>
  <c r="G1254" i="120" s="1"/>
  <c r="G1611" i="120" s="1"/>
  <c r="G1968" i="120" s="1"/>
  <c r="G2325" i="120" s="1"/>
  <c r="G2682" i="120" s="1"/>
  <c r="G532" i="120"/>
  <c r="G889" i="120" s="1"/>
  <c r="G1246" i="120" s="1"/>
  <c r="G1603" i="120" s="1"/>
  <c r="G1960" i="120" s="1"/>
  <c r="G2317" i="120" s="1"/>
  <c r="G2674" i="120" s="1"/>
  <c r="G524" i="120"/>
  <c r="G881" i="120" s="1"/>
  <c r="G1238" i="120" s="1"/>
  <c r="G1595" i="120" s="1"/>
  <c r="G1952" i="120" s="1"/>
  <c r="G2309" i="120" s="1"/>
  <c r="G2666" i="120" s="1"/>
  <c r="G516" i="120"/>
  <c r="G873" i="120" s="1"/>
  <c r="G1230" i="120" s="1"/>
  <c r="G1587" i="120" s="1"/>
  <c r="G1944" i="120" s="1"/>
  <c r="G2301" i="120" s="1"/>
  <c r="G2658" i="120" s="1"/>
  <c r="G508" i="120"/>
  <c r="G865" i="120" s="1"/>
  <c r="G1222" i="120" s="1"/>
  <c r="G1579" i="120" s="1"/>
  <c r="G1936" i="120" s="1"/>
  <c r="G2293" i="120" s="1"/>
  <c r="G2650" i="120" s="1"/>
  <c r="G500" i="120"/>
  <c r="G857" i="120" s="1"/>
  <c r="G1214" i="120" s="1"/>
  <c r="G1571" i="120" s="1"/>
  <c r="G1928" i="120" s="1"/>
  <c r="G2285" i="120" s="1"/>
  <c r="G2642" i="120" s="1"/>
  <c r="G492" i="120"/>
  <c r="G849" i="120" s="1"/>
  <c r="G1206" i="120" s="1"/>
  <c r="G1563" i="120" s="1"/>
  <c r="G1920" i="120" s="1"/>
  <c r="G2277" i="120" s="1"/>
  <c r="G2634" i="120" s="1"/>
  <c r="G1165" i="120"/>
  <c r="G1522" i="120" s="1"/>
  <c r="G1879" i="120" s="1"/>
  <c r="G2236" i="120" s="1"/>
  <c r="G2593" i="120" s="1"/>
  <c r="O808" i="120"/>
  <c r="P808" i="120" s="1"/>
  <c r="H75" i="120"/>
  <c r="N75" i="120" s="1"/>
  <c r="G432" i="120"/>
  <c r="G789" i="120" s="1"/>
  <c r="G1146" i="120" s="1"/>
  <c r="G1503" i="120" s="1"/>
  <c r="G1860" i="120" s="1"/>
  <c r="G2217" i="120" s="1"/>
  <c r="G2574" i="120" s="1"/>
  <c r="G422" i="120"/>
  <c r="G779" i="120" s="1"/>
  <c r="G1136" i="120" s="1"/>
  <c r="G1493" i="120" s="1"/>
  <c r="G1850" i="120" s="1"/>
  <c r="G2207" i="120" s="1"/>
  <c r="G2564" i="120" s="1"/>
  <c r="O65" i="120"/>
  <c r="P65" i="120" s="1"/>
  <c r="G1119" i="120"/>
  <c r="G1476" i="120" s="1"/>
  <c r="G1833" i="120" s="1"/>
  <c r="G2190" i="120" s="1"/>
  <c r="G2547" i="120" s="1"/>
  <c r="O762" i="120"/>
  <c r="P762" i="120" s="1"/>
  <c r="G1104" i="120"/>
  <c r="G1461" i="120" s="1"/>
  <c r="G1818" i="120" s="1"/>
  <c r="G2175" i="120" s="1"/>
  <c r="G2532" i="120" s="1"/>
  <c r="O747" i="120"/>
  <c r="P747" i="120" s="1"/>
  <c r="F484" i="120"/>
  <c r="H127" i="120"/>
  <c r="N127" i="120" s="1"/>
  <c r="H72" i="120"/>
  <c r="N72" i="120" s="1"/>
  <c r="F429" i="120"/>
  <c r="F374" i="120"/>
  <c r="H17" i="120"/>
  <c r="N17" i="120" s="1"/>
  <c r="G688" i="120"/>
  <c r="G1045" i="120" s="1"/>
  <c r="G1402" i="120" s="1"/>
  <c r="G1759" i="120" s="1"/>
  <c r="G2116" i="120" s="1"/>
  <c r="G2473" i="120" s="1"/>
  <c r="G2830" i="120" s="1"/>
  <c r="G632" i="120"/>
  <c r="G989" i="120" s="1"/>
  <c r="G1346" i="120" s="1"/>
  <c r="G1703" i="120" s="1"/>
  <c r="G2060" i="120" s="1"/>
  <c r="G2417" i="120" s="1"/>
  <c r="G2774" i="120" s="1"/>
  <c r="G592" i="120"/>
  <c r="G949" i="120" s="1"/>
  <c r="G1306" i="120" s="1"/>
  <c r="G1663" i="120" s="1"/>
  <c r="G2020" i="120" s="1"/>
  <c r="G2377" i="120" s="1"/>
  <c r="G2734" i="120" s="1"/>
  <c r="G544" i="120"/>
  <c r="G901" i="120" s="1"/>
  <c r="G1258" i="120" s="1"/>
  <c r="G1615" i="120" s="1"/>
  <c r="G1972" i="120" s="1"/>
  <c r="G2329" i="120" s="1"/>
  <c r="G2686" i="120" s="1"/>
  <c r="F448" i="120"/>
  <c r="H91" i="120"/>
  <c r="N91" i="120" s="1"/>
  <c r="H52" i="120"/>
  <c r="N52" i="120" s="1"/>
  <c r="F409" i="120"/>
  <c r="G679" i="120"/>
  <c r="G1036" i="120" s="1"/>
  <c r="G1393" i="120" s="1"/>
  <c r="G1750" i="120" s="1"/>
  <c r="G2107" i="120" s="1"/>
  <c r="G2464" i="120" s="1"/>
  <c r="G2821" i="120" s="1"/>
  <c r="G647" i="120"/>
  <c r="G1004" i="120" s="1"/>
  <c r="G1361" i="120" s="1"/>
  <c r="G1718" i="120" s="1"/>
  <c r="G2075" i="120" s="1"/>
  <c r="G2432" i="120" s="1"/>
  <c r="G2789" i="120" s="1"/>
  <c r="G615" i="120"/>
  <c r="G972" i="120" s="1"/>
  <c r="G1329" i="120" s="1"/>
  <c r="G1686" i="120" s="1"/>
  <c r="G2043" i="120" s="1"/>
  <c r="G2400" i="120" s="1"/>
  <c r="G2757" i="120" s="1"/>
  <c r="G567" i="120"/>
  <c r="G924" i="120" s="1"/>
  <c r="G1281" i="120" s="1"/>
  <c r="G1638" i="120" s="1"/>
  <c r="G1995" i="120" s="1"/>
  <c r="G2352" i="120" s="1"/>
  <c r="G2709" i="120" s="1"/>
  <c r="H97" i="120"/>
  <c r="N97" i="120" s="1"/>
  <c r="F454" i="120"/>
  <c r="H60" i="120"/>
  <c r="N60" i="120" s="1"/>
  <c r="F417" i="120"/>
  <c r="F394" i="120"/>
  <c r="H37" i="120"/>
  <c r="N37" i="120" s="1"/>
  <c r="G712" i="120"/>
  <c r="G1069" i="120" s="1"/>
  <c r="G1426" i="120" s="1"/>
  <c r="G1783" i="120" s="1"/>
  <c r="G2140" i="120" s="1"/>
  <c r="G2497" i="120" s="1"/>
  <c r="G2854" i="120" s="1"/>
  <c r="G669" i="120"/>
  <c r="G1026" i="120" s="1"/>
  <c r="G1383" i="120" s="1"/>
  <c r="G1740" i="120" s="1"/>
  <c r="G2097" i="120" s="1"/>
  <c r="G2454" i="120" s="1"/>
  <c r="G2811" i="120" s="1"/>
  <c r="G629" i="120"/>
  <c r="G986" i="120" s="1"/>
  <c r="G1343" i="120" s="1"/>
  <c r="G1700" i="120" s="1"/>
  <c r="G2057" i="120" s="1"/>
  <c r="G2414" i="120" s="1"/>
  <c r="G2771" i="120" s="1"/>
  <c r="G589" i="120"/>
  <c r="G946" i="120" s="1"/>
  <c r="G1303" i="120" s="1"/>
  <c r="G1660" i="120" s="1"/>
  <c r="G2017" i="120" s="1"/>
  <c r="G2374" i="120" s="1"/>
  <c r="G2731" i="120" s="1"/>
  <c r="G525" i="120"/>
  <c r="G882" i="120" s="1"/>
  <c r="G1239" i="120" s="1"/>
  <c r="G1596" i="120" s="1"/>
  <c r="G1953" i="120" s="1"/>
  <c r="G2310" i="120" s="1"/>
  <c r="G2667" i="120" s="1"/>
  <c r="H103" i="120"/>
  <c r="N103" i="120" s="1"/>
  <c r="F460" i="120"/>
  <c r="F809" i="120"/>
  <c r="H452" i="120"/>
  <c r="N452" i="120" s="1"/>
  <c r="F444" i="120"/>
  <c r="H87" i="120"/>
  <c r="N87" i="120" s="1"/>
  <c r="F433" i="120"/>
  <c r="H76" i="120"/>
  <c r="N76" i="120" s="1"/>
  <c r="H66" i="120"/>
  <c r="N66" i="120" s="1"/>
  <c r="F423" i="120"/>
  <c r="F414" i="120"/>
  <c r="H57" i="120"/>
  <c r="N57" i="120" s="1"/>
  <c r="F405" i="120"/>
  <c r="H48" i="120"/>
  <c r="N48" i="120" s="1"/>
  <c r="F390" i="120"/>
  <c r="H33" i="120"/>
  <c r="N33" i="120" s="1"/>
  <c r="H22" i="120"/>
  <c r="N22" i="120" s="1"/>
  <c r="F379" i="120"/>
  <c r="F369" i="120"/>
  <c r="H12" i="120"/>
  <c r="N12" i="120" s="1"/>
  <c r="G367" i="120"/>
  <c r="G709" i="120"/>
  <c r="G1066" i="120" s="1"/>
  <c r="G1423" i="120" s="1"/>
  <c r="G1780" i="120" s="1"/>
  <c r="G2137" i="120" s="1"/>
  <c r="G2494" i="120" s="1"/>
  <c r="G2851" i="120" s="1"/>
  <c r="G699" i="120"/>
  <c r="G1056" i="120" s="1"/>
  <c r="G1413" i="120" s="1"/>
  <c r="G1770" i="120" s="1"/>
  <c r="G2127" i="120" s="1"/>
  <c r="G2484" i="120" s="1"/>
  <c r="G2841" i="120" s="1"/>
  <c r="G691" i="120"/>
  <c r="G1048" i="120" s="1"/>
  <c r="G1405" i="120" s="1"/>
  <c r="G1762" i="120" s="1"/>
  <c r="G2119" i="120" s="1"/>
  <c r="G2476" i="120" s="1"/>
  <c r="G2833" i="120" s="1"/>
  <c r="G683" i="120"/>
  <c r="G1040" i="120" s="1"/>
  <c r="G1397" i="120" s="1"/>
  <c r="G1754" i="120" s="1"/>
  <c r="G2111" i="120" s="1"/>
  <c r="G2468" i="120" s="1"/>
  <c r="G2825" i="120" s="1"/>
  <c r="G675" i="120"/>
  <c r="G1032" i="120" s="1"/>
  <c r="G1389" i="120" s="1"/>
  <c r="G1746" i="120" s="1"/>
  <c r="G2103" i="120" s="1"/>
  <c r="G2460" i="120" s="1"/>
  <c r="G2817" i="120" s="1"/>
  <c r="G667" i="120"/>
  <c r="G1024" i="120" s="1"/>
  <c r="G1381" i="120" s="1"/>
  <c r="G1738" i="120" s="1"/>
  <c r="G2095" i="120" s="1"/>
  <c r="G2452" i="120" s="1"/>
  <c r="G2809" i="120" s="1"/>
  <c r="G659" i="120"/>
  <c r="G1016" i="120" s="1"/>
  <c r="G1373" i="120" s="1"/>
  <c r="G1730" i="120" s="1"/>
  <c r="G2087" i="120" s="1"/>
  <c r="G2444" i="120" s="1"/>
  <c r="G2801" i="120" s="1"/>
  <c r="G651" i="120"/>
  <c r="G1008" i="120" s="1"/>
  <c r="G1365" i="120" s="1"/>
  <c r="G1722" i="120" s="1"/>
  <c r="G2079" i="120" s="1"/>
  <c r="G2436" i="120" s="1"/>
  <c r="G2793" i="120" s="1"/>
  <c r="G643" i="120"/>
  <c r="G1000" i="120" s="1"/>
  <c r="G1357" i="120" s="1"/>
  <c r="G1714" i="120" s="1"/>
  <c r="G2071" i="120" s="1"/>
  <c r="G2428" i="120" s="1"/>
  <c r="G2785" i="120" s="1"/>
  <c r="G635" i="120"/>
  <c r="G992" i="120" s="1"/>
  <c r="G1349" i="120" s="1"/>
  <c r="G1706" i="120" s="1"/>
  <c r="G2063" i="120" s="1"/>
  <c r="G2420" i="120" s="1"/>
  <c r="G2777" i="120" s="1"/>
  <c r="G627" i="120"/>
  <c r="G984" i="120" s="1"/>
  <c r="G1341" i="120" s="1"/>
  <c r="G1698" i="120" s="1"/>
  <c r="G2055" i="120" s="1"/>
  <c r="G2412" i="120" s="1"/>
  <c r="G2769" i="120" s="1"/>
  <c r="G619" i="120"/>
  <c r="G976" i="120" s="1"/>
  <c r="G1333" i="120" s="1"/>
  <c r="G1690" i="120" s="1"/>
  <c r="G2047" i="120" s="1"/>
  <c r="G2404" i="120" s="1"/>
  <c r="G2761" i="120" s="1"/>
  <c r="G611" i="120"/>
  <c r="G968" i="120" s="1"/>
  <c r="G1325" i="120" s="1"/>
  <c r="G1682" i="120" s="1"/>
  <c r="G2039" i="120" s="1"/>
  <c r="G2396" i="120" s="1"/>
  <c r="G2753" i="120" s="1"/>
  <c r="G603" i="120"/>
  <c r="G960" i="120" s="1"/>
  <c r="G1317" i="120" s="1"/>
  <c r="G1674" i="120" s="1"/>
  <c r="G2031" i="120" s="1"/>
  <c r="G2388" i="120" s="1"/>
  <c r="G2745" i="120" s="1"/>
  <c r="G595" i="120"/>
  <c r="G952" i="120" s="1"/>
  <c r="G1309" i="120" s="1"/>
  <c r="G1666" i="120" s="1"/>
  <c r="G2023" i="120" s="1"/>
  <c r="G2380" i="120" s="1"/>
  <c r="G2737" i="120" s="1"/>
  <c r="G587" i="120"/>
  <c r="G944" i="120" s="1"/>
  <c r="G1301" i="120" s="1"/>
  <c r="G1658" i="120" s="1"/>
  <c r="G2015" i="120" s="1"/>
  <c r="G2372" i="120" s="1"/>
  <c r="G2729" i="120" s="1"/>
  <c r="G579" i="120"/>
  <c r="G936" i="120" s="1"/>
  <c r="G1293" i="120" s="1"/>
  <c r="G1650" i="120" s="1"/>
  <c r="G2007" i="120" s="1"/>
  <c r="G2364" i="120" s="1"/>
  <c r="G2721" i="120" s="1"/>
  <c r="G571" i="120"/>
  <c r="G928" i="120" s="1"/>
  <c r="G1285" i="120" s="1"/>
  <c r="G1642" i="120" s="1"/>
  <c r="G1999" i="120" s="1"/>
  <c r="G2356" i="120" s="1"/>
  <c r="G2713" i="120" s="1"/>
  <c r="G563" i="120"/>
  <c r="G920" i="120" s="1"/>
  <c r="G1277" i="120" s="1"/>
  <c r="G1634" i="120" s="1"/>
  <c r="G1991" i="120" s="1"/>
  <c r="G2348" i="120" s="1"/>
  <c r="G2705" i="120" s="1"/>
  <c r="G555" i="120"/>
  <c r="G912" i="120" s="1"/>
  <c r="G1269" i="120" s="1"/>
  <c r="G1626" i="120" s="1"/>
  <c r="G1983" i="120" s="1"/>
  <c r="G2340" i="120" s="1"/>
  <c r="G2697" i="120" s="1"/>
  <c r="G547" i="120"/>
  <c r="G904" i="120" s="1"/>
  <c r="G1261" i="120" s="1"/>
  <c r="G1618" i="120" s="1"/>
  <c r="G1975" i="120" s="1"/>
  <c r="G2332" i="120" s="1"/>
  <c r="G2689" i="120" s="1"/>
  <c r="G539" i="120"/>
  <c r="G896" i="120" s="1"/>
  <c r="G1253" i="120" s="1"/>
  <c r="G1610" i="120" s="1"/>
  <c r="G1967" i="120" s="1"/>
  <c r="G2324" i="120" s="1"/>
  <c r="G2681" i="120" s="1"/>
  <c r="G531" i="120"/>
  <c r="G888" i="120" s="1"/>
  <c r="G1245" i="120" s="1"/>
  <c r="G1602" i="120" s="1"/>
  <c r="G1959" i="120" s="1"/>
  <c r="G2316" i="120" s="1"/>
  <c r="G2673" i="120" s="1"/>
  <c r="G523" i="120"/>
  <c r="G880" i="120" s="1"/>
  <c r="G1237" i="120" s="1"/>
  <c r="G1594" i="120" s="1"/>
  <c r="G1951" i="120" s="1"/>
  <c r="G2308" i="120" s="1"/>
  <c r="G2665" i="120" s="1"/>
  <c r="G515" i="120"/>
  <c r="G872" i="120" s="1"/>
  <c r="G1229" i="120" s="1"/>
  <c r="G1586" i="120" s="1"/>
  <c r="G1943" i="120" s="1"/>
  <c r="G2300" i="120" s="1"/>
  <c r="G2657" i="120" s="1"/>
  <c r="G507" i="120"/>
  <c r="G864" i="120" s="1"/>
  <c r="G1221" i="120" s="1"/>
  <c r="G1578" i="120" s="1"/>
  <c r="G1935" i="120" s="1"/>
  <c r="G2292" i="120" s="1"/>
  <c r="G2649" i="120" s="1"/>
  <c r="G499" i="120"/>
  <c r="G856" i="120" s="1"/>
  <c r="G1213" i="120" s="1"/>
  <c r="G1570" i="120" s="1"/>
  <c r="G1927" i="120" s="1"/>
  <c r="G2284" i="120" s="1"/>
  <c r="G2641" i="120" s="1"/>
  <c r="G491" i="120"/>
  <c r="G848" i="120" s="1"/>
  <c r="G1205" i="120" s="1"/>
  <c r="G1562" i="120" s="1"/>
  <c r="G1919" i="120" s="1"/>
  <c r="G2276" i="120" s="1"/>
  <c r="G2633" i="120" s="1"/>
  <c r="G1164" i="120"/>
  <c r="G1521" i="120" s="1"/>
  <c r="G1878" i="120" s="1"/>
  <c r="G2235" i="120" s="1"/>
  <c r="G2592" i="120" s="1"/>
  <c r="O807" i="120"/>
  <c r="P807" i="120" s="1"/>
  <c r="G421" i="120"/>
  <c r="G778" i="120" s="1"/>
  <c r="G1135" i="120" s="1"/>
  <c r="G1492" i="120" s="1"/>
  <c r="G1849" i="120" s="1"/>
  <c r="G2206" i="120" s="1"/>
  <c r="G2563" i="120" s="1"/>
  <c r="O64" i="120"/>
  <c r="P64" i="120" s="1"/>
  <c r="H83" i="120"/>
  <c r="N83" i="120" s="1"/>
  <c r="F440" i="120"/>
  <c r="F386" i="120"/>
  <c r="H29" i="120"/>
  <c r="N29" i="120" s="1"/>
  <c r="G696" i="120"/>
  <c r="G1053" i="120" s="1"/>
  <c r="G1410" i="120" s="1"/>
  <c r="G1767" i="120" s="1"/>
  <c r="G2124" i="120" s="1"/>
  <c r="G2481" i="120" s="1"/>
  <c r="G2838" i="120" s="1"/>
  <c r="G672" i="120"/>
  <c r="G1029" i="120" s="1"/>
  <c r="G1386" i="120" s="1"/>
  <c r="G1743" i="120" s="1"/>
  <c r="G2100" i="120" s="1"/>
  <c r="G2457" i="120" s="1"/>
  <c r="G2814" i="120" s="1"/>
  <c r="G648" i="120"/>
  <c r="G1005" i="120" s="1"/>
  <c r="G1362" i="120" s="1"/>
  <c r="G1719" i="120" s="1"/>
  <c r="G2076" i="120" s="1"/>
  <c r="G2433" i="120" s="1"/>
  <c r="G2790" i="120" s="1"/>
  <c r="G624" i="120"/>
  <c r="G981" i="120" s="1"/>
  <c r="G1338" i="120" s="1"/>
  <c r="G1695" i="120" s="1"/>
  <c r="G2052" i="120" s="1"/>
  <c r="G2409" i="120" s="1"/>
  <c r="G2766" i="120" s="1"/>
  <c r="G584" i="120"/>
  <c r="G941" i="120" s="1"/>
  <c r="G1298" i="120" s="1"/>
  <c r="G1655" i="120" s="1"/>
  <c r="G2012" i="120" s="1"/>
  <c r="G2369" i="120" s="1"/>
  <c r="G2726" i="120" s="1"/>
  <c r="G536" i="120"/>
  <c r="G893" i="120" s="1"/>
  <c r="G1250" i="120" s="1"/>
  <c r="G1607" i="120" s="1"/>
  <c r="G1964" i="120" s="1"/>
  <c r="G2321" i="120" s="1"/>
  <c r="G2678" i="120" s="1"/>
  <c r="G1469" i="120"/>
  <c r="G1826" i="120" s="1"/>
  <c r="G2183" i="120" s="1"/>
  <c r="G2540" i="120" s="1"/>
  <c r="O1112" i="120"/>
  <c r="P1112" i="120" s="1"/>
  <c r="F464" i="120"/>
  <c r="H107" i="120"/>
  <c r="N107" i="120" s="1"/>
  <c r="H62" i="120"/>
  <c r="N62" i="120" s="1"/>
  <c r="F419" i="120"/>
  <c r="G703" i="120"/>
  <c r="G1060" i="120" s="1"/>
  <c r="G1417" i="120" s="1"/>
  <c r="G1774" i="120" s="1"/>
  <c r="G2131" i="120" s="1"/>
  <c r="G2488" i="120" s="1"/>
  <c r="G2845" i="120" s="1"/>
  <c r="G671" i="120"/>
  <c r="G1028" i="120" s="1"/>
  <c r="G1385" i="120" s="1"/>
  <c r="G1742" i="120" s="1"/>
  <c r="G2099" i="120" s="1"/>
  <c r="G2456" i="120" s="1"/>
  <c r="G2813" i="120" s="1"/>
  <c r="G631" i="120"/>
  <c r="G988" i="120" s="1"/>
  <c r="G1345" i="120" s="1"/>
  <c r="G1702" i="120" s="1"/>
  <c r="G2059" i="120" s="1"/>
  <c r="G2416" i="120" s="1"/>
  <c r="G2773" i="120" s="1"/>
  <c r="G591" i="120"/>
  <c r="G948" i="120" s="1"/>
  <c r="G1305" i="120" s="1"/>
  <c r="G1662" i="120" s="1"/>
  <c r="G2019" i="120" s="1"/>
  <c r="G2376" i="120" s="1"/>
  <c r="G2733" i="120" s="1"/>
  <c r="G559" i="120"/>
  <c r="G916" i="120" s="1"/>
  <c r="G1273" i="120" s="1"/>
  <c r="G1630" i="120" s="1"/>
  <c r="G1987" i="120" s="1"/>
  <c r="G2344" i="120" s="1"/>
  <c r="G2701" i="120" s="1"/>
  <c r="G519" i="120"/>
  <c r="G876" i="120" s="1"/>
  <c r="G1233" i="120" s="1"/>
  <c r="G1590" i="120" s="1"/>
  <c r="G1947" i="120" s="1"/>
  <c r="G2304" i="120" s="1"/>
  <c r="G2661" i="120" s="1"/>
  <c r="H105" i="120"/>
  <c r="N105" i="120" s="1"/>
  <c r="F462" i="120"/>
  <c r="F425" i="120"/>
  <c r="H68" i="120"/>
  <c r="N68" i="120" s="1"/>
  <c r="H24" i="120"/>
  <c r="N24" i="120" s="1"/>
  <c r="F381" i="120"/>
  <c r="G701" i="120"/>
  <c r="G1058" i="120" s="1"/>
  <c r="G1415" i="120" s="1"/>
  <c r="G1772" i="120" s="1"/>
  <c r="G2129" i="120" s="1"/>
  <c r="G2486" i="120" s="1"/>
  <c r="G2843" i="120" s="1"/>
  <c r="G685" i="120"/>
  <c r="G1042" i="120" s="1"/>
  <c r="G1399" i="120" s="1"/>
  <c r="G1756" i="120" s="1"/>
  <c r="G2113" i="120" s="1"/>
  <c r="G2470" i="120" s="1"/>
  <c r="G2827" i="120" s="1"/>
  <c r="G661" i="120"/>
  <c r="G1018" i="120" s="1"/>
  <c r="G1375" i="120" s="1"/>
  <c r="G1732" i="120" s="1"/>
  <c r="G2089" i="120" s="1"/>
  <c r="G2446" i="120" s="1"/>
  <c r="G2803" i="120" s="1"/>
  <c r="G637" i="120"/>
  <c r="G994" i="120" s="1"/>
  <c r="G1351" i="120" s="1"/>
  <c r="G1708" i="120" s="1"/>
  <c r="G2065" i="120" s="1"/>
  <c r="G2422" i="120" s="1"/>
  <c r="G2779" i="120" s="1"/>
  <c r="G613" i="120"/>
  <c r="G970" i="120" s="1"/>
  <c r="G1327" i="120" s="1"/>
  <c r="G1684" i="120" s="1"/>
  <c r="G2041" i="120" s="1"/>
  <c r="G2398" i="120" s="1"/>
  <c r="G2755" i="120" s="1"/>
  <c r="G573" i="120"/>
  <c r="G930" i="120" s="1"/>
  <c r="G1287" i="120" s="1"/>
  <c r="G1644" i="120" s="1"/>
  <c r="G2001" i="120" s="1"/>
  <c r="G2358" i="120" s="1"/>
  <c r="G2715" i="120" s="1"/>
  <c r="G541" i="120"/>
  <c r="G898" i="120" s="1"/>
  <c r="G1255" i="120" s="1"/>
  <c r="G1612" i="120" s="1"/>
  <c r="G1969" i="120" s="1"/>
  <c r="G2326" i="120" s="1"/>
  <c r="G2683" i="120" s="1"/>
  <c r="G517" i="120"/>
  <c r="G874" i="120" s="1"/>
  <c r="G1231" i="120" s="1"/>
  <c r="G1588" i="120" s="1"/>
  <c r="G1945" i="120" s="1"/>
  <c r="G2302" i="120" s="1"/>
  <c r="G2659" i="120" s="1"/>
  <c r="G493" i="120"/>
  <c r="G850" i="120" s="1"/>
  <c r="G1207" i="120" s="1"/>
  <c r="G1564" i="120" s="1"/>
  <c r="G1921" i="120" s="1"/>
  <c r="G2278" i="120" s="1"/>
  <c r="G2635" i="120" s="1"/>
  <c r="F459" i="120"/>
  <c r="H102" i="120"/>
  <c r="N102" i="120" s="1"/>
  <c r="H432" i="120"/>
  <c r="N432" i="120" s="1"/>
  <c r="F789" i="120"/>
  <c r="F422" i="120"/>
  <c r="H65" i="120"/>
  <c r="N65" i="120" s="1"/>
  <c r="F389" i="120"/>
  <c r="H32" i="120"/>
  <c r="N32" i="120" s="1"/>
  <c r="H11" i="120"/>
  <c r="N11" i="120" s="1"/>
  <c r="F368" i="120"/>
  <c r="G718" i="120"/>
  <c r="G1075" i="120" s="1"/>
  <c r="G1432" i="120" s="1"/>
  <c r="G1789" i="120" s="1"/>
  <c r="G2146" i="120" s="1"/>
  <c r="G2503" i="120" s="1"/>
  <c r="G2860" i="120" s="1"/>
  <c r="G706" i="120"/>
  <c r="G1063" i="120" s="1"/>
  <c r="G1420" i="120" s="1"/>
  <c r="G1777" i="120" s="1"/>
  <c r="G2134" i="120" s="1"/>
  <c r="G2491" i="120" s="1"/>
  <c r="G2848" i="120" s="1"/>
  <c r="G698" i="120"/>
  <c r="G1055" i="120" s="1"/>
  <c r="G1412" i="120" s="1"/>
  <c r="G1769" i="120" s="1"/>
  <c r="G2126" i="120" s="1"/>
  <c r="G2483" i="120" s="1"/>
  <c r="G2840" i="120" s="1"/>
  <c r="G690" i="120"/>
  <c r="G1047" i="120" s="1"/>
  <c r="G1404" i="120" s="1"/>
  <c r="G1761" i="120" s="1"/>
  <c r="G2118" i="120" s="1"/>
  <c r="G2475" i="120" s="1"/>
  <c r="G2832" i="120" s="1"/>
  <c r="G682" i="120"/>
  <c r="G1039" i="120" s="1"/>
  <c r="G1396" i="120" s="1"/>
  <c r="G1753" i="120" s="1"/>
  <c r="G2110" i="120" s="1"/>
  <c r="G2467" i="120" s="1"/>
  <c r="G2824" i="120" s="1"/>
  <c r="G674" i="120"/>
  <c r="G1031" i="120" s="1"/>
  <c r="G1388" i="120" s="1"/>
  <c r="G1745" i="120" s="1"/>
  <c r="G2102" i="120" s="1"/>
  <c r="G2459" i="120" s="1"/>
  <c r="G2816" i="120" s="1"/>
  <c r="G666" i="120"/>
  <c r="G1023" i="120" s="1"/>
  <c r="G1380" i="120" s="1"/>
  <c r="G1737" i="120" s="1"/>
  <c r="G2094" i="120" s="1"/>
  <c r="G2451" i="120" s="1"/>
  <c r="G2808" i="120" s="1"/>
  <c r="G658" i="120"/>
  <c r="G1015" i="120" s="1"/>
  <c r="G1372" i="120" s="1"/>
  <c r="G1729" i="120" s="1"/>
  <c r="G2086" i="120" s="1"/>
  <c r="G2443" i="120" s="1"/>
  <c r="G2800" i="120" s="1"/>
  <c r="G650" i="120"/>
  <c r="G1007" i="120" s="1"/>
  <c r="G1364" i="120" s="1"/>
  <c r="G1721" i="120" s="1"/>
  <c r="G2078" i="120" s="1"/>
  <c r="G2435" i="120" s="1"/>
  <c r="G2792" i="120" s="1"/>
  <c r="G642" i="120"/>
  <c r="G999" i="120" s="1"/>
  <c r="G1356" i="120" s="1"/>
  <c r="G1713" i="120" s="1"/>
  <c r="G2070" i="120" s="1"/>
  <c r="G2427" i="120" s="1"/>
  <c r="G2784" i="120" s="1"/>
  <c r="G634" i="120"/>
  <c r="G991" i="120" s="1"/>
  <c r="G1348" i="120" s="1"/>
  <c r="G1705" i="120" s="1"/>
  <c r="G2062" i="120" s="1"/>
  <c r="G2419" i="120" s="1"/>
  <c r="G2776" i="120" s="1"/>
  <c r="G626" i="120"/>
  <c r="G983" i="120" s="1"/>
  <c r="G1340" i="120" s="1"/>
  <c r="G1697" i="120" s="1"/>
  <c r="G2054" i="120" s="1"/>
  <c r="G2411" i="120" s="1"/>
  <c r="G2768" i="120" s="1"/>
  <c r="G618" i="120"/>
  <c r="G975" i="120" s="1"/>
  <c r="G1332" i="120" s="1"/>
  <c r="G1689" i="120" s="1"/>
  <c r="G2046" i="120" s="1"/>
  <c r="G2403" i="120" s="1"/>
  <c r="G2760" i="120" s="1"/>
  <c r="G610" i="120"/>
  <c r="G967" i="120" s="1"/>
  <c r="G1324" i="120" s="1"/>
  <c r="G1681" i="120" s="1"/>
  <c r="G2038" i="120" s="1"/>
  <c r="G2395" i="120" s="1"/>
  <c r="G2752" i="120" s="1"/>
  <c r="G602" i="120"/>
  <c r="G959" i="120" s="1"/>
  <c r="G1316" i="120" s="1"/>
  <c r="G1673" i="120" s="1"/>
  <c r="G2030" i="120" s="1"/>
  <c r="G2387" i="120" s="1"/>
  <c r="G2744" i="120" s="1"/>
  <c r="G594" i="120"/>
  <c r="G951" i="120" s="1"/>
  <c r="G1308" i="120" s="1"/>
  <c r="G1665" i="120" s="1"/>
  <c r="G2022" i="120" s="1"/>
  <c r="G2379" i="120" s="1"/>
  <c r="G2736" i="120" s="1"/>
  <c r="G586" i="120"/>
  <c r="G943" i="120" s="1"/>
  <c r="G1300" i="120" s="1"/>
  <c r="G1657" i="120" s="1"/>
  <c r="G2014" i="120" s="1"/>
  <c r="G2371" i="120" s="1"/>
  <c r="G2728" i="120" s="1"/>
  <c r="G578" i="120"/>
  <c r="G935" i="120" s="1"/>
  <c r="G1292" i="120" s="1"/>
  <c r="G1649" i="120" s="1"/>
  <c r="G2006" i="120" s="1"/>
  <c r="G2363" i="120" s="1"/>
  <c r="G2720" i="120" s="1"/>
  <c r="G570" i="120"/>
  <c r="G927" i="120" s="1"/>
  <c r="G1284" i="120" s="1"/>
  <c r="G1641" i="120" s="1"/>
  <c r="G1998" i="120" s="1"/>
  <c r="G2355" i="120" s="1"/>
  <c r="G2712" i="120" s="1"/>
  <c r="G562" i="120"/>
  <c r="G919" i="120" s="1"/>
  <c r="G1276" i="120" s="1"/>
  <c r="G1633" i="120" s="1"/>
  <c r="G1990" i="120" s="1"/>
  <c r="G2347" i="120" s="1"/>
  <c r="G2704" i="120" s="1"/>
  <c r="G554" i="120"/>
  <c r="G911" i="120" s="1"/>
  <c r="G1268" i="120" s="1"/>
  <c r="G1625" i="120" s="1"/>
  <c r="G1982" i="120" s="1"/>
  <c r="G2339" i="120" s="1"/>
  <c r="G2696" i="120" s="1"/>
  <c r="G546" i="120"/>
  <c r="G903" i="120" s="1"/>
  <c r="G1260" i="120" s="1"/>
  <c r="G1617" i="120" s="1"/>
  <c r="G1974" i="120" s="1"/>
  <c r="G2331" i="120" s="1"/>
  <c r="G2688" i="120" s="1"/>
  <c r="G538" i="120"/>
  <c r="G895" i="120" s="1"/>
  <c r="G1252" i="120" s="1"/>
  <c r="G1609" i="120" s="1"/>
  <c r="G1966" i="120" s="1"/>
  <c r="G2323" i="120" s="1"/>
  <c r="G2680" i="120" s="1"/>
  <c r="G530" i="120"/>
  <c r="G887" i="120" s="1"/>
  <c r="G1244" i="120" s="1"/>
  <c r="G1601" i="120" s="1"/>
  <c r="G1958" i="120" s="1"/>
  <c r="G2315" i="120" s="1"/>
  <c r="G2672" i="120" s="1"/>
  <c r="G522" i="120"/>
  <c r="G879" i="120" s="1"/>
  <c r="G1236" i="120" s="1"/>
  <c r="G1593" i="120" s="1"/>
  <c r="G1950" i="120" s="1"/>
  <c r="G2307" i="120" s="1"/>
  <c r="G2664" i="120" s="1"/>
  <c r="G514" i="120"/>
  <c r="G871" i="120" s="1"/>
  <c r="G1228" i="120" s="1"/>
  <c r="G1585" i="120" s="1"/>
  <c r="G1942" i="120" s="1"/>
  <c r="G2299" i="120" s="1"/>
  <c r="G2656" i="120" s="1"/>
  <c r="G506" i="120"/>
  <c r="G863" i="120" s="1"/>
  <c r="G1220" i="120" s="1"/>
  <c r="G1577" i="120" s="1"/>
  <c r="G1934" i="120" s="1"/>
  <c r="G2291" i="120" s="1"/>
  <c r="G2648" i="120" s="1"/>
  <c r="G498" i="120"/>
  <c r="G855" i="120" s="1"/>
  <c r="G1212" i="120" s="1"/>
  <c r="G1569" i="120" s="1"/>
  <c r="G1926" i="120" s="1"/>
  <c r="G2283" i="120" s="1"/>
  <c r="G2640" i="120" s="1"/>
  <c r="G490" i="120"/>
  <c r="G847" i="120" s="1"/>
  <c r="G1204" i="120" s="1"/>
  <c r="G1561" i="120" s="1"/>
  <c r="G1918" i="120" s="1"/>
  <c r="G2275" i="120" s="1"/>
  <c r="G2632" i="120" s="1"/>
  <c r="G1163" i="120"/>
  <c r="G1520" i="120" s="1"/>
  <c r="G1877" i="120" s="1"/>
  <c r="G2234" i="120" s="1"/>
  <c r="G2591" i="120" s="1"/>
  <c r="O806" i="120"/>
  <c r="P806" i="120" s="1"/>
  <c r="H46" i="120"/>
  <c r="N46" i="120" s="1"/>
  <c r="G403" i="120"/>
  <c r="G760" i="120" s="1"/>
  <c r="G1117" i="120" s="1"/>
  <c r="G1474" i="120" s="1"/>
  <c r="G1831" i="120" s="1"/>
  <c r="G2188" i="120" s="1"/>
  <c r="G2545" i="120" s="1"/>
  <c r="H18" i="120"/>
  <c r="N18" i="120" s="1"/>
  <c r="G375" i="120"/>
  <c r="G732" i="120" s="1"/>
  <c r="G1089" i="120" s="1"/>
  <c r="G1446" i="120" s="1"/>
  <c r="G1803" i="120" s="1"/>
  <c r="G2160" i="120" s="1"/>
  <c r="G2517" i="120" s="1"/>
  <c r="H92" i="120"/>
  <c r="N92" i="120" s="1"/>
  <c r="F449" i="120"/>
  <c r="H43" i="120"/>
  <c r="N43" i="120" s="1"/>
  <c r="F400" i="120"/>
  <c r="G680" i="120"/>
  <c r="G1037" i="120" s="1"/>
  <c r="G1394" i="120" s="1"/>
  <c r="G1751" i="120" s="1"/>
  <c r="G2108" i="120" s="1"/>
  <c r="G2465" i="120" s="1"/>
  <c r="G2822" i="120" s="1"/>
  <c r="G640" i="120"/>
  <c r="G997" i="120" s="1"/>
  <c r="G1354" i="120" s="1"/>
  <c r="G1711" i="120" s="1"/>
  <c r="G2068" i="120" s="1"/>
  <c r="G2425" i="120" s="1"/>
  <c r="G2782" i="120" s="1"/>
  <c r="G616" i="120"/>
  <c r="G973" i="120" s="1"/>
  <c r="G1330" i="120" s="1"/>
  <c r="G1687" i="120" s="1"/>
  <c r="G2044" i="120" s="1"/>
  <c r="G2401" i="120" s="1"/>
  <c r="G2758" i="120" s="1"/>
  <c r="G576" i="120"/>
  <c r="G933" i="120" s="1"/>
  <c r="G1290" i="120" s="1"/>
  <c r="G1647" i="120" s="1"/>
  <c r="G2004" i="120" s="1"/>
  <c r="G2361" i="120" s="1"/>
  <c r="G2718" i="120" s="1"/>
  <c r="G568" i="120"/>
  <c r="G925" i="120" s="1"/>
  <c r="G1282" i="120" s="1"/>
  <c r="G1639" i="120" s="1"/>
  <c r="G1996" i="120" s="1"/>
  <c r="G2353" i="120" s="1"/>
  <c r="G2710" i="120" s="1"/>
  <c r="G528" i="120"/>
  <c r="G885" i="120" s="1"/>
  <c r="G1242" i="120" s="1"/>
  <c r="G1599" i="120" s="1"/>
  <c r="G1956" i="120" s="1"/>
  <c r="G2313" i="120" s="1"/>
  <c r="G2670" i="120" s="1"/>
  <c r="G520" i="120"/>
  <c r="G877" i="120" s="1"/>
  <c r="G1234" i="120" s="1"/>
  <c r="G1591" i="120" s="1"/>
  <c r="G1948" i="120" s="1"/>
  <c r="G2305" i="120" s="1"/>
  <c r="G2662" i="120" s="1"/>
  <c r="G512" i="120"/>
  <c r="G869" i="120" s="1"/>
  <c r="G1226" i="120" s="1"/>
  <c r="G1583" i="120" s="1"/>
  <c r="G1940" i="120" s="1"/>
  <c r="G2297" i="120" s="1"/>
  <c r="G2654" i="120" s="1"/>
  <c r="G504" i="120"/>
  <c r="G861" i="120" s="1"/>
  <c r="G1218" i="120" s="1"/>
  <c r="G1575" i="120" s="1"/>
  <c r="G1932" i="120" s="1"/>
  <c r="G2289" i="120" s="1"/>
  <c r="G2646" i="120" s="1"/>
  <c r="G496" i="120"/>
  <c r="G853" i="120" s="1"/>
  <c r="G1210" i="120" s="1"/>
  <c r="G1567" i="120" s="1"/>
  <c r="G1924" i="120" s="1"/>
  <c r="G2281" i="120" s="1"/>
  <c r="G2638" i="120" s="1"/>
  <c r="G488" i="120"/>
  <c r="G845" i="120" s="1"/>
  <c r="G1202" i="120" s="1"/>
  <c r="G1559" i="120" s="1"/>
  <c r="G1916" i="120" s="1"/>
  <c r="G2273" i="120" s="1"/>
  <c r="G2630" i="120" s="1"/>
  <c r="F456" i="120"/>
  <c r="H99" i="120"/>
  <c r="N99" i="120" s="1"/>
  <c r="F398" i="120"/>
  <c r="H41" i="120"/>
  <c r="N41" i="120" s="1"/>
  <c r="G714" i="120"/>
  <c r="G1071" i="120" s="1"/>
  <c r="G1428" i="120" s="1"/>
  <c r="G1785" i="120" s="1"/>
  <c r="G2142" i="120" s="1"/>
  <c r="G2499" i="120" s="1"/>
  <c r="G2856" i="120" s="1"/>
  <c r="G495" i="120"/>
  <c r="G852" i="120" s="1"/>
  <c r="G1209" i="120" s="1"/>
  <c r="G1566" i="120" s="1"/>
  <c r="G1923" i="120" s="1"/>
  <c r="G2280" i="120" s="1"/>
  <c r="G2637" i="120" s="1"/>
  <c r="F471" i="120"/>
  <c r="H114" i="120"/>
  <c r="N114" i="120" s="1"/>
  <c r="F436" i="120"/>
  <c r="H79" i="120"/>
  <c r="N79" i="120" s="1"/>
  <c r="H50" i="120"/>
  <c r="N50" i="120" s="1"/>
  <c r="F407" i="120"/>
  <c r="G677" i="120"/>
  <c r="G1034" i="120" s="1"/>
  <c r="G1391" i="120" s="1"/>
  <c r="G1748" i="120" s="1"/>
  <c r="G2105" i="120" s="1"/>
  <c r="G2462" i="120" s="1"/>
  <c r="G2819" i="120" s="1"/>
  <c r="G653" i="120"/>
  <c r="G1010" i="120" s="1"/>
  <c r="G1367" i="120" s="1"/>
  <c r="G1724" i="120" s="1"/>
  <c r="G2081" i="120" s="1"/>
  <c r="G2438" i="120" s="1"/>
  <c r="G2795" i="120" s="1"/>
  <c r="G621" i="120"/>
  <c r="G978" i="120" s="1"/>
  <c r="G1335" i="120" s="1"/>
  <c r="G1692" i="120" s="1"/>
  <c r="G2049" i="120" s="1"/>
  <c r="G2406" i="120" s="1"/>
  <c r="G2763" i="120" s="1"/>
  <c r="G605" i="120"/>
  <c r="G962" i="120" s="1"/>
  <c r="G1319" i="120" s="1"/>
  <c r="G1676" i="120" s="1"/>
  <c r="G2033" i="120" s="1"/>
  <c r="G2390" i="120" s="1"/>
  <c r="G2747" i="120" s="1"/>
  <c r="G581" i="120"/>
  <c r="G938" i="120" s="1"/>
  <c r="G1295" i="120" s="1"/>
  <c r="G1652" i="120" s="1"/>
  <c r="G2009" i="120" s="1"/>
  <c r="G2366" i="120" s="1"/>
  <c r="G2723" i="120" s="1"/>
  <c r="G565" i="120"/>
  <c r="G922" i="120" s="1"/>
  <c r="G1279" i="120" s="1"/>
  <c r="G1636" i="120" s="1"/>
  <c r="G1993" i="120" s="1"/>
  <c r="G2350" i="120" s="1"/>
  <c r="G2707" i="120" s="1"/>
  <c r="G557" i="120"/>
  <c r="G914" i="120" s="1"/>
  <c r="G1271" i="120" s="1"/>
  <c r="G1628" i="120" s="1"/>
  <c r="G1985" i="120" s="1"/>
  <c r="G2342" i="120" s="1"/>
  <c r="G2699" i="120" s="1"/>
  <c r="G533" i="120"/>
  <c r="G890" i="120" s="1"/>
  <c r="G1247" i="120" s="1"/>
  <c r="G1604" i="120" s="1"/>
  <c r="G1961" i="120" s="1"/>
  <c r="G2318" i="120" s="1"/>
  <c r="G2675" i="120" s="1"/>
  <c r="G501" i="120"/>
  <c r="G858" i="120" s="1"/>
  <c r="G1215" i="120" s="1"/>
  <c r="G1572" i="120" s="1"/>
  <c r="G1929" i="120" s="1"/>
  <c r="G2286" i="120" s="1"/>
  <c r="G2643" i="120" s="1"/>
  <c r="F451" i="120"/>
  <c r="H94" i="120"/>
  <c r="N94" i="120" s="1"/>
  <c r="F443" i="120"/>
  <c r="H86" i="120"/>
  <c r="N86" i="120" s="1"/>
  <c r="F413" i="120"/>
  <c r="H56" i="120"/>
  <c r="N56" i="120" s="1"/>
  <c r="F404" i="120"/>
  <c r="H47" i="120"/>
  <c r="N47" i="120" s="1"/>
  <c r="F378" i="120"/>
  <c r="H21" i="120"/>
  <c r="N21" i="120" s="1"/>
  <c r="H128" i="120"/>
  <c r="N128" i="120" s="1"/>
  <c r="F485" i="120"/>
  <c r="H101" i="120"/>
  <c r="N101" i="120" s="1"/>
  <c r="F458" i="120"/>
  <c r="H93" i="120"/>
  <c r="N93" i="120" s="1"/>
  <c r="F450" i="120"/>
  <c r="F442" i="120"/>
  <c r="H85" i="120"/>
  <c r="N85" i="120" s="1"/>
  <c r="F431" i="120"/>
  <c r="H74" i="120"/>
  <c r="N74" i="120" s="1"/>
  <c r="F421" i="120"/>
  <c r="H64" i="120"/>
  <c r="N64" i="120" s="1"/>
  <c r="F412" i="120"/>
  <c r="H55" i="120"/>
  <c r="N55" i="120" s="1"/>
  <c r="F760" i="120"/>
  <c r="H403" i="120"/>
  <c r="N403" i="120" s="1"/>
  <c r="F388" i="120"/>
  <c r="H31" i="120"/>
  <c r="N31" i="120" s="1"/>
  <c r="F732" i="120"/>
  <c r="G716" i="120"/>
  <c r="G1073" i="120" s="1"/>
  <c r="G1430" i="120" s="1"/>
  <c r="G1787" i="120" s="1"/>
  <c r="G2144" i="120" s="1"/>
  <c r="G2501" i="120" s="1"/>
  <c r="G2858" i="120" s="1"/>
  <c r="G705" i="120"/>
  <c r="G1062" i="120" s="1"/>
  <c r="G1419" i="120" s="1"/>
  <c r="G1776" i="120" s="1"/>
  <c r="G2133" i="120" s="1"/>
  <c r="G2490" i="120" s="1"/>
  <c r="G2847" i="120" s="1"/>
  <c r="G697" i="120"/>
  <c r="G1054" i="120" s="1"/>
  <c r="G1411" i="120" s="1"/>
  <c r="G1768" i="120" s="1"/>
  <c r="G2125" i="120" s="1"/>
  <c r="G2482" i="120" s="1"/>
  <c r="G2839" i="120" s="1"/>
  <c r="G689" i="120"/>
  <c r="G1046" i="120" s="1"/>
  <c r="G1403" i="120" s="1"/>
  <c r="G1760" i="120" s="1"/>
  <c r="G2117" i="120" s="1"/>
  <c r="G2474" i="120" s="1"/>
  <c r="G2831" i="120" s="1"/>
  <c r="G681" i="120"/>
  <c r="G1038" i="120" s="1"/>
  <c r="G1395" i="120" s="1"/>
  <c r="G1752" i="120" s="1"/>
  <c r="G2109" i="120" s="1"/>
  <c r="G2466" i="120" s="1"/>
  <c r="G2823" i="120" s="1"/>
  <c r="G673" i="120"/>
  <c r="G1030" i="120" s="1"/>
  <c r="G1387" i="120" s="1"/>
  <c r="G1744" i="120" s="1"/>
  <c r="G2101" i="120" s="1"/>
  <c r="G2458" i="120" s="1"/>
  <c r="G2815" i="120" s="1"/>
  <c r="G665" i="120"/>
  <c r="G1022" i="120" s="1"/>
  <c r="G1379" i="120" s="1"/>
  <c r="G1736" i="120" s="1"/>
  <c r="G2093" i="120" s="1"/>
  <c r="G2450" i="120" s="1"/>
  <c r="G2807" i="120" s="1"/>
  <c r="G657" i="120"/>
  <c r="G1014" i="120" s="1"/>
  <c r="G1371" i="120" s="1"/>
  <c r="G1728" i="120" s="1"/>
  <c r="G2085" i="120" s="1"/>
  <c r="G2442" i="120" s="1"/>
  <c r="G2799" i="120" s="1"/>
  <c r="G649" i="120"/>
  <c r="G1006" i="120" s="1"/>
  <c r="G1363" i="120" s="1"/>
  <c r="G1720" i="120" s="1"/>
  <c r="G2077" i="120" s="1"/>
  <c r="G2434" i="120" s="1"/>
  <c r="G2791" i="120" s="1"/>
  <c r="G641" i="120"/>
  <c r="G998" i="120" s="1"/>
  <c r="G1355" i="120" s="1"/>
  <c r="G1712" i="120" s="1"/>
  <c r="G2069" i="120" s="1"/>
  <c r="G2426" i="120" s="1"/>
  <c r="G2783" i="120" s="1"/>
  <c r="G633" i="120"/>
  <c r="G990" i="120" s="1"/>
  <c r="G1347" i="120" s="1"/>
  <c r="G1704" i="120" s="1"/>
  <c r="G2061" i="120" s="1"/>
  <c r="G2418" i="120" s="1"/>
  <c r="G2775" i="120" s="1"/>
  <c r="G625" i="120"/>
  <c r="G982" i="120" s="1"/>
  <c r="G1339" i="120" s="1"/>
  <c r="G1696" i="120" s="1"/>
  <c r="G2053" i="120" s="1"/>
  <c r="G2410" i="120" s="1"/>
  <c r="G2767" i="120" s="1"/>
  <c r="G617" i="120"/>
  <c r="G974" i="120" s="1"/>
  <c r="G1331" i="120" s="1"/>
  <c r="G1688" i="120" s="1"/>
  <c r="G2045" i="120" s="1"/>
  <c r="G2402" i="120" s="1"/>
  <c r="G2759" i="120" s="1"/>
  <c r="G609" i="120"/>
  <c r="G966" i="120" s="1"/>
  <c r="G1323" i="120" s="1"/>
  <c r="G1680" i="120" s="1"/>
  <c r="G2037" i="120" s="1"/>
  <c r="G2394" i="120" s="1"/>
  <c r="G2751" i="120" s="1"/>
  <c r="G601" i="120"/>
  <c r="G958" i="120" s="1"/>
  <c r="G1315" i="120" s="1"/>
  <c r="G1672" i="120" s="1"/>
  <c r="G2029" i="120" s="1"/>
  <c r="G2386" i="120" s="1"/>
  <c r="G2743" i="120" s="1"/>
  <c r="G593" i="120"/>
  <c r="G950" i="120" s="1"/>
  <c r="G1307" i="120" s="1"/>
  <c r="G1664" i="120" s="1"/>
  <c r="G2021" i="120" s="1"/>
  <c r="G2378" i="120" s="1"/>
  <c r="G2735" i="120" s="1"/>
  <c r="G585" i="120"/>
  <c r="G942" i="120" s="1"/>
  <c r="G1299" i="120" s="1"/>
  <c r="G1656" i="120" s="1"/>
  <c r="G2013" i="120" s="1"/>
  <c r="G2370" i="120" s="1"/>
  <c r="G2727" i="120" s="1"/>
  <c r="G577" i="120"/>
  <c r="G934" i="120" s="1"/>
  <c r="G1291" i="120" s="1"/>
  <c r="G1648" i="120" s="1"/>
  <c r="G2005" i="120" s="1"/>
  <c r="G2362" i="120" s="1"/>
  <c r="G2719" i="120" s="1"/>
  <c r="G569" i="120"/>
  <c r="G926" i="120" s="1"/>
  <c r="G1283" i="120" s="1"/>
  <c r="G1640" i="120" s="1"/>
  <c r="G1997" i="120" s="1"/>
  <c r="G2354" i="120" s="1"/>
  <c r="G2711" i="120" s="1"/>
  <c r="G561" i="120"/>
  <c r="G918" i="120" s="1"/>
  <c r="G1275" i="120" s="1"/>
  <c r="G1632" i="120" s="1"/>
  <c r="G1989" i="120" s="1"/>
  <c r="G2346" i="120" s="1"/>
  <c r="G2703" i="120" s="1"/>
  <c r="G553" i="120"/>
  <c r="G910" i="120" s="1"/>
  <c r="G1267" i="120" s="1"/>
  <c r="G1624" i="120" s="1"/>
  <c r="G1981" i="120" s="1"/>
  <c r="G2338" i="120" s="1"/>
  <c r="G2695" i="120" s="1"/>
  <c r="G545" i="120"/>
  <c r="G902" i="120" s="1"/>
  <c r="G1259" i="120" s="1"/>
  <c r="G1616" i="120" s="1"/>
  <c r="G1973" i="120" s="1"/>
  <c r="G2330" i="120" s="1"/>
  <c r="G2687" i="120" s="1"/>
  <c r="G537" i="120"/>
  <c r="G894" i="120" s="1"/>
  <c r="G1251" i="120" s="1"/>
  <c r="G1608" i="120" s="1"/>
  <c r="G1965" i="120" s="1"/>
  <c r="G2322" i="120" s="1"/>
  <c r="G2679" i="120" s="1"/>
  <c r="G529" i="120"/>
  <c r="G886" i="120" s="1"/>
  <c r="G1243" i="120" s="1"/>
  <c r="G1600" i="120" s="1"/>
  <c r="G1957" i="120" s="1"/>
  <c r="G2314" i="120" s="1"/>
  <c r="G2671" i="120" s="1"/>
  <c r="G521" i="120"/>
  <c r="G878" i="120" s="1"/>
  <c r="G1235" i="120" s="1"/>
  <c r="G1592" i="120" s="1"/>
  <c r="G1949" i="120" s="1"/>
  <c r="G2306" i="120" s="1"/>
  <c r="G2663" i="120" s="1"/>
  <c r="G513" i="120"/>
  <c r="G870" i="120" s="1"/>
  <c r="G1227" i="120" s="1"/>
  <c r="G1584" i="120" s="1"/>
  <c r="G1941" i="120" s="1"/>
  <c r="G2298" i="120" s="1"/>
  <c r="G2655" i="120" s="1"/>
  <c r="G505" i="120"/>
  <c r="G862" i="120" s="1"/>
  <c r="G1219" i="120" s="1"/>
  <c r="G1576" i="120" s="1"/>
  <c r="G1933" i="120" s="1"/>
  <c r="G2290" i="120" s="1"/>
  <c r="G2647" i="120" s="1"/>
  <c r="G497" i="120"/>
  <c r="G854" i="120" s="1"/>
  <c r="G1211" i="120" s="1"/>
  <c r="G1568" i="120" s="1"/>
  <c r="G1925" i="120" s="1"/>
  <c r="G2282" i="120" s="1"/>
  <c r="G2639" i="120" s="1"/>
  <c r="G489" i="120"/>
  <c r="G846" i="120" s="1"/>
  <c r="G1203" i="120" s="1"/>
  <c r="G1560" i="120" s="1"/>
  <c r="G1917" i="120" s="1"/>
  <c r="G2274" i="120" s="1"/>
  <c r="G2631" i="120" s="1"/>
  <c r="G1527" i="120"/>
  <c r="G1884" i="120" s="1"/>
  <c r="G2241" i="120" s="1"/>
  <c r="G2598" i="120" s="1"/>
  <c r="O1170" i="120"/>
  <c r="P1170" i="120" s="1"/>
  <c r="O62" i="120"/>
  <c r="P62" i="120" s="1"/>
  <c r="G419" i="120"/>
  <c r="G776" i="120" s="1"/>
  <c r="H54" i="120"/>
  <c r="N54" i="120" s="1"/>
  <c r="G411" i="120"/>
  <c r="G768" i="120" s="1"/>
  <c r="G1125" i="120" s="1"/>
  <c r="G1482" i="120" s="1"/>
  <c r="G1839" i="120" s="1"/>
  <c r="G2196" i="120" s="1"/>
  <c r="G2553" i="120" s="1"/>
  <c r="G1471" i="120"/>
  <c r="G1828" i="120" s="1"/>
  <c r="G2185" i="120" s="1"/>
  <c r="G2542" i="120" s="1"/>
  <c r="O1114" i="120"/>
  <c r="P1114" i="120" s="1"/>
  <c r="F801" i="120" l="1"/>
  <c r="H444" i="120"/>
  <c r="N444" i="120" s="1"/>
  <c r="F1085" i="120"/>
  <c r="H728" i="120"/>
  <c r="N728" i="120" s="1"/>
  <c r="F577" i="120"/>
  <c r="H220" i="120"/>
  <c r="N220" i="120" s="1"/>
  <c r="H294" i="120"/>
  <c r="N294" i="120" s="1"/>
  <c r="F651" i="120"/>
  <c r="F508" i="120"/>
  <c r="H151" i="120"/>
  <c r="N151" i="120" s="1"/>
  <c r="H192" i="120"/>
  <c r="N192" i="120" s="1"/>
  <c r="F549" i="120"/>
  <c r="H288" i="120"/>
  <c r="N288" i="120" s="1"/>
  <c r="F645" i="120"/>
  <c r="F582" i="120"/>
  <c r="H225" i="120"/>
  <c r="N225" i="120" s="1"/>
  <c r="H252" i="120"/>
  <c r="N252" i="120" s="1"/>
  <c r="F609" i="120"/>
  <c r="F523" i="120"/>
  <c r="H166" i="120"/>
  <c r="N166" i="120" s="1"/>
  <c r="F738" i="120"/>
  <c r="H381" i="120"/>
  <c r="N381" i="120" s="1"/>
  <c r="F710" i="120"/>
  <c r="H353" i="120"/>
  <c r="N353" i="120" s="1"/>
  <c r="H170" i="120"/>
  <c r="N170" i="120" s="1"/>
  <c r="F527" i="120"/>
  <c r="H234" i="120"/>
  <c r="N234" i="120" s="1"/>
  <c r="F591" i="120"/>
  <c r="F623" i="120"/>
  <c r="H266" i="120"/>
  <c r="N266" i="120" s="1"/>
  <c r="H298" i="120"/>
  <c r="N298" i="120" s="1"/>
  <c r="F655" i="120"/>
  <c r="H330" i="120"/>
  <c r="N330" i="120" s="1"/>
  <c r="F687" i="120"/>
  <c r="F680" i="120"/>
  <c r="H323" i="120"/>
  <c r="N323" i="120" s="1"/>
  <c r="F633" i="120"/>
  <c r="H276" i="120"/>
  <c r="N276" i="120" s="1"/>
  <c r="F619" i="120"/>
  <c r="H262" i="120"/>
  <c r="N262" i="120" s="1"/>
  <c r="F684" i="120"/>
  <c r="H327" i="120"/>
  <c r="N327" i="120" s="1"/>
  <c r="F512" i="120"/>
  <c r="H155" i="120"/>
  <c r="N155" i="120" s="1"/>
  <c r="F576" i="120"/>
  <c r="H219" i="120"/>
  <c r="N219" i="120" s="1"/>
  <c r="F608" i="120"/>
  <c r="H251" i="120"/>
  <c r="N251" i="120" s="1"/>
  <c r="F640" i="120"/>
  <c r="H283" i="120"/>
  <c r="N283" i="120" s="1"/>
  <c r="F1117" i="120"/>
  <c r="H760" i="120"/>
  <c r="N760" i="120" s="1"/>
  <c r="F771" i="120"/>
  <c r="H414" i="120"/>
  <c r="N414" i="120" s="1"/>
  <c r="F751" i="120"/>
  <c r="H394" i="120"/>
  <c r="N394" i="120" s="1"/>
  <c r="F841" i="120"/>
  <c r="H484" i="120"/>
  <c r="N484" i="120" s="1"/>
  <c r="F625" i="120"/>
  <c r="H268" i="120"/>
  <c r="N268" i="120" s="1"/>
  <c r="F548" i="120"/>
  <c r="H191" i="120"/>
  <c r="N191" i="120" s="1"/>
  <c r="H310" i="120"/>
  <c r="N310" i="120" s="1"/>
  <c r="F667" i="120"/>
  <c r="H247" i="120"/>
  <c r="N247" i="120" s="1"/>
  <c r="F604" i="120"/>
  <c r="F494" i="120"/>
  <c r="H137" i="120"/>
  <c r="N137" i="120" s="1"/>
  <c r="F561" i="120"/>
  <c r="H204" i="120"/>
  <c r="N204" i="120" s="1"/>
  <c r="H324" i="120"/>
  <c r="N324" i="120" s="1"/>
  <c r="F681" i="120"/>
  <c r="F797" i="120"/>
  <c r="H440" i="120"/>
  <c r="N440" i="120" s="1"/>
  <c r="H255" i="120"/>
  <c r="N255" i="120" s="1"/>
  <c r="F612" i="120"/>
  <c r="F736" i="120"/>
  <c r="H379" i="120"/>
  <c r="N379" i="120" s="1"/>
  <c r="H423" i="120"/>
  <c r="N423" i="120" s="1"/>
  <c r="F780" i="120"/>
  <c r="F817" i="120"/>
  <c r="H460" i="120"/>
  <c r="N460" i="120" s="1"/>
  <c r="F503" i="120"/>
  <c r="H146" i="120"/>
  <c r="N146" i="120" s="1"/>
  <c r="F535" i="120"/>
  <c r="H178" i="120"/>
  <c r="N178" i="120" s="1"/>
  <c r="F567" i="120"/>
  <c r="H210" i="120"/>
  <c r="N210" i="120" s="1"/>
  <c r="F599" i="120"/>
  <c r="H242" i="120"/>
  <c r="N242" i="120" s="1"/>
  <c r="F631" i="120"/>
  <c r="H274" i="120"/>
  <c r="N274" i="120" s="1"/>
  <c r="H306" i="120"/>
  <c r="N306" i="120" s="1"/>
  <c r="F663" i="120"/>
  <c r="H338" i="120"/>
  <c r="N338" i="120" s="1"/>
  <c r="F695" i="120"/>
  <c r="F696" i="120"/>
  <c r="H339" i="120"/>
  <c r="N339" i="120" s="1"/>
  <c r="H417" i="120"/>
  <c r="N417" i="120" s="1"/>
  <c r="F774" i="120"/>
  <c r="H196" i="120"/>
  <c r="N196" i="120" s="1"/>
  <c r="F553" i="120"/>
  <c r="H308" i="120"/>
  <c r="N308" i="120" s="1"/>
  <c r="F665" i="120"/>
  <c r="F499" i="120"/>
  <c r="H142" i="120"/>
  <c r="N142" i="120" s="1"/>
  <c r="H318" i="120"/>
  <c r="N318" i="120" s="1"/>
  <c r="F675" i="120"/>
  <c r="H175" i="120"/>
  <c r="N175" i="120" s="1"/>
  <c r="F532" i="120"/>
  <c r="H445" i="120"/>
  <c r="N445" i="120" s="1"/>
  <c r="H131" i="120"/>
  <c r="N131" i="120" s="1"/>
  <c r="F488" i="120"/>
  <c r="H163" i="120"/>
  <c r="N163" i="120" s="1"/>
  <c r="F520" i="120"/>
  <c r="F552" i="120"/>
  <c r="H195" i="120"/>
  <c r="N195" i="120" s="1"/>
  <c r="F584" i="120"/>
  <c r="H227" i="120"/>
  <c r="N227" i="120" s="1"/>
  <c r="H259" i="120"/>
  <c r="N259" i="120" s="1"/>
  <c r="F616" i="120"/>
  <c r="F648" i="120"/>
  <c r="H291" i="120"/>
  <c r="N291" i="120" s="1"/>
  <c r="F688" i="120"/>
  <c r="H331" i="120"/>
  <c r="N331" i="120" s="1"/>
  <c r="O809" i="120"/>
  <c r="P809" i="120" s="1"/>
  <c r="G1166" i="120"/>
  <c r="G1523" i="120" s="1"/>
  <c r="G1880" i="120" s="1"/>
  <c r="G2237" i="120" s="1"/>
  <c r="G2594" i="120" s="1"/>
  <c r="F803" i="120"/>
  <c r="H446" i="120"/>
  <c r="N446" i="120" s="1"/>
  <c r="F775" i="120"/>
  <c r="H418" i="120"/>
  <c r="N418" i="120" s="1"/>
  <c r="F814" i="120"/>
  <c r="H457" i="120"/>
  <c r="N457" i="120" s="1"/>
  <c r="H431" i="120"/>
  <c r="N431" i="120" s="1"/>
  <c r="F788" i="120"/>
  <c r="F490" i="120"/>
  <c r="H133" i="120"/>
  <c r="N133" i="120" s="1"/>
  <c r="F588" i="120"/>
  <c r="H231" i="120"/>
  <c r="N231" i="120" s="1"/>
  <c r="H207" i="120"/>
  <c r="N207" i="120" s="1"/>
  <c r="F564" i="120"/>
  <c r="H172" i="120"/>
  <c r="N172" i="120" s="1"/>
  <c r="F529" i="120"/>
  <c r="H292" i="120"/>
  <c r="N292" i="120" s="1"/>
  <c r="F649" i="120"/>
  <c r="F572" i="120"/>
  <c r="H215" i="120"/>
  <c r="N215" i="120" s="1"/>
  <c r="F700" i="120"/>
  <c r="H343" i="120"/>
  <c r="N343" i="120" s="1"/>
  <c r="H202" i="120"/>
  <c r="N202" i="120" s="1"/>
  <c r="F559" i="120"/>
  <c r="H113" i="120"/>
  <c r="N113" i="120" s="1"/>
  <c r="F470" i="120"/>
  <c r="F544" i="120"/>
  <c r="H187" i="120"/>
  <c r="N187" i="120" s="1"/>
  <c r="F765" i="120"/>
  <c r="H408" i="120"/>
  <c r="N408" i="120" s="1"/>
  <c r="H420" i="120"/>
  <c r="N420" i="120" s="1"/>
  <c r="F777" i="120"/>
  <c r="H442" i="120"/>
  <c r="N442" i="120" s="1"/>
  <c r="F799" i="120"/>
  <c r="F800" i="120"/>
  <c r="H443" i="120"/>
  <c r="N443" i="120" s="1"/>
  <c r="H471" i="120"/>
  <c r="N471" i="120" s="1"/>
  <c r="F828" i="120"/>
  <c r="F726" i="120"/>
  <c r="H369" i="120"/>
  <c r="N369" i="120" s="1"/>
  <c r="F729" i="120"/>
  <c r="H372" i="120"/>
  <c r="N372" i="120" s="1"/>
  <c r="F812" i="120"/>
  <c r="H455" i="120"/>
  <c r="N455" i="120" s="1"/>
  <c r="F562" i="120"/>
  <c r="H205" i="120"/>
  <c r="N205" i="120" s="1"/>
  <c r="F626" i="120"/>
  <c r="H269" i="120"/>
  <c r="N269" i="120" s="1"/>
  <c r="F690" i="120"/>
  <c r="H333" i="120"/>
  <c r="N333" i="120" s="1"/>
  <c r="F493" i="120"/>
  <c r="H136" i="120"/>
  <c r="N136" i="120" s="1"/>
  <c r="F589" i="120"/>
  <c r="H232" i="120"/>
  <c r="N232" i="120" s="1"/>
  <c r="H328" i="120"/>
  <c r="N328" i="120" s="1"/>
  <c r="F685" i="120"/>
  <c r="F526" i="120"/>
  <c r="H169" i="120"/>
  <c r="N169" i="120" s="1"/>
  <c r="F563" i="120"/>
  <c r="H206" i="120"/>
  <c r="N206" i="120" s="1"/>
  <c r="F776" i="120"/>
  <c r="H419" i="120"/>
  <c r="N419" i="120" s="1"/>
  <c r="F782" i="120"/>
  <c r="H425" i="120"/>
  <c r="N425" i="120" s="1"/>
  <c r="F763" i="120"/>
  <c r="H406" i="120"/>
  <c r="N406" i="120" s="1"/>
  <c r="H300" i="120"/>
  <c r="N300" i="120" s="1"/>
  <c r="F657" i="120"/>
  <c r="H239" i="120"/>
  <c r="N239" i="120" s="1"/>
  <c r="F596" i="120"/>
  <c r="F740" i="120"/>
  <c r="H383" i="120"/>
  <c r="N383" i="120" s="1"/>
  <c r="F783" i="120"/>
  <c r="H426" i="120"/>
  <c r="N426" i="120" s="1"/>
  <c r="F506" i="120"/>
  <c r="H149" i="120"/>
  <c r="N149" i="120" s="1"/>
  <c r="F538" i="120"/>
  <c r="H181" i="120"/>
  <c r="N181" i="120" s="1"/>
  <c r="H213" i="120"/>
  <c r="N213" i="120" s="1"/>
  <c r="F570" i="120"/>
  <c r="H245" i="120"/>
  <c r="N245" i="120" s="1"/>
  <c r="F602" i="120"/>
  <c r="H277" i="120"/>
  <c r="N277" i="120" s="1"/>
  <c r="F634" i="120"/>
  <c r="F666" i="120"/>
  <c r="H309" i="120"/>
  <c r="N309" i="120" s="1"/>
  <c r="F698" i="120"/>
  <c r="H341" i="120"/>
  <c r="N341" i="120" s="1"/>
  <c r="H159" i="120"/>
  <c r="N159" i="120" s="1"/>
  <c r="F516" i="120"/>
  <c r="F1089" i="120"/>
  <c r="H732" i="120"/>
  <c r="N732" i="120" s="1"/>
  <c r="F815" i="120"/>
  <c r="H458" i="120"/>
  <c r="N458" i="120" s="1"/>
  <c r="F501" i="120"/>
  <c r="H144" i="120"/>
  <c r="N144" i="120" s="1"/>
  <c r="F533" i="120"/>
  <c r="H176" i="120"/>
  <c r="N176" i="120" s="1"/>
  <c r="F565" i="120"/>
  <c r="H208" i="120"/>
  <c r="N208" i="120" s="1"/>
  <c r="F597" i="120"/>
  <c r="H240" i="120"/>
  <c r="N240" i="120" s="1"/>
  <c r="F629" i="120"/>
  <c r="H272" i="120"/>
  <c r="N272" i="120" s="1"/>
  <c r="H304" i="120"/>
  <c r="N304" i="120" s="1"/>
  <c r="F661" i="120"/>
  <c r="H336" i="120"/>
  <c r="N336" i="120" s="1"/>
  <c r="F693" i="120"/>
  <c r="F467" i="120"/>
  <c r="H110" i="120"/>
  <c r="N110" i="120" s="1"/>
  <c r="F542" i="120"/>
  <c r="H185" i="120"/>
  <c r="N185" i="120" s="1"/>
  <c r="F606" i="120"/>
  <c r="H249" i="120"/>
  <c r="N249" i="120" s="1"/>
  <c r="F670" i="120"/>
  <c r="H313" i="120"/>
  <c r="N313" i="120" s="1"/>
  <c r="H407" i="120"/>
  <c r="N407" i="120" s="1"/>
  <c r="F764" i="120"/>
  <c r="H188" i="120"/>
  <c r="N188" i="120" s="1"/>
  <c r="F545" i="120"/>
  <c r="H316" i="120"/>
  <c r="N316" i="120" s="1"/>
  <c r="F673" i="120"/>
  <c r="F595" i="120"/>
  <c r="H238" i="120"/>
  <c r="N238" i="120" s="1"/>
  <c r="F492" i="120"/>
  <c r="H135" i="120"/>
  <c r="N135" i="120" s="1"/>
  <c r="F644" i="120"/>
  <c r="H287" i="120"/>
  <c r="N287" i="120" s="1"/>
  <c r="F510" i="120"/>
  <c r="H153" i="120"/>
  <c r="N153" i="120" s="1"/>
  <c r="F574" i="120"/>
  <c r="H217" i="120"/>
  <c r="N217" i="120" s="1"/>
  <c r="F646" i="120"/>
  <c r="H289" i="120"/>
  <c r="N289" i="120" s="1"/>
  <c r="H358" i="120"/>
  <c r="N358" i="120" s="1"/>
  <c r="F715" i="120"/>
  <c r="F819" i="120"/>
  <c r="H462" i="120"/>
  <c r="N462" i="120" s="1"/>
  <c r="H236" i="120"/>
  <c r="N236" i="120" s="1"/>
  <c r="F593" i="120"/>
  <c r="H348" i="120"/>
  <c r="N348" i="120" s="1"/>
  <c r="F705" i="120"/>
  <c r="F635" i="120"/>
  <c r="H278" i="120"/>
  <c r="N278" i="120" s="1"/>
  <c r="F500" i="120"/>
  <c r="H143" i="120"/>
  <c r="N143" i="120" s="1"/>
  <c r="F652" i="120"/>
  <c r="H295" i="120"/>
  <c r="N295" i="120" s="1"/>
  <c r="H111" i="120"/>
  <c r="N111" i="120" s="1"/>
  <c r="F468" i="120"/>
  <c r="H154" i="120"/>
  <c r="N154" i="120" s="1"/>
  <c r="F511" i="120"/>
  <c r="H186" i="120"/>
  <c r="N186" i="120" s="1"/>
  <c r="F543" i="120"/>
  <c r="H218" i="120"/>
  <c r="N218" i="120" s="1"/>
  <c r="F575" i="120"/>
  <c r="H250" i="120"/>
  <c r="N250" i="120" s="1"/>
  <c r="F607" i="120"/>
  <c r="H282" i="120"/>
  <c r="N282" i="120" s="1"/>
  <c r="F639" i="120"/>
  <c r="H314" i="120"/>
  <c r="N314" i="120" s="1"/>
  <c r="F671" i="120"/>
  <c r="H346" i="120"/>
  <c r="N346" i="120" s="1"/>
  <c r="F703" i="120"/>
  <c r="F718" i="120"/>
  <c r="H361" i="120"/>
  <c r="N361" i="120" s="1"/>
  <c r="F811" i="120"/>
  <c r="H454" i="120"/>
  <c r="N454" i="120" s="1"/>
  <c r="H212" i="120"/>
  <c r="N212" i="120" s="1"/>
  <c r="F569" i="120"/>
  <c r="H340" i="120"/>
  <c r="N340" i="120" s="1"/>
  <c r="F697" i="120"/>
  <c r="F539" i="120"/>
  <c r="H182" i="120"/>
  <c r="N182" i="120" s="1"/>
  <c r="H223" i="120"/>
  <c r="N223" i="120" s="1"/>
  <c r="F580" i="120"/>
  <c r="F496" i="120"/>
  <c r="H139" i="120"/>
  <c r="N139" i="120" s="1"/>
  <c r="F528" i="120"/>
  <c r="H171" i="120"/>
  <c r="N171" i="120" s="1"/>
  <c r="F560" i="120"/>
  <c r="H203" i="120"/>
  <c r="N203" i="120" s="1"/>
  <c r="H235" i="120"/>
  <c r="N235" i="120" s="1"/>
  <c r="F592" i="120"/>
  <c r="H267" i="120"/>
  <c r="N267" i="120" s="1"/>
  <c r="F624" i="120"/>
  <c r="F656" i="120"/>
  <c r="H299" i="120"/>
  <c r="N299" i="120" s="1"/>
  <c r="F704" i="120"/>
  <c r="H347" i="120"/>
  <c r="N347" i="120" s="1"/>
  <c r="H768" i="120"/>
  <c r="N768" i="120" s="1"/>
  <c r="F1125" i="120"/>
  <c r="G1121" i="120"/>
  <c r="G1478" i="120" s="1"/>
  <c r="G1835" i="120" s="1"/>
  <c r="G2192" i="120" s="1"/>
  <c r="G2549" i="120" s="1"/>
  <c r="O764" i="120"/>
  <c r="P764" i="120" s="1"/>
  <c r="H388" i="120"/>
  <c r="N388" i="120" s="1"/>
  <c r="F745" i="120"/>
  <c r="F762" i="120"/>
  <c r="H405" i="120"/>
  <c r="N405" i="120" s="1"/>
  <c r="F692" i="120"/>
  <c r="H335" i="120"/>
  <c r="N335" i="120" s="1"/>
  <c r="F491" i="120"/>
  <c r="H134" i="120"/>
  <c r="N134" i="120" s="1"/>
  <c r="F627" i="120"/>
  <c r="H270" i="120"/>
  <c r="N270" i="120" s="1"/>
  <c r="H485" i="120"/>
  <c r="N485" i="120" s="1"/>
  <c r="F842" i="120"/>
  <c r="F581" i="120"/>
  <c r="H224" i="120"/>
  <c r="N224" i="120" s="1"/>
  <c r="H320" i="120"/>
  <c r="N320" i="120" s="1"/>
  <c r="F677" i="120"/>
  <c r="F518" i="120"/>
  <c r="H161" i="120"/>
  <c r="N161" i="120" s="1"/>
  <c r="F702" i="120"/>
  <c r="H345" i="120"/>
  <c r="N345" i="120" s="1"/>
  <c r="F555" i="120"/>
  <c r="H198" i="120"/>
  <c r="N198" i="120" s="1"/>
  <c r="H138" i="120"/>
  <c r="N138" i="120" s="1"/>
  <c r="F495" i="120"/>
  <c r="H483" i="120"/>
  <c r="N483" i="120" s="1"/>
  <c r="F840" i="120"/>
  <c r="F804" i="120"/>
  <c r="H447" i="120"/>
  <c r="N447" i="120" s="1"/>
  <c r="F743" i="120"/>
  <c r="H386" i="120"/>
  <c r="N386" i="120" s="1"/>
  <c r="F1166" i="120"/>
  <c r="H809" i="120"/>
  <c r="N809" i="120" s="1"/>
  <c r="F805" i="120"/>
  <c r="H448" i="120"/>
  <c r="N448" i="120" s="1"/>
  <c r="F791" i="120"/>
  <c r="H434" i="120"/>
  <c r="N434" i="120" s="1"/>
  <c r="H326" i="120"/>
  <c r="N326" i="120" s="1"/>
  <c r="F683" i="120"/>
  <c r="H173" i="120"/>
  <c r="N173" i="120" s="1"/>
  <c r="F530" i="120"/>
  <c r="F594" i="120"/>
  <c r="H237" i="120"/>
  <c r="N237" i="120" s="1"/>
  <c r="F658" i="120"/>
  <c r="H301" i="120"/>
  <c r="N301" i="120" s="1"/>
  <c r="F515" i="120"/>
  <c r="H158" i="120"/>
  <c r="N158" i="120" s="1"/>
  <c r="F620" i="120"/>
  <c r="H263" i="120"/>
  <c r="N263" i="120" s="1"/>
  <c r="H450" i="120"/>
  <c r="N450" i="120" s="1"/>
  <c r="F807" i="120"/>
  <c r="F525" i="120"/>
  <c r="H168" i="120"/>
  <c r="N168" i="120" s="1"/>
  <c r="F621" i="120"/>
  <c r="H264" i="120"/>
  <c r="N264" i="120" s="1"/>
  <c r="H296" i="120"/>
  <c r="N296" i="120" s="1"/>
  <c r="F653" i="120"/>
  <c r="F654" i="120"/>
  <c r="H297" i="120"/>
  <c r="N297" i="120" s="1"/>
  <c r="H284" i="120"/>
  <c r="N284" i="120" s="1"/>
  <c r="F641" i="120"/>
  <c r="F806" i="120"/>
  <c r="H449" i="120"/>
  <c r="N449" i="120" s="1"/>
  <c r="H209" i="120"/>
  <c r="N209" i="120" s="1"/>
  <c r="F566" i="120"/>
  <c r="F694" i="120"/>
  <c r="H337" i="120"/>
  <c r="N337" i="120" s="1"/>
  <c r="F735" i="120"/>
  <c r="H378" i="120"/>
  <c r="N378" i="120" s="1"/>
  <c r="H451" i="120"/>
  <c r="N451" i="120" s="1"/>
  <c r="F808" i="120"/>
  <c r="F746" i="120"/>
  <c r="H389" i="120"/>
  <c r="N389" i="120" s="1"/>
  <c r="F1159" i="120"/>
  <c r="H802" i="120"/>
  <c r="N802" i="120" s="1"/>
  <c r="F497" i="120"/>
  <c r="H140" i="120"/>
  <c r="N140" i="120" s="1"/>
  <c r="H385" i="120"/>
  <c r="N385" i="120" s="1"/>
  <c r="F742" i="120"/>
  <c r="F571" i="120"/>
  <c r="H214" i="120"/>
  <c r="N214" i="120" s="1"/>
  <c r="H463" i="120"/>
  <c r="N463" i="120" s="1"/>
  <c r="F820" i="120"/>
  <c r="F730" i="120"/>
  <c r="H373" i="120"/>
  <c r="N373" i="120" s="1"/>
  <c r="F547" i="120"/>
  <c r="H190" i="120"/>
  <c r="N190" i="120" s="1"/>
  <c r="H342" i="120"/>
  <c r="N342" i="120" s="1"/>
  <c r="F699" i="120"/>
  <c r="F660" i="120"/>
  <c r="H303" i="120"/>
  <c r="N303" i="120" s="1"/>
  <c r="H375" i="120"/>
  <c r="N375" i="120" s="1"/>
  <c r="F778" i="120"/>
  <c r="H421" i="120"/>
  <c r="N421" i="120" s="1"/>
  <c r="H404" i="120"/>
  <c r="N404" i="120" s="1"/>
  <c r="F761" i="120"/>
  <c r="F755" i="120"/>
  <c r="H398" i="120"/>
  <c r="N398" i="120" s="1"/>
  <c r="F779" i="120"/>
  <c r="H422" i="120"/>
  <c r="N422" i="120" s="1"/>
  <c r="F821" i="120"/>
  <c r="H464" i="120"/>
  <c r="N464" i="120" s="1"/>
  <c r="F747" i="120"/>
  <c r="H390" i="120"/>
  <c r="N390" i="120" s="1"/>
  <c r="F790" i="120"/>
  <c r="H433" i="120"/>
  <c r="N433" i="120" s="1"/>
  <c r="F731" i="120"/>
  <c r="H374" i="120"/>
  <c r="N374" i="120" s="1"/>
  <c r="F727" i="120"/>
  <c r="H370" i="120"/>
  <c r="N370" i="120" s="1"/>
  <c r="F773" i="120"/>
  <c r="H416" i="120"/>
  <c r="N416" i="120" s="1"/>
  <c r="H453" i="120"/>
  <c r="N453" i="120" s="1"/>
  <c r="F810" i="120"/>
  <c r="F537" i="120"/>
  <c r="H180" i="120"/>
  <c r="N180" i="120" s="1"/>
  <c r="H332" i="120"/>
  <c r="N332" i="120" s="1"/>
  <c r="F689" i="120"/>
  <c r="H427" i="120"/>
  <c r="N427" i="120" s="1"/>
  <c r="F784" i="120"/>
  <c r="F603" i="120"/>
  <c r="H246" i="120"/>
  <c r="N246" i="120" s="1"/>
  <c r="H108" i="120"/>
  <c r="N108" i="120" s="1"/>
  <c r="F465" i="120"/>
  <c r="F636" i="120"/>
  <c r="H279" i="120"/>
  <c r="N279" i="120" s="1"/>
  <c r="F752" i="120"/>
  <c r="H395" i="120"/>
  <c r="N395" i="120" s="1"/>
  <c r="F839" i="120"/>
  <c r="H482" i="120"/>
  <c r="N482" i="120" s="1"/>
  <c r="H157" i="120"/>
  <c r="N157" i="120" s="1"/>
  <c r="F514" i="120"/>
  <c r="H189" i="120"/>
  <c r="N189" i="120" s="1"/>
  <c r="F546" i="120"/>
  <c r="F578" i="120"/>
  <c r="H221" i="120"/>
  <c r="N221" i="120" s="1"/>
  <c r="F610" i="120"/>
  <c r="H253" i="120"/>
  <c r="N253" i="120" s="1"/>
  <c r="H285" i="120"/>
  <c r="N285" i="120" s="1"/>
  <c r="F642" i="120"/>
  <c r="F674" i="120"/>
  <c r="H317" i="120"/>
  <c r="N317" i="120" s="1"/>
  <c r="F706" i="120"/>
  <c r="H349" i="120"/>
  <c r="N349" i="120" s="1"/>
  <c r="F587" i="120"/>
  <c r="H230" i="120"/>
  <c r="N230" i="120" s="1"/>
  <c r="F556" i="120"/>
  <c r="H199" i="120"/>
  <c r="N199" i="120" s="1"/>
  <c r="H356" i="120"/>
  <c r="N356" i="120" s="1"/>
  <c r="F713" i="120"/>
  <c r="H413" i="120"/>
  <c r="N413" i="120" s="1"/>
  <c r="F770" i="120"/>
  <c r="F793" i="120"/>
  <c r="H436" i="120"/>
  <c r="N436" i="120" s="1"/>
  <c r="F813" i="120"/>
  <c r="H456" i="120"/>
  <c r="N456" i="120" s="1"/>
  <c r="F737" i="120"/>
  <c r="H380" i="120"/>
  <c r="N380" i="120" s="1"/>
  <c r="F818" i="120"/>
  <c r="H461" i="120"/>
  <c r="N461" i="120" s="1"/>
  <c r="H165" i="120"/>
  <c r="N165" i="120" s="1"/>
  <c r="F522" i="120"/>
  <c r="F554" i="120"/>
  <c r="H197" i="120"/>
  <c r="N197" i="120" s="1"/>
  <c r="F586" i="120"/>
  <c r="H229" i="120"/>
  <c r="N229" i="120" s="1"/>
  <c r="F618" i="120"/>
  <c r="H261" i="120"/>
  <c r="N261" i="120" s="1"/>
  <c r="F650" i="120"/>
  <c r="H293" i="120"/>
  <c r="N293" i="120" s="1"/>
  <c r="F682" i="120"/>
  <c r="H325" i="120"/>
  <c r="N325" i="120" s="1"/>
  <c r="F517" i="120"/>
  <c r="H160" i="120"/>
  <c r="N160" i="120" s="1"/>
  <c r="F613" i="120"/>
  <c r="H256" i="120"/>
  <c r="N256" i="120" s="1"/>
  <c r="F714" i="120"/>
  <c r="H357" i="120"/>
  <c r="N357" i="120" s="1"/>
  <c r="F638" i="120"/>
  <c r="H281" i="120"/>
  <c r="N281" i="120" s="1"/>
  <c r="H334" i="120"/>
  <c r="N334" i="120" s="1"/>
  <c r="F691" i="120"/>
  <c r="H400" i="120"/>
  <c r="N400" i="120" s="1"/>
  <c r="F757" i="120"/>
  <c r="F725" i="120"/>
  <c r="H368" i="120"/>
  <c r="N368" i="120" s="1"/>
  <c r="F550" i="120"/>
  <c r="H193" i="120"/>
  <c r="N193" i="120" s="1"/>
  <c r="F614" i="120"/>
  <c r="H257" i="120"/>
  <c r="N257" i="120" s="1"/>
  <c r="F678" i="120"/>
  <c r="H321" i="120"/>
  <c r="N321" i="120" s="1"/>
  <c r="F513" i="120"/>
  <c r="H156" i="120"/>
  <c r="N156" i="120" s="1"/>
  <c r="H393" i="120"/>
  <c r="N393" i="120" s="1"/>
  <c r="F750" i="120"/>
  <c r="F672" i="120"/>
  <c r="H315" i="120"/>
  <c r="N315" i="120" s="1"/>
  <c r="F816" i="120"/>
  <c r="H459" i="120"/>
  <c r="N459" i="120" s="1"/>
  <c r="F531" i="120"/>
  <c r="H174" i="120"/>
  <c r="N174" i="120" s="1"/>
  <c r="F498" i="120"/>
  <c r="H141" i="120"/>
  <c r="N141" i="120" s="1"/>
  <c r="F557" i="120"/>
  <c r="H200" i="120"/>
  <c r="N200" i="120" s="1"/>
  <c r="F598" i="120"/>
  <c r="H241" i="120"/>
  <c r="N241" i="120" s="1"/>
  <c r="H164" i="120"/>
  <c r="N164" i="120" s="1"/>
  <c r="F521" i="120"/>
  <c r="F630" i="120"/>
  <c r="H273" i="120"/>
  <c r="N273" i="120" s="1"/>
  <c r="F611" i="120"/>
  <c r="H254" i="120"/>
  <c r="N254" i="120" s="1"/>
  <c r="H412" i="120"/>
  <c r="N412" i="120" s="1"/>
  <c r="F769" i="120"/>
  <c r="G1133" i="120"/>
  <c r="G1490" i="120" s="1"/>
  <c r="G1847" i="120" s="1"/>
  <c r="G2204" i="120" s="1"/>
  <c r="G2561" i="120" s="1"/>
  <c r="O776" i="120"/>
  <c r="P776" i="120" s="1"/>
  <c r="H109" i="120"/>
  <c r="N109" i="120" s="1"/>
  <c r="F466" i="120"/>
  <c r="F509" i="120"/>
  <c r="H152" i="120"/>
  <c r="N152" i="120" s="1"/>
  <c r="F541" i="120"/>
  <c r="H184" i="120"/>
  <c r="N184" i="120" s="1"/>
  <c r="F573" i="120"/>
  <c r="H216" i="120"/>
  <c r="N216" i="120" s="1"/>
  <c r="F605" i="120"/>
  <c r="H248" i="120"/>
  <c r="N248" i="120" s="1"/>
  <c r="F637" i="120"/>
  <c r="H280" i="120"/>
  <c r="N280" i="120" s="1"/>
  <c r="H312" i="120"/>
  <c r="N312" i="120" s="1"/>
  <c r="F669" i="120"/>
  <c r="H344" i="120"/>
  <c r="N344" i="120" s="1"/>
  <c r="F701" i="120"/>
  <c r="F502" i="120"/>
  <c r="H145" i="120"/>
  <c r="N145" i="120" s="1"/>
  <c r="F558" i="120"/>
  <c r="H201" i="120"/>
  <c r="N201" i="120" s="1"/>
  <c r="F622" i="120"/>
  <c r="H265" i="120"/>
  <c r="N265" i="120" s="1"/>
  <c r="F686" i="120"/>
  <c r="H329" i="120"/>
  <c r="N329" i="120" s="1"/>
  <c r="H228" i="120"/>
  <c r="N228" i="120" s="1"/>
  <c r="F585" i="120"/>
  <c r="F367" i="120"/>
  <c r="H10" i="120"/>
  <c r="H286" i="120"/>
  <c r="N286" i="120" s="1"/>
  <c r="F643" i="120"/>
  <c r="H167" i="120"/>
  <c r="N167" i="120" s="1"/>
  <c r="F524" i="120"/>
  <c r="F676" i="120"/>
  <c r="H319" i="120"/>
  <c r="N319" i="120" s="1"/>
  <c r="H789" i="120"/>
  <c r="N789" i="120" s="1"/>
  <c r="F1146" i="120"/>
  <c r="F534" i="120"/>
  <c r="H177" i="120"/>
  <c r="N177" i="120" s="1"/>
  <c r="H233" i="120"/>
  <c r="N233" i="120" s="1"/>
  <c r="F590" i="120"/>
  <c r="F662" i="120"/>
  <c r="H305" i="120"/>
  <c r="N305" i="120" s="1"/>
  <c r="H148" i="120"/>
  <c r="N148" i="120" s="1"/>
  <c r="F505" i="120"/>
  <c r="H260" i="120"/>
  <c r="N260" i="120" s="1"/>
  <c r="F617" i="120"/>
  <c r="F507" i="120"/>
  <c r="H150" i="120"/>
  <c r="N150" i="120" s="1"/>
  <c r="H302" i="120"/>
  <c r="N302" i="120" s="1"/>
  <c r="F659" i="120"/>
  <c r="F540" i="120"/>
  <c r="H183" i="120"/>
  <c r="N183" i="120" s="1"/>
  <c r="F668" i="120"/>
  <c r="H311" i="120"/>
  <c r="N311" i="120" s="1"/>
  <c r="G724" i="120"/>
  <c r="F487" i="120"/>
  <c r="H130" i="120"/>
  <c r="N130" i="120" s="1"/>
  <c r="F519" i="120"/>
  <c r="H162" i="120"/>
  <c r="N162" i="120" s="1"/>
  <c r="F551" i="120"/>
  <c r="H194" i="120"/>
  <c r="N194" i="120" s="1"/>
  <c r="F583" i="120"/>
  <c r="H226" i="120"/>
  <c r="N226" i="120" s="1"/>
  <c r="F615" i="120"/>
  <c r="H258" i="120"/>
  <c r="N258" i="120" s="1"/>
  <c r="H290" i="120"/>
  <c r="N290" i="120" s="1"/>
  <c r="F647" i="120"/>
  <c r="H322" i="120"/>
  <c r="N322" i="120" s="1"/>
  <c r="F679" i="120"/>
  <c r="F716" i="120"/>
  <c r="H359" i="120"/>
  <c r="N359" i="120" s="1"/>
  <c r="H132" i="120"/>
  <c r="N132" i="120" s="1"/>
  <c r="F489" i="120"/>
  <c r="F601" i="120"/>
  <c r="H244" i="120"/>
  <c r="N244" i="120" s="1"/>
  <c r="H409" i="120"/>
  <c r="N409" i="120" s="1"/>
  <c r="F766" i="120"/>
  <c r="F579" i="120"/>
  <c r="H222" i="120"/>
  <c r="N222" i="120" s="1"/>
  <c r="F786" i="120"/>
  <c r="H429" i="120"/>
  <c r="N429" i="120" s="1"/>
  <c r="F628" i="120"/>
  <c r="H271" i="120"/>
  <c r="N271" i="120" s="1"/>
  <c r="F781" i="120"/>
  <c r="H424" i="120"/>
  <c r="N424" i="120" s="1"/>
  <c r="H147" i="120"/>
  <c r="N147" i="120" s="1"/>
  <c r="F504" i="120"/>
  <c r="F536" i="120"/>
  <c r="H179" i="120"/>
  <c r="N179" i="120" s="1"/>
  <c r="F568" i="120"/>
  <c r="H211" i="120"/>
  <c r="N211" i="120" s="1"/>
  <c r="F600" i="120"/>
  <c r="H243" i="120"/>
  <c r="N243" i="120" s="1"/>
  <c r="F632" i="120"/>
  <c r="H275" i="120"/>
  <c r="N275" i="120" s="1"/>
  <c r="F664" i="120"/>
  <c r="H307" i="120"/>
  <c r="N307" i="120" s="1"/>
  <c r="H371" i="120"/>
  <c r="N371" i="120" s="1"/>
  <c r="F794" i="120"/>
  <c r="H437" i="120"/>
  <c r="N437" i="120" s="1"/>
  <c r="F795" i="120"/>
  <c r="H438" i="120"/>
  <c r="N438" i="120" s="1"/>
  <c r="F925" i="120" l="1"/>
  <c r="H568" i="120"/>
  <c r="N568" i="120" s="1"/>
  <c r="F985" i="120"/>
  <c r="H628" i="120"/>
  <c r="N628" i="120" s="1"/>
  <c r="F958" i="120"/>
  <c r="H601" i="120"/>
  <c r="N601" i="120" s="1"/>
  <c r="F876" i="120"/>
  <c r="H519" i="120"/>
  <c r="N519" i="120" s="1"/>
  <c r="F897" i="120"/>
  <c r="H540" i="120"/>
  <c r="N540" i="120" s="1"/>
  <c r="H531" i="120"/>
  <c r="N531" i="120" s="1"/>
  <c r="F888" i="120"/>
  <c r="F907" i="120"/>
  <c r="H550" i="120"/>
  <c r="N550" i="120" s="1"/>
  <c r="H638" i="120"/>
  <c r="N638" i="120" s="1"/>
  <c r="F995" i="120"/>
  <c r="F1039" i="120"/>
  <c r="H682" i="120"/>
  <c r="N682" i="120" s="1"/>
  <c r="F911" i="120"/>
  <c r="H554" i="120"/>
  <c r="N554" i="120" s="1"/>
  <c r="F1170" i="120"/>
  <c r="H813" i="120"/>
  <c r="N813" i="120" s="1"/>
  <c r="H556" i="120"/>
  <c r="N556" i="120" s="1"/>
  <c r="F913" i="120"/>
  <c r="H537" i="120"/>
  <c r="N537" i="120" s="1"/>
  <c r="F894" i="120"/>
  <c r="F1088" i="120"/>
  <c r="H731" i="120"/>
  <c r="N731" i="120" s="1"/>
  <c r="F1136" i="120"/>
  <c r="H779" i="120"/>
  <c r="N779" i="120" s="1"/>
  <c r="H742" i="120"/>
  <c r="N742" i="120" s="1"/>
  <c r="F1099" i="120"/>
  <c r="F1165" i="120"/>
  <c r="H808" i="120"/>
  <c r="N808" i="120" s="1"/>
  <c r="F1164" i="120"/>
  <c r="H807" i="120"/>
  <c r="N807" i="120" s="1"/>
  <c r="F1040" i="120"/>
  <c r="H683" i="120"/>
  <c r="N683" i="120" s="1"/>
  <c r="H745" i="120"/>
  <c r="N745" i="120" s="1"/>
  <c r="F1102" i="120"/>
  <c r="F1054" i="120"/>
  <c r="H697" i="120"/>
  <c r="N697" i="120" s="1"/>
  <c r="H703" i="120"/>
  <c r="N703" i="120" s="1"/>
  <c r="F1060" i="120"/>
  <c r="H575" i="120"/>
  <c r="N575" i="120" s="1"/>
  <c r="F932" i="120"/>
  <c r="F950" i="120"/>
  <c r="H593" i="120"/>
  <c r="N593" i="120" s="1"/>
  <c r="F1050" i="120"/>
  <c r="H693" i="120"/>
  <c r="N693" i="120" s="1"/>
  <c r="F991" i="120"/>
  <c r="H634" i="120"/>
  <c r="N634" i="120" s="1"/>
  <c r="F1014" i="120"/>
  <c r="H657" i="120"/>
  <c r="N657" i="120" s="1"/>
  <c r="H562" i="120"/>
  <c r="N562" i="120" s="1"/>
  <c r="F919" i="120"/>
  <c r="H470" i="120"/>
  <c r="N470" i="120" s="1"/>
  <c r="F827" i="120"/>
  <c r="H649" i="120"/>
  <c r="N649" i="120" s="1"/>
  <c r="F1006" i="120"/>
  <c r="F892" i="120"/>
  <c r="H535" i="120"/>
  <c r="N535" i="120" s="1"/>
  <c r="F1093" i="120"/>
  <c r="H736" i="120"/>
  <c r="N736" i="120" s="1"/>
  <c r="H561" i="120"/>
  <c r="N561" i="120" s="1"/>
  <c r="F918" i="120"/>
  <c r="F869" i="120"/>
  <c r="H512" i="120"/>
  <c r="N512" i="120" s="1"/>
  <c r="F1037" i="120"/>
  <c r="H680" i="120"/>
  <c r="N680" i="120" s="1"/>
  <c r="H523" i="120"/>
  <c r="N523" i="120" s="1"/>
  <c r="F880" i="120"/>
  <c r="F1008" i="120"/>
  <c r="H651" i="120"/>
  <c r="N651" i="120" s="1"/>
  <c r="H659" i="120"/>
  <c r="N659" i="120" s="1"/>
  <c r="F1016" i="120"/>
  <c r="F724" i="120"/>
  <c r="H367" i="120"/>
  <c r="F915" i="120"/>
  <c r="H558" i="120"/>
  <c r="N558" i="120" s="1"/>
  <c r="H509" i="120"/>
  <c r="N509" i="120" s="1"/>
  <c r="F866" i="120"/>
  <c r="H557" i="120"/>
  <c r="N557" i="120" s="1"/>
  <c r="F914" i="120"/>
  <c r="F879" i="120"/>
  <c r="H522" i="120"/>
  <c r="N522" i="120" s="1"/>
  <c r="F1167" i="120"/>
  <c r="H810" i="120"/>
  <c r="N810" i="120" s="1"/>
  <c r="F1011" i="120"/>
  <c r="H654" i="120"/>
  <c r="N654" i="120" s="1"/>
  <c r="H656" i="120"/>
  <c r="N656" i="120" s="1"/>
  <c r="F1013" i="120"/>
  <c r="H652" i="120"/>
  <c r="N652" i="120" s="1"/>
  <c r="F1009" i="120"/>
  <c r="H574" i="120"/>
  <c r="N574" i="120" s="1"/>
  <c r="F931" i="120"/>
  <c r="F952" i="120"/>
  <c r="H595" i="120"/>
  <c r="N595" i="120" s="1"/>
  <c r="F922" i="120"/>
  <c r="H565" i="120"/>
  <c r="N565" i="120" s="1"/>
  <c r="F1446" i="120"/>
  <c r="H1089" i="120"/>
  <c r="N1089" i="120" s="1"/>
  <c r="F863" i="120"/>
  <c r="H506" i="120"/>
  <c r="N506" i="120" s="1"/>
  <c r="F1133" i="120"/>
  <c r="H776" i="120"/>
  <c r="N776" i="120" s="1"/>
  <c r="F1171" i="120"/>
  <c r="H814" i="120"/>
  <c r="N814" i="120" s="1"/>
  <c r="F1021" i="120"/>
  <c r="H664" i="120"/>
  <c r="N664" i="120" s="1"/>
  <c r="H536" i="120"/>
  <c r="N536" i="120" s="1"/>
  <c r="F893" i="120"/>
  <c r="F1143" i="120"/>
  <c r="H786" i="120"/>
  <c r="N786" i="120" s="1"/>
  <c r="F972" i="120"/>
  <c r="H615" i="120"/>
  <c r="N615" i="120" s="1"/>
  <c r="H487" i="120"/>
  <c r="N487" i="120" s="1"/>
  <c r="F844" i="120"/>
  <c r="F1019" i="120"/>
  <c r="H662" i="120"/>
  <c r="N662" i="120" s="1"/>
  <c r="F1033" i="120"/>
  <c r="H676" i="120"/>
  <c r="N676" i="120" s="1"/>
  <c r="H585" i="120"/>
  <c r="N585" i="120" s="1"/>
  <c r="F942" i="120"/>
  <c r="F823" i="120"/>
  <c r="H466" i="120"/>
  <c r="N466" i="120" s="1"/>
  <c r="F1173" i="120"/>
  <c r="H816" i="120"/>
  <c r="N816" i="120" s="1"/>
  <c r="H513" i="120"/>
  <c r="N513" i="120" s="1"/>
  <c r="F870" i="120"/>
  <c r="F1082" i="120"/>
  <c r="H725" i="120"/>
  <c r="N725" i="120" s="1"/>
  <c r="F1071" i="120"/>
  <c r="H714" i="120"/>
  <c r="N714" i="120" s="1"/>
  <c r="F1007" i="120"/>
  <c r="H650" i="120"/>
  <c r="N650" i="120" s="1"/>
  <c r="F1150" i="120"/>
  <c r="H793" i="120"/>
  <c r="N793" i="120" s="1"/>
  <c r="H587" i="120"/>
  <c r="N587" i="120" s="1"/>
  <c r="F944" i="120"/>
  <c r="H610" i="120"/>
  <c r="N610" i="120" s="1"/>
  <c r="F967" i="120"/>
  <c r="H839" i="120"/>
  <c r="N839" i="120" s="1"/>
  <c r="F1196" i="120"/>
  <c r="F960" i="120"/>
  <c r="H603" i="120"/>
  <c r="N603" i="120" s="1"/>
  <c r="F1147" i="120"/>
  <c r="H790" i="120"/>
  <c r="N790" i="120" s="1"/>
  <c r="F1112" i="120"/>
  <c r="H755" i="120"/>
  <c r="N755" i="120" s="1"/>
  <c r="F923" i="120"/>
  <c r="H566" i="120"/>
  <c r="N566" i="120" s="1"/>
  <c r="F1010" i="120"/>
  <c r="H653" i="120"/>
  <c r="N653" i="120" s="1"/>
  <c r="F912" i="120"/>
  <c r="H555" i="120"/>
  <c r="N555" i="120" s="1"/>
  <c r="F938" i="120"/>
  <c r="H581" i="120"/>
  <c r="N581" i="120" s="1"/>
  <c r="F981" i="120"/>
  <c r="H624" i="120"/>
  <c r="N624" i="120" s="1"/>
  <c r="F926" i="120"/>
  <c r="H569" i="120"/>
  <c r="N569" i="120" s="1"/>
  <c r="H671" i="120"/>
  <c r="N671" i="120" s="1"/>
  <c r="F1028" i="120"/>
  <c r="H543" i="120"/>
  <c r="N543" i="120" s="1"/>
  <c r="F900" i="120"/>
  <c r="F1030" i="120"/>
  <c r="H673" i="120"/>
  <c r="N673" i="120" s="1"/>
  <c r="F1018" i="120"/>
  <c r="H661" i="120"/>
  <c r="N661" i="120" s="1"/>
  <c r="F873" i="120"/>
  <c r="H516" i="120"/>
  <c r="N516" i="120" s="1"/>
  <c r="F959" i="120"/>
  <c r="H602" i="120"/>
  <c r="N602" i="120" s="1"/>
  <c r="F1169" i="120"/>
  <c r="H812" i="120"/>
  <c r="N812" i="120" s="1"/>
  <c r="F1157" i="120"/>
  <c r="H800" i="120"/>
  <c r="N800" i="120" s="1"/>
  <c r="H777" i="120"/>
  <c r="N777" i="120" s="1"/>
  <c r="F1134" i="120"/>
  <c r="H559" i="120"/>
  <c r="N559" i="120" s="1"/>
  <c r="F916" i="120"/>
  <c r="H529" i="120"/>
  <c r="N529" i="120" s="1"/>
  <c r="F886" i="120"/>
  <c r="F877" i="120"/>
  <c r="H520" i="120"/>
  <c r="N520" i="120" s="1"/>
  <c r="H631" i="120"/>
  <c r="N631" i="120" s="1"/>
  <c r="F988" i="120"/>
  <c r="H503" i="120"/>
  <c r="N503" i="120" s="1"/>
  <c r="F860" i="120"/>
  <c r="F851" i="120"/>
  <c r="H494" i="120"/>
  <c r="N494" i="120" s="1"/>
  <c r="H640" i="120"/>
  <c r="N640" i="120" s="1"/>
  <c r="F997" i="120"/>
  <c r="F1041" i="120"/>
  <c r="H684" i="120"/>
  <c r="N684" i="120" s="1"/>
  <c r="F861" i="120"/>
  <c r="H504" i="120"/>
  <c r="N504" i="120" s="1"/>
  <c r="H590" i="120"/>
  <c r="N590" i="120" s="1"/>
  <c r="F947" i="120"/>
  <c r="F881" i="120"/>
  <c r="H524" i="120"/>
  <c r="N524" i="120" s="1"/>
  <c r="F859" i="120"/>
  <c r="H502" i="120"/>
  <c r="N502" i="120" s="1"/>
  <c r="F962" i="120"/>
  <c r="H605" i="120"/>
  <c r="N605" i="120" s="1"/>
  <c r="F987" i="120"/>
  <c r="H630" i="120"/>
  <c r="N630" i="120" s="1"/>
  <c r="F1114" i="120"/>
  <c r="H757" i="120"/>
  <c r="N757" i="120" s="1"/>
  <c r="H770" i="120"/>
  <c r="N770" i="120" s="1"/>
  <c r="F1127" i="120"/>
  <c r="F1141" i="120"/>
  <c r="H784" i="120"/>
  <c r="N784" i="120" s="1"/>
  <c r="H761" i="120"/>
  <c r="N761" i="120" s="1"/>
  <c r="F1118" i="120"/>
  <c r="H730" i="120"/>
  <c r="N730" i="120" s="1"/>
  <c r="F1087" i="120"/>
  <c r="H497" i="120"/>
  <c r="N497" i="120" s="1"/>
  <c r="F854" i="120"/>
  <c r="F1092" i="120"/>
  <c r="H735" i="120"/>
  <c r="N735" i="120" s="1"/>
  <c r="F1015" i="120"/>
  <c r="H658" i="120"/>
  <c r="N658" i="120" s="1"/>
  <c r="F1148" i="120"/>
  <c r="H791" i="120"/>
  <c r="N791" i="120" s="1"/>
  <c r="F1199" i="120"/>
  <c r="H842" i="120"/>
  <c r="N842" i="120" s="1"/>
  <c r="F848" i="120"/>
  <c r="H491" i="120"/>
  <c r="N491" i="120" s="1"/>
  <c r="H496" i="120"/>
  <c r="N496" i="120" s="1"/>
  <c r="F853" i="120"/>
  <c r="F857" i="120"/>
  <c r="H500" i="120"/>
  <c r="N500" i="120" s="1"/>
  <c r="F1176" i="120"/>
  <c r="H819" i="120"/>
  <c r="N819" i="120" s="1"/>
  <c r="F867" i="120"/>
  <c r="H510" i="120"/>
  <c r="N510" i="120" s="1"/>
  <c r="H606" i="120"/>
  <c r="N606" i="120" s="1"/>
  <c r="F963" i="120"/>
  <c r="F890" i="120"/>
  <c r="H533" i="120"/>
  <c r="N533" i="120" s="1"/>
  <c r="F1140" i="120"/>
  <c r="H783" i="120"/>
  <c r="N783" i="120" s="1"/>
  <c r="F1120" i="120"/>
  <c r="H763" i="120"/>
  <c r="N763" i="120" s="1"/>
  <c r="H563" i="120"/>
  <c r="N563" i="120" s="1"/>
  <c r="F920" i="120"/>
  <c r="H493" i="120"/>
  <c r="N493" i="120" s="1"/>
  <c r="F850" i="120"/>
  <c r="F1156" i="120"/>
  <c r="H799" i="120"/>
  <c r="N799" i="120" s="1"/>
  <c r="F945" i="120"/>
  <c r="H588" i="120"/>
  <c r="N588" i="120" s="1"/>
  <c r="F1132" i="120"/>
  <c r="H775" i="120"/>
  <c r="N775" i="120" s="1"/>
  <c r="F1005" i="120"/>
  <c r="H648" i="120"/>
  <c r="N648" i="120" s="1"/>
  <c r="H604" i="120"/>
  <c r="N604" i="120" s="1"/>
  <c r="F961" i="120"/>
  <c r="F982" i="120"/>
  <c r="H625" i="120"/>
  <c r="N625" i="120" s="1"/>
  <c r="H1117" i="120"/>
  <c r="N1117" i="120" s="1"/>
  <c r="F1474" i="120"/>
  <c r="H655" i="120"/>
  <c r="N655" i="120" s="1"/>
  <c r="F1012" i="120"/>
  <c r="F934" i="120"/>
  <c r="H577" i="120"/>
  <c r="N577" i="120" s="1"/>
  <c r="F846" i="120"/>
  <c r="H489" i="120"/>
  <c r="N489" i="120" s="1"/>
  <c r="F1100" i="120"/>
  <c r="H743" i="120"/>
  <c r="N743" i="120" s="1"/>
  <c r="F1027" i="120"/>
  <c r="H670" i="120"/>
  <c r="N670" i="120" s="1"/>
  <c r="F946" i="120"/>
  <c r="H589" i="120"/>
  <c r="N589" i="120" s="1"/>
  <c r="F1045" i="120"/>
  <c r="H688" i="120"/>
  <c r="N688" i="120" s="1"/>
  <c r="H675" i="120"/>
  <c r="N675" i="120" s="1"/>
  <c r="F1032" i="120"/>
  <c r="F1131" i="120"/>
  <c r="H774" i="120"/>
  <c r="N774" i="120" s="1"/>
  <c r="H548" i="120"/>
  <c r="N548" i="120" s="1"/>
  <c r="F905" i="120"/>
  <c r="F1128" i="120"/>
  <c r="H771" i="120"/>
  <c r="N771" i="120" s="1"/>
  <c r="H687" i="120"/>
  <c r="N687" i="120" s="1"/>
  <c r="F1044" i="120"/>
  <c r="F884" i="120"/>
  <c r="H527" i="120"/>
  <c r="N527" i="120" s="1"/>
  <c r="F1073" i="120"/>
  <c r="H716" i="120"/>
  <c r="N716" i="120" s="1"/>
  <c r="F940" i="120"/>
  <c r="H583" i="120"/>
  <c r="N583" i="120" s="1"/>
  <c r="F1035" i="120"/>
  <c r="H678" i="120"/>
  <c r="N678" i="120" s="1"/>
  <c r="H613" i="120"/>
  <c r="N613" i="120" s="1"/>
  <c r="F970" i="120"/>
  <c r="H618" i="120"/>
  <c r="N618" i="120" s="1"/>
  <c r="F975" i="120"/>
  <c r="F1175" i="120"/>
  <c r="H818" i="120"/>
  <c r="N818" i="120" s="1"/>
  <c r="F1063" i="120"/>
  <c r="H706" i="120"/>
  <c r="N706" i="120" s="1"/>
  <c r="F935" i="120"/>
  <c r="H578" i="120"/>
  <c r="N578" i="120" s="1"/>
  <c r="F1109" i="120"/>
  <c r="H752" i="120"/>
  <c r="N752" i="120" s="1"/>
  <c r="H773" i="120"/>
  <c r="N773" i="120" s="1"/>
  <c r="F1130" i="120"/>
  <c r="F1161" i="120"/>
  <c r="H804" i="120"/>
  <c r="N804" i="120" s="1"/>
  <c r="F1059" i="120"/>
  <c r="H702" i="120"/>
  <c r="N702" i="120" s="1"/>
  <c r="F1482" i="120"/>
  <c r="H1125" i="120"/>
  <c r="N1125" i="120" s="1"/>
  <c r="F949" i="120"/>
  <c r="H592" i="120"/>
  <c r="N592" i="120" s="1"/>
  <c r="F937" i="120"/>
  <c r="H580" i="120"/>
  <c r="N580" i="120" s="1"/>
  <c r="H511" i="120"/>
  <c r="N511" i="120" s="1"/>
  <c r="F868" i="120"/>
  <c r="F1072" i="120"/>
  <c r="H715" i="120"/>
  <c r="N715" i="120" s="1"/>
  <c r="F902" i="120"/>
  <c r="H545" i="120"/>
  <c r="N545" i="120" s="1"/>
  <c r="H570" i="120"/>
  <c r="N570" i="120" s="1"/>
  <c r="F927" i="120"/>
  <c r="F1047" i="120"/>
  <c r="H690" i="120"/>
  <c r="N690" i="120" s="1"/>
  <c r="F1086" i="120"/>
  <c r="H729" i="120"/>
  <c r="N729" i="120" s="1"/>
  <c r="F921" i="120"/>
  <c r="H564" i="120"/>
  <c r="N564" i="120" s="1"/>
  <c r="H616" i="120"/>
  <c r="N616" i="120" s="1"/>
  <c r="F973" i="120"/>
  <c r="F845" i="120"/>
  <c r="H488" i="120"/>
  <c r="N488" i="120" s="1"/>
  <c r="H499" i="120"/>
  <c r="N499" i="120" s="1"/>
  <c r="F856" i="120"/>
  <c r="F1053" i="120"/>
  <c r="H696" i="120"/>
  <c r="N696" i="120" s="1"/>
  <c r="H599" i="120"/>
  <c r="N599" i="120" s="1"/>
  <c r="F956" i="120"/>
  <c r="H817" i="120"/>
  <c r="N817" i="120" s="1"/>
  <c r="F1174" i="120"/>
  <c r="H797" i="120"/>
  <c r="N797" i="120" s="1"/>
  <c r="F1154" i="120"/>
  <c r="H608" i="120"/>
  <c r="N608" i="120" s="1"/>
  <c r="F965" i="120"/>
  <c r="F976" i="120"/>
  <c r="H619" i="120"/>
  <c r="N619" i="120" s="1"/>
  <c r="H710" i="120"/>
  <c r="N710" i="120" s="1"/>
  <c r="F1067" i="120"/>
  <c r="H582" i="120"/>
  <c r="N582" i="120" s="1"/>
  <c r="F939" i="120"/>
  <c r="F1123" i="120"/>
  <c r="H766" i="120"/>
  <c r="N766" i="120" s="1"/>
  <c r="F1000" i="120"/>
  <c r="H643" i="120"/>
  <c r="N643" i="120" s="1"/>
  <c r="F1043" i="120"/>
  <c r="H686" i="120"/>
  <c r="N686" i="120" s="1"/>
  <c r="F930" i="120"/>
  <c r="H573" i="120"/>
  <c r="N573" i="120" s="1"/>
  <c r="F903" i="120"/>
  <c r="H546" i="120"/>
  <c r="N546" i="120" s="1"/>
  <c r="H689" i="120"/>
  <c r="N689" i="120" s="1"/>
  <c r="F1046" i="120"/>
  <c r="F1516" i="120"/>
  <c r="H1159" i="120"/>
  <c r="N1159" i="120" s="1"/>
  <c r="H621" i="120"/>
  <c r="N621" i="120" s="1"/>
  <c r="F978" i="120"/>
  <c r="H594" i="120"/>
  <c r="N594" i="120" s="1"/>
  <c r="F951" i="120"/>
  <c r="H805" i="120"/>
  <c r="N805" i="120" s="1"/>
  <c r="F1162" i="120"/>
  <c r="F1049" i="120"/>
  <c r="H692" i="120"/>
  <c r="N692" i="120" s="1"/>
  <c r="H811" i="120"/>
  <c r="N811" i="120" s="1"/>
  <c r="F1168" i="120"/>
  <c r="F992" i="120"/>
  <c r="H635" i="120"/>
  <c r="N635" i="120" s="1"/>
  <c r="F899" i="120"/>
  <c r="H542" i="120"/>
  <c r="N542" i="120" s="1"/>
  <c r="F986" i="120"/>
  <c r="H629" i="120"/>
  <c r="N629" i="120" s="1"/>
  <c r="F858" i="120"/>
  <c r="H501" i="120"/>
  <c r="N501" i="120" s="1"/>
  <c r="F1055" i="120"/>
  <c r="H698" i="120"/>
  <c r="N698" i="120" s="1"/>
  <c r="H782" i="120"/>
  <c r="N782" i="120" s="1"/>
  <c r="F1139" i="120"/>
  <c r="F883" i="120"/>
  <c r="H526" i="120"/>
  <c r="N526" i="120" s="1"/>
  <c r="F1057" i="120"/>
  <c r="H700" i="120"/>
  <c r="N700" i="120" s="1"/>
  <c r="F957" i="120"/>
  <c r="H600" i="120"/>
  <c r="N600" i="120" s="1"/>
  <c r="H781" i="120"/>
  <c r="N781" i="120" s="1"/>
  <c r="F1138" i="120"/>
  <c r="F908" i="120"/>
  <c r="H551" i="120"/>
  <c r="N551" i="120" s="1"/>
  <c r="F1025" i="120"/>
  <c r="H668" i="120"/>
  <c r="N668" i="120" s="1"/>
  <c r="F891" i="120"/>
  <c r="H534" i="120"/>
  <c r="N534" i="120" s="1"/>
  <c r="F1026" i="120"/>
  <c r="H669" i="120"/>
  <c r="N669" i="120" s="1"/>
  <c r="F1126" i="120"/>
  <c r="H769" i="120"/>
  <c r="N769" i="120" s="1"/>
  <c r="H498" i="120"/>
  <c r="N498" i="120" s="1"/>
  <c r="F855" i="120"/>
  <c r="H672" i="120"/>
  <c r="N672" i="120" s="1"/>
  <c r="F1029" i="120"/>
  <c r="F971" i="120"/>
  <c r="H614" i="120"/>
  <c r="N614" i="120" s="1"/>
  <c r="H517" i="120"/>
  <c r="N517" i="120" s="1"/>
  <c r="F874" i="120"/>
  <c r="F943" i="120"/>
  <c r="H586" i="120"/>
  <c r="N586" i="120" s="1"/>
  <c r="F1094" i="120"/>
  <c r="H737" i="120"/>
  <c r="N737" i="120" s="1"/>
  <c r="F1031" i="120"/>
  <c r="H674" i="120"/>
  <c r="N674" i="120" s="1"/>
  <c r="H636" i="120"/>
  <c r="N636" i="120" s="1"/>
  <c r="F993" i="120"/>
  <c r="H727" i="120"/>
  <c r="N727" i="120" s="1"/>
  <c r="F1084" i="120"/>
  <c r="F1178" i="120"/>
  <c r="H821" i="120"/>
  <c r="N821" i="120" s="1"/>
  <c r="H778" i="120"/>
  <c r="N778" i="120" s="1"/>
  <c r="F1135" i="120"/>
  <c r="F1056" i="120"/>
  <c r="H699" i="120"/>
  <c r="N699" i="120" s="1"/>
  <c r="F998" i="120"/>
  <c r="H641" i="120"/>
  <c r="N641" i="120" s="1"/>
  <c r="F887" i="120"/>
  <c r="H530" i="120"/>
  <c r="N530" i="120" s="1"/>
  <c r="F875" i="120"/>
  <c r="H518" i="120"/>
  <c r="N518" i="120" s="1"/>
  <c r="F964" i="120"/>
  <c r="H607" i="120"/>
  <c r="N607" i="120" s="1"/>
  <c r="F825" i="120"/>
  <c r="H468" i="120"/>
  <c r="N468" i="120" s="1"/>
  <c r="F1062" i="120"/>
  <c r="H705" i="120"/>
  <c r="N705" i="120" s="1"/>
  <c r="F1121" i="120"/>
  <c r="H764" i="120"/>
  <c r="N764" i="120" s="1"/>
  <c r="F953" i="120"/>
  <c r="H596" i="120"/>
  <c r="N596" i="120" s="1"/>
  <c r="H685" i="120"/>
  <c r="N685" i="120" s="1"/>
  <c r="F1042" i="120"/>
  <c r="F983" i="120"/>
  <c r="H626" i="120"/>
  <c r="N626" i="120" s="1"/>
  <c r="H726" i="120"/>
  <c r="N726" i="120" s="1"/>
  <c r="F1083" i="120"/>
  <c r="F1145" i="120"/>
  <c r="H788" i="120"/>
  <c r="N788" i="120" s="1"/>
  <c r="F924" i="120"/>
  <c r="H567" i="120"/>
  <c r="N567" i="120" s="1"/>
  <c r="H667" i="120"/>
  <c r="N667" i="120" s="1"/>
  <c r="F1024" i="120"/>
  <c r="F933" i="120"/>
  <c r="H576" i="120"/>
  <c r="N576" i="120" s="1"/>
  <c r="F990" i="120"/>
  <c r="H633" i="120"/>
  <c r="N633" i="120" s="1"/>
  <c r="H623" i="120"/>
  <c r="N623" i="120" s="1"/>
  <c r="F980" i="120"/>
  <c r="H738" i="120"/>
  <c r="N738" i="120" s="1"/>
  <c r="F1095" i="120"/>
  <c r="F994" i="120"/>
  <c r="H637" i="120"/>
  <c r="N637" i="120" s="1"/>
  <c r="F968" i="120"/>
  <c r="H611" i="120"/>
  <c r="N611" i="120" s="1"/>
  <c r="H547" i="120"/>
  <c r="N547" i="120" s="1"/>
  <c r="F904" i="120"/>
  <c r="F1051" i="120"/>
  <c r="H694" i="120"/>
  <c r="N694" i="120" s="1"/>
  <c r="H515" i="120"/>
  <c r="N515" i="120" s="1"/>
  <c r="F872" i="120"/>
  <c r="F984" i="120"/>
  <c r="H627" i="120"/>
  <c r="N627" i="120" s="1"/>
  <c r="F885" i="120"/>
  <c r="H528" i="120"/>
  <c r="N528" i="120" s="1"/>
  <c r="F909" i="120"/>
  <c r="H552" i="120"/>
  <c r="N552" i="120" s="1"/>
  <c r="F969" i="120"/>
  <c r="H612" i="120"/>
  <c r="N612" i="120" s="1"/>
  <c r="F966" i="120"/>
  <c r="H609" i="120"/>
  <c r="N609" i="120" s="1"/>
  <c r="F989" i="120"/>
  <c r="H632" i="120"/>
  <c r="N632" i="120" s="1"/>
  <c r="F936" i="120"/>
  <c r="H579" i="120"/>
  <c r="N579" i="120" s="1"/>
  <c r="G1081" i="120"/>
  <c r="F864" i="120"/>
  <c r="H507" i="120"/>
  <c r="N507" i="120" s="1"/>
  <c r="F1058" i="120"/>
  <c r="H701" i="120"/>
  <c r="N701" i="120" s="1"/>
  <c r="H521" i="120"/>
  <c r="N521" i="120" s="1"/>
  <c r="F878" i="120"/>
  <c r="F1104" i="120"/>
  <c r="H747" i="120"/>
  <c r="N747" i="120" s="1"/>
  <c r="F1177" i="120"/>
  <c r="H820" i="120"/>
  <c r="N820" i="120" s="1"/>
  <c r="H639" i="120"/>
  <c r="N639" i="120" s="1"/>
  <c r="F996" i="120"/>
  <c r="F1152" i="120"/>
  <c r="H795" i="120"/>
  <c r="N795" i="120" s="1"/>
  <c r="F1036" i="120"/>
  <c r="H679" i="120"/>
  <c r="N679" i="120" s="1"/>
  <c r="H617" i="120"/>
  <c r="N617" i="120" s="1"/>
  <c r="F974" i="120"/>
  <c r="F1048" i="120"/>
  <c r="H691" i="120"/>
  <c r="N691" i="120" s="1"/>
  <c r="H713" i="120"/>
  <c r="N713" i="120" s="1"/>
  <c r="F1070" i="120"/>
  <c r="F1017" i="120"/>
  <c r="H660" i="120"/>
  <c r="N660" i="120" s="1"/>
  <c r="H806" i="120"/>
  <c r="N806" i="120" s="1"/>
  <c r="F1163" i="120"/>
  <c r="H840" i="120"/>
  <c r="N840" i="120" s="1"/>
  <c r="F1197" i="120"/>
  <c r="H644" i="120"/>
  <c r="N644" i="120" s="1"/>
  <c r="F1001" i="120"/>
  <c r="F1097" i="120"/>
  <c r="H740" i="120"/>
  <c r="N740" i="120" s="1"/>
  <c r="H765" i="120"/>
  <c r="N765" i="120" s="1"/>
  <c r="F1122" i="120"/>
  <c r="F847" i="120"/>
  <c r="H490" i="120"/>
  <c r="N490" i="120" s="1"/>
  <c r="F1160" i="120"/>
  <c r="H803" i="120"/>
  <c r="N803" i="120" s="1"/>
  <c r="F1022" i="120"/>
  <c r="H665" i="120"/>
  <c r="N665" i="120" s="1"/>
  <c r="F1052" i="120"/>
  <c r="H695" i="120"/>
  <c r="N695" i="120" s="1"/>
  <c r="H780" i="120"/>
  <c r="N780" i="120" s="1"/>
  <c r="F1137" i="120"/>
  <c r="F1038" i="120"/>
  <c r="H681" i="120"/>
  <c r="N681" i="120" s="1"/>
  <c r="H841" i="120"/>
  <c r="N841" i="120" s="1"/>
  <c r="F1198" i="120"/>
  <c r="F1002" i="120"/>
  <c r="H645" i="120"/>
  <c r="N645" i="120" s="1"/>
  <c r="F1442" i="120"/>
  <c r="H1085" i="120"/>
  <c r="N1085" i="120" s="1"/>
  <c r="H794" i="120"/>
  <c r="N794" i="120" s="1"/>
  <c r="F1151" i="120"/>
  <c r="H647" i="120"/>
  <c r="N647" i="120" s="1"/>
  <c r="F1004" i="120"/>
  <c r="F862" i="120"/>
  <c r="H505" i="120"/>
  <c r="N505" i="120" s="1"/>
  <c r="F1503" i="120"/>
  <c r="H1146" i="120"/>
  <c r="N1146" i="120" s="1"/>
  <c r="N10" i="120"/>
  <c r="H622" i="120"/>
  <c r="N622" i="120" s="1"/>
  <c r="F979" i="120"/>
  <c r="H541" i="120"/>
  <c r="N541" i="120" s="1"/>
  <c r="F898" i="120"/>
  <c r="F955" i="120"/>
  <c r="H598" i="120"/>
  <c r="N598" i="120" s="1"/>
  <c r="H750" i="120"/>
  <c r="N750" i="120" s="1"/>
  <c r="F1107" i="120"/>
  <c r="F999" i="120"/>
  <c r="H642" i="120"/>
  <c r="N642" i="120" s="1"/>
  <c r="F871" i="120"/>
  <c r="H514" i="120"/>
  <c r="N514" i="120" s="1"/>
  <c r="H465" i="120"/>
  <c r="N465" i="120" s="1"/>
  <c r="F822" i="120"/>
  <c r="H571" i="120"/>
  <c r="N571" i="120" s="1"/>
  <c r="F928" i="120"/>
  <c r="F1103" i="120"/>
  <c r="H746" i="120"/>
  <c r="N746" i="120" s="1"/>
  <c r="H525" i="120"/>
  <c r="N525" i="120" s="1"/>
  <c r="F882" i="120"/>
  <c r="H620" i="120"/>
  <c r="N620" i="120" s="1"/>
  <c r="F977" i="120"/>
  <c r="F1523" i="120"/>
  <c r="H1166" i="120"/>
  <c r="N1166" i="120" s="1"/>
  <c r="H495" i="120"/>
  <c r="N495" i="120" s="1"/>
  <c r="F852" i="120"/>
  <c r="F1034" i="120"/>
  <c r="H677" i="120"/>
  <c r="N677" i="120" s="1"/>
  <c r="H762" i="120"/>
  <c r="N762" i="120" s="1"/>
  <c r="F1119" i="120"/>
  <c r="F1061" i="120"/>
  <c r="H704" i="120"/>
  <c r="N704" i="120" s="1"/>
  <c r="F917" i="120"/>
  <c r="H560" i="120"/>
  <c r="N560" i="120" s="1"/>
  <c r="F896" i="120"/>
  <c r="H539" i="120"/>
  <c r="N539" i="120" s="1"/>
  <c r="F1075" i="120"/>
  <c r="H718" i="120"/>
  <c r="N718" i="120" s="1"/>
  <c r="F1003" i="120"/>
  <c r="H646" i="120"/>
  <c r="N646" i="120" s="1"/>
  <c r="H492" i="120"/>
  <c r="N492" i="120" s="1"/>
  <c r="F849" i="120"/>
  <c r="H467" i="120"/>
  <c r="N467" i="120" s="1"/>
  <c r="F824" i="120"/>
  <c r="H597" i="120"/>
  <c r="N597" i="120" s="1"/>
  <c r="F954" i="120"/>
  <c r="F1172" i="120"/>
  <c r="H815" i="120"/>
  <c r="N815" i="120" s="1"/>
  <c r="F1023" i="120"/>
  <c r="H666" i="120"/>
  <c r="N666" i="120" s="1"/>
  <c r="F895" i="120"/>
  <c r="H538" i="120"/>
  <c r="N538" i="120" s="1"/>
  <c r="F1185" i="120"/>
  <c r="H828" i="120"/>
  <c r="N828" i="120" s="1"/>
  <c r="H544" i="120"/>
  <c r="N544" i="120" s="1"/>
  <c r="F901" i="120"/>
  <c r="F929" i="120"/>
  <c r="H572" i="120"/>
  <c r="N572" i="120" s="1"/>
  <c r="H584" i="120"/>
  <c r="N584" i="120" s="1"/>
  <c r="F941" i="120"/>
  <c r="F889" i="120"/>
  <c r="H532" i="120"/>
  <c r="N532" i="120" s="1"/>
  <c r="H553" i="120"/>
  <c r="N553" i="120" s="1"/>
  <c r="F910" i="120"/>
  <c r="F1020" i="120"/>
  <c r="H663" i="120"/>
  <c r="N663" i="120" s="1"/>
  <c r="F1108" i="120"/>
  <c r="H751" i="120"/>
  <c r="N751" i="120" s="1"/>
  <c r="H591" i="120"/>
  <c r="N591" i="120" s="1"/>
  <c r="F948" i="120"/>
  <c r="H549" i="120"/>
  <c r="N549" i="120" s="1"/>
  <c r="F906" i="120"/>
  <c r="H508" i="120"/>
  <c r="N508" i="120" s="1"/>
  <c r="F865" i="120"/>
  <c r="F1158" i="120"/>
  <c r="H801" i="120"/>
  <c r="N801" i="120" s="1"/>
  <c r="F1424" i="120" l="1"/>
  <c r="H1067" i="120"/>
  <c r="N1067" i="120" s="1"/>
  <c r="F1225" i="120"/>
  <c r="H868" i="120"/>
  <c r="N868" i="120" s="1"/>
  <c r="F1485" i="120"/>
  <c r="H1128" i="120"/>
  <c r="N1128" i="120" s="1"/>
  <c r="F1302" i="120"/>
  <c r="H945" i="120"/>
  <c r="N945" i="120" s="1"/>
  <c r="H1141" i="120"/>
  <c r="N1141" i="120" s="1"/>
  <c r="F1498" i="120"/>
  <c r="F1281" i="120"/>
  <c r="H924" i="120"/>
  <c r="N924" i="120" s="1"/>
  <c r="F1260" i="120"/>
  <c r="H903" i="120"/>
  <c r="N903" i="120" s="1"/>
  <c r="H1047" i="120"/>
  <c r="N1047" i="120" s="1"/>
  <c r="F1404" i="120"/>
  <c r="H1157" i="120"/>
  <c r="N1157" i="120" s="1"/>
  <c r="F1514" i="120"/>
  <c r="H914" i="120"/>
  <c r="N914" i="120" s="1"/>
  <c r="F1271" i="120"/>
  <c r="F1527" i="120"/>
  <c r="H1170" i="120"/>
  <c r="N1170" i="120" s="1"/>
  <c r="F1209" i="120"/>
  <c r="H852" i="120"/>
  <c r="N852" i="120" s="1"/>
  <c r="H1004" i="120"/>
  <c r="N1004" i="120" s="1"/>
  <c r="F1361" i="120"/>
  <c r="F1358" i="120"/>
  <c r="H1001" i="120"/>
  <c r="N1001" i="120" s="1"/>
  <c r="F1525" i="120"/>
  <c r="H1168" i="120"/>
  <c r="N1168" i="120" s="1"/>
  <c r="F1330" i="120"/>
  <c r="H973" i="120"/>
  <c r="N973" i="120" s="1"/>
  <c r="H859" i="120"/>
  <c r="N859" i="120" s="1"/>
  <c r="F1216" i="120"/>
  <c r="H886" i="120"/>
  <c r="N886" i="120" s="1"/>
  <c r="F1243" i="120"/>
  <c r="F1553" i="120"/>
  <c r="H1196" i="120"/>
  <c r="N1196" i="120" s="1"/>
  <c r="H922" i="120"/>
  <c r="N922" i="120" s="1"/>
  <c r="F1279" i="120"/>
  <c r="F1373" i="120"/>
  <c r="H1016" i="120"/>
  <c r="N1016" i="120" s="1"/>
  <c r="F1363" i="120"/>
  <c r="H1006" i="120"/>
  <c r="N1006" i="120" s="1"/>
  <c r="H1060" i="120"/>
  <c r="N1060" i="120" s="1"/>
  <c r="F1417" i="120"/>
  <c r="H888" i="120"/>
  <c r="N888" i="120" s="1"/>
  <c r="F1245" i="120"/>
  <c r="H966" i="120"/>
  <c r="N966" i="120" s="1"/>
  <c r="F1323" i="120"/>
  <c r="F1341" i="120"/>
  <c r="H984" i="120"/>
  <c r="N984" i="120" s="1"/>
  <c r="F1325" i="120"/>
  <c r="H968" i="120"/>
  <c r="N968" i="120" s="1"/>
  <c r="F1347" i="120"/>
  <c r="H990" i="120"/>
  <c r="N990" i="120" s="1"/>
  <c r="F1350" i="120"/>
  <c r="H993" i="120"/>
  <c r="N993" i="120" s="1"/>
  <c r="H874" i="120"/>
  <c r="N874" i="120" s="1"/>
  <c r="F1231" i="120"/>
  <c r="F1414" i="120"/>
  <c r="H1057" i="120"/>
  <c r="N1057" i="120" s="1"/>
  <c r="F1215" i="120"/>
  <c r="H858" i="120"/>
  <c r="N858" i="120" s="1"/>
  <c r="F1287" i="120"/>
  <c r="H930" i="120"/>
  <c r="N930" i="120" s="1"/>
  <c r="F1333" i="120"/>
  <c r="H976" i="120"/>
  <c r="N976" i="120" s="1"/>
  <c r="H937" i="120"/>
  <c r="N937" i="120" s="1"/>
  <c r="F1294" i="120"/>
  <c r="H1161" i="120"/>
  <c r="N1161" i="120" s="1"/>
  <c r="F1518" i="120"/>
  <c r="F1420" i="120"/>
  <c r="H1063" i="120"/>
  <c r="N1063" i="120" s="1"/>
  <c r="H1035" i="120"/>
  <c r="N1035" i="120" s="1"/>
  <c r="F1392" i="120"/>
  <c r="F1369" i="120"/>
  <c r="H1012" i="120"/>
  <c r="N1012" i="120" s="1"/>
  <c r="F1207" i="120"/>
  <c r="H850" i="120"/>
  <c r="N850" i="120" s="1"/>
  <c r="F1444" i="120"/>
  <c r="H1087" i="120"/>
  <c r="N1087" i="120" s="1"/>
  <c r="H851" i="120"/>
  <c r="N851" i="120" s="1"/>
  <c r="F1208" i="120"/>
  <c r="H1169" i="120"/>
  <c r="N1169" i="120" s="1"/>
  <c r="F1526" i="120"/>
  <c r="F1387" i="120"/>
  <c r="H1030" i="120"/>
  <c r="N1030" i="120" s="1"/>
  <c r="F1338" i="120"/>
  <c r="H981" i="120"/>
  <c r="N981" i="120" s="1"/>
  <c r="F1280" i="120"/>
  <c r="H923" i="120"/>
  <c r="N923" i="120" s="1"/>
  <c r="F1364" i="120"/>
  <c r="H1007" i="120"/>
  <c r="N1007" i="120" s="1"/>
  <c r="F1530" i="120"/>
  <c r="H1173" i="120"/>
  <c r="N1173" i="120" s="1"/>
  <c r="F1376" i="120"/>
  <c r="H1019" i="120"/>
  <c r="N1019" i="120" s="1"/>
  <c r="H866" i="120"/>
  <c r="N866" i="120" s="1"/>
  <c r="F1223" i="120"/>
  <c r="F1226" i="120"/>
  <c r="H869" i="120"/>
  <c r="N869" i="120" s="1"/>
  <c r="F1348" i="120"/>
  <c r="H991" i="120"/>
  <c r="N991" i="120" s="1"/>
  <c r="H1164" i="120"/>
  <c r="N1164" i="120" s="1"/>
  <c r="F1521" i="120"/>
  <c r="F1445" i="120"/>
  <c r="H1088" i="120"/>
  <c r="N1088" i="120" s="1"/>
  <c r="F1268" i="120"/>
  <c r="H911" i="120"/>
  <c r="N911" i="120" s="1"/>
  <c r="F1342" i="120"/>
  <c r="H985" i="120"/>
  <c r="N985" i="120" s="1"/>
  <c r="F1298" i="120"/>
  <c r="H941" i="120"/>
  <c r="N941" i="120" s="1"/>
  <c r="F1221" i="120"/>
  <c r="H864" i="120"/>
  <c r="N864" i="120" s="1"/>
  <c r="F1337" i="120"/>
  <c r="H980" i="120"/>
  <c r="N980" i="120" s="1"/>
  <c r="F1244" i="120"/>
  <c r="H887" i="120"/>
  <c r="N887" i="120" s="1"/>
  <c r="F1314" i="120"/>
  <c r="H957" i="120"/>
  <c r="N957" i="120" s="1"/>
  <c r="F1308" i="120"/>
  <c r="H951" i="120"/>
  <c r="N951" i="120" s="1"/>
  <c r="F1327" i="120"/>
  <c r="H970" i="120"/>
  <c r="N970" i="120" s="1"/>
  <c r="F1477" i="120"/>
  <c r="H1120" i="120"/>
  <c r="N1120" i="120" s="1"/>
  <c r="H879" i="120"/>
  <c r="N879" i="120" s="1"/>
  <c r="F1236" i="120"/>
  <c r="H1108" i="120"/>
  <c r="N1108" i="120" s="1"/>
  <c r="F1465" i="120"/>
  <c r="H1034" i="120"/>
  <c r="N1034" i="120" s="1"/>
  <c r="F1391" i="120"/>
  <c r="F1454" i="120"/>
  <c r="H1097" i="120"/>
  <c r="N1097" i="120" s="1"/>
  <c r="F1441" i="120"/>
  <c r="H1084" i="120"/>
  <c r="N1084" i="120" s="1"/>
  <c r="F1212" i="120"/>
  <c r="H855" i="120"/>
  <c r="N855" i="120" s="1"/>
  <c r="H1055" i="120"/>
  <c r="N1055" i="120" s="1"/>
  <c r="F1412" i="120"/>
  <c r="F1292" i="120"/>
  <c r="H935" i="120"/>
  <c r="N935" i="120" s="1"/>
  <c r="H877" i="120"/>
  <c r="N877" i="120" s="1"/>
  <c r="F1234" i="120"/>
  <c r="H926" i="120"/>
  <c r="N926" i="120" s="1"/>
  <c r="F1283" i="120"/>
  <c r="H1150" i="120"/>
  <c r="N1150" i="120" s="1"/>
  <c r="F1507" i="120"/>
  <c r="F1390" i="120"/>
  <c r="H1033" i="120"/>
  <c r="N1033" i="120" s="1"/>
  <c r="F1370" i="120"/>
  <c r="H1013" i="120"/>
  <c r="N1013" i="120" s="1"/>
  <c r="H892" i="120"/>
  <c r="N892" i="120" s="1"/>
  <c r="F1249" i="120"/>
  <c r="F1493" i="120"/>
  <c r="H1136" i="120"/>
  <c r="N1136" i="120" s="1"/>
  <c r="F1222" i="120"/>
  <c r="H865" i="120"/>
  <c r="N865" i="120" s="1"/>
  <c r="H849" i="120"/>
  <c r="N849" i="120" s="1"/>
  <c r="F1206" i="120"/>
  <c r="H979" i="120"/>
  <c r="N979" i="120" s="1"/>
  <c r="F1336" i="120"/>
  <c r="F1300" i="120"/>
  <c r="H943" i="120"/>
  <c r="N943" i="120" s="1"/>
  <c r="H946" i="120"/>
  <c r="N946" i="120" s="1"/>
  <c r="F1303" i="120"/>
  <c r="F1533" i="120"/>
  <c r="H1176" i="120"/>
  <c r="N1176" i="120" s="1"/>
  <c r="F1528" i="120"/>
  <c r="H1171" i="120"/>
  <c r="N1171" i="120" s="1"/>
  <c r="H1020" i="120"/>
  <c r="N1020" i="120" s="1"/>
  <c r="F1377" i="120"/>
  <c r="F1460" i="120"/>
  <c r="H1103" i="120"/>
  <c r="N1103" i="120" s="1"/>
  <c r="H1038" i="120"/>
  <c r="N1038" i="120" s="1"/>
  <c r="F1395" i="120"/>
  <c r="H1160" i="120"/>
  <c r="N1160" i="120" s="1"/>
  <c r="F1517" i="120"/>
  <c r="H1152" i="120"/>
  <c r="N1152" i="120" s="1"/>
  <c r="F1509" i="120"/>
  <c r="F1267" i="120"/>
  <c r="H910" i="120"/>
  <c r="N910" i="120" s="1"/>
  <c r="F1285" i="120"/>
  <c r="H928" i="120"/>
  <c r="N928" i="120" s="1"/>
  <c r="F1508" i="120"/>
  <c r="H1151" i="120"/>
  <c r="N1151" i="120" s="1"/>
  <c r="F1293" i="120"/>
  <c r="H936" i="120"/>
  <c r="N936" i="120" s="1"/>
  <c r="H1145" i="120"/>
  <c r="N1145" i="120" s="1"/>
  <c r="F1502" i="120"/>
  <c r="H1056" i="120"/>
  <c r="N1056" i="120" s="1"/>
  <c r="F1413" i="120"/>
  <c r="F1265" i="120"/>
  <c r="H908" i="120"/>
  <c r="N908" i="120" s="1"/>
  <c r="F1322" i="120"/>
  <c r="H965" i="120"/>
  <c r="N965" i="120" s="1"/>
  <c r="F1241" i="120"/>
  <c r="H884" i="120"/>
  <c r="N884" i="120" s="1"/>
  <c r="F1247" i="120"/>
  <c r="H890" i="120"/>
  <c r="N890" i="120" s="1"/>
  <c r="F1505" i="120"/>
  <c r="H1148" i="120"/>
  <c r="N1148" i="120" s="1"/>
  <c r="H860" i="120"/>
  <c r="N860" i="120" s="1"/>
  <c r="F1217" i="120"/>
  <c r="H952" i="120"/>
  <c r="N952" i="120" s="1"/>
  <c r="F1309" i="120"/>
  <c r="H918" i="120"/>
  <c r="N918" i="120" s="1"/>
  <c r="F1275" i="120"/>
  <c r="H827" i="120"/>
  <c r="N827" i="120" s="1"/>
  <c r="F1184" i="120"/>
  <c r="F1251" i="120"/>
  <c r="H894" i="120"/>
  <c r="N894" i="120" s="1"/>
  <c r="H983" i="120"/>
  <c r="N983" i="120" s="1"/>
  <c r="F1340" i="120"/>
  <c r="F1451" i="120"/>
  <c r="H1094" i="120"/>
  <c r="N1094" i="120" s="1"/>
  <c r="H1174" i="120"/>
  <c r="N1174" i="120" s="1"/>
  <c r="F1531" i="120"/>
  <c r="H982" i="120"/>
  <c r="N982" i="120" s="1"/>
  <c r="F1339" i="120"/>
  <c r="F1205" i="120"/>
  <c r="H848" i="120"/>
  <c r="N848" i="120" s="1"/>
  <c r="F1218" i="120"/>
  <c r="H861" i="120"/>
  <c r="N861" i="120" s="1"/>
  <c r="N367" i="120"/>
  <c r="F1253" i="120"/>
  <c r="H896" i="120"/>
  <c r="N896" i="120" s="1"/>
  <c r="F1228" i="120"/>
  <c r="H871" i="120"/>
  <c r="N871" i="120" s="1"/>
  <c r="F1219" i="120"/>
  <c r="H862" i="120"/>
  <c r="N862" i="120" s="1"/>
  <c r="F1379" i="120"/>
  <c r="H1022" i="120"/>
  <c r="N1022" i="120" s="1"/>
  <c r="H1036" i="120"/>
  <c r="N1036" i="120" s="1"/>
  <c r="F1393" i="120"/>
  <c r="F1242" i="120"/>
  <c r="H885" i="120"/>
  <c r="N885" i="120" s="1"/>
  <c r="F1399" i="120"/>
  <c r="H1042" i="120"/>
  <c r="N1042" i="120" s="1"/>
  <c r="F1349" i="120"/>
  <c r="H992" i="120"/>
  <c r="N992" i="120" s="1"/>
  <c r="F1416" i="120"/>
  <c r="H1059" i="120"/>
  <c r="N1059" i="120" s="1"/>
  <c r="F1484" i="120"/>
  <c r="H1127" i="120"/>
  <c r="N1127" i="120" s="1"/>
  <c r="H1010" i="120"/>
  <c r="N1010" i="120" s="1"/>
  <c r="F1367" i="120"/>
  <c r="F1394" i="120"/>
  <c r="H1037" i="120"/>
  <c r="N1037" i="120" s="1"/>
  <c r="F1315" i="120"/>
  <c r="H958" i="120"/>
  <c r="N958" i="120" s="1"/>
  <c r="F1461" i="120"/>
  <c r="H1104" i="120"/>
  <c r="N1104" i="120" s="1"/>
  <c r="F1284" i="120"/>
  <c r="H927" i="120"/>
  <c r="N927" i="120" s="1"/>
  <c r="H1199" i="120"/>
  <c r="N1199" i="120" s="1"/>
  <c r="F1556" i="120"/>
  <c r="F1286" i="120"/>
  <c r="H929" i="120"/>
  <c r="N929" i="120" s="1"/>
  <c r="F1274" i="120"/>
  <c r="H917" i="120"/>
  <c r="N917" i="120" s="1"/>
  <c r="F1356" i="120"/>
  <c r="H999" i="120"/>
  <c r="N999" i="120" s="1"/>
  <c r="F1235" i="120"/>
  <c r="H878" i="120"/>
  <c r="N878" i="120" s="1"/>
  <c r="H906" i="120"/>
  <c r="N906" i="120" s="1"/>
  <c r="F1263" i="120"/>
  <c r="H901" i="120"/>
  <c r="N901" i="120" s="1"/>
  <c r="F1258" i="120"/>
  <c r="F1464" i="120"/>
  <c r="H1107" i="120"/>
  <c r="N1107" i="120" s="1"/>
  <c r="F1554" i="120"/>
  <c r="H1197" i="120"/>
  <c r="N1197" i="120" s="1"/>
  <c r="F1229" i="120"/>
  <c r="H872" i="120"/>
  <c r="N872" i="120" s="1"/>
  <c r="F1321" i="120"/>
  <c r="H964" i="120"/>
  <c r="N964" i="120" s="1"/>
  <c r="F1487" i="120"/>
  <c r="H1130" i="120"/>
  <c r="N1130" i="120" s="1"/>
  <c r="H882" i="120"/>
  <c r="N882" i="120" s="1"/>
  <c r="F1239" i="120"/>
  <c r="H1198" i="120"/>
  <c r="N1198" i="120" s="1"/>
  <c r="F1555" i="120"/>
  <c r="F1534" i="120"/>
  <c r="H1177" i="120"/>
  <c r="N1177" i="120" s="1"/>
  <c r="F1261" i="120"/>
  <c r="H904" i="120"/>
  <c r="N904" i="120" s="1"/>
  <c r="F1535" i="120"/>
  <c r="H1178" i="120"/>
  <c r="N1178" i="120" s="1"/>
  <c r="F1203" i="120"/>
  <c r="H846" i="120"/>
  <c r="N846" i="120" s="1"/>
  <c r="F1449" i="120"/>
  <c r="H1092" i="120"/>
  <c r="N1092" i="120" s="1"/>
  <c r="H997" i="120"/>
  <c r="N997" i="120" s="1"/>
  <c r="F1354" i="120"/>
  <c r="F1227" i="120"/>
  <c r="H870" i="120"/>
  <c r="N870" i="120" s="1"/>
  <c r="F1803" i="120"/>
  <c r="H1446" i="120"/>
  <c r="N1446" i="120" s="1"/>
  <c r="H895" i="120"/>
  <c r="N895" i="120" s="1"/>
  <c r="F1252" i="120"/>
  <c r="F1480" i="120"/>
  <c r="H1123" i="120"/>
  <c r="N1123" i="120" s="1"/>
  <c r="H845" i="120"/>
  <c r="N845" i="120" s="1"/>
  <c r="F1202" i="120"/>
  <c r="F1262" i="120"/>
  <c r="H905" i="120"/>
  <c r="N905" i="120" s="1"/>
  <c r="H961" i="120"/>
  <c r="N961" i="120" s="1"/>
  <c r="F1318" i="120"/>
  <c r="F1211" i="120"/>
  <c r="H854" i="120"/>
  <c r="N854" i="120" s="1"/>
  <c r="H1018" i="120"/>
  <c r="N1018" i="120" s="1"/>
  <c r="F1375" i="120"/>
  <c r="F1317" i="120"/>
  <c r="H960" i="120"/>
  <c r="N960" i="120" s="1"/>
  <c r="H1143" i="120"/>
  <c r="N1143" i="120" s="1"/>
  <c r="F1500" i="120"/>
  <c r="F1081" i="120"/>
  <c r="H724" i="120"/>
  <c r="F1371" i="120"/>
  <c r="H1014" i="120"/>
  <c r="N1014" i="120" s="1"/>
  <c r="F1264" i="120"/>
  <c r="H907" i="120"/>
  <c r="N907" i="120" s="1"/>
  <c r="G1438" i="120"/>
  <c r="F1355" i="120"/>
  <c r="H998" i="120"/>
  <c r="N998" i="120" s="1"/>
  <c r="H1025" i="120"/>
  <c r="N1025" i="120" s="1"/>
  <c r="F1382" i="120"/>
  <c r="F1335" i="120"/>
  <c r="H978" i="120"/>
  <c r="N978" i="120" s="1"/>
  <c r="F1313" i="120"/>
  <c r="H956" i="120"/>
  <c r="N956" i="120" s="1"/>
  <c r="F1497" i="120"/>
  <c r="H1140" i="120"/>
  <c r="N1140" i="120" s="1"/>
  <c r="F1380" i="120"/>
  <c r="H1023" i="120"/>
  <c r="N1023" i="120" s="1"/>
  <c r="F1494" i="120"/>
  <c r="H1137" i="120"/>
  <c r="N1137" i="120" s="1"/>
  <c r="H953" i="120"/>
  <c r="N953" i="120" s="1"/>
  <c r="F1310" i="120"/>
  <c r="F1483" i="120"/>
  <c r="H1126" i="120"/>
  <c r="N1126" i="120" s="1"/>
  <c r="F1488" i="120"/>
  <c r="H1131" i="120"/>
  <c r="N1131" i="120" s="1"/>
  <c r="F1384" i="120"/>
  <c r="H1027" i="120"/>
  <c r="N1027" i="120" s="1"/>
  <c r="H1005" i="120"/>
  <c r="N1005" i="120" s="1"/>
  <c r="F1362" i="120"/>
  <c r="F1214" i="120"/>
  <c r="H857" i="120"/>
  <c r="N857" i="120" s="1"/>
  <c r="F1471" i="120"/>
  <c r="H1114" i="120"/>
  <c r="N1114" i="120" s="1"/>
  <c r="F1238" i="120"/>
  <c r="H881" i="120"/>
  <c r="N881" i="120" s="1"/>
  <c r="F1273" i="120"/>
  <c r="H916" i="120"/>
  <c r="N916" i="120" s="1"/>
  <c r="F1257" i="120"/>
  <c r="H900" i="120"/>
  <c r="N900" i="120" s="1"/>
  <c r="F1324" i="120"/>
  <c r="H967" i="120"/>
  <c r="N967" i="120" s="1"/>
  <c r="F1201" i="120"/>
  <c r="H844" i="120"/>
  <c r="N844" i="120" s="1"/>
  <c r="F1490" i="120"/>
  <c r="H1133" i="120"/>
  <c r="N1133" i="120" s="1"/>
  <c r="F1368" i="120"/>
  <c r="H1011" i="120"/>
  <c r="N1011" i="120" s="1"/>
  <c r="F1529" i="120"/>
  <c r="H1172" i="120"/>
  <c r="N1172" i="120" s="1"/>
  <c r="F1360" i="120"/>
  <c r="H1003" i="120"/>
  <c r="N1003" i="120" s="1"/>
  <c r="F1418" i="120"/>
  <c r="H1061" i="120"/>
  <c r="N1061" i="120" s="1"/>
  <c r="F1880" i="120"/>
  <c r="H1523" i="120"/>
  <c r="N1523" i="120" s="1"/>
  <c r="F1799" i="120"/>
  <c r="H1442" i="120"/>
  <c r="N1442" i="120" s="1"/>
  <c r="F1204" i="120"/>
  <c r="H847" i="120"/>
  <c r="N847" i="120" s="1"/>
  <c r="H1048" i="120"/>
  <c r="N1048" i="120" s="1"/>
  <c r="F1405" i="120"/>
  <c r="F1353" i="120"/>
  <c r="H996" i="120"/>
  <c r="N996" i="120" s="1"/>
  <c r="F1326" i="120"/>
  <c r="H969" i="120"/>
  <c r="N969" i="120" s="1"/>
  <c r="F1351" i="120"/>
  <c r="H994" i="120"/>
  <c r="N994" i="120" s="1"/>
  <c r="F1290" i="120"/>
  <c r="H933" i="120"/>
  <c r="N933" i="120" s="1"/>
  <c r="H1083" i="120"/>
  <c r="N1083" i="120" s="1"/>
  <c r="F1440" i="120"/>
  <c r="F1492" i="120"/>
  <c r="H1135" i="120"/>
  <c r="N1135" i="120" s="1"/>
  <c r="H1138" i="120"/>
  <c r="N1138" i="120" s="1"/>
  <c r="F1495" i="120"/>
  <c r="F1240" i="120"/>
  <c r="H883" i="120"/>
  <c r="N883" i="120" s="1"/>
  <c r="F1343" i="120"/>
  <c r="H986" i="120"/>
  <c r="N986" i="120" s="1"/>
  <c r="H1049" i="120"/>
  <c r="N1049" i="120" s="1"/>
  <c r="F1406" i="120"/>
  <c r="F1873" i="120"/>
  <c r="H1516" i="120"/>
  <c r="N1516" i="120" s="1"/>
  <c r="F1400" i="120"/>
  <c r="H1043" i="120"/>
  <c r="N1043" i="120" s="1"/>
  <c r="H1053" i="120"/>
  <c r="N1053" i="120" s="1"/>
  <c r="F1410" i="120"/>
  <c r="F1278" i="120"/>
  <c r="H921" i="120"/>
  <c r="N921" i="120" s="1"/>
  <c r="H902" i="120"/>
  <c r="N902" i="120" s="1"/>
  <c r="F1259" i="120"/>
  <c r="F1306" i="120"/>
  <c r="H949" i="120"/>
  <c r="N949" i="120" s="1"/>
  <c r="F1532" i="120"/>
  <c r="H1175" i="120"/>
  <c r="N1175" i="120" s="1"/>
  <c r="H940" i="120"/>
  <c r="N940" i="120" s="1"/>
  <c r="F1297" i="120"/>
  <c r="F1401" i="120"/>
  <c r="H1044" i="120"/>
  <c r="N1044" i="120" s="1"/>
  <c r="F1389" i="120"/>
  <c r="H1032" i="120"/>
  <c r="N1032" i="120" s="1"/>
  <c r="F1831" i="120"/>
  <c r="H1474" i="120"/>
  <c r="N1474" i="120" s="1"/>
  <c r="F1277" i="120"/>
  <c r="H920" i="120"/>
  <c r="N920" i="120" s="1"/>
  <c r="F1320" i="120"/>
  <c r="H963" i="120"/>
  <c r="N963" i="120" s="1"/>
  <c r="F1210" i="120"/>
  <c r="H853" i="120"/>
  <c r="N853" i="120" s="1"/>
  <c r="F1475" i="120"/>
  <c r="H1118" i="120"/>
  <c r="N1118" i="120" s="1"/>
  <c r="F1304" i="120"/>
  <c r="H947" i="120"/>
  <c r="N947" i="120" s="1"/>
  <c r="F1316" i="120"/>
  <c r="H959" i="120"/>
  <c r="N959" i="120" s="1"/>
  <c r="F1295" i="120"/>
  <c r="H938" i="120"/>
  <c r="N938" i="120" s="1"/>
  <c r="F1469" i="120"/>
  <c r="H1112" i="120"/>
  <c r="N1112" i="120" s="1"/>
  <c r="F1428" i="120"/>
  <c r="H1071" i="120"/>
  <c r="N1071" i="120" s="1"/>
  <c r="H823" i="120"/>
  <c r="N823" i="120" s="1"/>
  <c r="F1180" i="120"/>
  <c r="F1378" i="120"/>
  <c r="H1021" i="120"/>
  <c r="N1021" i="120" s="1"/>
  <c r="F1288" i="120"/>
  <c r="H931" i="120"/>
  <c r="N931" i="120" s="1"/>
  <c r="F1365" i="120"/>
  <c r="H1008" i="120"/>
  <c r="N1008" i="120" s="1"/>
  <c r="F1407" i="120"/>
  <c r="H1050" i="120"/>
  <c r="N1050" i="120" s="1"/>
  <c r="F1411" i="120"/>
  <c r="H1054" i="120"/>
  <c r="N1054" i="120" s="1"/>
  <c r="F1522" i="120"/>
  <c r="H1165" i="120"/>
  <c r="N1165" i="120" s="1"/>
  <c r="H1039" i="120"/>
  <c r="N1039" i="120" s="1"/>
  <c r="F1396" i="120"/>
  <c r="F1254" i="120"/>
  <c r="H897" i="120"/>
  <c r="N897" i="120" s="1"/>
  <c r="F1489" i="120"/>
  <c r="H1132" i="120"/>
  <c r="N1132" i="120" s="1"/>
  <c r="H1015" i="120"/>
  <c r="N1015" i="120" s="1"/>
  <c r="F1372" i="120"/>
  <c r="H987" i="120"/>
  <c r="N987" i="120" s="1"/>
  <c r="F1344" i="120"/>
  <c r="H988" i="120"/>
  <c r="N988" i="120" s="1"/>
  <c r="F1345" i="120"/>
  <c r="F1491" i="120"/>
  <c r="H1134" i="120"/>
  <c r="N1134" i="120" s="1"/>
  <c r="H1028" i="120"/>
  <c r="N1028" i="120" s="1"/>
  <c r="F1385" i="120"/>
  <c r="F1301" i="120"/>
  <c r="H944" i="120"/>
  <c r="N944" i="120" s="1"/>
  <c r="H942" i="120"/>
  <c r="N942" i="120" s="1"/>
  <c r="F1299" i="120"/>
  <c r="F1220" i="120"/>
  <c r="H863" i="120"/>
  <c r="N863" i="120" s="1"/>
  <c r="F1524" i="120"/>
  <c r="H1167" i="120"/>
  <c r="N1167" i="120" s="1"/>
  <c r="H915" i="120"/>
  <c r="N915" i="120" s="1"/>
  <c r="F1272" i="120"/>
  <c r="F1237" i="120"/>
  <c r="H880" i="120"/>
  <c r="N880" i="120" s="1"/>
  <c r="F1276" i="120"/>
  <c r="H919" i="120"/>
  <c r="N919" i="120" s="1"/>
  <c r="F1459" i="120"/>
  <c r="H1102" i="120"/>
  <c r="N1102" i="120" s="1"/>
  <c r="H1099" i="120"/>
  <c r="N1099" i="120" s="1"/>
  <c r="F1456" i="120"/>
  <c r="F1270" i="120"/>
  <c r="H913" i="120"/>
  <c r="N913" i="120" s="1"/>
  <c r="F1352" i="120"/>
  <c r="H995" i="120"/>
  <c r="N995" i="120" s="1"/>
  <c r="F1181" i="120"/>
  <c r="H824" i="120"/>
  <c r="N824" i="120" s="1"/>
  <c r="H898" i="120"/>
  <c r="N898" i="120" s="1"/>
  <c r="F1255" i="120"/>
  <c r="F1419" i="120"/>
  <c r="H1062" i="120"/>
  <c r="N1062" i="120" s="1"/>
  <c r="F1248" i="120"/>
  <c r="H891" i="120"/>
  <c r="N891" i="120" s="1"/>
  <c r="F1402" i="120"/>
  <c r="H1045" i="120"/>
  <c r="N1045" i="120" s="1"/>
  <c r="F1224" i="120"/>
  <c r="H867" i="120"/>
  <c r="N867" i="120" s="1"/>
  <c r="F1319" i="120"/>
  <c r="H962" i="120"/>
  <c r="N962" i="120" s="1"/>
  <c r="F1289" i="120"/>
  <c r="H932" i="120"/>
  <c r="N932" i="120" s="1"/>
  <c r="F1515" i="120"/>
  <c r="H1158" i="120"/>
  <c r="N1158" i="120" s="1"/>
  <c r="H1017" i="120"/>
  <c r="N1017" i="120" s="1"/>
  <c r="F1374" i="120"/>
  <c r="F1397" i="120"/>
  <c r="H1040" i="120"/>
  <c r="N1040" i="120" s="1"/>
  <c r="F1427" i="120"/>
  <c r="H1070" i="120"/>
  <c r="N1070" i="120" s="1"/>
  <c r="F1182" i="120"/>
  <c r="H825" i="120"/>
  <c r="N825" i="120" s="1"/>
  <c r="H934" i="120"/>
  <c r="N934" i="120" s="1"/>
  <c r="F1291" i="120"/>
  <c r="F1513" i="120"/>
  <c r="H1156" i="120"/>
  <c r="N1156" i="120" s="1"/>
  <c r="F1250" i="120"/>
  <c r="H893" i="120"/>
  <c r="N893" i="120" s="1"/>
  <c r="F1282" i="120"/>
  <c r="H925" i="120"/>
  <c r="N925" i="120" s="1"/>
  <c r="F1305" i="120"/>
  <c r="H948" i="120"/>
  <c r="N948" i="120" s="1"/>
  <c r="F1311" i="120"/>
  <c r="H954" i="120"/>
  <c r="N954" i="120" s="1"/>
  <c r="F1476" i="120"/>
  <c r="H1119" i="120"/>
  <c r="N1119" i="120" s="1"/>
  <c r="F1334" i="120"/>
  <c r="H977" i="120"/>
  <c r="N977" i="120" s="1"/>
  <c r="F1179" i="120"/>
  <c r="H822" i="120"/>
  <c r="N822" i="120" s="1"/>
  <c r="F1479" i="120"/>
  <c r="H1122" i="120"/>
  <c r="N1122" i="120" s="1"/>
  <c r="H1163" i="120"/>
  <c r="N1163" i="120" s="1"/>
  <c r="F1520" i="120"/>
  <c r="F1331" i="120"/>
  <c r="H974" i="120"/>
  <c r="N974" i="120" s="1"/>
  <c r="F1415" i="120"/>
  <c r="H1058" i="120"/>
  <c r="N1058" i="120" s="1"/>
  <c r="H989" i="120"/>
  <c r="N989" i="120" s="1"/>
  <c r="F1346" i="120"/>
  <c r="F1452" i="120"/>
  <c r="H1095" i="120"/>
  <c r="N1095" i="120" s="1"/>
  <c r="F1381" i="120"/>
  <c r="H1024" i="120"/>
  <c r="N1024" i="120" s="1"/>
  <c r="H1121" i="120"/>
  <c r="N1121" i="120" s="1"/>
  <c r="F1478" i="120"/>
  <c r="F1232" i="120"/>
  <c r="H875" i="120"/>
  <c r="N875" i="120" s="1"/>
  <c r="H1031" i="120"/>
  <c r="N1031" i="120" s="1"/>
  <c r="F1388" i="120"/>
  <c r="F1328" i="120"/>
  <c r="H971" i="120"/>
  <c r="N971" i="120" s="1"/>
  <c r="F1383" i="120"/>
  <c r="H1026" i="120"/>
  <c r="N1026" i="120" s="1"/>
  <c r="F1496" i="120"/>
  <c r="H1139" i="120"/>
  <c r="N1139" i="120" s="1"/>
  <c r="F1519" i="120"/>
  <c r="H1162" i="120"/>
  <c r="N1162" i="120" s="1"/>
  <c r="F1403" i="120"/>
  <c r="H1046" i="120"/>
  <c r="N1046" i="120" s="1"/>
  <c r="F1296" i="120"/>
  <c r="H939" i="120"/>
  <c r="N939" i="120" s="1"/>
  <c r="F1511" i="120"/>
  <c r="H1154" i="120"/>
  <c r="N1154" i="120" s="1"/>
  <c r="H856" i="120"/>
  <c r="N856" i="120" s="1"/>
  <c r="F1213" i="120"/>
  <c r="F1332" i="120"/>
  <c r="H975" i="120"/>
  <c r="N975" i="120" s="1"/>
  <c r="H1100" i="120"/>
  <c r="N1100" i="120" s="1"/>
  <c r="F1457" i="120"/>
  <c r="H889" i="120"/>
  <c r="N889" i="120" s="1"/>
  <c r="F1246" i="120"/>
  <c r="H1185" i="120"/>
  <c r="N1185" i="120" s="1"/>
  <c r="F1542" i="120"/>
  <c r="F1432" i="120"/>
  <c r="H1075" i="120"/>
  <c r="N1075" i="120" s="1"/>
  <c r="F1312" i="120"/>
  <c r="H955" i="120"/>
  <c r="N955" i="120" s="1"/>
  <c r="F1860" i="120"/>
  <c r="H1503" i="120"/>
  <c r="N1503" i="120" s="1"/>
  <c r="H1002" i="120"/>
  <c r="N1002" i="120" s="1"/>
  <c r="F1359" i="120"/>
  <c r="F1409" i="120"/>
  <c r="H1052" i="120"/>
  <c r="N1052" i="120" s="1"/>
  <c r="H909" i="120"/>
  <c r="N909" i="120" s="1"/>
  <c r="F1266" i="120"/>
  <c r="H1051" i="120"/>
  <c r="N1051" i="120" s="1"/>
  <c r="F1408" i="120"/>
  <c r="H1029" i="120"/>
  <c r="N1029" i="120" s="1"/>
  <c r="F1386" i="120"/>
  <c r="F1256" i="120"/>
  <c r="H899" i="120"/>
  <c r="N899" i="120" s="1"/>
  <c r="F1357" i="120"/>
  <c r="H1000" i="120"/>
  <c r="N1000" i="120" s="1"/>
  <c r="F1443" i="120"/>
  <c r="H1086" i="120"/>
  <c r="N1086" i="120" s="1"/>
  <c r="H1072" i="120"/>
  <c r="N1072" i="120" s="1"/>
  <c r="F1429" i="120"/>
  <c r="F1839" i="120"/>
  <c r="H1482" i="120"/>
  <c r="N1482" i="120" s="1"/>
  <c r="H1109" i="120"/>
  <c r="N1109" i="120" s="1"/>
  <c r="F1466" i="120"/>
  <c r="H1073" i="120"/>
  <c r="N1073" i="120" s="1"/>
  <c r="F1430" i="120"/>
  <c r="H1041" i="120"/>
  <c r="N1041" i="120" s="1"/>
  <c r="F1398" i="120"/>
  <c r="H873" i="120"/>
  <c r="N873" i="120" s="1"/>
  <c r="F1230" i="120"/>
  <c r="F1269" i="120"/>
  <c r="H912" i="120"/>
  <c r="N912" i="120" s="1"/>
  <c r="F1504" i="120"/>
  <c r="H1147" i="120"/>
  <c r="N1147" i="120" s="1"/>
  <c r="H1082" i="120"/>
  <c r="N1082" i="120" s="1"/>
  <c r="F1439" i="120"/>
  <c r="H972" i="120"/>
  <c r="N972" i="120" s="1"/>
  <c r="F1329" i="120"/>
  <c r="F1366" i="120"/>
  <c r="H1009" i="120"/>
  <c r="N1009" i="120" s="1"/>
  <c r="H1093" i="120"/>
  <c r="N1093" i="120" s="1"/>
  <c r="F1450" i="120"/>
  <c r="F1307" i="120"/>
  <c r="H950" i="120"/>
  <c r="N950" i="120" s="1"/>
  <c r="F1233" i="120"/>
  <c r="H876" i="120"/>
  <c r="N876" i="120" s="1"/>
  <c r="F1589" i="120" l="1"/>
  <c r="H1232" i="120"/>
  <c r="N1232" i="120" s="1"/>
  <c r="F1754" i="120"/>
  <c r="H1397" i="120"/>
  <c r="N1397" i="120" s="1"/>
  <c r="F1758" i="120"/>
  <c r="H1401" i="120"/>
  <c r="N1401" i="120" s="1"/>
  <c r="H1201" i="120"/>
  <c r="N1201" i="120" s="1"/>
  <c r="F1558" i="120"/>
  <c r="F1851" i="120"/>
  <c r="H1494" i="120"/>
  <c r="N1494" i="120" s="1"/>
  <c r="F1666" i="120"/>
  <c r="H1309" i="120"/>
  <c r="N1309" i="120" s="1"/>
  <c r="H1303" i="120"/>
  <c r="N1303" i="120" s="1"/>
  <c r="F1660" i="120"/>
  <c r="F1835" i="120"/>
  <c r="H1478" i="120"/>
  <c r="N1478" i="120" s="1"/>
  <c r="F1813" i="120"/>
  <c r="H1456" i="120"/>
  <c r="N1456" i="120" s="1"/>
  <c r="F1753" i="120"/>
  <c r="H1396" i="120"/>
  <c r="N1396" i="120" s="1"/>
  <c r="F1654" i="120"/>
  <c r="H1297" i="120"/>
  <c r="N1297" i="120" s="1"/>
  <c r="F1763" i="120"/>
  <c r="H1406" i="120"/>
  <c r="N1406" i="120" s="1"/>
  <c r="F1692" i="120"/>
  <c r="H1335" i="120"/>
  <c r="N1335" i="120" s="1"/>
  <c r="F1621" i="120"/>
  <c r="H1264" i="120"/>
  <c r="N1264" i="120" s="1"/>
  <c r="H1263" i="120"/>
  <c r="N1263" i="120" s="1"/>
  <c r="F1620" i="120"/>
  <c r="H1484" i="120"/>
  <c r="N1484" i="120" s="1"/>
  <c r="F1841" i="120"/>
  <c r="F1599" i="120"/>
  <c r="H1242" i="120"/>
  <c r="N1242" i="120" s="1"/>
  <c r="F1585" i="120"/>
  <c r="H1228" i="120"/>
  <c r="N1228" i="120" s="1"/>
  <c r="H1205" i="120"/>
  <c r="N1205" i="120" s="1"/>
  <c r="F1562" i="120"/>
  <c r="H1241" i="120"/>
  <c r="N1241" i="120" s="1"/>
  <c r="F1598" i="120"/>
  <c r="H1267" i="120"/>
  <c r="N1267" i="120" s="1"/>
  <c r="F1624" i="120"/>
  <c r="F1817" i="120"/>
  <c r="H1460" i="120"/>
  <c r="N1460" i="120" s="1"/>
  <c r="F1579" i="120"/>
  <c r="H1222" i="120"/>
  <c r="N1222" i="120" s="1"/>
  <c r="F1747" i="120"/>
  <c r="H1390" i="120"/>
  <c r="N1390" i="120" s="1"/>
  <c r="F1649" i="120"/>
  <c r="H1292" i="120"/>
  <c r="N1292" i="120" s="1"/>
  <c r="F1811" i="120"/>
  <c r="H1454" i="120"/>
  <c r="N1454" i="120" s="1"/>
  <c r="F1834" i="120"/>
  <c r="H1477" i="120"/>
  <c r="N1477" i="120" s="1"/>
  <c r="F1601" i="120"/>
  <c r="H1244" i="120"/>
  <c r="N1244" i="120" s="1"/>
  <c r="F1699" i="120"/>
  <c r="H1342" i="120"/>
  <c r="N1342" i="120" s="1"/>
  <c r="F1887" i="120"/>
  <c r="H1530" i="120"/>
  <c r="N1530" i="120" s="1"/>
  <c r="F1564" i="120"/>
  <c r="H1207" i="120"/>
  <c r="N1207" i="120" s="1"/>
  <c r="F1572" i="120"/>
  <c r="H1215" i="120"/>
  <c r="N1215" i="120" s="1"/>
  <c r="F1704" i="120"/>
  <c r="H1347" i="120"/>
  <c r="N1347" i="120" s="1"/>
  <c r="F1687" i="120"/>
  <c r="H1330" i="120"/>
  <c r="N1330" i="120" s="1"/>
  <c r="F1566" i="120"/>
  <c r="H1209" i="120"/>
  <c r="N1209" i="120" s="1"/>
  <c r="F1659" i="120"/>
  <c r="H1302" i="120"/>
  <c r="N1302" i="120" s="1"/>
  <c r="F1723" i="120"/>
  <c r="H1366" i="120"/>
  <c r="N1366" i="120" s="1"/>
  <c r="H1269" i="120"/>
  <c r="N1269" i="120" s="1"/>
  <c r="F1626" i="120"/>
  <c r="H1357" i="120"/>
  <c r="N1357" i="120" s="1"/>
  <c r="F1714" i="120"/>
  <c r="F1669" i="120"/>
  <c r="H1312" i="120"/>
  <c r="N1312" i="120" s="1"/>
  <c r="F1653" i="120"/>
  <c r="H1296" i="120"/>
  <c r="N1296" i="120" s="1"/>
  <c r="F1740" i="120"/>
  <c r="H1383" i="120"/>
  <c r="N1383" i="120" s="1"/>
  <c r="F1772" i="120"/>
  <c r="H1415" i="120"/>
  <c r="N1415" i="120" s="1"/>
  <c r="F1536" i="120"/>
  <c r="H1179" i="120"/>
  <c r="N1179" i="120" s="1"/>
  <c r="F1662" i="120"/>
  <c r="H1305" i="120"/>
  <c r="N1305" i="120" s="1"/>
  <c r="H1224" i="120"/>
  <c r="N1224" i="120" s="1"/>
  <c r="F1581" i="120"/>
  <c r="H1301" i="120"/>
  <c r="N1301" i="120" s="1"/>
  <c r="F1658" i="120"/>
  <c r="F1722" i="120"/>
  <c r="H1365" i="120"/>
  <c r="N1365" i="120" s="1"/>
  <c r="F1785" i="120"/>
  <c r="H1428" i="120"/>
  <c r="N1428" i="120" s="1"/>
  <c r="F1661" i="120"/>
  <c r="H1304" i="120"/>
  <c r="N1304" i="120" s="1"/>
  <c r="F1634" i="120"/>
  <c r="H1277" i="120"/>
  <c r="N1277" i="120" s="1"/>
  <c r="F1635" i="120"/>
  <c r="H1278" i="120"/>
  <c r="N1278" i="120" s="1"/>
  <c r="F1849" i="120"/>
  <c r="H1492" i="120"/>
  <c r="N1492" i="120" s="1"/>
  <c r="F1683" i="120"/>
  <c r="H1326" i="120"/>
  <c r="N1326" i="120" s="1"/>
  <c r="F2156" i="120"/>
  <c r="H1799" i="120"/>
  <c r="N1799" i="120" s="1"/>
  <c r="F1886" i="120"/>
  <c r="H1529" i="120"/>
  <c r="N1529" i="120" s="1"/>
  <c r="F1681" i="120"/>
  <c r="H1324" i="120"/>
  <c r="N1324" i="120" s="1"/>
  <c r="F1828" i="120"/>
  <c r="H1471" i="120"/>
  <c r="N1471" i="120" s="1"/>
  <c r="H1488" i="120"/>
  <c r="N1488" i="120" s="1"/>
  <c r="F1845" i="120"/>
  <c r="F1739" i="120"/>
  <c r="H1382" i="120"/>
  <c r="N1382" i="120" s="1"/>
  <c r="F1674" i="120"/>
  <c r="H1317" i="120"/>
  <c r="N1317" i="120" s="1"/>
  <c r="F1619" i="120"/>
  <c r="H1262" i="120"/>
  <c r="N1262" i="120" s="1"/>
  <c r="F2160" i="120"/>
  <c r="H1803" i="120"/>
  <c r="N1803" i="120" s="1"/>
  <c r="F1560" i="120"/>
  <c r="H1203" i="120"/>
  <c r="N1203" i="120" s="1"/>
  <c r="H1229" i="120"/>
  <c r="N1229" i="120" s="1"/>
  <c r="F1586" i="120"/>
  <c r="H1286" i="120"/>
  <c r="N1286" i="120" s="1"/>
  <c r="F1643" i="120"/>
  <c r="F1750" i="120"/>
  <c r="H1393" i="120"/>
  <c r="N1393" i="120" s="1"/>
  <c r="F1696" i="120"/>
  <c r="H1339" i="120"/>
  <c r="N1339" i="120" s="1"/>
  <c r="H1217" i="120"/>
  <c r="N1217" i="120" s="1"/>
  <c r="F1574" i="120"/>
  <c r="F1866" i="120"/>
  <c r="H1509" i="120"/>
  <c r="N1509" i="120" s="1"/>
  <c r="F1734" i="120"/>
  <c r="H1377" i="120"/>
  <c r="N1377" i="120" s="1"/>
  <c r="H1507" i="120"/>
  <c r="N1507" i="120" s="1"/>
  <c r="F1864" i="120"/>
  <c r="F1769" i="120"/>
  <c r="H1412" i="120"/>
  <c r="N1412" i="120" s="1"/>
  <c r="F1748" i="120"/>
  <c r="H1391" i="120"/>
  <c r="N1391" i="120" s="1"/>
  <c r="F1883" i="120"/>
  <c r="H1526" i="120"/>
  <c r="N1526" i="120" s="1"/>
  <c r="F1651" i="120"/>
  <c r="H1294" i="120"/>
  <c r="N1294" i="120" s="1"/>
  <c r="F1774" i="120"/>
  <c r="H1417" i="120"/>
  <c r="N1417" i="120" s="1"/>
  <c r="H1329" i="120"/>
  <c r="N1329" i="120" s="1"/>
  <c r="F1686" i="120"/>
  <c r="F1587" i="120"/>
  <c r="H1230" i="120"/>
  <c r="N1230" i="120" s="1"/>
  <c r="F1742" i="120"/>
  <c r="H1385" i="120"/>
  <c r="N1385" i="120" s="1"/>
  <c r="F1729" i="120"/>
  <c r="H1372" i="120"/>
  <c r="N1372" i="120" s="1"/>
  <c r="F1767" i="120"/>
  <c r="H1410" i="120"/>
  <c r="N1410" i="120" s="1"/>
  <c r="F1797" i="120"/>
  <c r="H1440" i="120"/>
  <c r="N1440" i="120" s="1"/>
  <c r="F1737" i="120"/>
  <c r="H1380" i="120"/>
  <c r="N1380" i="120" s="1"/>
  <c r="F1728" i="120"/>
  <c r="H1371" i="120"/>
  <c r="N1371" i="120" s="1"/>
  <c r="H1375" i="120"/>
  <c r="N1375" i="120" s="1"/>
  <c r="F1732" i="120"/>
  <c r="F1559" i="120"/>
  <c r="H1202" i="120"/>
  <c r="N1202" i="120" s="1"/>
  <c r="H1239" i="120"/>
  <c r="N1239" i="120" s="1"/>
  <c r="F1596" i="120"/>
  <c r="F1672" i="120"/>
  <c r="H1315" i="120"/>
  <c r="N1315" i="120" s="1"/>
  <c r="F1773" i="120"/>
  <c r="H1416" i="120"/>
  <c r="N1416" i="120" s="1"/>
  <c r="F1610" i="120"/>
  <c r="H1253" i="120"/>
  <c r="N1253" i="120" s="1"/>
  <c r="F1608" i="120"/>
  <c r="H1251" i="120"/>
  <c r="N1251" i="120" s="1"/>
  <c r="F1679" i="120"/>
  <c r="H1322" i="120"/>
  <c r="N1322" i="120" s="1"/>
  <c r="F1650" i="120"/>
  <c r="H1293" i="120"/>
  <c r="N1293" i="120" s="1"/>
  <c r="F1657" i="120"/>
  <c r="H1300" i="120"/>
  <c r="N1300" i="120" s="1"/>
  <c r="F1850" i="120"/>
  <c r="H1493" i="120"/>
  <c r="N1493" i="120" s="1"/>
  <c r="H1327" i="120"/>
  <c r="N1327" i="120" s="1"/>
  <c r="F1684" i="120"/>
  <c r="H1337" i="120"/>
  <c r="N1337" i="120" s="1"/>
  <c r="F1694" i="120"/>
  <c r="F1625" i="120"/>
  <c r="H1268" i="120"/>
  <c r="N1268" i="120" s="1"/>
  <c r="F1583" i="120"/>
  <c r="H1226" i="120"/>
  <c r="N1226" i="120" s="1"/>
  <c r="F1721" i="120"/>
  <c r="H1364" i="120"/>
  <c r="N1364" i="120" s="1"/>
  <c r="F1726" i="120"/>
  <c r="H1369" i="120"/>
  <c r="N1369" i="120" s="1"/>
  <c r="H1414" i="120"/>
  <c r="N1414" i="120" s="1"/>
  <c r="F1771" i="120"/>
  <c r="F1682" i="120"/>
  <c r="H1325" i="120"/>
  <c r="N1325" i="120" s="1"/>
  <c r="H1553" i="120"/>
  <c r="N1553" i="120" s="1"/>
  <c r="F1910" i="120"/>
  <c r="F1882" i="120"/>
  <c r="H1525" i="120"/>
  <c r="N1525" i="120" s="1"/>
  <c r="F1884" i="120"/>
  <c r="H1527" i="120"/>
  <c r="N1527" i="120" s="1"/>
  <c r="F1617" i="120"/>
  <c r="H1260" i="120"/>
  <c r="N1260" i="120" s="1"/>
  <c r="H1485" i="120"/>
  <c r="N1485" i="120" s="1"/>
  <c r="F1842" i="120"/>
  <c r="H1860" i="120"/>
  <c r="N1860" i="120" s="1"/>
  <c r="F2217" i="120"/>
  <c r="F1853" i="120"/>
  <c r="H1496" i="120"/>
  <c r="N1496" i="120" s="1"/>
  <c r="F1836" i="120"/>
  <c r="H1479" i="120"/>
  <c r="N1479" i="120" s="1"/>
  <c r="F1870" i="120"/>
  <c r="H1513" i="120"/>
  <c r="N1513" i="120" s="1"/>
  <c r="F1676" i="120"/>
  <c r="H1319" i="120"/>
  <c r="N1319" i="120" s="1"/>
  <c r="H1237" i="120"/>
  <c r="N1237" i="120" s="1"/>
  <c r="F1594" i="120"/>
  <c r="F1764" i="120"/>
  <c r="H1407" i="120"/>
  <c r="N1407" i="120" s="1"/>
  <c r="H1320" i="120"/>
  <c r="N1320" i="120" s="1"/>
  <c r="F1677" i="120"/>
  <c r="F2230" i="120"/>
  <c r="H1873" i="120"/>
  <c r="N1873" i="120" s="1"/>
  <c r="F1561" i="120"/>
  <c r="H1204" i="120"/>
  <c r="N1204" i="120" s="1"/>
  <c r="F1741" i="120"/>
  <c r="H1384" i="120"/>
  <c r="N1384" i="120" s="1"/>
  <c r="F1891" i="120"/>
  <c r="H1534" i="120"/>
  <c r="N1534" i="120" s="1"/>
  <c r="F1875" i="120"/>
  <c r="H1518" i="120"/>
  <c r="N1518" i="120" s="1"/>
  <c r="H1404" i="120"/>
  <c r="N1404" i="120" s="1"/>
  <c r="F1761" i="120"/>
  <c r="F1648" i="120"/>
  <c r="H1291" i="120"/>
  <c r="N1291" i="120" s="1"/>
  <c r="F1744" i="120"/>
  <c r="H1387" i="120"/>
  <c r="N1387" i="120" s="1"/>
  <c r="H1233" i="120"/>
  <c r="N1233" i="120" s="1"/>
  <c r="F1590" i="120"/>
  <c r="F2196" i="120"/>
  <c r="H1839" i="120"/>
  <c r="N1839" i="120" s="1"/>
  <c r="F1613" i="120"/>
  <c r="H1256" i="120"/>
  <c r="N1256" i="120" s="1"/>
  <c r="F1766" i="120"/>
  <c r="H1409" i="120"/>
  <c r="N1409" i="120" s="1"/>
  <c r="H1432" i="120"/>
  <c r="N1432" i="120" s="1"/>
  <c r="F1789" i="120"/>
  <c r="F1689" i="120"/>
  <c r="H1332" i="120"/>
  <c r="N1332" i="120" s="1"/>
  <c r="H1403" i="120"/>
  <c r="N1403" i="120" s="1"/>
  <c r="F1760" i="120"/>
  <c r="H1328" i="120"/>
  <c r="N1328" i="120" s="1"/>
  <c r="F1685" i="120"/>
  <c r="F1738" i="120"/>
  <c r="H1381" i="120"/>
  <c r="N1381" i="120" s="1"/>
  <c r="F1688" i="120"/>
  <c r="H1331" i="120"/>
  <c r="N1331" i="120" s="1"/>
  <c r="F1691" i="120"/>
  <c r="H1334" i="120"/>
  <c r="N1334" i="120" s="1"/>
  <c r="F1639" i="120"/>
  <c r="H1282" i="120"/>
  <c r="N1282" i="120" s="1"/>
  <c r="H1182" i="120"/>
  <c r="N1182" i="120" s="1"/>
  <c r="F1539" i="120"/>
  <c r="F1872" i="120"/>
  <c r="H1515" i="120"/>
  <c r="N1515" i="120" s="1"/>
  <c r="H1402" i="120"/>
  <c r="N1402" i="120" s="1"/>
  <c r="F1759" i="120"/>
  <c r="F1538" i="120"/>
  <c r="H1181" i="120"/>
  <c r="N1181" i="120" s="1"/>
  <c r="F1816" i="120"/>
  <c r="H1459" i="120"/>
  <c r="N1459" i="120" s="1"/>
  <c r="F1881" i="120"/>
  <c r="H1524" i="120"/>
  <c r="N1524" i="120" s="1"/>
  <c r="F1879" i="120"/>
  <c r="H1522" i="120"/>
  <c r="N1522" i="120" s="1"/>
  <c r="F1645" i="120"/>
  <c r="H1288" i="120"/>
  <c r="N1288" i="120" s="1"/>
  <c r="H1469" i="120"/>
  <c r="N1469" i="120" s="1"/>
  <c r="F1826" i="120"/>
  <c r="F1832" i="120"/>
  <c r="H1475" i="120"/>
  <c r="N1475" i="120" s="1"/>
  <c r="H1831" i="120"/>
  <c r="N1831" i="120" s="1"/>
  <c r="F2188" i="120"/>
  <c r="F1889" i="120"/>
  <c r="H1532" i="120"/>
  <c r="N1532" i="120" s="1"/>
  <c r="F1700" i="120"/>
  <c r="H1343" i="120"/>
  <c r="N1343" i="120" s="1"/>
  <c r="F1710" i="120"/>
  <c r="H1353" i="120"/>
  <c r="N1353" i="120" s="1"/>
  <c r="F2237" i="120"/>
  <c r="H1880" i="120"/>
  <c r="N1880" i="120" s="1"/>
  <c r="F1725" i="120"/>
  <c r="H1368" i="120"/>
  <c r="N1368" i="120" s="1"/>
  <c r="F1614" i="120"/>
  <c r="H1257" i="120"/>
  <c r="N1257" i="120" s="1"/>
  <c r="H1214" i="120"/>
  <c r="N1214" i="120" s="1"/>
  <c r="F1571" i="120"/>
  <c r="F1840" i="120"/>
  <c r="H1483" i="120"/>
  <c r="N1483" i="120" s="1"/>
  <c r="N724" i="120"/>
  <c r="H1227" i="120"/>
  <c r="N1227" i="120" s="1"/>
  <c r="F1584" i="120"/>
  <c r="H1535" i="120"/>
  <c r="N1535" i="120" s="1"/>
  <c r="F1892" i="120"/>
  <c r="F1911" i="120"/>
  <c r="H1554" i="120"/>
  <c r="N1554" i="120" s="1"/>
  <c r="F1592" i="120"/>
  <c r="H1235" i="120"/>
  <c r="N1235" i="120" s="1"/>
  <c r="F1913" i="120"/>
  <c r="H1556" i="120"/>
  <c r="N1556" i="120" s="1"/>
  <c r="H1531" i="120"/>
  <c r="N1531" i="120" s="1"/>
  <c r="F1888" i="120"/>
  <c r="F1541" i="120"/>
  <c r="H1184" i="120"/>
  <c r="N1184" i="120" s="1"/>
  <c r="F1874" i="120"/>
  <c r="H1517" i="120"/>
  <c r="N1517" i="120" s="1"/>
  <c r="F1693" i="120"/>
  <c r="H1336" i="120"/>
  <c r="N1336" i="120" s="1"/>
  <c r="F1606" i="120"/>
  <c r="H1249" i="120"/>
  <c r="N1249" i="120" s="1"/>
  <c r="F1640" i="120"/>
  <c r="H1283" i="120"/>
  <c r="N1283" i="120" s="1"/>
  <c r="F1822" i="120"/>
  <c r="H1465" i="120"/>
  <c r="N1465" i="120" s="1"/>
  <c r="F1580" i="120"/>
  <c r="H1223" i="120"/>
  <c r="N1223" i="120" s="1"/>
  <c r="F1565" i="120"/>
  <c r="H1208" i="120"/>
  <c r="N1208" i="120" s="1"/>
  <c r="F1749" i="120"/>
  <c r="H1392" i="120"/>
  <c r="N1392" i="120" s="1"/>
  <c r="H1231" i="120"/>
  <c r="N1231" i="120" s="1"/>
  <c r="F1588" i="120"/>
  <c r="H1243" i="120"/>
  <c r="N1243" i="120" s="1"/>
  <c r="F1600" i="120"/>
  <c r="H1271" i="120"/>
  <c r="N1271" i="120" s="1"/>
  <c r="F1628" i="120"/>
  <c r="F1636" i="120"/>
  <c r="H1279" i="120"/>
  <c r="N1279" i="120" s="1"/>
  <c r="F1823" i="120"/>
  <c r="H1466" i="120"/>
  <c r="N1466" i="120" s="1"/>
  <c r="F1623" i="120"/>
  <c r="H1266" i="120"/>
  <c r="N1266" i="120" s="1"/>
  <c r="F1814" i="120"/>
  <c r="H1457" i="120"/>
  <c r="N1457" i="120" s="1"/>
  <c r="H1374" i="120"/>
  <c r="N1374" i="120" s="1"/>
  <c r="F1731" i="120"/>
  <c r="F1612" i="120"/>
  <c r="H1255" i="120"/>
  <c r="N1255" i="120" s="1"/>
  <c r="F1629" i="120"/>
  <c r="H1272" i="120"/>
  <c r="N1272" i="120" s="1"/>
  <c r="F1701" i="120"/>
  <c r="H1344" i="120"/>
  <c r="N1344" i="120" s="1"/>
  <c r="F1912" i="120"/>
  <c r="H1555" i="120"/>
  <c r="N1555" i="120" s="1"/>
  <c r="F1818" i="120"/>
  <c r="H1461" i="120"/>
  <c r="N1461" i="120" s="1"/>
  <c r="F1705" i="120"/>
  <c r="H1348" i="120"/>
  <c r="N1348" i="120" s="1"/>
  <c r="F1796" i="120"/>
  <c r="H1439" i="120"/>
  <c r="N1439" i="120" s="1"/>
  <c r="F1755" i="120"/>
  <c r="H1398" i="120"/>
  <c r="N1398" i="120" s="1"/>
  <c r="F1786" i="120"/>
  <c r="H1429" i="120"/>
  <c r="N1429" i="120" s="1"/>
  <c r="F1743" i="120"/>
  <c r="H1386" i="120"/>
  <c r="N1386" i="120" s="1"/>
  <c r="F1716" i="120"/>
  <c r="H1359" i="120"/>
  <c r="N1359" i="120" s="1"/>
  <c r="F1899" i="120"/>
  <c r="H1542" i="120"/>
  <c r="N1542" i="120" s="1"/>
  <c r="H1213" i="120"/>
  <c r="N1213" i="120" s="1"/>
  <c r="F1570" i="120"/>
  <c r="H1388" i="120"/>
  <c r="N1388" i="120" s="1"/>
  <c r="F1745" i="120"/>
  <c r="F1877" i="120"/>
  <c r="H1520" i="120"/>
  <c r="N1520" i="120" s="1"/>
  <c r="F1762" i="120"/>
  <c r="H1405" i="120"/>
  <c r="N1405" i="120" s="1"/>
  <c r="F1719" i="120"/>
  <c r="H1362" i="120"/>
  <c r="N1362" i="120" s="1"/>
  <c r="F1667" i="120"/>
  <c r="H1310" i="120"/>
  <c r="N1310" i="120" s="1"/>
  <c r="H1497" i="120"/>
  <c r="N1497" i="120" s="1"/>
  <c r="F1854" i="120"/>
  <c r="F1712" i="120"/>
  <c r="H1355" i="120"/>
  <c r="N1355" i="120" s="1"/>
  <c r="F1711" i="120"/>
  <c r="H1354" i="120"/>
  <c r="N1354" i="120" s="1"/>
  <c r="F1751" i="120"/>
  <c r="H1394" i="120"/>
  <c r="N1394" i="120" s="1"/>
  <c r="F1706" i="120"/>
  <c r="H1349" i="120"/>
  <c r="N1349" i="120" s="1"/>
  <c r="F1736" i="120"/>
  <c r="H1379" i="120"/>
  <c r="N1379" i="120" s="1"/>
  <c r="F1862" i="120"/>
  <c r="H1505" i="120"/>
  <c r="N1505" i="120" s="1"/>
  <c r="H1265" i="120"/>
  <c r="N1265" i="120" s="1"/>
  <c r="F1622" i="120"/>
  <c r="F1865" i="120"/>
  <c r="H1508" i="120"/>
  <c r="N1508" i="120" s="1"/>
  <c r="H1528" i="120"/>
  <c r="N1528" i="120" s="1"/>
  <c r="F1885" i="120"/>
  <c r="F1569" i="120"/>
  <c r="H1212" i="120"/>
  <c r="N1212" i="120" s="1"/>
  <c r="H1308" i="120"/>
  <c r="N1308" i="120" s="1"/>
  <c r="F1665" i="120"/>
  <c r="H1221" i="120"/>
  <c r="N1221" i="120" s="1"/>
  <c r="F1578" i="120"/>
  <c r="F1802" i="120"/>
  <c r="H1445" i="120"/>
  <c r="N1445" i="120" s="1"/>
  <c r="F1637" i="120"/>
  <c r="H1280" i="120"/>
  <c r="N1280" i="120" s="1"/>
  <c r="F1690" i="120"/>
  <c r="H1333" i="120"/>
  <c r="N1333" i="120" s="1"/>
  <c r="F1698" i="120"/>
  <c r="H1341" i="120"/>
  <c r="N1341" i="120" s="1"/>
  <c r="F1720" i="120"/>
  <c r="H1363" i="120"/>
  <c r="N1363" i="120" s="1"/>
  <c r="H1358" i="120"/>
  <c r="N1358" i="120" s="1"/>
  <c r="F1715" i="120"/>
  <c r="F1638" i="120"/>
  <c r="H1281" i="120"/>
  <c r="N1281" i="120" s="1"/>
  <c r="F1582" i="120"/>
  <c r="H1225" i="120"/>
  <c r="N1225" i="120" s="1"/>
  <c r="F1800" i="120"/>
  <c r="H1443" i="120"/>
  <c r="N1443" i="120" s="1"/>
  <c r="F1668" i="120"/>
  <c r="H1311" i="120"/>
  <c r="N1311" i="120" s="1"/>
  <c r="H1419" i="120"/>
  <c r="N1419" i="120" s="1"/>
  <c r="F1776" i="120"/>
  <c r="F1611" i="120"/>
  <c r="H1254" i="120"/>
  <c r="N1254" i="120" s="1"/>
  <c r="F1673" i="120"/>
  <c r="H1316" i="120"/>
  <c r="N1316" i="120" s="1"/>
  <c r="F1708" i="120"/>
  <c r="H1351" i="120"/>
  <c r="N1351" i="120" s="1"/>
  <c r="F1595" i="120"/>
  <c r="H1238" i="120"/>
  <c r="N1238" i="120" s="1"/>
  <c r="H1449" i="120"/>
  <c r="N1449" i="120" s="1"/>
  <c r="F1806" i="120"/>
  <c r="F1678" i="120"/>
  <c r="H1321" i="120"/>
  <c r="N1321" i="120" s="1"/>
  <c r="H1274" i="120"/>
  <c r="N1274" i="120" s="1"/>
  <c r="F1631" i="120"/>
  <c r="F1697" i="120"/>
  <c r="H1340" i="120"/>
  <c r="N1340" i="120" s="1"/>
  <c r="F1859" i="120"/>
  <c r="H1502" i="120"/>
  <c r="N1502" i="120" s="1"/>
  <c r="F1602" i="120"/>
  <c r="H1245" i="120"/>
  <c r="N1245" i="120" s="1"/>
  <c r="F1664" i="120"/>
  <c r="H1307" i="120"/>
  <c r="N1307" i="120" s="1"/>
  <c r="F1876" i="120"/>
  <c r="H1519" i="120"/>
  <c r="N1519" i="120" s="1"/>
  <c r="F1809" i="120"/>
  <c r="H1452" i="120"/>
  <c r="N1452" i="120" s="1"/>
  <c r="F1833" i="120"/>
  <c r="H1476" i="120"/>
  <c r="N1476" i="120" s="1"/>
  <c r="F1607" i="120"/>
  <c r="H1250" i="120"/>
  <c r="N1250" i="120" s="1"/>
  <c r="F1784" i="120"/>
  <c r="H1427" i="120"/>
  <c r="N1427" i="120" s="1"/>
  <c r="H1289" i="120"/>
  <c r="N1289" i="120" s="1"/>
  <c r="F1646" i="120"/>
  <c r="F1605" i="120"/>
  <c r="H1248" i="120"/>
  <c r="N1248" i="120" s="1"/>
  <c r="H1352" i="120"/>
  <c r="N1352" i="120" s="1"/>
  <c r="F1709" i="120"/>
  <c r="F1633" i="120"/>
  <c r="H1276" i="120"/>
  <c r="N1276" i="120" s="1"/>
  <c r="F1577" i="120"/>
  <c r="H1220" i="120"/>
  <c r="N1220" i="120" s="1"/>
  <c r="F1848" i="120"/>
  <c r="H1491" i="120"/>
  <c r="N1491" i="120" s="1"/>
  <c r="F1846" i="120"/>
  <c r="H1489" i="120"/>
  <c r="N1489" i="120" s="1"/>
  <c r="F1768" i="120"/>
  <c r="H1411" i="120"/>
  <c r="N1411" i="120" s="1"/>
  <c r="F1735" i="120"/>
  <c r="H1378" i="120"/>
  <c r="N1378" i="120" s="1"/>
  <c r="F1652" i="120"/>
  <c r="H1295" i="120"/>
  <c r="N1295" i="120" s="1"/>
  <c r="F1567" i="120"/>
  <c r="H1210" i="120"/>
  <c r="N1210" i="120" s="1"/>
  <c r="F1746" i="120"/>
  <c r="H1389" i="120"/>
  <c r="N1389" i="120" s="1"/>
  <c r="H1306" i="120"/>
  <c r="N1306" i="120" s="1"/>
  <c r="F1663" i="120"/>
  <c r="H1400" i="120"/>
  <c r="N1400" i="120" s="1"/>
  <c r="F1757" i="120"/>
  <c r="F1597" i="120"/>
  <c r="H1240" i="120"/>
  <c r="N1240" i="120" s="1"/>
  <c r="F1647" i="120"/>
  <c r="H1290" i="120"/>
  <c r="N1290" i="120" s="1"/>
  <c r="F1775" i="120"/>
  <c r="H1418" i="120"/>
  <c r="N1418" i="120" s="1"/>
  <c r="F1847" i="120"/>
  <c r="H1490" i="120"/>
  <c r="N1490" i="120" s="1"/>
  <c r="F1630" i="120"/>
  <c r="H1273" i="120"/>
  <c r="N1273" i="120" s="1"/>
  <c r="F1438" i="120"/>
  <c r="H1081" i="120"/>
  <c r="F1568" i="120"/>
  <c r="H1211" i="120"/>
  <c r="N1211" i="120" s="1"/>
  <c r="F1837" i="120"/>
  <c r="H1480" i="120"/>
  <c r="N1480" i="120" s="1"/>
  <c r="H1261" i="120"/>
  <c r="N1261" i="120" s="1"/>
  <c r="F1618" i="120"/>
  <c r="H1487" i="120"/>
  <c r="N1487" i="120" s="1"/>
  <c r="F1844" i="120"/>
  <c r="F1821" i="120"/>
  <c r="H1464" i="120"/>
  <c r="N1464" i="120" s="1"/>
  <c r="F1713" i="120"/>
  <c r="H1356" i="120"/>
  <c r="N1356" i="120" s="1"/>
  <c r="H1367" i="120"/>
  <c r="N1367" i="120" s="1"/>
  <c r="F1724" i="120"/>
  <c r="F1632" i="120"/>
  <c r="H1275" i="120"/>
  <c r="N1275" i="120" s="1"/>
  <c r="F1770" i="120"/>
  <c r="H1413" i="120"/>
  <c r="N1413" i="120" s="1"/>
  <c r="F1752" i="120"/>
  <c r="H1395" i="120"/>
  <c r="N1395" i="120" s="1"/>
  <c r="F1563" i="120"/>
  <c r="H1206" i="120"/>
  <c r="N1206" i="120" s="1"/>
  <c r="F1591" i="120"/>
  <c r="H1234" i="120"/>
  <c r="N1234" i="120" s="1"/>
  <c r="H1236" i="120"/>
  <c r="N1236" i="120" s="1"/>
  <c r="F1593" i="120"/>
  <c r="F1878" i="120"/>
  <c r="H1521" i="120"/>
  <c r="N1521" i="120" s="1"/>
  <c r="F1680" i="120"/>
  <c r="H1323" i="120"/>
  <c r="N1323" i="120" s="1"/>
  <c r="H1216" i="120"/>
  <c r="N1216" i="120" s="1"/>
  <c r="F1573" i="120"/>
  <c r="H1361" i="120"/>
  <c r="N1361" i="120" s="1"/>
  <c r="F1718" i="120"/>
  <c r="H1514" i="120"/>
  <c r="N1514" i="120" s="1"/>
  <c r="F1871" i="120"/>
  <c r="H1498" i="120"/>
  <c r="N1498" i="120" s="1"/>
  <c r="F1855" i="120"/>
  <c r="F1861" i="120"/>
  <c r="H1504" i="120"/>
  <c r="N1504" i="120" s="1"/>
  <c r="F1868" i="120"/>
  <c r="H1511" i="120"/>
  <c r="N1511" i="120" s="1"/>
  <c r="F1627" i="120"/>
  <c r="H1270" i="120"/>
  <c r="N1270" i="120" s="1"/>
  <c r="F1717" i="120"/>
  <c r="H1360" i="120"/>
  <c r="N1360" i="120" s="1"/>
  <c r="F1807" i="120"/>
  <c r="H1450" i="120"/>
  <c r="N1450" i="120" s="1"/>
  <c r="H1430" i="120"/>
  <c r="N1430" i="120" s="1"/>
  <c r="F1787" i="120"/>
  <c r="H1408" i="120"/>
  <c r="N1408" i="120" s="1"/>
  <c r="F1765" i="120"/>
  <c r="F1603" i="120"/>
  <c r="H1246" i="120"/>
  <c r="N1246" i="120" s="1"/>
  <c r="F1703" i="120"/>
  <c r="H1346" i="120"/>
  <c r="N1346" i="120" s="1"/>
  <c r="F1656" i="120"/>
  <c r="H1299" i="120"/>
  <c r="N1299" i="120" s="1"/>
  <c r="F1702" i="120"/>
  <c r="H1345" i="120"/>
  <c r="N1345" i="120" s="1"/>
  <c r="F1537" i="120"/>
  <c r="H1180" i="120"/>
  <c r="N1180" i="120" s="1"/>
  <c r="F1616" i="120"/>
  <c r="H1259" i="120"/>
  <c r="N1259" i="120" s="1"/>
  <c r="H1495" i="120"/>
  <c r="N1495" i="120" s="1"/>
  <c r="F1852" i="120"/>
  <c r="H1313" i="120"/>
  <c r="N1313" i="120" s="1"/>
  <c r="F1670" i="120"/>
  <c r="G1795" i="120"/>
  <c r="F1857" i="120"/>
  <c r="H1500" i="120"/>
  <c r="N1500" i="120" s="1"/>
  <c r="F1675" i="120"/>
  <c r="H1318" i="120"/>
  <c r="N1318" i="120" s="1"/>
  <c r="F1609" i="120"/>
  <c r="H1252" i="120"/>
  <c r="N1252" i="120" s="1"/>
  <c r="F1615" i="120"/>
  <c r="H1258" i="120"/>
  <c r="N1258" i="120" s="1"/>
  <c r="H1284" i="120"/>
  <c r="N1284" i="120" s="1"/>
  <c r="F1641" i="120"/>
  <c r="F1756" i="120"/>
  <c r="H1399" i="120"/>
  <c r="N1399" i="120" s="1"/>
  <c r="F1576" i="120"/>
  <c r="H1219" i="120"/>
  <c r="N1219" i="120" s="1"/>
  <c r="F1575" i="120"/>
  <c r="H1218" i="120"/>
  <c r="N1218" i="120" s="1"/>
  <c r="F1808" i="120"/>
  <c r="H1451" i="120"/>
  <c r="N1451" i="120" s="1"/>
  <c r="H1247" i="120"/>
  <c r="N1247" i="120" s="1"/>
  <c r="F1604" i="120"/>
  <c r="F1642" i="120"/>
  <c r="H1285" i="120"/>
  <c r="N1285" i="120" s="1"/>
  <c r="H1533" i="120"/>
  <c r="N1533" i="120" s="1"/>
  <c r="F1890" i="120"/>
  <c r="F1727" i="120"/>
  <c r="H1370" i="120"/>
  <c r="N1370" i="120" s="1"/>
  <c r="F1798" i="120"/>
  <c r="H1441" i="120"/>
  <c r="N1441" i="120" s="1"/>
  <c r="F1671" i="120"/>
  <c r="H1314" i="120"/>
  <c r="N1314" i="120" s="1"/>
  <c r="F1655" i="120"/>
  <c r="H1298" i="120"/>
  <c r="N1298" i="120" s="1"/>
  <c r="F1733" i="120"/>
  <c r="H1376" i="120"/>
  <c r="N1376" i="120" s="1"/>
  <c r="F1695" i="120"/>
  <c r="H1338" i="120"/>
  <c r="N1338" i="120" s="1"/>
  <c r="F1801" i="120"/>
  <c r="H1444" i="120"/>
  <c r="N1444" i="120" s="1"/>
  <c r="F1777" i="120"/>
  <c r="H1420" i="120"/>
  <c r="N1420" i="120" s="1"/>
  <c r="H1287" i="120"/>
  <c r="N1287" i="120" s="1"/>
  <c r="F1644" i="120"/>
  <c r="F1707" i="120"/>
  <c r="H1350" i="120"/>
  <c r="N1350" i="120" s="1"/>
  <c r="H1373" i="120"/>
  <c r="N1373" i="120" s="1"/>
  <c r="F1730" i="120"/>
  <c r="H1424" i="120"/>
  <c r="N1424" i="120" s="1"/>
  <c r="F1781" i="120"/>
  <c r="F2134" i="120" l="1"/>
  <c r="H1777" i="120"/>
  <c r="N1777" i="120" s="1"/>
  <c r="F2012" i="120"/>
  <c r="H1655" i="120"/>
  <c r="N1655" i="120" s="1"/>
  <c r="F1932" i="120"/>
  <c r="H1575" i="120"/>
  <c r="N1575" i="120" s="1"/>
  <c r="H1615" i="120"/>
  <c r="N1615" i="120" s="1"/>
  <c r="F1972" i="120"/>
  <c r="H1537" i="120"/>
  <c r="N1537" i="120" s="1"/>
  <c r="F1894" i="120"/>
  <c r="H1603" i="120"/>
  <c r="N1603" i="120" s="1"/>
  <c r="F1960" i="120"/>
  <c r="F2074" i="120"/>
  <c r="H1717" i="120"/>
  <c r="N1717" i="120" s="1"/>
  <c r="H1680" i="120"/>
  <c r="N1680" i="120" s="1"/>
  <c r="F2037" i="120"/>
  <c r="F1920" i="120"/>
  <c r="H1563" i="120"/>
  <c r="N1563" i="120" s="1"/>
  <c r="H1709" i="120"/>
  <c r="N1709" i="120" s="1"/>
  <c r="F2066" i="120"/>
  <c r="H1631" i="120"/>
  <c r="N1631" i="120" s="1"/>
  <c r="F1988" i="120"/>
  <c r="H1715" i="120"/>
  <c r="N1715" i="120" s="1"/>
  <c r="F2072" i="120"/>
  <c r="F2108" i="120"/>
  <c r="H1751" i="120"/>
  <c r="N1751" i="120" s="1"/>
  <c r="H1667" i="120"/>
  <c r="N1667" i="120" s="1"/>
  <c r="F2024" i="120"/>
  <c r="H1743" i="120"/>
  <c r="N1743" i="120" s="1"/>
  <c r="F2100" i="120"/>
  <c r="F2062" i="120"/>
  <c r="H1705" i="120"/>
  <c r="N1705" i="120" s="1"/>
  <c r="F1986" i="120"/>
  <c r="H1629" i="120"/>
  <c r="N1629" i="120" s="1"/>
  <c r="F1980" i="120"/>
  <c r="H1623" i="120"/>
  <c r="N1623" i="120" s="1"/>
  <c r="F1922" i="120"/>
  <c r="H1565" i="120"/>
  <c r="N1565" i="120" s="1"/>
  <c r="F1963" i="120"/>
  <c r="H1606" i="120"/>
  <c r="N1606" i="120" s="1"/>
  <c r="F2067" i="120"/>
  <c r="H1710" i="120"/>
  <c r="N1710" i="120" s="1"/>
  <c r="F2189" i="120"/>
  <c r="H1832" i="120"/>
  <c r="N1832" i="120" s="1"/>
  <c r="H1881" i="120"/>
  <c r="N1881" i="120" s="1"/>
  <c r="F2238" i="120"/>
  <c r="F2229" i="120"/>
  <c r="H1872" i="120"/>
  <c r="N1872" i="120" s="1"/>
  <c r="F2045" i="120"/>
  <c r="H1688" i="120"/>
  <c r="N1688" i="120" s="1"/>
  <c r="F2046" i="120"/>
  <c r="H1689" i="120"/>
  <c r="N1689" i="120" s="1"/>
  <c r="F2553" i="120"/>
  <c r="H2553" i="120" s="1"/>
  <c r="N2553" i="120" s="1"/>
  <c r="H2196" i="120"/>
  <c r="N2196" i="120" s="1"/>
  <c r="H1561" i="120"/>
  <c r="N1561" i="120" s="1"/>
  <c r="F1918" i="120"/>
  <c r="H1853" i="120"/>
  <c r="N1853" i="120" s="1"/>
  <c r="F2210" i="120"/>
  <c r="F2241" i="120"/>
  <c r="H1884" i="120"/>
  <c r="N1884" i="120" s="1"/>
  <c r="H1625" i="120"/>
  <c r="N1625" i="120" s="1"/>
  <c r="F1982" i="120"/>
  <c r="F2014" i="120"/>
  <c r="H1657" i="120"/>
  <c r="N1657" i="120" s="1"/>
  <c r="F1967" i="120"/>
  <c r="H1610" i="120"/>
  <c r="N1610" i="120" s="1"/>
  <c r="H1559" i="120"/>
  <c r="N1559" i="120" s="1"/>
  <c r="F1916" i="120"/>
  <c r="F2154" i="120"/>
  <c r="H1797" i="120"/>
  <c r="N1797" i="120" s="1"/>
  <c r="F1944" i="120"/>
  <c r="H1587" i="120"/>
  <c r="N1587" i="120" s="1"/>
  <c r="F2240" i="120"/>
  <c r="H1883" i="120"/>
  <c r="N1883" i="120" s="1"/>
  <c r="F2091" i="120"/>
  <c r="H1734" i="120"/>
  <c r="N1734" i="120" s="1"/>
  <c r="H1750" i="120"/>
  <c r="N1750" i="120" s="1"/>
  <c r="F2107" i="120"/>
  <c r="H2160" i="120"/>
  <c r="N2160" i="120" s="1"/>
  <c r="F2517" i="120"/>
  <c r="H2517" i="120" s="1"/>
  <c r="N2517" i="120" s="1"/>
  <c r="F2202" i="120"/>
  <c r="H1845" i="120"/>
  <c r="N1845" i="120" s="1"/>
  <c r="F2015" i="120"/>
  <c r="H1658" i="120"/>
  <c r="N1658" i="120" s="1"/>
  <c r="H1714" i="120"/>
  <c r="N1714" i="120" s="1"/>
  <c r="F2071" i="120"/>
  <c r="F1919" i="120"/>
  <c r="H1562" i="120"/>
  <c r="N1562" i="120" s="1"/>
  <c r="F1977" i="120"/>
  <c r="H1620" i="120"/>
  <c r="N1620" i="120" s="1"/>
  <c r="F2017" i="120"/>
  <c r="H1660" i="120"/>
  <c r="N1660" i="120" s="1"/>
  <c r="H1807" i="120"/>
  <c r="N1807" i="120" s="1"/>
  <c r="F2164" i="120"/>
  <c r="H1706" i="120"/>
  <c r="N1706" i="120" s="1"/>
  <c r="F2063" i="120"/>
  <c r="F2058" i="120"/>
  <c r="H1701" i="120"/>
  <c r="N1701" i="120" s="1"/>
  <c r="H1541" i="120"/>
  <c r="N1541" i="120" s="1"/>
  <c r="F1898" i="120"/>
  <c r="F2048" i="120"/>
  <c r="H1691" i="120"/>
  <c r="N1691" i="120" s="1"/>
  <c r="H1741" i="120"/>
  <c r="N1741" i="120" s="1"/>
  <c r="F2098" i="120"/>
  <c r="H1617" i="120"/>
  <c r="N1617" i="120" s="1"/>
  <c r="F1974" i="120"/>
  <c r="F2207" i="120"/>
  <c r="H1850" i="120"/>
  <c r="N1850" i="120" s="1"/>
  <c r="F1965" i="120"/>
  <c r="H1608" i="120"/>
  <c r="N1608" i="120" s="1"/>
  <c r="F2099" i="120"/>
  <c r="H1742" i="120"/>
  <c r="N1742" i="120" s="1"/>
  <c r="H1560" i="120"/>
  <c r="N1560" i="120" s="1"/>
  <c r="F1917" i="120"/>
  <c r="H1558" i="120"/>
  <c r="N1558" i="120" s="1"/>
  <c r="F1915" i="120"/>
  <c r="F2128" i="120"/>
  <c r="H1771" i="120"/>
  <c r="N1771" i="120" s="1"/>
  <c r="H1739" i="120"/>
  <c r="N1739" i="120" s="1"/>
  <c r="F2096" i="120"/>
  <c r="F1992" i="120"/>
  <c r="H1635" i="120"/>
  <c r="N1635" i="120" s="1"/>
  <c r="H1536" i="120"/>
  <c r="N1536" i="120" s="1"/>
  <c r="F1893" i="120"/>
  <c r="F2016" i="120"/>
  <c r="H1659" i="120"/>
  <c r="N1659" i="120" s="1"/>
  <c r="H1601" i="120"/>
  <c r="N1601" i="120" s="1"/>
  <c r="F1958" i="120"/>
  <c r="H1730" i="120"/>
  <c r="N1730" i="120" s="1"/>
  <c r="F2087" i="120"/>
  <c r="F2027" i="120"/>
  <c r="H1670" i="120"/>
  <c r="N1670" i="120" s="1"/>
  <c r="F2122" i="120"/>
  <c r="H1765" i="120"/>
  <c r="N1765" i="120" s="1"/>
  <c r="H1871" i="120"/>
  <c r="N1871" i="120" s="1"/>
  <c r="F2228" i="120"/>
  <c r="F1987" i="120"/>
  <c r="H1630" i="120"/>
  <c r="N1630" i="120" s="1"/>
  <c r="F1954" i="120"/>
  <c r="H1597" i="120"/>
  <c r="N1597" i="120" s="1"/>
  <c r="H1567" i="120"/>
  <c r="N1567" i="120" s="1"/>
  <c r="F1924" i="120"/>
  <c r="F2203" i="120"/>
  <c r="H1846" i="120"/>
  <c r="N1846" i="120" s="1"/>
  <c r="H1607" i="120"/>
  <c r="N1607" i="120" s="1"/>
  <c r="F1964" i="120"/>
  <c r="H1664" i="120"/>
  <c r="N1664" i="120" s="1"/>
  <c r="F2021" i="120"/>
  <c r="F2065" i="120"/>
  <c r="H1708" i="120"/>
  <c r="N1708" i="120" s="1"/>
  <c r="F2025" i="120"/>
  <c r="H1668" i="120"/>
  <c r="N1668" i="120" s="1"/>
  <c r="H1637" i="120"/>
  <c r="N1637" i="120" s="1"/>
  <c r="F1994" i="120"/>
  <c r="H1569" i="120"/>
  <c r="N1569" i="120" s="1"/>
  <c r="F1926" i="120"/>
  <c r="F2219" i="120"/>
  <c r="H1862" i="120"/>
  <c r="N1862" i="120" s="1"/>
  <c r="F1927" i="120"/>
  <c r="H1570" i="120"/>
  <c r="N1570" i="120" s="1"/>
  <c r="H1600" i="120"/>
  <c r="N1600" i="120" s="1"/>
  <c r="F1957" i="120"/>
  <c r="H1584" i="120"/>
  <c r="N1584" i="120" s="1"/>
  <c r="F1941" i="120"/>
  <c r="H1826" i="120"/>
  <c r="N1826" i="120" s="1"/>
  <c r="F2183" i="120"/>
  <c r="H1539" i="120"/>
  <c r="N1539" i="120" s="1"/>
  <c r="F1896" i="120"/>
  <c r="F2146" i="120"/>
  <c r="H1789" i="120"/>
  <c r="N1789" i="120" s="1"/>
  <c r="F1947" i="120"/>
  <c r="H1590" i="120"/>
  <c r="N1590" i="120" s="1"/>
  <c r="H2217" i="120"/>
  <c r="N2217" i="120" s="1"/>
  <c r="F2574" i="120"/>
  <c r="H2574" i="120" s="1"/>
  <c r="N2574" i="120" s="1"/>
  <c r="F2051" i="120"/>
  <c r="H1694" i="120"/>
  <c r="N1694" i="120" s="1"/>
  <c r="F2089" i="120"/>
  <c r="H1732" i="120"/>
  <c r="N1732" i="120" s="1"/>
  <c r="F2043" i="120"/>
  <c r="H1686" i="120"/>
  <c r="N1686" i="120" s="1"/>
  <c r="H1643" i="120"/>
  <c r="N1643" i="120" s="1"/>
  <c r="F2000" i="120"/>
  <c r="F2513" i="120"/>
  <c r="H2513" i="120" s="1"/>
  <c r="N2513" i="120" s="1"/>
  <c r="H2156" i="120"/>
  <c r="N2156" i="120" s="1"/>
  <c r="F1991" i="120"/>
  <c r="H1634" i="120"/>
  <c r="N1634" i="120" s="1"/>
  <c r="F2129" i="120"/>
  <c r="H1772" i="120"/>
  <c r="N1772" i="120" s="1"/>
  <c r="F1923" i="120"/>
  <c r="H1566" i="120"/>
  <c r="N1566" i="120" s="1"/>
  <c r="F1921" i="120"/>
  <c r="H1564" i="120"/>
  <c r="N1564" i="120" s="1"/>
  <c r="F2191" i="120"/>
  <c r="H1834" i="120"/>
  <c r="N1834" i="120" s="1"/>
  <c r="H1579" i="120"/>
  <c r="N1579" i="120" s="1"/>
  <c r="F1936" i="120"/>
  <c r="F2011" i="120"/>
  <c r="H1654" i="120"/>
  <c r="N1654" i="120" s="1"/>
  <c r="F2115" i="120"/>
  <c r="H1758" i="120"/>
  <c r="N1758" i="120" s="1"/>
  <c r="H1796" i="120"/>
  <c r="N1796" i="120" s="1"/>
  <c r="F2153" i="120"/>
  <c r="F2106" i="120"/>
  <c r="H1749" i="120"/>
  <c r="N1749" i="120" s="1"/>
  <c r="F2594" i="120"/>
  <c r="H2594" i="120" s="1"/>
  <c r="N2594" i="120" s="1"/>
  <c r="H2237" i="120"/>
  <c r="N2237" i="120" s="1"/>
  <c r="F1970" i="120"/>
  <c r="H1613" i="120"/>
  <c r="N1613" i="120" s="1"/>
  <c r="F1940" i="120"/>
  <c r="H1583" i="120"/>
  <c r="N1583" i="120" s="1"/>
  <c r="F2198" i="120"/>
  <c r="H1841" i="120"/>
  <c r="N1841" i="120" s="1"/>
  <c r="F2138" i="120"/>
  <c r="H1781" i="120"/>
  <c r="N1781" i="120" s="1"/>
  <c r="H1647" i="120"/>
  <c r="N1647" i="120" s="1"/>
  <c r="F2004" i="120"/>
  <c r="F2233" i="120"/>
  <c r="H1876" i="120"/>
  <c r="N1876" i="120" s="1"/>
  <c r="F1995" i="120"/>
  <c r="H1638" i="120"/>
  <c r="N1638" i="120" s="1"/>
  <c r="F2192" i="120"/>
  <c r="H1835" i="120"/>
  <c r="N1835" i="120" s="1"/>
  <c r="F2158" i="120"/>
  <c r="H1801" i="120"/>
  <c r="N1801" i="120" s="1"/>
  <c r="F2028" i="120"/>
  <c r="H1671" i="120"/>
  <c r="N1671" i="120" s="1"/>
  <c r="F1999" i="120"/>
  <c r="H1642" i="120"/>
  <c r="N1642" i="120" s="1"/>
  <c r="F1933" i="120"/>
  <c r="H1576" i="120"/>
  <c r="N1576" i="120" s="1"/>
  <c r="H1609" i="120"/>
  <c r="N1609" i="120" s="1"/>
  <c r="F1966" i="120"/>
  <c r="F2059" i="120"/>
  <c r="H1702" i="120"/>
  <c r="N1702" i="120" s="1"/>
  <c r="H1627" i="120"/>
  <c r="N1627" i="120" s="1"/>
  <c r="F1984" i="120"/>
  <c r="H1878" i="120"/>
  <c r="N1878" i="120" s="1"/>
  <c r="F2235" i="120"/>
  <c r="H1752" i="120"/>
  <c r="N1752" i="120" s="1"/>
  <c r="F2109" i="120"/>
  <c r="H1713" i="120"/>
  <c r="N1713" i="120" s="1"/>
  <c r="F2070" i="120"/>
  <c r="F2194" i="120"/>
  <c r="H1837" i="120"/>
  <c r="N1837" i="120" s="1"/>
  <c r="F2114" i="120"/>
  <c r="H1757" i="120"/>
  <c r="N1757" i="120" s="1"/>
  <c r="F2242" i="120"/>
  <c r="H1885" i="120"/>
  <c r="N1885" i="120" s="1"/>
  <c r="F2068" i="120"/>
  <c r="H1711" i="120"/>
  <c r="N1711" i="120" s="1"/>
  <c r="F2076" i="120"/>
  <c r="H1719" i="120"/>
  <c r="N1719" i="120" s="1"/>
  <c r="F2143" i="120"/>
  <c r="H1786" i="120"/>
  <c r="N1786" i="120" s="1"/>
  <c r="H1818" i="120"/>
  <c r="N1818" i="120" s="1"/>
  <c r="F2175" i="120"/>
  <c r="F1969" i="120"/>
  <c r="H1612" i="120"/>
  <c r="N1612" i="120" s="1"/>
  <c r="H1823" i="120"/>
  <c r="N1823" i="120" s="1"/>
  <c r="F2180" i="120"/>
  <c r="F1937" i="120"/>
  <c r="H1580" i="120"/>
  <c r="N1580" i="120" s="1"/>
  <c r="F2050" i="120"/>
  <c r="H1693" i="120"/>
  <c r="N1693" i="120" s="1"/>
  <c r="F2270" i="120"/>
  <c r="H1913" i="120"/>
  <c r="N1913" i="120" s="1"/>
  <c r="F1971" i="120"/>
  <c r="H1614" i="120"/>
  <c r="N1614" i="120" s="1"/>
  <c r="F2057" i="120"/>
  <c r="H1700" i="120"/>
  <c r="N1700" i="120" s="1"/>
  <c r="H1816" i="120"/>
  <c r="N1816" i="120" s="1"/>
  <c r="F2173" i="120"/>
  <c r="F2095" i="120"/>
  <c r="H1738" i="120"/>
  <c r="N1738" i="120" s="1"/>
  <c r="F2232" i="120"/>
  <c r="H1875" i="120"/>
  <c r="N1875" i="120" s="1"/>
  <c r="F2587" i="120"/>
  <c r="H2587" i="120" s="1"/>
  <c r="N2587" i="120" s="1"/>
  <c r="H2230" i="120"/>
  <c r="N2230" i="120" s="1"/>
  <c r="F2033" i="120"/>
  <c r="H1676" i="120"/>
  <c r="N1676" i="120" s="1"/>
  <c r="F2239" i="120"/>
  <c r="H1882" i="120"/>
  <c r="N1882" i="120" s="1"/>
  <c r="F2083" i="120"/>
  <c r="H1726" i="120"/>
  <c r="N1726" i="120" s="1"/>
  <c r="F2007" i="120"/>
  <c r="H1650" i="120"/>
  <c r="N1650" i="120" s="1"/>
  <c r="F2130" i="120"/>
  <c r="H1773" i="120"/>
  <c r="N1773" i="120" s="1"/>
  <c r="F2124" i="120"/>
  <c r="H1767" i="120"/>
  <c r="N1767" i="120" s="1"/>
  <c r="F2105" i="120"/>
  <c r="H1748" i="120"/>
  <c r="N1748" i="120" s="1"/>
  <c r="F2223" i="120"/>
  <c r="H1866" i="120"/>
  <c r="N1866" i="120" s="1"/>
  <c r="H1581" i="120"/>
  <c r="N1581" i="120" s="1"/>
  <c r="F1938" i="120"/>
  <c r="F1983" i="120"/>
  <c r="H1626" i="120"/>
  <c r="N1626" i="120" s="1"/>
  <c r="F2084" i="120"/>
  <c r="H1727" i="120"/>
  <c r="N1727" i="120" s="1"/>
  <c r="F1973" i="120"/>
  <c r="H1616" i="120"/>
  <c r="N1616" i="120" s="1"/>
  <c r="H1591" i="120"/>
  <c r="N1591" i="120" s="1"/>
  <c r="F1948" i="120"/>
  <c r="F2133" i="120"/>
  <c r="H1776" i="120"/>
  <c r="N1776" i="120" s="1"/>
  <c r="F1979" i="120"/>
  <c r="H1622" i="120"/>
  <c r="N1622" i="120" s="1"/>
  <c r="F2073" i="120"/>
  <c r="H1716" i="120"/>
  <c r="N1716" i="120" s="1"/>
  <c r="H1640" i="120"/>
  <c r="N1640" i="120" s="1"/>
  <c r="F1997" i="120"/>
  <c r="F2236" i="120"/>
  <c r="H1879" i="120"/>
  <c r="N1879" i="120" s="1"/>
  <c r="F2121" i="120"/>
  <c r="H1764" i="120"/>
  <c r="N1764" i="120" s="1"/>
  <c r="H1737" i="120"/>
  <c r="N1737" i="120" s="1"/>
  <c r="F2094" i="120"/>
  <c r="G2152" i="120"/>
  <c r="F2081" i="120"/>
  <c r="H1724" i="120"/>
  <c r="N1724" i="120" s="1"/>
  <c r="F2125" i="120"/>
  <c r="H1768" i="120"/>
  <c r="N1768" i="120" s="1"/>
  <c r="H1628" i="120"/>
  <c r="N1628" i="120" s="1"/>
  <c r="F1985" i="120"/>
  <c r="H1604" i="120"/>
  <c r="N1604" i="120" s="1"/>
  <c r="F1961" i="120"/>
  <c r="F2209" i="120"/>
  <c r="H1852" i="120"/>
  <c r="N1852" i="120" s="1"/>
  <c r="F2144" i="120"/>
  <c r="H1787" i="120"/>
  <c r="N1787" i="120" s="1"/>
  <c r="H1718" i="120"/>
  <c r="N1718" i="120" s="1"/>
  <c r="F2075" i="120"/>
  <c r="F1950" i="120"/>
  <c r="H1593" i="120"/>
  <c r="N1593" i="120" s="1"/>
  <c r="F2204" i="120"/>
  <c r="H1847" i="120"/>
  <c r="N1847" i="120" s="1"/>
  <c r="F2009" i="120"/>
  <c r="H1652" i="120"/>
  <c r="N1652" i="120" s="1"/>
  <c r="F2205" i="120"/>
  <c r="H1848" i="120"/>
  <c r="N1848" i="120" s="1"/>
  <c r="F1962" i="120"/>
  <c r="H1605" i="120"/>
  <c r="N1605" i="120" s="1"/>
  <c r="F2190" i="120"/>
  <c r="H1833" i="120"/>
  <c r="N1833" i="120" s="1"/>
  <c r="F1959" i="120"/>
  <c r="H1602" i="120"/>
  <c r="N1602" i="120" s="1"/>
  <c r="H1678" i="120"/>
  <c r="N1678" i="120" s="1"/>
  <c r="F2035" i="120"/>
  <c r="H1673" i="120"/>
  <c r="N1673" i="120" s="1"/>
  <c r="F2030" i="120"/>
  <c r="F2157" i="120"/>
  <c r="H1800" i="120"/>
  <c r="N1800" i="120" s="1"/>
  <c r="H1720" i="120"/>
  <c r="N1720" i="120" s="1"/>
  <c r="F2077" i="120"/>
  <c r="F2159" i="120"/>
  <c r="H1802" i="120"/>
  <c r="N1802" i="120" s="1"/>
  <c r="F2088" i="120"/>
  <c r="H1731" i="120"/>
  <c r="N1731" i="120" s="1"/>
  <c r="F712" i="120"/>
  <c r="H355" i="120"/>
  <c r="N355" i="120" s="1"/>
  <c r="H1588" i="120"/>
  <c r="N1588" i="120" s="1"/>
  <c r="F1945" i="120"/>
  <c r="F2042" i="120"/>
  <c r="H1685" i="120"/>
  <c r="N1685" i="120" s="1"/>
  <c r="F2034" i="120"/>
  <c r="H1677" i="120"/>
  <c r="N1677" i="120" s="1"/>
  <c r="H1842" i="120"/>
  <c r="N1842" i="120" s="1"/>
  <c r="F2199" i="120"/>
  <c r="F2267" i="120"/>
  <c r="H1910" i="120"/>
  <c r="N1910" i="120" s="1"/>
  <c r="H1684" i="120"/>
  <c r="N1684" i="120" s="1"/>
  <c r="F2041" i="120"/>
  <c r="F1931" i="120"/>
  <c r="H1574" i="120"/>
  <c r="N1574" i="120" s="1"/>
  <c r="F1943" i="120"/>
  <c r="H1586" i="120"/>
  <c r="N1586" i="120" s="1"/>
  <c r="F1976" i="120"/>
  <c r="H1619" i="120"/>
  <c r="N1619" i="120" s="1"/>
  <c r="F2185" i="120"/>
  <c r="H1828" i="120"/>
  <c r="N1828" i="120" s="1"/>
  <c r="F2040" i="120"/>
  <c r="H1683" i="120"/>
  <c r="N1683" i="120" s="1"/>
  <c r="H1661" i="120"/>
  <c r="N1661" i="120" s="1"/>
  <c r="F2018" i="120"/>
  <c r="F2097" i="120"/>
  <c r="H1740" i="120"/>
  <c r="N1740" i="120" s="1"/>
  <c r="H1687" i="120"/>
  <c r="N1687" i="120" s="1"/>
  <c r="F2044" i="120"/>
  <c r="F2244" i="120"/>
  <c r="H1887" i="120"/>
  <c r="N1887" i="120" s="1"/>
  <c r="F2168" i="120"/>
  <c r="H1811" i="120"/>
  <c r="N1811" i="120" s="1"/>
  <c r="F2174" i="120"/>
  <c r="H1817" i="120"/>
  <c r="N1817" i="120" s="1"/>
  <c r="F1942" i="120"/>
  <c r="H1585" i="120"/>
  <c r="N1585" i="120" s="1"/>
  <c r="F1978" i="120"/>
  <c r="H1621" i="120"/>
  <c r="N1621" i="120" s="1"/>
  <c r="F2110" i="120"/>
  <c r="H1753" i="120"/>
  <c r="N1753" i="120" s="1"/>
  <c r="H1666" i="120"/>
  <c r="N1666" i="120" s="1"/>
  <c r="F2023" i="120"/>
  <c r="H1754" i="120"/>
  <c r="N1754" i="120" s="1"/>
  <c r="F2111" i="120"/>
  <c r="F2165" i="120"/>
  <c r="H1808" i="120"/>
  <c r="N1808" i="120" s="1"/>
  <c r="F2218" i="120"/>
  <c r="H1861" i="120"/>
  <c r="N1861" i="120" s="1"/>
  <c r="F2022" i="120"/>
  <c r="H1665" i="120"/>
  <c r="N1665" i="120" s="1"/>
  <c r="F2234" i="120"/>
  <c r="H1877" i="120"/>
  <c r="N1877" i="120" s="1"/>
  <c r="F1993" i="120"/>
  <c r="H1636" i="120"/>
  <c r="N1636" i="120" s="1"/>
  <c r="F2268" i="120"/>
  <c r="H1911" i="120"/>
  <c r="N1911" i="120" s="1"/>
  <c r="H1682" i="120"/>
  <c r="N1682" i="120" s="1"/>
  <c r="F2039" i="120"/>
  <c r="F2053" i="120"/>
  <c r="H1696" i="120"/>
  <c r="N1696" i="120" s="1"/>
  <c r="F1975" i="120"/>
  <c r="H1618" i="120"/>
  <c r="N1618" i="120" s="1"/>
  <c r="H1746" i="120"/>
  <c r="N1746" i="120" s="1"/>
  <c r="F2103" i="120"/>
  <c r="F2141" i="120"/>
  <c r="H1784" i="120"/>
  <c r="N1784" i="120" s="1"/>
  <c r="F1952" i="120"/>
  <c r="H1595" i="120"/>
  <c r="N1595" i="120" s="1"/>
  <c r="H1745" i="120"/>
  <c r="N1745" i="120" s="1"/>
  <c r="F2102" i="120"/>
  <c r="F2245" i="120"/>
  <c r="H1888" i="120"/>
  <c r="N1888" i="120" s="1"/>
  <c r="H1763" i="120"/>
  <c r="N1763" i="120" s="1"/>
  <c r="F2120" i="120"/>
  <c r="H1707" i="120"/>
  <c r="N1707" i="120" s="1"/>
  <c r="F2064" i="120"/>
  <c r="F2052" i="120"/>
  <c r="H1695" i="120"/>
  <c r="N1695" i="120" s="1"/>
  <c r="H1798" i="120"/>
  <c r="N1798" i="120" s="1"/>
  <c r="F2155" i="120"/>
  <c r="F2113" i="120"/>
  <c r="H1756" i="120"/>
  <c r="N1756" i="120" s="1"/>
  <c r="F2032" i="120"/>
  <c r="H1675" i="120"/>
  <c r="N1675" i="120" s="1"/>
  <c r="F2013" i="120"/>
  <c r="H1656" i="120"/>
  <c r="N1656" i="120" s="1"/>
  <c r="H1868" i="120"/>
  <c r="N1868" i="120" s="1"/>
  <c r="F2225" i="120"/>
  <c r="F2127" i="120"/>
  <c r="H1770" i="120"/>
  <c r="N1770" i="120" s="1"/>
  <c r="F2178" i="120"/>
  <c r="H1821" i="120"/>
  <c r="N1821" i="120" s="1"/>
  <c r="H1568" i="120"/>
  <c r="N1568" i="120" s="1"/>
  <c r="F1925" i="120"/>
  <c r="H1663" i="120"/>
  <c r="N1663" i="120" s="1"/>
  <c r="F2020" i="120"/>
  <c r="F2003" i="120"/>
  <c r="H1646" i="120"/>
  <c r="N1646" i="120" s="1"/>
  <c r="H1806" i="120"/>
  <c r="N1806" i="120" s="1"/>
  <c r="F2163" i="120"/>
  <c r="H1578" i="120"/>
  <c r="N1578" i="120" s="1"/>
  <c r="F1935" i="120"/>
  <c r="H1736" i="120"/>
  <c r="N1736" i="120" s="1"/>
  <c r="F2093" i="120"/>
  <c r="H1712" i="120"/>
  <c r="N1712" i="120" s="1"/>
  <c r="F2069" i="120"/>
  <c r="F2119" i="120"/>
  <c r="H1762" i="120"/>
  <c r="N1762" i="120" s="1"/>
  <c r="F2256" i="120"/>
  <c r="H1899" i="120"/>
  <c r="N1899" i="120" s="1"/>
  <c r="H1755" i="120"/>
  <c r="N1755" i="120" s="1"/>
  <c r="F2112" i="120"/>
  <c r="F2269" i="120"/>
  <c r="H1912" i="120"/>
  <c r="N1912" i="120" s="1"/>
  <c r="F2179" i="120"/>
  <c r="H1822" i="120"/>
  <c r="N1822" i="120" s="1"/>
  <c r="F2231" i="120"/>
  <c r="H1874" i="120"/>
  <c r="N1874" i="120" s="1"/>
  <c r="F1949" i="120"/>
  <c r="H1592" i="120"/>
  <c r="N1592" i="120" s="1"/>
  <c r="F2082" i="120"/>
  <c r="H1725" i="120"/>
  <c r="N1725" i="120" s="1"/>
  <c r="F2246" i="120"/>
  <c r="H1889" i="120"/>
  <c r="N1889" i="120" s="1"/>
  <c r="F2002" i="120"/>
  <c r="H1645" i="120"/>
  <c r="N1645" i="120" s="1"/>
  <c r="F1895" i="120"/>
  <c r="H1538" i="120"/>
  <c r="N1538" i="120" s="1"/>
  <c r="F1996" i="120"/>
  <c r="H1639" i="120"/>
  <c r="N1639" i="120" s="1"/>
  <c r="F2123" i="120"/>
  <c r="H1766" i="120"/>
  <c r="N1766" i="120" s="1"/>
  <c r="F2101" i="120"/>
  <c r="H1744" i="120"/>
  <c r="N1744" i="120" s="1"/>
  <c r="F2248" i="120"/>
  <c r="H1891" i="120"/>
  <c r="N1891" i="120" s="1"/>
  <c r="H1870" i="120"/>
  <c r="N1870" i="120" s="1"/>
  <c r="F2227" i="120"/>
  <c r="H1721" i="120"/>
  <c r="N1721" i="120" s="1"/>
  <c r="F2078" i="120"/>
  <c r="F2036" i="120"/>
  <c r="H1679" i="120"/>
  <c r="N1679" i="120" s="1"/>
  <c r="F2029" i="120"/>
  <c r="H1672" i="120"/>
  <c r="N1672" i="120" s="1"/>
  <c r="F2085" i="120"/>
  <c r="H1728" i="120"/>
  <c r="N1728" i="120" s="1"/>
  <c r="F2086" i="120"/>
  <c r="H1729" i="120"/>
  <c r="N1729" i="120" s="1"/>
  <c r="F2131" i="120"/>
  <c r="H1774" i="120"/>
  <c r="N1774" i="120" s="1"/>
  <c r="F2126" i="120"/>
  <c r="H1769" i="120"/>
  <c r="N1769" i="120" s="1"/>
  <c r="H1624" i="120"/>
  <c r="N1624" i="120" s="1"/>
  <c r="F1981" i="120"/>
  <c r="F2090" i="120"/>
  <c r="H1733" i="120"/>
  <c r="N1733" i="120" s="1"/>
  <c r="H1857" i="120"/>
  <c r="N1857" i="120" s="1"/>
  <c r="F2214" i="120"/>
  <c r="F2060" i="120"/>
  <c r="H1703" i="120"/>
  <c r="N1703" i="120" s="1"/>
  <c r="H1632" i="120"/>
  <c r="N1632" i="120" s="1"/>
  <c r="F1989" i="120"/>
  <c r="F2171" i="120"/>
  <c r="H1814" i="120"/>
  <c r="N1814" i="120" s="1"/>
  <c r="H1840" i="120"/>
  <c r="N1840" i="120" s="1"/>
  <c r="F2197" i="120"/>
  <c r="F2005" i="120"/>
  <c r="H1648" i="120"/>
  <c r="N1648" i="120" s="1"/>
  <c r="F2193" i="120"/>
  <c r="H1836" i="120"/>
  <c r="N1836" i="120" s="1"/>
  <c r="F2008" i="120"/>
  <c r="H1651" i="120"/>
  <c r="N1651" i="120" s="1"/>
  <c r="H1598" i="120"/>
  <c r="N1598" i="120" s="1"/>
  <c r="F1955" i="120"/>
  <c r="F2247" i="120"/>
  <c r="H1890" i="120"/>
  <c r="N1890" i="120" s="1"/>
  <c r="F2212" i="120"/>
  <c r="H1855" i="120"/>
  <c r="N1855" i="120" s="1"/>
  <c r="F1795" i="120"/>
  <c r="H1438" i="120"/>
  <c r="H1633" i="120"/>
  <c r="N1633" i="120" s="1"/>
  <c r="F1990" i="120"/>
  <c r="F2054" i="120"/>
  <c r="H1697" i="120"/>
  <c r="N1697" i="120" s="1"/>
  <c r="F2047" i="120"/>
  <c r="H1690" i="120"/>
  <c r="N1690" i="120" s="1"/>
  <c r="F2249" i="120"/>
  <c r="H1892" i="120"/>
  <c r="N1892" i="120" s="1"/>
  <c r="H1571" i="120"/>
  <c r="N1571" i="120" s="1"/>
  <c r="F1928" i="120"/>
  <c r="H1761" i="120"/>
  <c r="N1761" i="120" s="1"/>
  <c r="F2118" i="120"/>
  <c r="H1594" i="120"/>
  <c r="N1594" i="120" s="1"/>
  <c r="F1951" i="120"/>
  <c r="F2243" i="120"/>
  <c r="H1886" i="120"/>
  <c r="N1886" i="120" s="1"/>
  <c r="F2079" i="120"/>
  <c r="H1722" i="120"/>
  <c r="N1722" i="120" s="1"/>
  <c r="F2026" i="120"/>
  <c r="H1669" i="120"/>
  <c r="N1669" i="120" s="1"/>
  <c r="H1572" i="120"/>
  <c r="N1572" i="120" s="1"/>
  <c r="F1929" i="120"/>
  <c r="F2104" i="120"/>
  <c r="H1747" i="120"/>
  <c r="N1747" i="120" s="1"/>
  <c r="F2001" i="120"/>
  <c r="H1644" i="120"/>
  <c r="N1644" i="120" s="1"/>
  <c r="H1641" i="120"/>
  <c r="N1641" i="120" s="1"/>
  <c r="F1998" i="120"/>
  <c r="F1930" i="120"/>
  <c r="H1573" i="120"/>
  <c r="N1573" i="120" s="1"/>
  <c r="H1844" i="120"/>
  <c r="N1844" i="120" s="1"/>
  <c r="F2201" i="120"/>
  <c r="N1081" i="120"/>
  <c r="H1775" i="120"/>
  <c r="N1775" i="120" s="1"/>
  <c r="F2132" i="120"/>
  <c r="H1735" i="120"/>
  <c r="N1735" i="120" s="1"/>
  <c r="F2092" i="120"/>
  <c r="F1934" i="120"/>
  <c r="H1577" i="120"/>
  <c r="N1577" i="120" s="1"/>
  <c r="F2166" i="120"/>
  <c r="H1809" i="120"/>
  <c r="N1809" i="120" s="1"/>
  <c r="H1859" i="120"/>
  <c r="N1859" i="120" s="1"/>
  <c r="F2216" i="120"/>
  <c r="F1968" i="120"/>
  <c r="H1611" i="120"/>
  <c r="N1611" i="120" s="1"/>
  <c r="F1939" i="120"/>
  <c r="H1582" i="120"/>
  <c r="N1582" i="120" s="1"/>
  <c r="F2055" i="120"/>
  <c r="H1698" i="120"/>
  <c r="N1698" i="120" s="1"/>
  <c r="H1865" i="120"/>
  <c r="N1865" i="120" s="1"/>
  <c r="F2222" i="120"/>
  <c r="F2211" i="120"/>
  <c r="H1854" i="120"/>
  <c r="N1854" i="120" s="1"/>
  <c r="F2545" i="120"/>
  <c r="H2545" i="120" s="1"/>
  <c r="N2545" i="120" s="1"/>
  <c r="H2188" i="120"/>
  <c r="N2188" i="120" s="1"/>
  <c r="F2116" i="120"/>
  <c r="H1759" i="120"/>
  <c r="N1759" i="120" s="1"/>
  <c r="F2117" i="120"/>
  <c r="H1760" i="120"/>
  <c r="N1760" i="120" s="1"/>
  <c r="F1953" i="120"/>
  <c r="H1596" i="120"/>
  <c r="N1596" i="120" s="1"/>
  <c r="F2221" i="120"/>
  <c r="H1864" i="120"/>
  <c r="N1864" i="120" s="1"/>
  <c r="F2031" i="120"/>
  <c r="H1674" i="120"/>
  <c r="N1674" i="120" s="1"/>
  <c r="F2038" i="120"/>
  <c r="H1681" i="120"/>
  <c r="N1681" i="120" s="1"/>
  <c r="F2206" i="120"/>
  <c r="H1849" i="120"/>
  <c r="N1849" i="120" s="1"/>
  <c r="H1785" i="120"/>
  <c r="N1785" i="120" s="1"/>
  <c r="F2142" i="120"/>
  <c r="F2019" i="120"/>
  <c r="H1662" i="120"/>
  <c r="N1662" i="120" s="1"/>
  <c r="F2010" i="120"/>
  <c r="H1653" i="120"/>
  <c r="N1653" i="120" s="1"/>
  <c r="F2080" i="120"/>
  <c r="H1723" i="120"/>
  <c r="N1723" i="120" s="1"/>
  <c r="F2061" i="120"/>
  <c r="H1704" i="120"/>
  <c r="N1704" i="120" s="1"/>
  <c r="F2056" i="120"/>
  <c r="H1699" i="120"/>
  <c r="N1699" i="120" s="1"/>
  <c r="H1649" i="120"/>
  <c r="N1649" i="120" s="1"/>
  <c r="F2006" i="120"/>
  <c r="F1956" i="120"/>
  <c r="H1599" i="120"/>
  <c r="N1599" i="120" s="1"/>
  <c r="F2049" i="120"/>
  <c r="H1692" i="120"/>
  <c r="N1692" i="120" s="1"/>
  <c r="H1813" i="120"/>
  <c r="N1813" i="120" s="1"/>
  <c r="F2170" i="120"/>
  <c r="F2208" i="120"/>
  <c r="H1851" i="120"/>
  <c r="N1851" i="120" s="1"/>
  <c r="H1589" i="120"/>
  <c r="N1589" i="120" s="1"/>
  <c r="F1946" i="120"/>
  <c r="N1438" i="120" l="1"/>
  <c r="F2359" i="120"/>
  <c r="H2002" i="120"/>
  <c r="N2002" i="120" s="1"/>
  <c r="H1975" i="120"/>
  <c r="N1975" i="120" s="1"/>
  <c r="F2332" i="120"/>
  <c r="F2318" i="120"/>
  <c r="H1961" i="120"/>
  <c r="N1961" i="120" s="1"/>
  <c r="F2295" i="120"/>
  <c r="H1938" i="120"/>
  <c r="N1938" i="120" s="1"/>
  <c r="F2530" i="120"/>
  <c r="H2530" i="120" s="1"/>
  <c r="N2530" i="120" s="1"/>
  <c r="H2173" i="120"/>
  <c r="N2173" i="120" s="1"/>
  <c r="F2466" i="120"/>
  <c r="H2109" i="120"/>
  <c r="N2109" i="120" s="1"/>
  <c r="H1958" i="120"/>
  <c r="N1958" i="120" s="1"/>
  <c r="F2315" i="120"/>
  <c r="F2420" i="120"/>
  <c r="H2063" i="120"/>
  <c r="N2063" i="120" s="1"/>
  <c r="F2275" i="120"/>
  <c r="H1918" i="120"/>
  <c r="N1918" i="120" s="1"/>
  <c r="F2578" i="120"/>
  <c r="H2578" i="120" s="1"/>
  <c r="N2578" i="120" s="1"/>
  <c r="H2221" i="120"/>
  <c r="N2221" i="120" s="1"/>
  <c r="F2291" i="120"/>
  <c r="H1934" i="120"/>
  <c r="N1934" i="120" s="1"/>
  <c r="F2461" i="120"/>
  <c r="H2104" i="120"/>
  <c r="N2104" i="120" s="1"/>
  <c r="F2600" i="120"/>
  <c r="H2600" i="120" s="1"/>
  <c r="N2600" i="120" s="1"/>
  <c r="H2243" i="120"/>
  <c r="N2243" i="120" s="1"/>
  <c r="F2606" i="120"/>
  <c r="H2606" i="120" s="1"/>
  <c r="N2606" i="120" s="1"/>
  <c r="H2249" i="120"/>
  <c r="N2249" i="120" s="1"/>
  <c r="H2078" i="120"/>
  <c r="N2078" i="120" s="1"/>
  <c r="F2435" i="120"/>
  <c r="H2163" i="120"/>
  <c r="N2163" i="120" s="1"/>
  <c r="F2520" i="120"/>
  <c r="H2520" i="120" s="1"/>
  <c r="N2520" i="120" s="1"/>
  <c r="F2421" i="120"/>
  <c r="H2064" i="120"/>
  <c r="N2064" i="120" s="1"/>
  <c r="H2111" i="120"/>
  <c r="N2111" i="120" s="1"/>
  <c r="F2468" i="120"/>
  <c r="H2044" i="120"/>
  <c r="N2044" i="120" s="1"/>
  <c r="F2401" i="120"/>
  <c r="F2398" i="120"/>
  <c r="H2041" i="120"/>
  <c r="N2041" i="120" s="1"/>
  <c r="F2445" i="120"/>
  <c r="H2088" i="120"/>
  <c r="N2088" i="120" s="1"/>
  <c r="F2319" i="120"/>
  <c r="H1962" i="120"/>
  <c r="N1962" i="120" s="1"/>
  <c r="F2307" i="120"/>
  <c r="H1950" i="120"/>
  <c r="N1950" i="120" s="1"/>
  <c r="G2509" i="120"/>
  <c r="F2487" i="120"/>
  <c r="H2130" i="120"/>
  <c r="N2130" i="120" s="1"/>
  <c r="F2390" i="120"/>
  <c r="H2033" i="120"/>
  <c r="N2033" i="120" s="1"/>
  <c r="H2050" i="120"/>
  <c r="N2050" i="120" s="1"/>
  <c r="F2407" i="120"/>
  <c r="F2599" i="120"/>
  <c r="H2599" i="120" s="1"/>
  <c r="N2599" i="120" s="1"/>
  <c r="H2242" i="120"/>
  <c r="N2242" i="120" s="1"/>
  <c r="F2515" i="120"/>
  <c r="H2515" i="120" s="1"/>
  <c r="N2515" i="120" s="1"/>
  <c r="H2158" i="120"/>
  <c r="N2158" i="120" s="1"/>
  <c r="F2327" i="120"/>
  <c r="H1970" i="120"/>
  <c r="N1970" i="120" s="1"/>
  <c r="F2472" i="120"/>
  <c r="H2115" i="120"/>
  <c r="N2115" i="120" s="1"/>
  <c r="F2278" i="120"/>
  <c r="H1921" i="120"/>
  <c r="N1921" i="120" s="1"/>
  <c r="F2408" i="120"/>
  <c r="H2051" i="120"/>
  <c r="N2051" i="120" s="1"/>
  <c r="F2284" i="120"/>
  <c r="H1927" i="120"/>
  <c r="N1927" i="120" s="1"/>
  <c r="H2025" i="120"/>
  <c r="N2025" i="120" s="1"/>
  <c r="F2382" i="120"/>
  <c r="F2560" i="120"/>
  <c r="H2560" i="120" s="1"/>
  <c r="N2560" i="120" s="1"/>
  <c r="H2203" i="120"/>
  <c r="N2203" i="120" s="1"/>
  <c r="F2456" i="120"/>
  <c r="H2099" i="120"/>
  <c r="N2099" i="120" s="1"/>
  <c r="F2276" i="120"/>
  <c r="H1919" i="120"/>
  <c r="N1919" i="120" s="1"/>
  <c r="F2301" i="120"/>
  <c r="H1944" i="120"/>
  <c r="N1944" i="120" s="1"/>
  <c r="F2371" i="120"/>
  <c r="H2014" i="120"/>
  <c r="N2014" i="120" s="1"/>
  <c r="F2586" i="120"/>
  <c r="H2586" i="120" s="1"/>
  <c r="N2586" i="120" s="1"/>
  <c r="H2229" i="120"/>
  <c r="N2229" i="120" s="1"/>
  <c r="F2320" i="120"/>
  <c r="H1963" i="120"/>
  <c r="N1963" i="120" s="1"/>
  <c r="F2419" i="120"/>
  <c r="H2062" i="120"/>
  <c r="N2062" i="120" s="1"/>
  <c r="F2303" i="120"/>
  <c r="H1946" i="120"/>
  <c r="N1946" i="120" s="1"/>
  <c r="F2449" i="120"/>
  <c r="H2092" i="120"/>
  <c r="N2092" i="120" s="1"/>
  <c r="H1929" i="120"/>
  <c r="N1929" i="120" s="1"/>
  <c r="F2286" i="120"/>
  <c r="F2308" i="120"/>
  <c r="H1951" i="120"/>
  <c r="N1951" i="120" s="1"/>
  <c r="F2152" i="120"/>
  <c r="H1795" i="120"/>
  <c r="H2008" i="120"/>
  <c r="N2008" i="120" s="1"/>
  <c r="F2365" i="120"/>
  <c r="F2528" i="120"/>
  <c r="H2528" i="120" s="1"/>
  <c r="N2528" i="120" s="1"/>
  <c r="H2171" i="120"/>
  <c r="N2171" i="120" s="1"/>
  <c r="F2447" i="120"/>
  <c r="H2090" i="120"/>
  <c r="N2090" i="120" s="1"/>
  <c r="F2443" i="120"/>
  <c r="H2086" i="120"/>
  <c r="N2086" i="120" s="1"/>
  <c r="F2480" i="120"/>
  <c r="H2123" i="120"/>
  <c r="N2123" i="120" s="1"/>
  <c r="F2603" i="120"/>
  <c r="H2603" i="120" s="1"/>
  <c r="N2603" i="120" s="1"/>
  <c r="H2246" i="120"/>
  <c r="N2246" i="120" s="1"/>
  <c r="H2179" i="120"/>
  <c r="N2179" i="120" s="1"/>
  <c r="F2536" i="120"/>
  <c r="H2536" i="120" s="1"/>
  <c r="N2536" i="120" s="1"/>
  <c r="F2476" i="120"/>
  <c r="H2119" i="120"/>
  <c r="N2119" i="120" s="1"/>
  <c r="H2178" i="120"/>
  <c r="N2178" i="120" s="1"/>
  <c r="F2535" i="120"/>
  <c r="H2535" i="120" s="1"/>
  <c r="N2535" i="120" s="1"/>
  <c r="F2389" i="120"/>
  <c r="H2032" i="120"/>
  <c r="N2032" i="120" s="1"/>
  <c r="F2309" i="120"/>
  <c r="H1952" i="120"/>
  <c r="N1952" i="120" s="1"/>
  <c r="F2410" i="120"/>
  <c r="H2053" i="120"/>
  <c r="N2053" i="120" s="1"/>
  <c r="F2591" i="120"/>
  <c r="H2591" i="120" s="1"/>
  <c r="N2591" i="120" s="1"/>
  <c r="H2234" i="120"/>
  <c r="N2234" i="120" s="1"/>
  <c r="F2299" i="120"/>
  <c r="H1942" i="120"/>
  <c r="N1942" i="120" s="1"/>
  <c r="F2542" i="120"/>
  <c r="H2542" i="120" s="1"/>
  <c r="N2542" i="120" s="1"/>
  <c r="H2185" i="120"/>
  <c r="N2185" i="120" s="1"/>
  <c r="F2399" i="120"/>
  <c r="H2042" i="120"/>
  <c r="N2042" i="120" s="1"/>
  <c r="H2035" i="120"/>
  <c r="N2035" i="120" s="1"/>
  <c r="F2392" i="120"/>
  <c r="F2432" i="120"/>
  <c r="H2075" i="120"/>
  <c r="N2075" i="120" s="1"/>
  <c r="F2342" i="120"/>
  <c r="H1985" i="120"/>
  <c r="N1985" i="120" s="1"/>
  <c r="F2451" i="120"/>
  <c r="H2094" i="120"/>
  <c r="N2094" i="120" s="1"/>
  <c r="F2592" i="120"/>
  <c r="H2592" i="120" s="1"/>
  <c r="N2592" i="120" s="1"/>
  <c r="H2235" i="120"/>
  <c r="N2235" i="120" s="1"/>
  <c r="F2357" i="120"/>
  <c r="H2000" i="120"/>
  <c r="N2000" i="120" s="1"/>
  <c r="F2540" i="120"/>
  <c r="H2540" i="120" s="1"/>
  <c r="N2540" i="120" s="1"/>
  <c r="H2183" i="120"/>
  <c r="N2183" i="120" s="1"/>
  <c r="F2281" i="120"/>
  <c r="H1924" i="120"/>
  <c r="N1924" i="120" s="1"/>
  <c r="F2521" i="120"/>
  <c r="H2521" i="120" s="1"/>
  <c r="N2521" i="120" s="1"/>
  <c r="H2164" i="120"/>
  <c r="N2164" i="120" s="1"/>
  <c r="F2428" i="120"/>
  <c r="H2071" i="120"/>
  <c r="N2071" i="120" s="1"/>
  <c r="F2464" i="120"/>
  <c r="H2107" i="120"/>
  <c r="N2107" i="120" s="1"/>
  <c r="F2339" i="120"/>
  <c r="H1982" i="120"/>
  <c r="N1982" i="120" s="1"/>
  <c r="F2595" i="120"/>
  <c r="H2595" i="120" s="1"/>
  <c r="N2595" i="120" s="1"/>
  <c r="H2238" i="120"/>
  <c r="N2238" i="120" s="1"/>
  <c r="H2100" i="120"/>
  <c r="N2100" i="120" s="1"/>
  <c r="F2457" i="120"/>
  <c r="F2345" i="120"/>
  <c r="H1988" i="120"/>
  <c r="N1988" i="120" s="1"/>
  <c r="F2479" i="120"/>
  <c r="H2122" i="120"/>
  <c r="N2122" i="120" s="1"/>
  <c r="F2373" i="120"/>
  <c r="H2016" i="120"/>
  <c r="N2016" i="120" s="1"/>
  <c r="F2485" i="120"/>
  <c r="H2128" i="120"/>
  <c r="N2128" i="120" s="1"/>
  <c r="F2322" i="120"/>
  <c r="H1965" i="120"/>
  <c r="N1965" i="120" s="1"/>
  <c r="H2048" i="120"/>
  <c r="N2048" i="120" s="1"/>
  <c r="F2405" i="120"/>
  <c r="H2154" i="120"/>
  <c r="N2154" i="120" s="1"/>
  <c r="F2511" i="120"/>
  <c r="H2511" i="120" s="1"/>
  <c r="N2511" i="120" s="1"/>
  <c r="F2279" i="120"/>
  <c r="H1922" i="120"/>
  <c r="N1922" i="120" s="1"/>
  <c r="F2431" i="120"/>
  <c r="H2074" i="120"/>
  <c r="N2074" i="120" s="1"/>
  <c r="F2289" i="120"/>
  <c r="H1932" i="120"/>
  <c r="N1932" i="120" s="1"/>
  <c r="F2499" i="120"/>
  <c r="H2142" i="120"/>
  <c r="N2142" i="120" s="1"/>
  <c r="H2201" i="120"/>
  <c r="N2201" i="120" s="1"/>
  <c r="F2558" i="120"/>
  <c r="H2558" i="120" s="1"/>
  <c r="N2558" i="120" s="1"/>
  <c r="H2244" i="120"/>
  <c r="N2244" i="120" s="1"/>
  <c r="F2601" i="120"/>
  <c r="H2601" i="120" s="1"/>
  <c r="N2601" i="120" s="1"/>
  <c r="F2585" i="120"/>
  <c r="H2585" i="120" s="1"/>
  <c r="N2585" i="120" s="1"/>
  <c r="H2228" i="120"/>
  <c r="N2228" i="120" s="1"/>
  <c r="F2453" i="120"/>
  <c r="H2096" i="120"/>
  <c r="N2096" i="120" s="1"/>
  <c r="F2455" i="120"/>
  <c r="H2098" i="120"/>
  <c r="N2098" i="120" s="1"/>
  <c r="F2429" i="120"/>
  <c r="H2072" i="120"/>
  <c r="N2072" i="120" s="1"/>
  <c r="F2406" i="120"/>
  <c r="H2049" i="120"/>
  <c r="N2049" i="120" s="1"/>
  <c r="F2563" i="120"/>
  <c r="H2563" i="120" s="1"/>
  <c r="N2563" i="120" s="1"/>
  <c r="H2206" i="120"/>
  <c r="N2206" i="120" s="1"/>
  <c r="H1968" i="120"/>
  <c r="N1968" i="120" s="1"/>
  <c r="F2325" i="120"/>
  <c r="F2346" i="120"/>
  <c r="H1989" i="120"/>
  <c r="N1989" i="120" s="1"/>
  <c r="F2584" i="120"/>
  <c r="H2584" i="120" s="1"/>
  <c r="N2584" i="120" s="1"/>
  <c r="H2227" i="120"/>
  <c r="N2227" i="120" s="1"/>
  <c r="H2069" i="120"/>
  <c r="N2069" i="120" s="1"/>
  <c r="F2426" i="120"/>
  <c r="F2477" i="120"/>
  <c r="H2120" i="120"/>
  <c r="N2120" i="120" s="1"/>
  <c r="F2396" i="120"/>
  <c r="H2039" i="120"/>
  <c r="N2039" i="120" s="1"/>
  <c r="F2380" i="120"/>
  <c r="H2023" i="120"/>
  <c r="N2023" i="120" s="1"/>
  <c r="H2159" i="120"/>
  <c r="N2159" i="120" s="1"/>
  <c r="F2516" i="120"/>
  <c r="H2516" i="120" s="1"/>
  <c r="N2516" i="120" s="1"/>
  <c r="F2562" i="120"/>
  <c r="H2562" i="120" s="1"/>
  <c r="N2562" i="120" s="1"/>
  <c r="H2205" i="120"/>
  <c r="N2205" i="120" s="1"/>
  <c r="F2430" i="120"/>
  <c r="H2073" i="120"/>
  <c r="N2073" i="120" s="1"/>
  <c r="F2330" i="120"/>
  <c r="H1973" i="120"/>
  <c r="N1973" i="120" s="1"/>
  <c r="H2223" i="120"/>
  <c r="N2223" i="120" s="1"/>
  <c r="F2580" i="120"/>
  <c r="H2580" i="120" s="1"/>
  <c r="N2580" i="120" s="1"/>
  <c r="H2007" i="120"/>
  <c r="N2007" i="120" s="1"/>
  <c r="F2364" i="120"/>
  <c r="F2414" i="120"/>
  <c r="H2057" i="120"/>
  <c r="N2057" i="120" s="1"/>
  <c r="H1937" i="120"/>
  <c r="N1937" i="120" s="1"/>
  <c r="F2294" i="120"/>
  <c r="H2143" i="120"/>
  <c r="N2143" i="120" s="1"/>
  <c r="F2500" i="120"/>
  <c r="F2471" i="120"/>
  <c r="H2114" i="120"/>
  <c r="N2114" i="120" s="1"/>
  <c r="F2290" i="120"/>
  <c r="H1933" i="120"/>
  <c r="N1933" i="120" s="1"/>
  <c r="F2549" i="120"/>
  <c r="H2549" i="120" s="1"/>
  <c r="N2549" i="120" s="1"/>
  <c r="H2192" i="120"/>
  <c r="N2192" i="120" s="1"/>
  <c r="H2138" i="120"/>
  <c r="N2138" i="120" s="1"/>
  <c r="F2495" i="120"/>
  <c r="F2368" i="120"/>
  <c r="H2011" i="120"/>
  <c r="N2011" i="120" s="1"/>
  <c r="F2280" i="120"/>
  <c r="H1923" i="120"/>
  <c r="N1923" i="120" s="1"/>
  <c r="F2576" i="120"/>
  <c r="H2576" i="120" s="1"/>
  <c r="N2576" i="120" s="1"/>
  <c r="H2219" i="120"/>
  <c r="N2219" i="120" s="1"/>
  <c r="H2065" i="120"/>
  <c r="N2065" i="120" s="1"/>
  <c r="F2422" i="120"/>
  <c r="H2006" i="120"/>
  <c r="N2006" i="120" s="1"/>
  <c r="F2363" i="120"/>
  <c r="F2579" i="120"/>
  <c r="H2579" i="120" s="1"/>
  <c r="N2579" i="120" s="1"/>
  <c r="H2222" i="120"/>
  <c r="N2222" i="120" s="1"/>
  <c r="F2573" i="120"/>
  <c r="H2573" i="120" s="1"/>
  <c r="N2573" i="120" s="1"/>
  <c r="H2216" i="120"/>
  <c r="N2216" i="120" s="1"/>
  <c r="F2489" i="120"/>
  <c r="H2132" i="120"/>
  <c r="N2132" i="120" s="1"/>
  <c r="H1998" i="120"/>
  <c r="N1998" i="120" s="1"/>
  <c r="F2355" i="120"/>
  <c r="F2475" i="120"/>
  <c r="H2118" i="120"/>
  <c r="N2118" i="120" s="1"/>
  <c r="F2569" i="120"/>
  <c r="H2569" i="120" s="1"/>
  <c r="N2569" i="120" s="1"/>
  <c r="H2212" i="120"/>
  <c r="N2212" i="120" s="1"/>
  <c r="F2550" i="120"/>
  <c r="H2550" i="120" s="1"/>
  <c r="N2550" i="120" s="1"/>
  <c r="H2193" i="120"/>
  <c r="N2193" i="120" s="1"/>
  <c r="F2442" i="120"/>
  <c r="H2085" i="120"/>
  <c r="N2085" i="120" s="1"/>
  <c r="H1996" i="120"/>
  <c r="N1996" i="120" s="1"/>
  <c r="F2353" i="120"/>
  <c r="F2439" i="120"/>
  <c r="H2082" i="120"/>
  <c r="N2082" i="120" s="1"/>
  <c r="H2269" i="120"/>
  <c r="N2269" i="120" s="1"/>
  <c r="F2626" i="120"/>
  <c r="H2626" i="120" s="1"/>
  <c r="N2626" i="120" s="1"/>
  <c r="F2360" i="120"/>
  <c r="H2003" i="120"/>
  <c r="N2003" i="120" s="1"/>
  <c r="F2484" i="120"/>
  <c r="H2127" i="120"/>
  <c r="N2127" i="120" s="1"/>
  <c r="F2470" i="120"/>
  <c r="H2113" i="120"/>
  <c r="N2113" i="120" s="1"/>
  <c r="F2498" i="120"/>
  <c r="H2141" i="120"/>
  <c r="N2141" i="120" s="1"/>
  <c r="F2379" i="120"/>
  <c r="H2022" i="120"/>
  <c r="N2022" i="120" s="1"/>
  <c r="H2174" i="120"/>
  <c r="N2174" i="120" s="1"/>
  <c r="F2531" i="120"/>
  <c r="H2531" i="120" s="1"/>
  <c r="N2531" i="120" s="1"/>
  <c r="F2454" i="120"/>
  <c r="H2097" i="120"/>
  <c r="N2097" i="120" s="1"/>
  <c r="F2333" i="120"/>
  <c r="H1976" i="120"/>
  <c r="N1976" i="120" s="1"/>
  <c r="F2624" i="120"/>
  <c r="H2624" i="120" s="1"/>
  <c r="N2624" i="120" s="1"/>
  <c r="H2267" i="120"/>
  <c r="N2267" i="120" s="1"/>
  <c r="F2302" i="120"/>
  <c r="H1945" i="120"/>
  <c r="N1945" i="120" s="1"/>
  <c r="H2077" i="120"/>
  <c r="N2077" i="120" s="1"/>
  <c r="F2434" i="120"/>
  <c r="F2537" i="120"/>
  <c r="H2537" i="120" s="1"/>
  <c r="N2537" i="120" s="1"/>
  <c r="H2180" i="120"/>
  <c r="N2180" i="120" s="1"/>
  <c r="F2341" i="120"/>
  <c r="H1984" i="120"/>
  <c r="N1984" i="120" s="1"/>
  <c r="H1936" i="120"/>
  <c r="N1936" i="120" s="1"/>
  <c r="F2293" i="120"/>
  <c r="F2298" i="120"/>
  <c r="H1941" i="120"/>
  <c r="N1941" i="120" s="1"/>
  <c r="F2283" i="120"/>
  <c r="H1926" i="120"/>
  <c r="N1926" i="120" s="1"/>
  <c r="F2378" i="120"/>
  <c r="H2021" i="120"/>
  <c r="N2021" i="120" s="1"/>
  <c r="F2250" i="120"/>
  <c r="H1893" i="120"/>
  <c r="N1893" i="120" s="1"/>
  <c r="H1915" i="120"/>
  <c r="N1915" i="120" s="1"/>
  <c r="F2272" i="120"/>
  <c r="F2255" i="120"/>
  <c r="H1898" i="120"/>
  <c r="N1898" i="120" s="1"/>
  <c r="F2273" i="120"/>
  <c r="H1916" i="120"/>
  <c r="N1916" i="120" s="1"/>
  <c r="H2024" i="120"/>
  <c r="N2024" i="120" s="1"/>
  <c r="F2381" i="120"/>
  <c r="H2066" i="120"/>
  <c r="N2066" i="120" s="1"/>
  <c r="F2423" i="120"/>
  <c r="F2317" i="120"/>
  <c r="H1960" i="120"/>
  <c r="N1960" i="120" s="1"/>
  <c r="F2393" i="120"/>
  <c r="H2036" i="120"/>
  <c r="N2036" i="120" s="1"/>
  <c r="F2588" i="120"/>
  <c r="H2588" i="120" s="1"/>
  <c r="N2588" i="120" s="1"/>
  <c r="H2231" i="120"/>
  <c r="N2231" i="120" s="1"/>
  <c r="F2370" i="120"/>
  <c r="H2013" i="120"/>
  <c r="N2013" i="120" s="1"/>
  <c r="H2165" i="120"/>
  <c r="N2165" i="120" s="1"/>
  <c r="F2522" i="120"/>
  <c r="H2522" i="120" s="1"/>
  <c r="N2522" i="120" s="1"/>
  <c r="H1931" i="120"/>
  <c r="N1931" i="120" s="1"/>
  <c r="F2288" i="120"/>
  <c r="H1948" i="120"/>
  <c r="N1948" i="120" s="1"/>
  <c r="F2305" i="120"/>
  <c r="F2361" i="120"/>
  <c r="H2004" i="120"/>
  <c r="N2004" i="120" s="1"/>
  <c r="F2418" i="120"/>
  <c r="H2061" i="120"/>
  <c r="N2061" i="120" s="1"/>
  <c r="F2296" i="120"/>
  <c r="H1939" i="120"/>
  <c r="N1939" i="120" s="1"/>
  <c r="H1956" i="120"/>
  <c r="N1956" i="120" s="1"/>
  <c r="F2313" i="120"/>
  <c r="F2437" i="120"/>
  <c r="H2080" i="120"/>
  <c r="N2080" i="120" s="1"/>
  <c r="H1953" i="120"/>
  <c r="N1953" i="120" s="1"/>
  <c r="F2310" i="120"/>
  <c r="F2568" i="120"/>
  <c r="H2568" i="120" s="1"/>
  <c r="N2568" i="120" s="1"/>
  <c r="H2211" i="120"/>
  <c r="N2211" i="120" s="1"/>
  <c r="F2287" i="120"/>
  <c r="H1930" i="120"/>
  <c r="N1930" i="120" s="1"/>
  <c r="F2404" i="120"/>
  <c r="H2047" i="120"/>
  <c r="N2047" i="120" s="1"/>
  <c r="F2338" i="120"/>
  <c r="H1981" i="120"/>
  <c r="N1981" i="120" s="1"/>
  <c r="F2565" i="120"/>
  <c r="H2565" i="120" s="1"/>
  <c r="N2565" i="120" s="1"/>
  <c r="H2208" i="120"/>
  <c r="N2208" i="120" s="1"/>
  <c r="H2010" i="120"/>
  <c r="N2010" i="120" s="1"/>
  <c r="F2367" i="120"/>
  <c r="H2038" i="120"/>
  <c r="N2038" i="120" s="1"/>
  <c r="F2395" i="120"/>
  <c r="F2474" i="120"/>
  <c r="H2117" i="120"/>
  <c r="N2117" i="120" s="1"/>
  <c r="H2026" i="120"/>
  <c r="N2026" i="120" s="1"/>
  <c r="F2383" i="120"/>
  <c r="H2054" i="120"/>
  <c r="N2054" i="120" s="1"/>
  <c r="F2411" i="120"/>
  <c r="F2469" i="120"/>
  <c r="H2112" i="120"/>
  <c r="N2112" i="120" s="1"/>
  <c r="H2093" i="120"/>
  <c r="N2093" i="120" s="1"/>
  <c r="F2450" i="120"/>
  <c r="H2020" i="120"/>
  <c r="N2020" i="120" s="1"/>
  <c r="F2377" i="120"/>
  <c r="F2582" i="120"/>
  <c r="H2582" i="120" s="1"/>
  <c r="N2582" i="120" s="1"/>
  <c r="H2225" i="120"/>
  <c r="N2225" i="120" s="1"/>
  <c r="H2155" i="120"/>
  <c r="N2155" i="120" s="1"/>
  <c r="F2512" i="120"/>
  <c r="H2512" i="120" s="1"/>
  <c r="N2512" i="120" s="1"/>
  <c r="F2460" i="120"/>
  <c r="H2103" i="120"/>
  <c r="N2103" i="120" s="1"/>
  <c r="F2375" i="120"/>
  <c r="H2018" i="120"/>
  <c r="N2018" i="120" s="1"/>
  <c r="F2556" i="120"/>
  <c r="H2556" i="120" s="1"/>
  <c r="N2556" i="120" s="1"/>
  <c r="H2199" i="120"/>
  <c r="N2199" i="120" s="1"/>
  <c r="F2316" i="120"/>
  <c r="H1959" i="120"/>
  <c r="N1959" i="120" s="1"/>
  <c r="F2366" i="120"/>
  <c r="H2009" i="120"/>
  <c r="N2009" i="120" s="1"/>
  <c r="F2501" i="120"/>
  <c r="H2144" i="120"/>
  <c r="N2144" i="120" s="1"/>
  <c r="H2125" i="120"/>
  <c r="N2125" i="120" s="1"/>
  <c r="F2482" i="120"/>
  <c r="F2478" i="120"/>
  <c r="H2121" i="120"/>
  <c r="N2121" i="120" s="1"/>
  <c r="H1979" i="120"/>
  <c r="N1979" i="120" s="1"/>
  <c r="F2336" i="120"/>
  <c r="F2441" i="120"/>
  <c r="H2084" i="120"/>
  <c r="N2084" i="120" s="1"/>
  <c r="F2462" i="120"/>
  <c r="H2105" i="120"/>
  <c r="N2105" i="120" s="1"/>
  <c r="F2440" i="120"/>
  <c r="H2083" i="120"/>
  <c r="N2083" i="120" s="1"/>
  <c r="H2232" i="120"/>
  <c r="N2232" i="120" s="1"/>
  <c r="F2589" i="120"/>
  <c r="H2589" i="120" s="1"/>
  <c r="N2589" i="120" s="1"/>
  <c r="F2328" i="120"/>
  <c r="H1971" i="120"/>
  <c r="N1971" i="120" s="1"/>
  <c r="F2433" i="120"/>
  <c r="H2076" i="120"/>
  <c r="N2076" i="120" s="1"/>
  <c r="F2551" i="120"/>
  <c r="H2551" i="120" s="1"/>
  <c r="N2551" i="120" s="1"/>
  <c r="H2194" i="120"/>
  <c r="N2194" i="120" s="1"/>
  <c r="H1999" i="120"/>
  <c r="N1999" i="120" s="1"/>
  <c r="F2356" i="120"/>
  <c r="F2352" i="120"/>
  <c r="H1995" i="120"/>
  <c r="N1995" i="120" s="1"/>
  <c r="F2555" i="120"/>
  <c r="H2555" i="120" s="1"/>
  <c r="N2555" i="120" s="1"/>
  <c r="H2198" i="120"/>
  <c r="N2198" i="120" s="1"/>
  <c r="H2106" i="120"/>
  <c r="N2106" i="120" s="1"/>
  <c r="F2463" i="120"/>
  <c r="F2486" i="120"/>
  <c r="H2129" i="120"/>
  <c r="N2129" i="120" s="1"/>
  <c r="F2400" i="120"/>
  <c r="H2043" i="120"/>
  <c r="N2043" i="120" s="1"/>
  <c r="H1947" i="120"/>
  <c r="N1947" i="120" s="1"/>
  <c r="F2304" i="120"/>
  <c r="F2311" i="120"/>
  <c r="H1954" i="120"/>
  <c r="N1954" i="120" s="1"/>
  <c r="F2384" i="120"/>
  <c r="H2027" i="120"/>
  <c r="N2027" i="120" s="1"/>
  <c r="F2564" i="120"/>
  <c r="H2564" i="120" s="1"/>
  <c r="N2564" i="120" s="1"/>
  <c r="H2207" i="120"/>
  <c r="N2207" i="120" s="1"/>
  <c r="F2374" i="120"/>
  <c r="H2017" i="120"/>
  <c r="N2017" i="120" s="1"/>
  <c r="F2372" i="120"/>
  <c r="H2015" i="120"/>
  <c r="N2015" i="120" s="1"/>
  <c r="F2448" i="120"/>
  <c r="H2091" i="120"/>
  <c r="N2091" i="120" s="1"/>
  <c r="F2598" i="120"/>
  <c r="H2598" i="120" s="1"/>
  <c r="N2598" i="120" s="1"/>
  <c r="H2241" i="120"/>
  <c r="N2241" i="120" s="1"/>
  <c r="F2403" i="120"/>
  <c r="H2046" i="120"/>
  <c r="N2046" i="120" s="1"/>
  <c r="F2546" i="120"/>
  <c r="H2546" i="120" s="1"/>
  <c r="N2546" i="120" s="1"/>
  <c r="H2189" i="120"/>
  <c r="N2189" i="120" s="1"/>
  <c r="F2337" i="120"/>
  <c r="H1980" i="120"/>
  <c r="N1980" i="120" s="1"/>
  <c r="H2012" i="120"/>
  <c r="N2012" i="120" s="1"/>
  <c r="F2369" i="120"/>
  <c r="F2458" i="120"/>
  <c r="H2101" i="120"/>
  <c r="N2101" i="120" s="1"/>
  <c r="H2256" i="120"/>
  <c r="N2256" i="120" s="1"/>
  <c r="F2613" i="120"/>
  <c r="H2613" i="120" s="1"/>
  <c r="N2613" i="120" s="1"/>
  <c r="F2335" i="120"/>
  <c r="H1978" i="120"/>
  <c r="N1978" i="120" s="1"/>
  <c r="H2034" i="120"/>
  <c r="N2034" i="120" s="1"/>
  <c r="F2391" i="120"/>
  <c r="H1966" i="120"/>
  <c r="N1966" i="120" s="1"/>
  <c r="F2323" i="120"/>
  <c r="H1896" i="120"/>
  <c r="N1896" i="120" s="1"/>
  <c r="F2253" i="120"/>
  <c r="F2329" i="120"/>
  <c r="H1972" i="120"/>
  <c r="N1972" i="120" s="1"/>
  <c r="F2527" i="120"/>
  <c r="H2527" i="120" s="1"/>
  <c r="N2527" i="120" s="1"/>
  <c r="H2170" i="120"/>
  <c r="N2170" i="120" s="1"/>
  <c r="F2285" i="120"/>
  <c r="H1928" i="120"/>
  <c r="N1928" i="120" s="1"/>
  <c r="F2347" i="120"/>
  <c r="H1990" i="120"/>
  <c r="N1990" i="120" s="1"/>
  <c r="F2604" i="120"/>
  <c r="H2604" i="120" s="1"/>
  <c r="N2604" i="120" s="1"/>
  <c r="H2247" i="120"/>
  <c r="N2247" i="120" s="1"/>
  <c r="F2362" i="120"/>
  <c r="H2005" i="120"/>
  <c r="N2005" i="120" s="1"/>
  <c r="F2417" i="120"/>
  <c r="H2060" i="120"/>
  <c r="N2060" i="120" s="1"/>
  <c r="F2483" i="120"/>
  <c r="H2126" i="120"/>
  <c r="N2126" i="120" s="1"/>
  <c r="F2386" i="120"/>
  <c r="H2029" i="120"/>
  <c r="N2029" i="120" s="1"/>
  <c r="H2248" i="120"/>
  <c r="N2248" i="120" s="1"/>
  <c r="F2605" i="120"/>
  <c r="H2605" i="120" s="1"/>
  <c r="N2605" i="120" s="1"/>
  <c r="H1895" i="120"/>
  <c r="N1895" i="120" s="1"/>
  <c r="F2252" i="120"/>
  <c r="F2306" i="120"/>
  <c r="H1949" i="120"/>
  <c r="N1949" i="120" s="1"/>
  <c r="F2602" i="120"/>
  <c r="H2602" i="120" s="1"/>
  <c r="N2602" i="120" s="1"/>
  <c r="H2245" i="120"/>
  <c r="N2245" i="120" s="1"/>
  <c r="F2625" i="120"/>
  <c r="H2625" i="120" s="1"/>
  <c r="N2625" i="120" s="1"/>
  <c r="H2268" i="120"/>
  <c r="N2268" i="120" s="1"/>
  <c r="F2575" i="120"/>
  <c r="H2575" i="120" s="1"/>
  <c r="N2575" i="120" s="1"/>
  <c r="H2218" i="120"/>
  <c r="N2218" i="120" s="1"/>
  <c r="H2110" i="120"/>
  <c r="N2110" i="120" s="1"/>
  <c r="F2467" i="120"/>
  <c r="F2525" i="120"/>
  <c r="H2525" i="120" s="1"/>
  <c r="N2525" i="120" s="1"/>
  <c r="H2168" i="120"/>
  <c r="N2168" i="120" s="1"/>
  <c r="F2300" i="120"/>
  <c r="H1943" i="120"/>
  <c r="N1943" i="120" s="1"/>
  <c r="F2427" i="120"/>
  <c r="H2070" i="120"/>
  <c r="N2070" i="120" s="1"/>
  <c r="F2510" i="120"/>
  <c r="H2510" i="120" s="1"/>
  <c r="N2510" i="120" s="1"/>
  <c r="H2153" i="120"/>
  <c r="N2153" i="120" s="1"/>
  <c r="F2314" i="120"/>
  <c r="H1957" i="120"/>
  <c r="N1957" i="120" s="1"/>
  <c r="F2351" i="120"/>
  <c r="H1994" i="120"/>
  <c r="N1994" i="120" s="1"/>
  <c r="F2321" i="120"/>
  <c r="H1964" i="120"/>
  <c r="N1964" i="120" s="1"/>
  <c r="F2444" i="120"/>
  <c r="H2087" i="120"/>
  <c r="N2087" i="120" s="1"/>
  <c r="F2274" i="120"/>
  <c r="H1917" i="120"/>
  <c r="N1917" i="120" s="1"/>
  <c r="H1974" i="120"/>
  <c r="N1974" i="120" s="1"/>
  <c r="F2331" i="120"/>
  <c r="F2567" i="120"/>
  <c r="H2567" i="120" s="1"/>
  <c r="N2567" i="120" s="1"/>
  <c r="H2210" i="120"/>
  <c r="N2210" i="120" s="1"/>
  <c r="F2251" i="120"/>
  <c r="H1894" i="120"/>
  <c r="N1894" i="120" s="1"/>
  <c r="F2488" i="120"/>
  <c r="H2131" i="120"/>
  <c r="N2131" i="120" s="1"/>
  <c r="H2052" i="120"/>
  <c r="N2052" i="120" s="1"/>
  <c r="F2409" i="120"/>
  <c r="F2350" i="120"/>
  <c r="H1993" i="120"/>
  <c r="N1993" i="120" s="1"/>
  <c r="F2397" i="120"/>
  <c r="H2040" i="120"/>
  <c r="N2040" i="120" s="1"/>
  <c r="F2387" i="120"/>
  <c r="H2030" i="120"/>
  <c r="N2030" i="120" s="1"/>
  <c r="F2354" i="120"/>
  <c r="H1997" i="120"/>
  <c r="N1997" i="120" s="1"/>
  <c r="F2532" i="120"/>
  <c r="H2532" i="120" s="1"/>
  <c r="N2532" i="120" s="1"/>
  <c r="H2175" i="120"/>
  <c r="N2175" i="120" s="1"/>
  <c r="F2394" i="120"/>
  <c r="H2037" i="120"/>
  <c r="N2037" i="120" s="1"/>
  <c r="F2413" i="120"/>
  <c r="H2056" i="120"/>
  <c r="N2056" i="120" s="1"/>
  <c r="F2376" i="120"/>
  <c r="H2019" i="120"/>
  <c r="N2019" i="120" s="1"/>
  <c r="F2388" i="120"/>
  <c r="H2031" i="120"/>
  <c r="N2031" i="120" s="1"/>
  <c r="F2473" i="120"/>
  <c r="H2116" i="120"/>
  <c r="N2116" i="120" s="1"/>
  <c r="F2412" i="120"/>
  <c r="H2055" i="120"/>
  <c r="N2055" i="120" s="1"/>
  <c r="F2523" i="120"/>
  <c r="H2523" i="120" s="1"/>
  <c r="N2523" i="120" s="1"/>
  <c r="H2166" i="120"/>
  <c r="N2166" i="120" s="1"/>
  <c r="F2358" i="120"/>
  <c r="H2001" i="120"/>
  <c r="N2001" i="120" s="1"/>
  <c r="F2436" i="120"/>
  <c r="H2079" i="120"/>
  <c r="N2079" i="120" s="1"/>
  <c r="F2312" i="120"/>
  <c r="H1955" i="120"/>
  <c r="N1955" i="120" s="1"/>
  <c r="F2554" i="120"/>
  <c r="H2554" i="120" s="1"/>
  <c r="N2554" i="120" s="1"/>
  <c r="H2197" i="120"/>
  <c r="N2197" i="120" s="1"/>
  <c r="F2571" i="120"/>
  <c r="H2571" i="120" s="1"/>
  <c r="N2571" i="120" s="1"/>
  <c r="H2214" i="120"/>
  <c r="N2214" i="120" s="1"/>
  <c r="H1935" i="120"/>
  <c r="N1935" i="120" s="1"/>
  <c r="F2292" i="120"/>
  <c r="H1925" i="120"/>
  <c r="N1925" i="120" s="1"/>
  <c r="F2282" i="120"/>
  <c r="F2459" i="120"/>
  <c r="H2102" i="120"/>
  <c r="N2102" i="120" s="1"/>
  <c r="F1069" i="120"/>
  <c r="H712" i="120"/>
  <c r="N712" i="120" s="1"/>
  <c r="F2514" i="120"/>
  <c r="H2514" i="120" s="1"/>
  <c r="N2514" i="120" s="1"/>
  <c r="H2157" i="120"/>
  <c r="N2157" i="120" s="1"/>
  <c r="F2547" i="120"/>
  <c r="H2547" i="120" s="1"/>
  <c r="N2547" i="120" s="1"/>
  <c r="H2190" i="120"/>
  <c r="N2190" i="120" s="1"/>
  <c r="F2561" i="120"/>
  <c r="H2561" i="120" s="1"/>
  <c r="N2561" i="120" s="1"/>
  <c r="H2204" i="120"/>
  <c r="N2204" i="120" s="1"/>
  <c r="F2566" i="120"/>
  <c r="H2566" i="120" s="1"/>
  <c r="N2566" i="120" s="1"/>
  <c r="H2209" i="120"/>
  <c r="N2209" i="120" s="1"/>
  <c r="H2081" i="120"/>
  <c r="N2081" i="120" s="1"/>
  <c r="F2438" i="120"/>
  <c r="F2593" i="120"/>
  <c r="H2593" i="120" s="1"/>
  <c r="N2593" i="120" s="1"/>
  <c r="H2236" i="120"/>
  <c r="N2236" i="120" s="1"/>
  <c r="F2490" i="120"/>
  <c r="H2133" i="120"/>
  <c r="N2133" i="120" s="1"/>
  <c r="F2340" i="120"/>
  <c r="H1983" i="120"/>
  <c r="N1983" i="120" s="1"/>
  <c r="H2124" i="120"/>
  <c r="N2124" i="120" s="1"/>
  <c r="F2481" i="120"/>
  <c r="F2596" i="120"/>
  <c r="H2596" i="120" s="1"/>
  <c r="N2596" i="120" s="1"/>
  <c r="H2239" i="120"/>
  <c r="N2239" i="120" s="1"/>
  <c r="H2095" i="120"/>
  <c r="N2095" i="120" s="1"/>
  <c r="F2452" i="120"/>
  <c r="F2627" i="120"/>
  <c r="H2627" i="120" s="1"/>
  <c r="N2627" i="120" s="1"/>
  <c r="H2270" i="120"/>
  <c r="N2270" i="120" s="1"/>
  <c r="F2326" i="120"/>
  <c r="H1969" i="120"/>
  <c r="N1969" i="120" s="1"/>
  <c r="H2068" i="120"/>
  <c r="N2068" i="120" s="1"/>
  <c r="F2425" i="120"/>
  <c r="F2416" i="120"/>
  <c r="H2059" i="120"/>
  <c r="N2059" i="120" s="1"/>
  <c r="H2028" i="120"/>
  <c r="N2028" i="120" s="1"/>
  <c r="F2385" i="120"/>
  <c r="F2590" i="120"/>
  <c r="H2590" i="120" s="1"/>
  <c r="N2590" i="120" s="1"/>
  <c r="H2233" i="120"/>
  <c r="N2233" i="120" s="1"/>
  <c r="F2297" i="120"/>
  <c r="H1940" i="120"/>
  <c r="N1940" i="120" s="1"/>
  <c r="F2548" i="120"/>
  <c r="H2548" i="120" s="1"/>
  <c r="N2548" i="120" s="1"/>
  <c r="H2191" i="120"/>
  <c r="N2191" i="120" s="1"/>
  <c r="F2348" i="120"/>
  <c r="H1991" i="120"/>
  <c r="N1991" i="120" s="1"/>
  <c r="F2446" i="120"/>
  <c r="H2089" i="120"/>
  <c r="N2089" i="120" s="1"/>
  <c r="H2146" i="120"/>
  <c r="N2146" i="120" s="1"/>
  <c r="F2503" i="120"/>
  <c r="F2344" i="120"/>
  <c r="H1987" i="120"/>
  <c r="N1987" i="120" s="1"/>
  <c r="H1992" i="120"/>
  <c r="N1992" i="120" s="1"/>
  <c r="F2349" i="120"/>
  <c r="F2415" i="120"/>
  <c r="H2058" i="120"/>
  <c r="N2058" i="120" s="1"/>
  <c r="F2334" i="120"/>
  <c r="H1977" i="120"/>
  <c r="N1977" i="120" s="1"/>
  <c r="F2559" i="120"/>
  <c r="H2559" i="120" s="1"/>
  <c r="N2559" i="120" s="1"/>
  <c r="H2202" i="120"/>
  <c r="N2202" i="120" s="1"/>
  <c r="F2597" i="120"/>
  <c r="H2597" i="120" s="1"/>
  <c r="N2597" i="120" s="1"/>
  <c r="H2240" i="120"/>
  <c r="N2240" i="120" s="1"/>
  <c r="H1967" i="120"/>
  <c r="N1967" i="120" s="1"/>
  <c r="F2324" i="120"/>
  <c r="H2045" i="120"/>
  <c r="N2045" i="120" s="1"/>
  <c r="F2402" i="120"/>
  <c r="F2424" i="120"/>
  <c r="H2067" i="120"/>
  <c r="N2067" i="120" s="1"/>
  <c r="F2343" i="120"/>
  <c r="H1986" i="120"/>
  <c r="N1986" i="120" s="1"/>
  <c r="H2108" i="120"/>
  <c r="N2108" i="120" s="1"/>
  <c r="F2465" i="120"/>
  <c r="F2277" i="120"/>
  <c r="H1920" i="120"/>
  <c r="N1920" i="120" s="1"/>
  <c r="F2491" i="120"/>
  <c r="H2134" i="120"/>
  <c r="N2134" i="120" s="1"/>
  <c r="F2848" i="120" l="1"/>
  <c r="H2848" i="120" s="1"/>
  <c r="N2848" i="120" s="1"/>
  <c r="H2491" i="120"/>
  <c r="N2491" i="120" s="1"/>
  <c r="F2781" i="120"/>
  <c r="H2781" i="120" s="1"/>
  <c r="N2781" i="120" s="1"/>
  <c r="H2424" i="120"/>
  <c r="N2424" i="120" s="1"/>
  <c r="F2701" i="120"/>
  <c r="H2701" i="120" s="1"/>
  <c r="N2701" i="120" s="1"/>
  <c r="H2344" i="120"/>
  <c r="N2344" i="120" s="1"/>
  <c r="F2773" i="120"/>
  <c r="H2773" i="120" s="1"/>
  <c r="N2773" i="120" s="1"/>
  <c r="H2416" i="120"/>
  <c r="N2416" i="120" s="1"/>
  <c r="F2847" i="120"/>
  <c r="H2847" i="120" s="1"/>
  <c r="N2847" i="120" s="1"/>
  <c r="H2490" i="120"/>
  <c r="N2490" i="120" s="1"/>
  <c r="F2816" i="120"/>
  <c r="H2816" i="120" s="1"/>
  <c r="N2816" i="120" s="1"/>
  <c r="H2459" i="120"/>
  <c r="N2459" i="120" s="1"/>
  <c r="F2748" i="120"/>
  <c r="H2748" i="120" s="1"/>
  <c r="N2748" i="120" s="1"/>
  <c r="H2391" i="120"/>
  <c r="N2391" i="120" s="1"/>
  <c r="F2726" i="120"/>
  <c r="H2726" i="120" s="1"/>
  <c r="N2726" i="120" s="1"/>
  <c r="H2369" i="120"/>
  <c r="N2369" i="120" s="1"/>
  <c r="H2377" i="120"/>
  <c r="N2377" i="120" s="1"/>
  <c r="F2734" i="120"/>
  <c r="H2734" i="120" s="1"/>
  <c r="N2734" i="120" s="1"/>
  <c r="F2607" i="120"/>
  <c r="H2607" i="120" s="1"/>
  <c r="N2607" i="120" s="1"/>
  <c r="H2250" i="120"/>
  <c r="N2250" i="120" s="1"/>
  <c r="F2659" i="120"/>
  <c r="H2659" i="120" s="1"/>
  <c r="N2659" i="120" s="1"/>
  <c r="H2302" i="120"/>
  <c r="N2302" i="120" s="1"/>
  <c r="F2841" i="120"/>
  <c r="H2841" i="120" s="1"/>
  <c r="N2841" i="120" s="1"/>
  <c r="H2484" i="120"/>
  <c r="N2484" i="120" s="1"/>
  <c r="F2832" i="120"/>
  <c r="H2832" i="120" s="1"/>
  <c r="N2832" i="120" s="1"/>
  <c r="H2475" i="120"/>
  <c r="N2475" i="120" s="1"/>
  <c r="F2647" i="120"/>
  <c r="H2647" i="120" s="1"/>
  <c r="N2647" i="120" s="1"/>
  <c r="H2290" i="120"/>
  <c r="N2290" i="120" s="1"/>
  <c r="F2703" i="120"/>
  <c r="H2703" i="120" s="1"/>
  <c r="N2703" i="120" s="1"/>
  <c r="H2346" i="120"/>
  <c r="N2346" i="120" s="1"/>
  <c r="F2782" i="120"/>
  <c r="H2782" i="120" s="1"/>
  <c r="N2782" i="120" s="1"/>
  <c r="H2425" i="120"/>
  <c r="N2425" i="120" s="1"/>
  <c r="F2639" i="120"/>
  <c r="H2639" i="120" s="1"/>
  <c r="N2639" i="120" s="1"/>
  <c r="H2282" i="120"/>
  <c r="N2282" i="120" s="1"/>
  <c r="H2376" i="120"/>
  <c r="N2376" i="120" s="1"/>
  <c r="F2733" i="120"/>
  <c r="H2733" i="120" s="1"/>
  <c r="N2733" i="120" s="1"/>
  <c r="H2300" i="120"/>
  <c r="N2300" i="120" s="1"/>
  <c r="F2657" i="120"/>
  <c r="H2657" i="120" s="1"/>
  <c r="N2657" i="120" s="1"/>
  <c r="H2352" i="120"/>
  <c r="N2352" i="120" s="1"/>
  <c r="F2709" i="120"/>
  <c r="H2709" i="120" s="1"/>
  <c r="N2709" i="120" s="1"/>
  <c r="F2858" i="120"/>
  <c r="H2858" i="120" s="1"/>
  <c r="N2858" i="120" s="1"/>
  <c r="H2501" i="120"/>
  <c r="N2501" i="120" s="1"/>
  <c r="F2732" i="120"/>
  <c r="H2732" i="120" s="1"/>
  <c r="N2732" i="120" s="1"/>
  <c r="H2375" i="120"/>
  <c r="N2375" i="120" s="1"/>
  <c r="F2653" i="120"/>
  <c r="H2653" i="120" s="1"/>
  <c r="N2653" i="120" s="1"/>
  <c r="H2296" i="120"/>
  <c r="N2296" i="120" s="1"/>
  <c r="H2355" i="120"/>
  <c r="N2355" i="120" s="1"/>
  <c r="F2712" i="120"/>
  <c r="H2712" i="120" s="1"/>
  <c r="N2712" i="120" s="1"/>
  <c r="F2682" i="120"/>
  <c r="H2682" i="120" s="1"/>
  <c r="N2682" i="120" s="1"/>
  <c r="H2325" i="120"/>
  <c r="N2325" i="120" s="1"/>
  <c r="H2457" i="120"/>
  <c r="N2457" i="120" s="1"/>
  <c r="F2814" i="120"/>
  <c r="H2814" i="120" s="1"/>
  <c r="N2814" i="120" s="1"/>
  <c r="F2665" i="120"/>
  <c r="H2665" i="120" s="1"/>
  <c r="N2665" i="120" s="1"/>
  <c r="H2308" i="120"/>
  <c r="N2308" i="120" s="1"/>
  <c r="F2675" i="120"/>
  <c r="H2675" i="120" s="1"/>
  <c r="N2675" i="120" s="1"/>
  <c r="H2318" i="120"/>
  <c r="N2318" i="120" s="1"/>
  <c r="F2634" i="120"/>
  <c r="H2634" i="120" s="1"/>
  <c r="N2634" i="120" s="1"/>
  <c r="H2277" i="120"/>
  <c r="N2277" i="120" s="1"/>
  <c r="F2691" i="120"/>
  <c r="H2691" i="120" s="1"/>
  <c r="N2691" i="120" s="1"/>
  <c r="H2334" i="120"/>
  <c r="N2334" i="120" s="1"/>
  <c r="F2654" i="120"/>
  <c r="H2654" i="120" s="1"/>
  <c r="N2654" i="120" s="1"/>
  <c r="H2297" i="120"/>
  <c r="N2297" i="120" s="1"/>
  <c r="F2669" i="120"/>
  <c r="H2669" i="120" s="1"/>
  <c r="N2669" i="120" s="1"/>
  <c r="H2312" i="120"/>
  <c r="N2312" i="120" s="1"/>
  <c r="F2713" i="120"/>
  <c r="H2713" i="120" s="1"/>
  <c r="N2713" i="120" s="1"/>
  <c r="H2356" i="120"/>
  <c r="N2356" i="120" s="1"/>
  <c r="F2693" i="120"/>
  <c r="H2693" i="120" s="1"/>
  <c r="N2693" i="120" s="1"/>
  <c r="H2336" i="120"/>
  <c r="N2336" i="120" s="1"/>
  <c r="F2807" i="120"/>
  <c r="H2807" i="120" s="1"/>
  <c r="N2807" i="120" s="1"/>
  <c r="H2450" i="120"/>
  <c r="N2450" i="120" s="1"/>
  <c r="F2667" i="120"/>
  <c r="H2667" i="120" s="1"/>
  <c r="N2667" i="120" s="1"/>
  <c r="H2310" i="120"/>
  <c r="N2310" i="120" s="1"/>
  <c r="F2750" i="120"/>
  <c r="H2750" i="120" s="1"/>
  <c r="N2750" i="120" s="1"/>
  <c r="H2393" i="120"/>
  <c r="N2393" i="120" s="1"/>
  <c r="F2630" i="120"/>
  <c r="H2630" i="120" s="1"/>
  <c r="N2630" i="120" s="1"/>
  <c r="H2273" i="120"/>
  <c r="N2273" i="120" s="1"/>
  <c r="F2735" i="120"/>
  <c r="H2735" i="120" s="1"/>
  <c r="N2735" i="120" s="1"/>
  <c r="H2378" i="120"/>
  <c r="N2378" i="120" s="1"/>
  <c r="F2698" i="120"/>
  <c r="H2698" i="120" s="1"/>
  <c r="N2698" i="120" s="1"/>
  <c r="H2341" i="120"/>
  <c r="N2341" i="120" s="1"/>
  <c r="F2736" i="120"/>
  <c r="H2736" i="120" s="1"/>
  <c r="N2736" i="120" s="1"/>
  <c r="H2379" i="120"/>
  <c r="N2379" i="120" s="1"/>
  <c r="F2717" i="120"/>
  <c r="H2717" i="120" s="1"/>
  <c r="N2717" i="120" s="1"/>
  <c r="H2360" i="120"/>
  <c r="N2360" i="120" s="1"/>
  <c r="F2799" i="120"/>
  <c r="H2799" i="120" s="1"/>
  <c r="N2799" i="120" s="1"/>
  <c r="H2442" i="120"/>
  <c r="N2442" i="120" s="1"/>
  <c r="H2368" i="120"/>
  <c r="N2368" i="120" s="1"/>
  <c r="F2725" i="120"/>
  <c r="H2725" i="120" s="1"/>
  <c r="N2725" i="120" s="1"/>
  <c r="H2471" i="120"/>
  <c r="N2471" i="120" s="1"/>
  <c r="F2828" i="120"/>
  <c r="H2828" i="120" s="1"/>
  <c r="N2828" i="120" s="1"/>
  <c r="F2834" i="120"/>
  <c r="H2834" i="120" s="1"/>
  <c r="N2834" i="120" s="1"/>
  <c r="H2477" i="120"/>
  <c r="N2477" i="120" s="1"/>
  <c r="F2812" i="120"/>
  <c r="H2812" i="120" s="1"/>
  <c r="N2812" i="120" s="1"/>
  <c r="H2455" i="120"/>
  <c r="N2455" i="120" s="1"/>
  <c r="F2636" i="120"/>
  <c r="H2636" i="120" s="1"/>
  <c r="N2636" i="120" s="1"/>
  <c r="H2279" i="120"/>
  <c r="N2279" i="120" s="1"/>
  <c r="H2485" i="120"/>
  <c r="N2485" i="120" s="1"/>
  <c r="F2842" i="120"/>
  <c r="H2842" i="120" s="1"/>
  <c r="N2842" i="120" s="1"/>
  <c r="F2785" i="120"/>
  <c r="H2785" i="120" s="1"/>
  <c r="N2785" i="120" s="1"/>
  <c r="H2428" i="120"/>
  <c r="N2428" i="120" s="1"/>
  <c r="F2714" i="120"/>
  <c r="H2714" i="120" s="1"/>
  <c r="N2714" i="120" s="1"/>
  <c r="H2357" i="120"/>
  <c r="N2357" i="120" s="1"/>
  <c r="F2789" i="120"/>
  <c r="H2789" i="120" s="1"/>
  <c r="N2789" i="120" s="1"/>
  <c r="H2432" i="120"/>
  <c r="N2432" i="120" s="1"/>
  <c r="H2299" i="120"/>
  <c r="N2299" i="120" s="1"/>
  <c r="F2656" i="120"/>
  <c r="H2656" i="120" s="1"/>
  <c r="N2656" i="120" s="1"/>
  <c r="F2746" i="120"/>
  <c r="H2746" i="120" s="1"/>
  <c r="N2746" i="120" s="1"/>
  <c r="H2389" i="120"/>
  <c r="N2389" i="120" s="1"/>
  <c r="H2286" i="120"/>
  <c r="N2286" i="120" s="1"/>
  <c r="F2643" i="120"/>
  <c r="H2643" i="120" s="1"/>
  <c r="N2643" i="120" s="1"/>
  <c r="H2468" i="120"/>
  <c r="N2468" i="120" s="1"/>
  <c r="F2825" i="120"/>
  <c r="H2825" i="120" s="1"/>
  <c r="N2825" i="120" s="1"/>
  <c r="F2689" i="120"/>
  <c r="H2689" i="120" s="1"/>
  <c r="N2689" i="120" s="1"/>
  <c r="H2332" i="120"/>
  <c r="N2332" i="120" s="1"/>
  <c r="F2766" i="120"/>
  <c r="H2766" i="120" s="1"/>
  <c r="N2766" i="120" s="1"/>
  <c r="H2409" i="120"/>
  <c r="N2409" i="120" s="1"/>
  <c r="F2645" i="120"/>
  <c r="H2645" i="120" s="1"/>
  <c r="N2645" i="120" s="1"/>
  <c r="H2288" i="120"/>
  <c r="N2288" i="120" s="1"/>
  <c r="F2637" i="120"/>
  <c r="H2637" i="120" s="1"/>
  <c r="N2637" i="120" s="1"/>
  <c r="H2280" i="120"/>
  <c r="N2280" i="120" s="1"/>
  <c r="F2771" i="120"/>
  <c r="H2771" i="120" s="1"/>
  <c r="N2771" i="120" s="1"/>
  <c r="H2414" i="120"/>
  <c r="N2414" i="120" s="1"/>
  <c r="F2753" i="120"/>
  <c r="H2753" i="120" s="1"/>
  <c r="N2753" i="120" s="1"/>
  <c r="H2396" i="120"/>
  <c r="N2396" i="120" s="1"/>
  <c r="F2786" i="120"/>
  <c r="H2786" i="120" s="1"/>
  <c r="N2786" i="120" s="1"/>
  <c r="H2429" i="120"/>
  <c r="N2429" i="120" s="1"/>
  <c r="F2788" i="120"/>
  <c r="H2788" i="120" s="1"/>
  <c r="N2788" i="120" s="1"/>
  <c r="H2431" i="120"/>
  <c r="N2431" i="120" s="1"/>
  <c r="F2679" i="120"/>
  <c r="H2679" i="120" s="1"/>
  <c r="N2679" i="120" s="1"/>
  <c r="H2322" i="120"/>
  <c r="N2322" i="120" s="1"/>
  <c r="F2821" i="120"/>
  <c r="H2821" i="120" s="1"/>
  <c r="N2821" i="120" s="1"/>
  <c r="H2464" i="120"/>
  <c r="N2464" i="120" s="1"/>
  <c r="F2699" i="120"/>
  <c r="H2699" i="120" s="1"/>
  <c r="N2699" i="120" s="1"/>
  <c r="H2342" i="120"/>
  <c r="N2342" i="120" s="1"/>
  <c r="F2666" i="120"/>
  <c r="H2666" i="120" s="1"/>
  <c r="N2666" i="120" s="1"/>
  <c r="H2309" i="120"/>
  <c r="N2309" i="120" s="1"/>
  <c r="F2739" i="120"/>
  <c r="H2739" i="120" s="1"/>
  <c r="N2739" i="120" s="1"/>
  <c r="H2382" i="120"/>
  <c r="N2382" i="120" s="1"/>
  <c r="F2764" i="120"/>
  <c r="H2764" i="120" s="1"/>
  <c r="N2764" i="120" s="1"/>
  <c r="H2407" i="120"/>
  <c r="N2407" i="120" s="1"/>
  <c r="H2435" i="120"/>
  <c r="N2435" i="120" s="1"/>
  <c r="F2792" i="120"/>
  <c r="H2792" i="120" s="1"/>
  <c r="N2792" i="120" s="1"/>
  <c r="F2759" i="120"/>
  <c r="H2759" i="120" s="1"/>
  <c r="N2759" i="120" s="1"/>
  <c r="H2402" i="120"/>
  <c r="N2402" i="120" s="1"/>
  <c r="H2354" i="120"/>
  <c r="N2354" i="120" s="1"/>
  <c r="F2711" i="120"/>
  <c r="H2711" i="120" s="1"/>
  <c r="N2711" i="120" s="1"/>
  <c r="H2362" i="120"/>
  <c r="N2362" i="120" s="1"/>
  <c r="F2719" i="120"/>
  <c r="H2719" i="120" s="1"/>
  <c r="N2719" i="120" s="1"/>
  <c r="F2798" i="120"/>
  <c r="H2798" i="120" s="1"/>
  <c r="N2798" i="120" s="1"/>
  <c r="H2441" i="120"/>
  <c r="N2441" i="120" s="1"/>
  <c r="F2720" i="120"/>
  <c r="H2720" i="120" s="1"/>
  <c r="N2720" i="120" s="1"/>
  <c r="H2363" i="120"/>
  <c r="N2363" i="120" s="1"/>
  <c r="F2776" i="120"/>
  <c r="H2776" i="120" s="1"/>
  <c r="N2776" i="120" s="1"/>
  <c r="H2419" i="120"/>
  <c r="N2419" i="120" s="1"/>
  <c r="F2648" i="120"/>
  <c r="H2648" i="120" s="1"/>
  <c r="N2648" i="120" s="1"/>
  <c r="H2291" i="120"/>
  <c r="N2291" i="120" s="1"/>
  <c r="F2681" i="120"/>
  <c r="H2681" i="120" s="1"/>
  <c r="N2681" i="120" s="1"/>
  <c r="H2324" i="120"/>
  <c r="N2324" i="120" s="1"/>
  <c r="F2795" i="120"/>
  <c r="H2795" i="120" s="1"/>
  <c r="N2795" i="120" s="1"/>
  <c r="H2438" i="120"/>
  <c r="N2438" i="120" s="1"/>
  <c r="F2649" i="120"/>
  <c r="H2649" i="120" s="1"/>
  <c r="N2649" i="120" s="1"/>
  <c r="H2292" i="120"/>
  <c r="N2292" i="120" s="1"/>
  <c r="F2769" i="120"/>
  <c r="H2769" i="120" s="1"/>
  <c r="N2769" i="120" s="1"/>
  <c r="H2412" i="120"/>
  <c r="N2412" i="120" s="1"/>
  <c r="F2744" i="120"/>
  <c r="H2744" i="120" s="1"/>
  <c r="N2744" i="120" s="1"/>
  <c r="H2387" i="120"/>
  <c r="N2387" i="120" s="1"/>
  <c r="F2845" i="120"/>
  <c r="H2845" i="120" s="1"/>
  <c r="N2845" i="120" s="1"/>
  <c r="H2488" i="120"/>
  <c r="N2488" i="120" s="1"/>
  <c r="F2631" i="120"/>
  <c r="H2631" i="120" s="1"/>
  <c r="N2631" i="120" s="1"/>
  <c r="H2274" i="120"/>
  <c r="N2274" i="120" s="1"/>
  <c r="F2671" i="120"/>
  <c r="H2671" i="120" s="1"/>
  <c r="N2671" i="120" s="1"/>
  <c r="H2314" i="120"/>
  <c r="N2314" i="120" s="1"/>
  <c r="F2743" i="120"/>
  <c r="H2743" i="120" s="1"/>
  <c r="N2743" i="120" s="1"/>
  <c r="H2386" i="120"/>
  <c r="N2386" i="120" s="1"/>
  <c r="F2686" i="120"/>
  <c r="H2686" i="120" s="1"/>
  <c r="N2686" i="120" s="1"/>
  <c r="H2329" i="120"/>
  <c r="N2329" i="120" s="1"/>
  <c r="F2692" i="120"/>
  <c r="H2692" i="120" s="1"/>
  <c r="N2692" i="120" s="1"/>
  <c r="H2335" i="120"/>
  <c r="N2335" i="120" s="1"/>
  <c r="H2337" i="120"/>
  <c r="N2337" i="120" s="1"/>
  <c r="F2694" i="120"/>
  <c r="H2694" i="120" s="1"/>
  <c r="N2694" i="120" s="1"/>
  <c r="F2805" i="120"/>
  <c r="H2805" i="120" s="1"/>
  <c r="N2805" i="120" s="1"/>
  <c r="H2448" i="120"/>
  <c r="N2448" i="120" s="1"/>
  <c r="H2384" i="120"/>
  <c r="N2384" i="120" s="1"/>
  <c r="F2741" i="120"/>
  <c r="H2741" i="120" s="1"/>
  <c r="N2741" i="120" s="1"/>
  <c r="F2843" i="120"/>
  <c r="H2843" i="120" s="1"/>
  <c r="N2843" i="120" s="1"/>
  <c r="H2486" i="120"/>
  <c r="N2486" i="120" s="1"/>
  <c r="F2723" i="120"/>
  <c r="H2723" i="120" s="1"/>
  <c r="N2723" i="120" s="1"/>
  <c r="H2366" i="120"/>
  <c r="N2366" i="120" s="1"/>
  <c r="H2460" i="120"/>
  <c r="N2460" i="120" s="1"/>
  <c r="F2817" i="120"/>
  <c r="H2817" i="120" s="1"/>
  <c r="N2817" i="120" s="1"/>
  <c r="F2831" i="120"/>
  <c r="H2831" i="120" s="1"/>
  <c r="N2831" i="120" s="1"/>
  <c r="H2474" i="120"/>
  <c r="N2474" i="120" s="1"/>
  <c r="F2695" i="120"/>
  <c r="H2695" i="120" s="1"/>
  <c r="N2695" i="120" s="1"/>
  <c r="H2338" i="120"/>
  <c r="N2338" i="120" s="1"/>
  <c r="F2775" i="120"/>
  <c r="H2775" i="120" s="1"/>
  <c r="N2775" i="120" s="1"/>
  <c r="H2418" i="120"/>
  <c r="N2418" i="120" s="1"/>
  <c r="F2779" i="120"/>
  <c r="H2779" i="120" s="1"/>
  <c r="N2779" i="120" s="1"/>
  <c r="H2422" i="120"/>
  <c r="N2422" i="120" s="1"/>
  <c r="F2852" i="120"/>
  <c r="H2852" i="120" s="1"/>
  <c r="N2852" i="120" s="1"/>
  <c r="H2495" i="120"/>
  <c r="N2495" i="120" s="1"/>
  <c r="F2857" i="120"/>
  <c r="H2857" i="120" s="1"/>
  <c r="N2857" i="120" s="1"/>
  <c r="H2500" i="120"/>
  <c r="N2500" i="120" s="1"/>
  <c r="F2783" i="120"/>
  <c r="H2783" i="120" s="1"/>
  <c r="N2783" i="120" s="1"/>
  <c r="H2426" i="120"/>
  <c r="N2426" i="120" s="1"/>
  <c r="F2749" i="120"/>
  <c r="H2749" i="120" s="1"/>
  <c r="N2749" i="120" s="1"/>
  <c r="H2392" i="120"/>
  <c r="N2392" i="120" s="1"/>
  <c r="F2722" i="120"/>
  <c r="H2722" i="120" s="1"/>
  <c r="N2722" i="120" s="1"/>
  <c r="H2365" i="120"/>
  <c r="N2365" i="120" s="1"/>
  <c r="F2677" i="120"/>
  <c r="H2677" i="120" s="1"/>
  <c r="N2677" i="120" s="1"/>
  <c r="H2320" i="120"/>
  <c r="N2320" i="120" s="1"/>
  <c r="F2633" i="120"/>
  <c r="H2633" i="120" s="1"/>
  <c r="N2633" i="120" s="1"/>
  <c r="H2276" i="120"/>
  <c r="N2276" i="120" s="1"/>
  <c r="H2284" i="120"/>
  <c r="N2284" i="120" s="1"/>
  <c r="F2641" i="120"/>
  <c r="H2641" i="120" s="1"/>
  <c r="N2641" i="120" s="1"/>
  <c r="F2684" i="120"/>
  <c r="H2684" i="120" s="1"/>
  <c r="N2684" i="120" s="1"/>
  <c r="H2327" i="120"/>
  <c r="N2327" i="120" s="1"/>
  <c r="F2747" i="120"/>
  <c r="H2747" i="120" s="1"/>
  <c r="N2747" i="120" s="1"/>
  <c r="H2390" i="120"/>
  <c r="N2390" i="120" s="1"/>
  <c r="F2676" i="120"/>
  <c r="H2676" i="120" s="1"/>
  <c r="N2676" i="120" s="1"/>
  <c r="H2319" i="120"/>
  <c r="N2319" i="120" s="1"/>
  <c r="H2466" i="120"/>
  <c r="N2466" i="120" s="1"/>
  <c r="F2823" i="120"/>
  <c r="H2823" i="120" s="1"/>
  <c r="N2823" i="120" s="1"/>
  <c r="F2688" i="120"/>
  <c r="H2688" i="120" s="1"/>
  <c r="N2688" i="120" s="1"/>
  <c r="H2331" i="120"/>
  <c r="N2331" i="120" s="1"/>
  <c r="F2740" i="120"/>
  <c r="H2740" i="120" s="1"/>
  <c r="N2740" i="120" s="1"/>
  <c r="H2383" i="120"/>
  <c r="N2383" i="120" s="1"/>
  <c r="F2787" i="120"/>
  <c r="H2787" i="120" s="1"/>
  <c r="N2787" i="120" s="1"/>
  <c r="H2430" i="120"/>
  <c r="N2430" i="120" s="1"/>
  <c r="F2702" i="120"/>
  <c r="H2702" i="120" s="1"/>
  <c r="N2702" i="120" s="1"/>
  <c r="H2345" i="120"/>
  <c r="N2345" i="120" s="1"/>
  <c r="F2804" i="120"/>
  <c r="H2804" i="120" s="1"/>
  <c r="N2804" i="120" s="1"/>
  <c r="H2447" i="120"/>
  <c r="N2447" i="120" s="1"/>
  <c r="H2401" i="120"/>
  <c r="N2401" i="120" s="1"/>
  <c r="F2758" i="120"/>
  <c r="H2758" i="120" s="1"/>
  <c r="N2758" i="120" s="1"/>
  <c r="F2672" i="120"/>
  <c r="H2672" i="120" s="1"/>
  <c r="N2672" i="120" s="1"/>
  <c r="H2315" i="120"/>
  <c r="N2315" i="120" s="1"/>
  <c r="H2503" i="120"/>
  <c r="N2503" i="120" s="1"/>
  <c r="F2860" i="120"/>
  <c r="H2860" i="120" s="1"/>
  <c r="N2860" i="120" s="1"/>
  <c r="H2351" i="120"/>
  <c r="N2351" i="120" s="1"/>
  <c r="F2708" i="120"/>
  <c r="H2708" i="120" s="1"/>
  <c r="N2708" i="120" s="1"/>
  <c r="H2400" i="120"/>
  <c r="N2400" i="120" s="1"/>
  <c r="F2757" i="120"/>
  <c r="H2757" i="120" s="1"/>
  <c r="N2757" i="120" s="1"/>
  <c r="F2685" i="120"/>
  <c r="H2685" i="120" s="1"/>
  <c r="N2685" i="120" s="1"/>
  <c r="H2328" i="120"/>
  <c r="N2328" i="120" s="1"/>
  <c r="H2364" i="120"/>
  <c r="N2364" i="120" s="1"/>
  <c r="F2721" i="120"/>
  <c r="H2721" i="120" s="1"/>
  <c r="N2721" i="120" s="1"/>
  <c r="F2658" i="120"/>
  <c r="H2658" i="120" s="1"/>
  <c r="N2658" i="120" s="1"/>
  <c r="H2301" i="120"/>
  <c r="N2301" i="120" s="1"/>
  <c r="F2829" i="120"/>
  <c r="H2829" i="120" s="1"/>
  <c r="N2829" i="120" s="1"/>
  <c r="H2472" i="120"/>
  <c r="N2472" i="120" s="1"/>
  <c r="F2664" i="120"/>
  <c r="H2664" i="120" s="1"/>
  <c r="N2664" i="120" s="1"/>
  <c r="H2307" i="120"/>
  <c r="N2307" i="120" s="1"/>
  <c r="F2822" i="120"/>
  <c r="H2822" i="120" s="1"/>
  <c r="N2822" i="120" s="1"/>
  <c r="H2465" i="120"/>
  <c r="N2465" i="120" s="1"/>
  <c r="F2838" i="120"/>
  <c r="H2838" i="120" s="1"/>
  <c r="N2838" i="120" s="1"/>
  <c r="H2481" i="120"/>
  <c r="N2481" i="120" s="1"/>
  <c r="F2770" i="120"/>
  <c r="H2770" i="120" s="1"/>
  <c r="N2770" i="120" s="1"/>
  <c r="H2413" i="120"/>
  <c r="N2413" i="120" s="1"/>
  <c r="F2772" i="120"/>
  <c r="H2772" i="120" s="1"/>
  <c r="N2772" i="120" s="1"/>
  <c r="H2415" i="120"/>
  <c r="N2415" i="120" s="1"/>
  <c r="H2446" i="120"/>
  <c r="N2446" i="120" s="1"/>
  <c r="F2803" i="120"/>
  <c r="H2803" i="120" s="1"/>
  <c r="N2803" i="120" s="1"/>
  <c r="F2683" i="120"/>
  <c r="H2683" i="120" s="1"/>
  <c r="N2683" i="120" s="1"/>
  <c r="H2326" i="120"/>
  <c r="N2326" i="120" s="1"/>
  <c r="F2793" i="120"/>
  <c r="H2793" i="120" s="1"/>
  <c r="N2793" i="120" s="1"/>
  <c r="H2436" i="120"/>
  <c r="N2436" i="120" s="1"/>
  <c r="F2824" i="120"/>
  <c r="H2824" i="120" s="1"/>
  <c r="N2824" i="120" s="1"/>
  <c r="H2467" i="120"/>
  <c r="N2467" i="120" s="1"/>
  <c r="F2610" i="120"/>
  <c r="H2610" i="120" s="1"/>
  <c r="N2610" i="120" s="1"/>
  <c r="H2253" i="120"/>
  <c r="N2253" i="120" s="1"/>
  <c r="F2820" i="120"/>
  <c r="H2820" i="120" s="1"/>
  <c r="N2820" i="120" s="1"/>
  <c r="H2463" i="120"/>
  <c r="N2463" i="120" s="1"/>
  <c r="F2752" i="120"/>
  <c r="H2752" i="120" s="1"/>
  <c r="N2752" i="120" s="1"/>
  <c r="H2395" i="120"/>
  <c r="N2395" i="120" s="1"/>
  <c r="F2674" i="120"/>
  <c r="H2674" i="120" s="1"/>
  <c r="N2674" i="120" s="1"/>
  <c r="H2317" i="120"/>
  <c r="N2317" i="120" s="1"/>
  <c r="F2612" i="120"/>
  <c r="H2612" i="120" s="1"/>
  <c r="N2612" i="120" s="1"/>
  <c r="H2255" i="120"/>
  <c r="N2255" i="120" s="1"/>
  <c r="F2640" i="120"/>
  <c r="H2640" i="120" s="1"/>
  <c r="N2640" i="120" s="1"/>
  <c r="H2283" i="120"/>
  <c r="N2283" i="120" s="1"/>
  <c r="F2690" i="120"/>
  <c r="H2690" i="120" s="1"/>
  <c r="N2690" i="120" s="1"/>
  <c r="H2333" i="120"/>
  <c r="N2333" i="120" s="1"/>
  <c r="F2855" i="120"/>
  <c r="H2855" i="120" s="1"/>
  <c r="N2855" i="120" s="1"/>
  <c r="H2498" i="120"/>
  <c r="N2498" i="120" s="1"/>
  <c r="F2846" i="120"/>
  <c r="H2846" i="120" s="1"/>
  <c r="N2846" i="120" s="1"/>
  <c r="H2489" i="120"/>
  <c r="N2489" i="120" s="1"/>
  <c r="H2453" i="120"/>
  <c r="N2453" i="120" s="1"/>
  <c r="F2810" i="120"/>
  <c r="H2810" i="120" s="1"/>
  <c r="N2810" i="120" s="1"/>
  <c r="F2856" i="120"/>
  <c r="H2856" i="120" s="1"/>
  <c r="N2856" i="120" s="1"/>
  <c r="H2499" i="120"/>
  <c r="N2499" i="120" s="1"/>
  <c r="H2373" i="120"/>
  <c r="N2373" i="120" s="1"/>
  <c r="F2730" i="120"/>
  <c r="H2730" i="120" s="1"/>
  <c r="N2730" i="120" s="1"/>
  <c r="F2837" i="120"/>
  <c r="H2837" i="120" s="1"/>
  <c r="N2837" i="120" s="1"/>
  <c r="H2480" i="120"/>
  <c r="N2480" i="120" s="1"/>
  <c r="F2751" i="120"/>
  <c r="H2751" i="120" s="1"/>
  <c r="N2751" i="120" s="1"/>
  <c r="H2394" i="120"/>
  <c r="N2394" i="120" s="1"/>
  <c r="F2801" i="120"/>
  <c r="H2801" i="120" s="1"/>
  <c r="N2801" i="120" s="1"/>
  <c r="H2444" i="120"/>
  <c r="N2444" i="120" s="1"/>
  <c r="F2704" i="120"/>
  <c r="H2704" i="120" s="1"/>
  <c r="N2704" i="120" s="1"/>
  <c r="H2347" i="120"/>
  <c r="N2347" i="120" s="1"/>
  <c r="F2729" i="120"/>
  <c r="H2729" i="120" s="1"/>
  <c r="N2729" i="120" s="1"/>
  <c r="H2372" i="120"/>
  <c r="N2372" i="120" s="1"/>
  <c r="H2311" i="120"/>
  <c r="N2311" i="120" s="1"/>
  <c r="F2668" i="120"/>
  <c r="H2668" i="120" s="1"/>
  <c r="N2668" i="120" s="1"/>
  <c r="F2835" i="120"/>
  <c r="H2835" i="120" s="1"/>
  <c r="N2835" i="120" s="1"/>
  <c r="H2478" i="120"/>
  <c r="N2478" i="120" s="1"/>
  <c r="F2673" i="120"/>
  <c r="H2673" i="120" s="1"/>
  <c r="N2673" i="120" s="1"/>
  <c r="H2316" i="120"/>
  <c r="N2316" i="120" s="1"/>
  <c r="H2469" i="120"/>
  <c r="N2469" i="120" s="1"/>
  <c r="F2826" i="120"/>
  <c r="H2826" i="120" s="1"/>
  <c r="N2826" i="120" s="1"/>
  <c r="F2761" i="120"/>
  <c r="H2761" i="120" s="1"/>
  <c r="N2761" i="120" s="1"/>
  <c r="H2404" i="120"/>
  <c r="N2404" i="120" s="1"/>
  <c r="F2794" i="120"/>
  <c r="H2794" i="120" s="1"/>
  <c r="N2794" i="120" s="1"/>
  <c r="H2437" i="120"/>
  <c r="N2437" i="120" s="1"/>
  <c r="F2718" i="120"/>
  <c r="H2718" i="120" s="1"/>
  <c r="N2718" i="120" s="1"/>
  <c r="H2361" i="120"/>
  <c r="N2361" i="120" s="1"/>
  <c r="H2423" i="120"/>
  <c r="N2423" i="120" s="1"/>
  <c r="F2780" i="120"/>
  <c r="H2780" i="120" s="1"/>
  <c r="N2780" i="120" s="1"/>
  <c r="H2272" i="120"/>
  <c r="N2272" i="120" s="1"/>
  <c r="F2629" i="120"/>
  <c r="H2629" i="120" s="1"/>
  <c r="N2629" i="120" s="1"/>
  <c r="F2791" i="120"/>
  <c r="H2791" i="120" s="1"/>
  <c r="N2791" i="120" s="1"/>
  <c r="H2434" i="120"/>
  <c r="N2434" i="120" s="1"/>
  <c r="F2651" i="120"/>
  <c r="H2651" i="120" s="1"/>
  <c r="N2651" i="120" s="1"/>
  <c r="H2294" i="120"/>
  <c r="N2294" i="120" s="1"/>
  <c r="F2762" i="120"/>
  <c r="H2762" i="120" s="1"/>
  <c r="N2762" i="120" s="1"/>
  <c r="H2405" i="120"/>
  <c r="N2405" i="120" s="1"/>
  <c r="F2806" i="120"/>
  <c r="H2806" i="120" s="1"/>
  <c r="N2806" i="120" s="1"/>
  <c r="H2449" i="120"/>
  <c r="N2449" i="120" s="1"/>
  <c r="F2813" i="120"/>
  <c r="H2813" i="120" s="1"/>
  <c r="N2813" i="120" s="1"/>
  <c r="H2456" i="120"/>
  <c r="N2456" i="120" s="1"/>
  <c r="F2765" i="120"/>
  <c r="H2765" i="120" s="1"/>
  <c r="N2765" i="120" s="1"/>
  <c r="H2408" i="120"/>
  <c r="N2408" i="120" s="1"/>
  <c r="F2844" i="120"/>
  <c r="H2844" i="120" s="1"/>
  <c r="N2844" i="120" s="1"/>
  <c r="H2487" i="120"/>
  <c r="N2487" i="120" s="1"/>
  <c r="F2802" i="120"/>
  <c r="H2802" i="120" s="1"/>
  <c r="N2802" i="120" s="1"/>
  <c r="H2445" i="120"/>
  <c r="N2445" i="120" s="1"/>
  <c r="H2421" i="120"/>
  <c r="N2421" i="120" s="1"/>
  <c r="F2778" i="120"/>
  <c r="H2778" i="120" s="1"/>
  <c r="N2778" i="120" s="1"/>
  <c r="F2632" i="120"/>
  <c r="H2632" i="120" s="1"/>
  <c r="N2632" i="120" s="1"/>
  <c r="H2275" i="120"/>
  <c r="N2275" i="120" s="1"/>
  <c r="F2716" i="120"/>
  <c r="H2716" i="120" s="1"/>
  <c r="N2716" i="120" s="1"/>
  <c r="H2359" i="120"/>
  <c r="N2359" i="120" s="1"/>
  <c r="F2742" i="120"/>
  <c r="H2742" i="120" s="1"/>
  <c r="N2742" i="120" s="1"/>
  <c r="H2385" i="120"/>
  <c r="N2385" i="120" s="1"/>
  <c r="F2608" i="120"/>
  <c r="H2608" i="120" s="1"/>
  <c r="N2608" i="120" s="1"/>
  <c r="H2251" i="120"/>
  <c r="N2251" i="120" s="1"/>
  <c r="F2697" i="120"/>
  <c r="H2697" i="120" s="1"/>
  <c r="N2697" i="120" s="1"/>
  <c r="H2340" i="120"/>
  <c r="N2340" i="120" s="1"/>
  <c r="F1426" i="120"/>
  <c r="H1069" i="120"/>
  <c r="N1069" i="120" s="1"/>
  <c r="H2358" i="120"/>
  <c r="N2358" i="120" s="1"/>
  <c r="F2715" i="120"/>
  <c r="H2715" i="120" s="1"/>
  <c r="N2715" i="120" s="1"/>
  <c r="F2724" i="120"/>
  <c r="H2724" i="120" s="1"/>
  <c r="N2724" i="120" s="1"/>
  <c r="H2367" i="120"/>
  <c r="N2367" i="120" s="1"/>
  <c r="F2655" i="120"/>
  <c r="H2655" i="120" s="1"/>
  <c r="N2655" i="120" s="1"/>
  <c r="H2298" i="120"/>
  <c r="N2298" i="120" s="1"/>
  <c r="F2737" i="120"/>
  <c r="H2737" i="120" s="1"/>
  <c r="N2737" i="120" s="1"/>
  <c r="H2380" i="120"/>
  <c r="N2380" i="120" s="1"/>
  <c r="F2833" i="120"/>
  <c r="H2833" i="120" s="1"/>
  <c r="N2833" i="120" s="1"/>
  <c r="H2476" i="120"/>
  <c r="N2476" i="120" s="1"/>
  <c r="F2706" i="120"/>
  <c r="H2706" i="120" s="1"/>
  <c r="N2706" i="120" s="1"/>
  <c r="H2349" i="120"/>
  <c r="N2349" i="120" s="1"/>
  <c r="H2473" i="120"/>
  <c r="N2473" i="120" s="1"/>
  <c r="F2830" i="120"/>
  <c r="H2830" i="120" s="1"/>
  <c r="N2830" i="120" s="1"/>
  <c r="F2754" i="120"/>
  <c r="H2754" i="120" s="1"/>
  <c r="N2754" i="120" s="1"/>
  <c r="H2397" i="120"/>
  <c r="N2397" i="120" s="1"/>
  <c r="H2306" i="120"/>
  <c r="N2306" i="120" s="1"/>
  <c r="F2663" i="120"/>
  <c r="H2663" i="120" s="1"/>
  <c r="N2663" i="120" s="1"/>
  <c r="F2840" i="120"/>
  <c r="H2840" i="120" s="1"/>
  <c r="N2840" i="120" s="1"/>
  <c r="H2483" i="120"/>
  <c r="N2483" i="120" s="1"/>
  <c r="F2797" i="120"/>
  <c r="H2797" i="120" s="1"/>
  <c r="N2797" i="120" s="1"/>
  <c r="H2440" i="120"/>
  <c r="N2440" i="120" s="1"/>
  <c r="F2700" i="120"/>
  <c r="H2700" i="120" s="1"/>
  <c r="N2700" i="120" s="1"/>
  <c r="H2343" i="120"/>
  <c r="N2343" i="120" s="1"/>
  <c r="H2348" i="120"/>
  <c r="N2348" i="120" s="1"/>
  <c r="F2705" i="120"/>
  <c r="H2705" i="120" s="1"/>
  <c r="N2705" i="120" s="1"/>
  <c r="F2609" i="120"/>
  <c r="H2609" i="120" s="1"/>
  <c r="N2609" i="120" s="1"/>
  <c r="H2252" i="120"/>
  <c r="N2252" i="120" s="1"/>
  <c r="F2680" i="120"/>
  <c r="H2680" i="120" s="1"/>
  <c r="N2680" i="120" s="1"/>
  <c r="H2323" i="120"/>
  <c r="N2323" i="120" s="1"/>
  <c r="F2661" i="120"/>
  <c r="H2661" i="120" s="1"/>
  <c r="N2661" i="120" s="1"/>
  <c r="H2304" i="120"/>
  <c r="N2304" i="120" s="1"/>
  <c r="F2839" i="120"/>
  <c r="H2839" i="120" s="1"/>
  <c r="N2839" i="120" s="1"/>
  <c r="H2482" i="120"/>
  <c r="N2482" i="120" s="1"/>
  <c r="F2768" i="120"/>
  <c r="H2768" i="120" s="1"/>
  <c r="N2768" i="120" s="1"/>
  <c r="H2411" i="120"/>
  <c r="N2411" i="120" s="1"/>
  <c r="F2670" i="120"/>
  <c r="H2670" i="120" s="1"/>
  <c r="N2670" i="120" s="1"/>
  <c r="H2313" i="120"/>
  <c r="N2313" i="120" s="1"/>
  <c r="F2662" i="120"/>
  <c r="H2662" i="120" s="1"/>
  <c r="N2662" i="120" s="1"/>
  <c r="H2305" i="120"/>
  <c r="N2305" i="120" s="1"/>
  <c r="F2727" i="120"/>
  <c r="H2727" i="120" s="1"/>
  <c r="N2727" i="120" s="1"/>
  <c r="H2370" i="120"/>
  <c r="N2370" i="120" s="1"/>
  <c r="F2811" i="120"/>
  <c r="H2811" i="120" s="1"/>
  <c r="N2811" i="120" s="1"/>
  <c r="H2454" i="120"/>
  <c r="N2454" i="120" s="1"/>
  <c r="F2827" i="120"/>
  <c r="H2827" i="120" s="1"/>
  <c r="N2827" i="120" s="1"/>
  <c r="H2470" i="120"/>
  <c r="N2470" i="120" s="1"/>
  <c r="F2796" i="120"/>
  <c r="H2796" i="120" s="1"/>
  <c r="N2796" i="120" s="1"/>
  <c r="H2439" i="120"/>
  <c r="N2439" i="120" s="1"/>
  <c r="H2330" i="120"/>
  <c r="N2330" i="120" s="1"/>
  <c r="F2687" i="120"/>
  <c r="H2687" i="120" s="1"/>
  <c r="N2687" i="120" s="1"/>
  <c r="F2763" i="120"/>
  <c r="H2763" i="120" s="1"/>
  <c r="N2763" i="120" s="1"/>
  <c r="H2406" i="120"/>
  <c r="N2406" i="120" s="1"/>
  <c r="F2646" i="120"/>
  <c r="H2646" i="120" s="1"/>
  <c r="N2646" i="120" s="1"/>
  <c r="H2289" i="120"/>
  <c r="N2289" i="120" s="1"/>
  <c r="F2836" i="120"/>
  <c r="H2836" i="120" s="1"/>
  <c r="N2836" i="120" s="1"/>
  <c r="H2479" i="120"/>
  <c r="N2479" i="120" s="1"/>
  <c r="F2696" i="120"/>
  <c r="H2696" i="120" s="1"/>
  <c r="N2696" i="120" s="1"/>
  <c r="H2339" i="120"/>
  <c r="N2339" i="120" s="1"/>
  <c r="H2281" i="120"/>
  <c r="N2281" i="120" s="1"/>
  <c r="F2638" i="120"/>
  <c r="H2638" i="120" s="1"/>
  <c r="N2638" i="120" s="1"/>
  <c r="F2808" i="120"/>
  <c r="H2808" i="120" s="1"/>
  <c r="N2808" i="120" s="1"/>
  <c r="H2451" i="120"/>
  <c r="N2451" i="120" s="1"/>
  <c r="F2756" i="120"/>
  <c r="H2756" i="120" s="1"/>
  <c r="N2756" i="120" s="1"/>
  <c r="H2399" i="120"/>
  <c r="N2399" i="120" s="1"/>
  <c r="F2767" i="120"/>
  <c r="H2767" i="120" s="1"/>
  <c r="N2767" i="120" s="1"/>
  <c r="H2410" i="120"/>
  <c r="N2410" i="120" s="1"/>
  <c r="F2800" i="120"/>
  <c r="H2800" i="120" s="1"/>
  <c r="N2800" i="120" s="1"/>
  <c r="H2443" i="120"/>
  <c r="N2443" i="120" s="1"/>
  <c r="N1795" i="120"/>
  <c r="F2809" i="120"/>
  <c r="H2809" i="120" s="1"/>
  <c r="N2809" i="120" s="1"/>
  <c r="H2452" i="120"/>
  <c r="N2452" i="120" s="1"/>
  <c r="F2745" i="120"/>
  <c r="H2745" i="120" s="1"/>
  <c r="N2745" i="120" s="1"/>
  <c r="H2388" i="120"/>
  <c r="N2388" i="120" s="1"/>
  <c r="F2707" i="120"/>
  <c r="H2707" i="120" s="1"/>
  <c r="N2707" i="120" s="1"/>
  <c r="H2350" i="120"/>
  <c r="N2350" i="120" s="1"/>
  <c r="F2678" i="120"/>
  <c r="H2678" i="120" s="1"/>
  <c r="N2678" i="120" s="1"/>
  <c r="H2321" i="120"/>
  <c r="N2321" i="120" s="1"/>
  <c r="F2784" i="120"/>
  <c r="H2784" i="120" s="1"/>
  <c r="N2784" i="120" s="1"/>
  <c r="H2427" i="120"/>
  <c r="N2427" i="120" s="1"/>
  <c r="F2774" i="120"/>
  <c r="H2774" i="120" s="1"/>
  <c r="N2774" i="120" s="1"/>
  <c r="H2417" i="120"/>
  <c r="N2417" i="120" s="1"/>
  <c r="F2642" i="120"/>
  <c r="H2642" i="120" s="1"/>
  <c r="N2642" i="120" s="1"/>
  <c r="H2285" i="120"/>
  <c r="N2285" i="120" s="1"/>
  <c r="F2815" i="120"/>
  <c r="H2815" i="120" s="1"/>
  <c r="N2815" i="120" s="1"/>
  <c r="H2458" i="120"/>
  <c r="N2458" i="120" s="1"/>
  <c r="F2760" i="120"/>
  <c r="H2760" i="120" s="1"/>
  <c r="N2760" i="120" s="1"/>
  <c r="H2403" i="120"/>
  <c r="N2403" i="120" s="1"/>
  <c r="F2731" i="120"/>
  <c r="H2731" i="120" s="1"/>
  <c r="N2731" i="120" s="1"/>
  <c r="H2374" i="120"/>
  <c r="N2374" i="120" s="1"/>
  <c r="F2790" i="120"/>
  <c r="H2790" i="120" s="1"/>
  <c r="N2790" i="120" s="1"/>
  <c r="H2433" i="120"/>
  <c r="N2433" i="120" s="1"/>
  <c r="F2819" i="120"/>
  <c r="H2819" i="120" s="1"/>
  <c r="N2819" i="120" s="1"/>
  <c r="H2462" i="120"/>
  <c r="N2462" i="120" s="1"/>
  <c r="F2644" i="120"/>
  <c r="H2644" i="120" s="1"/>
  <c r="N2644" i="120" s="1"/>
  <c r="H2287" i="120"/>
  <c r="N2287" i="120" s="1"/>
  <c r="H2381" i="120"/>
  <c r="N2381" i="120" s="1"/>
  <c r="F2738" i="120"/>
  <c r="H2738" i="120" s="1"/>
  <c r="N2738" i="120" s="1"/>
  <c r="H2293" i="120"/>
  <c r="N2293" i="120" s="1"/>
  <c r="F2650" i="120"/>
  <c r="H2650" i="120" s="1"/>
  <c r="N2650" i="120" s="1"/>
  <c r="F2710" i="120"/>
  <c r="H2710" i="120" s="1"/>
  <c r="N2710" i="120" s="1"/>
  <c r="H2353" i="120"/>
  <c r="N2353" i="120" s="1"/>
  <c r="F2509" i="120"/>
  <c r="H2152" i="120"/>
  <c r="F2660" i="120"/>
  <c r="H2660" i="120" s="1"/>
  <c r="N2660" i="120" s="1"/>
  <c r="H2303" i="120"/>
  <c r="N2303" i="120" s="1"/>
  <c r="F2728" i="120"/>
  <c r="H2728" i="120" s="1"/>
  <c r="N2728" i="120" s="1"/>
  <c r="H2371" i="120"/>
  <c r="N2371" i="120" s="1"/>
  <c r="F2635" i="120"/>
  <c r="H2635" i="120" s="1"/>
  <c r="N2635" i="120" s="1"/>
  <c r="H2278" i="120"/>
  <c r="N2278" i="120" s="1"/>
  <c r="F2755" i="120"/>
  <c r="H2755" i="120" s="1"/>
  <c r="N2755" i="120" s="1"/>
  <c r="H2398" i="120"/>
  <c r="N2398" i="120" s="1"/>
  <c r="F2818" i="120"/>
  <c r="H2818" i="120" s="1"/>
  <c r="N2818" i="120" s="1"/>
  <c r="H2461" i="120"/>
  <c r="N2461" i="120" s="1"/>
  <c r="F2777" i="120"/>
  <c r="H2777" i="120" s="1"/>
  <c r="N2777" i="120" s="1"/>
  <c r="H2420" i="120"/>
  <c r="N2420" i="120" s="1"/>
  <c r="F2652" i="120"/>
  <c r="H2652" i="120" s="1"/>
  <c r="N2652" i="120" s="1"/>
  <c r="H2295" i="120"/>
  <c r="N2295" i="120" s="1"/>
  <c r="H2509" i="120" l="1"/>
  <c r="F1783" i="120"/>
  <c r="H1426" i="120"/>
  <c r="N1426" i="120" s="1"/>
  <c r="N2152" i="120"/>
  <c r="H1783" i="120" l="1"/>
  <c r="N1783" i="120" s="1"/>
  <c r="F2140" i="120"/>
  <c r="N2509" i="120"/>
  <c r="F2497" i="120" l="1"/>
  <c r="H2140" i="120"/>
  <c r="N2140" i="120" s="1"/>
  <c r="H2497" i="120" l="1"/>
  <c r="N2497" i="120" s="1"/>
  <c r="F2854" i="120"/>
  <c r="H2854" i="120" s="1"/>
  <c r="N2854" i="120" s="1"/>
  <c r="C455" i="120"/>
  <c r="C812" i="120" s="1"/>
  <c r="C1169" i="120" s="1"/>
  <c r="C1526" i="120" s="1"/>
  <c r="C1883" i="120" s="1"/>
  <c r="C2240" i="120" s="1"/>
  <c r="C2597" i="120" s="1"/>
  <c r="F476" i="120" l="1"/>
  <c r="H119" i="120"/>
  <c r="N119" i="120" s="1"/>
  <c r="C449" i="120"/>
  <c r="C806" i="120" s="1"/>
  <c r="C1163" i="120" s="1"/>
  <c r="C1520" i="120" s="1"/>
  <c r="C1877" i="120" s="1"/>
  <c r="C2234" i="120" s="1"/>
  <c r="C2591" i="120" s="1"/>
  <c r="C456" i="120"/>
  <c r="C813" i="120" s="1"/>
  <c r="C1170" i="120" s="1"/>
  <c r="C1527" i="120" s="1"/>
  <c r="C1884" i="120" s="1"/>
  <c r="C2241" i="120" s="1"/>
  <c r="C2598" i="120" s="1"/>
  <c r="F480" i="120" l="1"/>
  <c r="H123" i="120"/>
  <c r="N123" i="120" s="1"/>
  <c r="H117" i="120"/>
  <c r="N117" i="120" s="1"/>
  <c r="F474" i="120"/>
  <c r="H115" i="120"/>
  <c r="N115" i="120" s="1"/>
  <c r="F472" i="120"/>
  <c r="H121" i="120"/>
  <c r="N121" i="120" s="1"/>
  <c r="F478" i="120"/>
  <c r="C450" i="120"/>
  <c r="C807" i="120" s="1"/>
  <c r="C1164" i="120" s="1"/>
  <c r="C1521" i="120" s="1"/>
  <c r="C1878" i="120" s="1"/>
  <c r="C2235" i="120" s="1"/>
  <c r="C2592" i="120" s="1"/>
  <c r="H116" i="120"/>
  <c r="N116" i="120" s="1"/>
  <c r="F473" i="120"/>
  <c r="H122" i="120"/>
  <c r="N122" i="120" s="1"/>
  <c r="F479" i="120"/>
  <c r="F469" i="120"/>
  <c r="H112" i="120"/>
  <c r="N112" i="120" s="1"/>
  <c r="F475" i="120"/>
  <c r="H118" i="120"/>
  <c r="N118" i="120" s="1"/>
  <c r="H124" i="120"/>
  <c r="N124" i="120" s="1"/>
  <c r="F481" i="120"/>
  <c r="F477" i="120"/>
  <c r="H120" i="120"/>
  <c r="N120" i="120" s="1"/>
  <c r="F833" i="120"/>
  <c r="H476" i="120"/>
  <c r="N476" i="120" s="1"/>
  <c r="C457" i="120"/>
  <c r="C814" i="120" s="1"/>
  <c r="C1171" i="120" s="1"/>
  <c r="C1528" i="120" s="1"/>
  <c r="C1885" i="120" s="1"/>
  <c r="C2242" i="120" s="1"/>
  <c r="C2599" i="120" s="1"/>
  <c r="F835" i="120" l="1"/>
  <c r="H478" i="120"/>
  <c r="N478" i="120" s="1"/>
  <c r="F1190" i="120"/>
  <c r="H833" i="120"/>
  <c r="N833" i="120" s="1"/>
  <c r="H469" i="120"/>
  <c r="N469" i="120" s="1"/>
  <c r="F826" i="120"/>
  <c r="H479" i="120"/>
  <c r="N479" i="120" s="1"/>
  <c r="F836" i="120"/>
  <c r="F829" i="120"/>
  <c r="H472" i="120"/>
  <c r="N472" i="120" s="1"/>
  <c r="H477" i="120"/>
  <c r="N477" i="120" s="1"/>
  <c r="F834" i="120"/>
  <c r="F838" i="120"/>
  <c r="H481" i="120"/>
  <c r="N481" i="120" s="1"/>
  <c r="F830" i="120"/>
  <c r="H473" i="120"/>
  <c r="N473" i="120" s="1"/>
  <c r="F831" i="120"/>
  <c r="H474" i="120"/>
  <c r="N474" i="120" s="1"/>
  <c r="F832" i="120"/>
  <c r="H475" i="120"/>
  <c r="N475" i="120" s="1"/>
  <c r="C451" i="120"/>
  <c r="C808" i="120" s="1"/>
  <c r="C1165" i="120" s="1"/>
  <c r="C1522" i="120" s="1"/>
  <c r="C1879" i="120" s="1"/>
  <c r="C2236" i="120" s="1"/>
  <c r="C2593" i="120" s="1"/>
  <c r="F837" i="120"/>
  <c r="H480" i="120"/>
  <c r="N480" i="120" s="1"/>
  <c r="C458" i="120"/>
  <c r="C815" i="120" s="1"/>
  <c r="C1172" i="120" s="1"/>
  <c r="C1529" i="120" s="1"/>
  <c r="C1886" i="120" s="1"/>
  <c r="C2243" i="120" s="1"/>
  <c r="C2600" i="120" s="1"/>
  <c r="F1188" i="120" l="1"/>
  <c r="H831" i="120"/>
  <c r="N831" i="120" s="1"/>
  <c r="F1187" i="120"/>
  <c r="H830" i="120"/>
  <c r="N830" i="120" s="1"/>
  <c r="F1183" i="120"/>
  <c r="H826" i="120"/>
  <c r="N826" i="120" s="1"/>
  <c r="H829" i="120"/>
  <c r="N829" i="120" s="1"/>
  <c r="F1186" i="120"/>
  <c r="H836" i="120"/>
  <c r="N836" i="120" s="1"/>
  <c r="F1193" i="120"/>
  <c r="C453" i="120"/>
  <c r="C810" i="120" s="1"/>
  <c r="C1167" i="120" s="1"/>
  <c r="C1524" i="120" s="1"/>
  <c r="C1881" i="120" s="1"/>
  <c r="C2238" i="120" s="1"/>
  <c r="C2595" i="120" s="1"/>
  <c r="C452" i="120"/>
  <c r="C809" i="120" s="1"/>
  <c r="C1166" i="120" s="1"/>
  <c r="C1523" i="120" s="1"/>
  <c r="C1880" i="120" s="1"/>
  <c r="C2237" i="120" s="1"/>
  <c r="C2594" i="120" s="1"/>
  <c r="F1195" i="120"/>
  <c r="H838" i="120"/>
  <c r="N838" i="120" s="1"/>
  <c r="H834" i="120"/>
  <c r="N834" i="120" s="1"/>
  <c r="F1191" i="120"/>
  <c r="H835" i="120"/>
  <c r="N835" i="120" s="1"/>
  <c r="F1192" i="120"/>
  <c r="F1194" i="120"/>
  <c r="H837" i="120"/>
  <c r="N837" i="120" s="1"/>
  <c r="H832" i="120"/>
  <c r="N832" i="120" s="1"/>
  <c r="F1189" i="120"/>
  <c r="F1547" i="120"/>
  <c r="H1190" i="120"/>
  <c r="N1190" i="120" s="1"/>
  <c r="C459" i="120"/>
  <c r="C816" i="120" s="1"/>
  <c r="C1173" i="120" s="1"/>
  <c r="C1530" i="120" s="1"/>
  <c r="C1887" i="120" s="1"/>
  <c r="C2244" i="120" s="1"/>
  <c r="C2601" i="120" s="1"/>
  <c r="F1904" i="120" l="1"/>
  <c r="H1547" i="120"/>
  <c r="N1547" i="120" s="1"/>
  <c r="F1546" i="120"/>
  <c r="H1189" i="120"/>
  <c r="N1189" i="120" s="1"/>
  <c r="H1194" i="120"/>
  <c r="N1194" i="120" s="1"/>
  <c r="F1551" i="120"/>
  <c r="H1187" i="120"/>
  <c r="N1187" i="120" s="1"/>
  <c r="F1544" i="120"/>
  <c r="H1191" i="120"/>
  <c r="N1191" i="120" s="1"/>
  <c r="F1548" i="120"/>
  <c r="F1543" i="120"/>
  <c r="H1186" i="120"/>
  <c r="N1186" i="120" s="1"/>
  <c r="F1552" i="120"/>
  <c r="H1195" i="120"/>
  <c r="N1195" i="120" s="1"/>
  <c r="F1540" i="120"/>
  <c r="H1183" i="120"/>
  <c r="N1183" i="120" s="1"/>
  <c r="F1549" i="120"/>
  <c r="H1192" i="120"/>
  <c r="N1192" i="120" s="1"/>
  <c r="F1550" i="120"/>
  <c r="H1193" i="120"/>
  <c r="N1193" i="120" s="1"/>
  <c r="F1545" i="120"/>
  <c r="H1188" i="120"/>
  <c r="N1188" i="120" s="1"/>
  <c r="C460" i="120"/>
  <c r="C817" i="120" s="1"/>
  <c r="C1174" i="120" s="1"/>
  <c r="C1531" i="120" s="1"/>
  <c r="C1888" i="120" s="1"/>
  <c r="C2245" i="120" s="1"/>
  <c r="C2602" i="120" s="1"/>
  <c r="F1902" i="120" l="1"/>
  <c r="H1545" i="120"/>
  <c r="N1545" i="120" s="1"/>
  <c r="F1909" i="120"/>
  <c r="H1552" i="120"/>
  <c r="N1552" i="120" s="1"/>
  <c r="H1544" i="120"/>
  <c r="N1544" i="120" s="1"/>
  <c r="F1901" i="120"/>
  <c r="F1897" i="120"/>
  <c r="H1540" i="120"/>
  <c r="N1540" i="120" s="1"/>
  <c r="H1551" i="120"/>
  <c r="N1551" i="120" s="1"/>
  <c r="F1908" i="120"/>
  <c r="H1550" i="120"/>
  <c r="N1550" i="120" s="1"/>
  <c r="F1907" i="120"/>
  <c r="H1543" i="120"/>
  <c r="N1543" i="120" s="1"/>
  <c r="F1900" i="120"/>
  <c r="F1903" i="120"/>
  <c r="H1546" i="120"/>
  <c r="N1546" i="120" s="1"/>
  <c r="F1905" i="120"/>
  <c r="H1548" i="120"/>
  <c r="N1548" i="120" s="1"/>
  <c r="H1549" i="120"/>
  <c r="N1549" i="120" s="1"/>
  <c r="F1906" i="120"/>
  <c r="F2261" i="120"/>
  <c r="H1904" i="120"/>
  <c r="N1904" i="120" s="1"/>
  <c r="F2258" i="120" l="1"/>
  <c r="H1901" i="120"/>
  <c r="N1901" i="120" s="1"/>
  <c r="F2618" i="120"/>
  <c r="H2618" i="120" s="1"/>
  <c r="N2618" i="120" s="1"/>
  <c r="H2261" i="120"/>
  <c r="N2261" i="120" s="1"/>
  <c r="F2257" i="120"/>
  <c r="H1900" i="120"/>
  <c r="N1900" i="120" s="1"/>
  <c r="F2263" i="120"/>
  <c r="H1906" i="120"/>
  <c r="N1906" i="120" s="1"/>
  <c r="F2264" i="120"/>
  <c r="H1907" i="120"/>
  <c r="N1907" i="120" s="1"/>
  <c r="H1903" i="120"/>
  <c r="N1903" i="120" s="1"/>
  <c r="F2260" i="120"/>
  <c r="H1909" i="120"/>
  <c r="N1909" i="120" s="1"/>
  <c r="F2266" i="120"/>
  <c r="F2265" i="120"/>
  <c r="H1908" i="120"/>
  <c r="N1908" i="120" s="1"/>
  <c r="F2254" i="120"/>
  <c r="H1897" i="120"/>
  <c r="N1897" i="120" s="1"/>
  <c r="F2262" i="120"/>
  <c r="H1905" i="120"/>
  <c r="N1905" i="120" s="1"/>
  <c r="H1902" i="120"/>
  <c r="N1902" i="120" s="1"/>
  <c r="F2259" i="120"/>
  <c r="F2616" i="120" l="1"/>
  <c r="H2616" i="120" s="1"/>
  <c r="N2616" i="120" s="1"/>
  <c r="H2259" i="120"/>
  <c r="N2259" i="120" s="1"/>
  <c r="F2611" i="120"/>
  <c r="H2611" i="120" s="1"/>
  <c r="N2611" i="120" s="1"/>
  <c r="H2254" i="120"/>
  <c r="N2254" i="120" s="1"/>
  <c r="F2614" i="120"/>
  <c r="H2614" i="120" s="1"/>
  <c r="N2614" i="120" s="1"/>
  <c r="H2257" i="120"/>
  <c r="N2257" i="120" s="1"/>
  <c r="H2264" i="120"/>
  <c r="N2264" i="120" s="1"/>
  <c r="F2621" i="120"/>
  <c r="H2621" i="120" s="1"/>
  <c r="N2621" i="120" s="1"/>
  <c r="F2622" i="120"/>
  <c r="H2622" i="120" s="1"/>
  <c r="N2622" i="120" s="1"/>
  <c r="H2265" i="120"/>
  <c r="N2265" i="120" s="1"/>
  <c r="H2260" i="120"/>
  <c r="N2260" i="120" s="1"/>
  <c r="F2617" i="120"/>
  <c r="H2617" i="120" s="1"/>
  <c r="N2617" i="120" s="1"/>
  <c r="F2615" i="120"/>
  <c r="H2615" i="120" s="1"/>
  <c r="N2615" i="120" s="1"/>
  <c r="H2258" i="120"/>
  <c r="N2258" i="120" s="1"/>
  <c r="F2620" i="120"/>
  <c r="H2620" i="120" s="1"/>
  <c r="N2620" i="120" s="1"/>
  <c r="H2263" i="120"/>
  <c r="N2263" i="120" s="1"/>
  <c r="F2623" i="120"/>
  <c r="H2623" i="120" s="1"/>
  <c r="N2623" i="120" s="1"/>
  <c r="H2266" i="120"/>
  <c r="N2266" i="120" s="1"/>
  <c r="F2619" i="120"/>
  <c r="H2619" i="120" s="1"/>
  <c r="N2619" i="120" s="1"/>
  <c r="H2262" i="120"/>
  <c r="N2262" i="120" s="1"/>
  <c r="F382" i="120" l="1"/>
  <c r="F739" i="120" l="1"/>
  <c r="F1096" i="120" l="1"/>
  <c r="F1453" i="120" l="1"/>
  <c r="F1810" i="120" l="1"/>
  <c r="F2167" i="120" l="1"/>
  <c r="E440" i="120"/>
  <c r="E797" i="120" s="1"/>
  <c r="E1154" i="120" s="1"/>
  <c r="E1511" i="120" s="1"/>
  <c r="E1868" i="120" s="1"/>
  <c r="E2225" i="120" s="1"/>
  <c r="E2582" i="120" s="1"/>
  <c r="G439" i="120"/>
  <c r="G796" i="120" s="1"/>
  <c r="G1153" i="120" s="1"/>
  <c r="E438" i="120"/>
  <c r="E795" i="120" s="1"/>
  <c r="E1152" i="120" s="1"/>
  <c r="E1509" i="120" s="1"/>
  <c r="E1866" i="120" s="1"/>
  <c r="E2223" i="120" s="1"/>
  <c r="E2580" i="120" s="1"/>
  <c r="C435" i="120"/>
  <c r="C792" i="120" s="1"/>
  <c r="C1149" i="120" s="1"/>
  <c r="C1506" i="120" s="1"/>
  <c r="C1863" i="120" s="1"/>
  <c r="C2220" i="120" s="1"/>
  <c r="C2577" i="120" s="1"/>
  <c r="E432" i="120"/>
  <c r="E789" i="120" s="1"/>
  <c r="E1146" i="120" s="1"/>
  <c r="E1503" i="120" s="1"/>
  <c r="E1860" i="120" s="1"/>
  <c r="E2217" i="120" s="1"/>
  <c r="E2574" i="120" s="1"/>
  <c r="E429" i="120"/>
  <c r="E786" i="120" s="1"/>
  <c r="E1143" i="120" s="1"/>
  <c r="E1500" i="120" s="1"/>
  <c r="E1857" i="120" s="1"/>
  <c r="E2214" i="120" s="1"/>
  <c r="E2571" i="120" s="1"/>
  <c r="E424" i="120"/>
  <c r="E781" i="120" s="1"/>
  <c r="E1138" i="120" s="1"/>
  <c r="E1495" i="120" s="1"/>
  <c r="E1852" i="120" s="1"/>
  <c r="E2209" i="120" s="1"/>
  <c r="E2566" i="120" s="1"/>
  <c r="E418" i="120"/>
  <c r="E775" i="120" s="1"/>
  <c r="E1132" i="120" s="1"/>
  <c r="E1489" i="120" s="1"/>
  <c r="E1846" i="120" s="1"/>
  <c r="E2203" i="120" s="1"/>
  <c r="E2560" i="120" s="1"/>
  <c r="E412" i="120"/>
  <c r="E769" i="120" s="1"/>
  <c r="E1126" i="120" s="1"/>
  <c r="E1483" i="120" s="1"/>
  <c r="E1840" i="120" s="1"/>
  <c r="E2197" i="120" s="1"/>
  <c r="E2554" i="120" s="1"/>
  <c r="C409" i="120"/>
  <c r="C766" i="120" s="1"/>
  <c r="C1123" i="120" s="1"/>
  <c r="C1480" i="120" s="1"/>
  <c r="C1837" i="120" s="1"/>
  <c r="C2194" i="120" s="1"/>
  <c r="C2551" i="120" s="1"/>
  <c r="E408" i="120"/>
  <c r="E765" i="120" s="1"/>
  <c r="E1122" i="120" s="1"/>
  <c r="E1479" i="120" s="1"/>
  <c r="E1836" i="120" s="1"/>
  <c r="E2193" i="120" s="1"/>
  <c r="E2550" i="120" s="1"/>
  <c r="E404" i="120"/>
  <c r="E761" i="120" s="1"/>
  <c r="E1118" i="120" s="1"/>
  <c r="E1475" i="120" s="1"/>
  <c r="E1832" i="120" s="1"/>
  <c r="E2189" i="120" s="1"/>
  <c r="E2546" i="120" s="1"/>
  <c r="E395" i="120"/>
  <c r="E752" i="120" s="1"/>
  <c r="E1109" i="120" s="1"/>
  <c r="E1466" i="120" s="1"/>
  <c r="E1823" i="120" s="1"/>
  <c r="E2180" i="120" s="1"/>
  <c r="E2537" i="120" s="1"/>
  <c r="E389" i="120"/>
  <c r="E746" i="120" s="1"/>
  <c r="E1103" i="120" s="1"/>
  <c r="E1460" i="120" s="1"/>
  <c r="E1817" i="120" s="1"/>
  <c r="E2174" i="120" s="1"/>
  <c r="E2531" i="120" s="1"/>
  <c r="E380" i="120"/>
  <c r="E737" i="120" s="1"/>
  <c r="E1094" i="120" s="1"/>
  <c r="E1451" i="120" s="1"/>
  <c r="E1808" i="120" s="1"/>
  <c r="E2165" i="120" s="1"/>
  <c r="E2522" i="120" s="1"/>
  <c r="E375" i="120"/>
  <c r="E732" i="120" s="1"/>
  <c r="E1089" i="120" s="1"/>
  <c r="E1446" i="120" s="1"/>
  <c r="E1803" i="120" s="1"/>
  <c r="E2160" i="120" s="1"/>
  <c r="E2517" i="120" s="1"/>
  <c r="E373" i="120"/>
  <c r="E730" i="120" s="1"/>
  <c r="E1087" i="120" s="1"/>
  <c r="E1444" i="120" s="1"/>
  <c r="E1801" i="120" s="1"/>
  <c r="E2158" i="120" s="1"/>
  <c r="E2515" i="120" s="1"/>
  <c r="D433" i="120" l="1"/>
  <c r="D790" i="120" s="1"/>
  <c r="D1147" i="120" s="1"/>
  <c r="D1504" i="120" s="1"/>
  <c r="D1861" i="120" s="1"/>
  <c r="D2218" i="120" s="1"/>
  <c r="D2575" i="120" s="1"/>
  <c r="C374" i="120"/>
  <c r="C731" i="120" s="1"/>
  <c r="C1088" i="120" s="1"/>
  <c r="C1445" i="120" s="1"/>
  <c r="C1802" i="120" s="1"/>
  <c r="C2159" i="120" s="1"/>
  <c r="C2516" i="120" s="1"/>
  <c r="C381" i="120"/>
  <c r="C738" i="120" s="1"/>
  <c r="C1095" i="120" s="1"/>
  <c r="C1452" i="120" s="1"/>
  <c r="C1809" i="120" s="1"/>
  <c r="C2166" i="120" s="1"/>
  <c r="C2523" i="120" s="1"/>
  <c r="C419" i="120"/>
  <c r="C776" i="120" s="1"/>
  <c r="C1133" i="120" s="1"/>
  <c r="C1490" i="120" s="1"/>
  <c r="C1847" i="120" s="1"/>
  <c r="C2204" i="120" s="1"/>
  <c r="C2561" i="120" s="1"/>
  <c r="C441" i="120"/>
  <c r="C798" i="120" s="1"/>
  <c r="C1155" i="120" s="1"/>
  <c r="C1512" i="120" s="1"/>
  <c r="C1869" i="120" s="1"/>
  <c r="C2226" i="120" s="1"/>
  <c r="C2583" i="120" s="1"/>
  <c r="E368" i="120"/>
  <c r="E725" i="120" s="1"/>
  <c r="E1082" i="120" s="1"/>
  <c r="E1439" i="120" s="1"/>
  <c r="E1796" i="120" s="1"/>
  <c r="E2153" i="120" s="1"/>
  <c r="E2510" i="120" s="1"/>
  <c r="D374" i="120"/>
  <c r="D731" i="120" s="1"/>
  <c r="D1088" i="120" s="1"/>
  <c r="D1445" i="120" s="1"/>
  <c r="D1802" i="120" s="1"/>
  <c r="D2159" i="120" s="1"/>
  <c r="D2516" i="120" s="1"/>
  <c r="D381" i="120"/>
  <c r="D738" i="120" s="1"/>
  <c r="D1095" i="120" s="1"/>
  <c r="D1452" i="120" s="1"/>
  <c r="D1809" i="120" s="1"/>
  <c r="D2166" i="120" s="1"/>
  <c r="D2523" i="120" s="1"/>
  <c r="C413" i="120"/>
  <c r="C770" i="120" s="1"/>
  <c r="C1127" i="120" s="1"/>
  <c r="C1484" i="120" s="1"/>
  <c r="C1841" i="120" s="1"/>
  <c r="C2198" i="120" s="1"/>
  <c r="C2555" i="120" s="1"/>
  <c r="D419" i="120"/>
  <c r="D776" i="120" s="1"/>
  <c r="D1133" i="120" s="1"/>
  <c r="D1490" i="120" s="1"/>
  <c r="D1847" i="120" s="1"/>
  <c r="D2204" i="120" s="1"/>
  <c r="D2561" i="120" s="1"/>
  <c r="D428" i="120"/>
  <c r="D785" i="120" s="1"/>
  <c r="D1142" i="120" s="1"/>
  <c r="D1499" i="120" s="1"/>
  <c r="D1856" i="120" s="1"/>
  <c r="D2213" i="120" s="1"/>
  <c r="D2570" i="120" s="1"/>
  <c r="D439" i="120"/>
  <c r="D796" i="120" s="1"/>
  <c r="D1153" i="120" s="1"/>
  <c r="D1510" i="120" s="1"/>
  <c r="D1867" i="120" s="1"/>
  <c r="D2224" i="120" s="1"/>
  <c r="D2581" i="120" s="1"/>
  <c r="D441" i="120"/>
  <c r="D798" i="120" s="1"/>
  <c r="D1155" i="120" s="1"/>
  <c r="D1512" i="120" s="1"/>
  <c r="D1869" i="120" s="1"/>
  <c r="D2226" i="120" s="1"/>
  <c r="D2583" i="120" s="1"/>
  <c r="C376" i="120"/>
  <c r="C733" i="120" s="1"/>
  <c r="C1090" i="120" s="1"/>
  <c r="C1447" i="120" s="1"/>
  <c r="C1804" i="120" s="1"/>
  <c r="C2161" i="120" s="1"/>
  <c r="C2518" i="120" s="1"/>
  <c r="C405" i="120"/>
  <c r="C762" i="120" s="1"/>
  <c r="C1119" i="120" s="1"/>
  <c r="C1476" i="120" s="1"/>
  <c r="C1833" i="120" s="1"/>
  <c r="C2190" i="120" s="1"/>
  <c r="C2547" i="120" s="1"/>
  <c r="C390" i="120"/>
  <c r="C747" i="120" s="1"/>
  <c r="C1104" i="120" s="1"/>
  <c r="C1461" i="120" s="1"/>
  <c r="C1818" i="120" s="1"/>
  <c r="C2175" i="120" s="1"/>
  <c r="C2532" i="120" s="1"/>
  <c r="C369" i="120"/>
  <c r="C726" i="120" s="1"/>
  <c r="C1083" i="120" s="1"/>
  <c r="C1440" i="120" s="1"/>
  <c r="C1797" i="120" s="1"/>
  <c r="C2154" i="120" s="1"/>
  <c r="C2511" i="120" s="1"/>
  <c r="D390" i="120"/>
  <c r="D747" i="120" s="1"/>
  <c r="D1104" i="120" s="1"/>
  <c r="D1461" i="120" s="1"/>
  <c r="D1818" i="120" s="1"/>
  <c r="D2175" i="120" s="1"/>
  <c r="D2532" i="120" s="1"/>
  <c r="C430" i="120"/>
  <c r="C787" i="120" s="1"/>
  <c r="C1144" i="120" s="1"/>
  <c r="C1501" i="120" s="1"/>
  <c r="C1858" i="120" s="1"/>
  <c r="C2215" i="120" s="1"/>
  <c r="C2572" i="120" s="1"/>
  <c r="C433" i="120"/>
  <c r="C790" i="120" s="1"/>
  <c r="C1147" i="120" s="1"/>
  <c r="C1504" i="120" s="1"/>
  <c r="C1861" i="120" s="1"/>
  <c r="C2218" i="120" s="1"/>
  <c r="C2575" i="120" s="1"/>
  <c r="D369" i="120"/>
  <c r="D726" i="120" s="1"/>
  <c r="D1083" i="120" s="1"/>
  <c r="D1440" i="120" s="1"/>
  <c r="D1797" i="120" s="1"/>
  <c r="D2154" i="120" s="1"/>
  <c r="D2511" i="120" s="1"/>
  <c r="H58" i="120"/>
  <c r="N58" i="120" s="1"/>
  <c r="F415" i="120"/>
  <c r="D430" i="120"/>
  <c r="D787" i="120" s="1"/>
  <c r="D1144" i="120" s="1"/>
  <c r="D1501" i="120" s="1"/>
  <c r="D1858" i="120" s="1"/>
  <c r="D2215" i="120" s="1"/>
  <c r="D2572" i="120" s="1"/>
  <c r="C428" i="120"/>
  <c r="C785" i="120" s="1"/>
  <c r="C1142" i="120" s="1"/>
  <c r="C1499" i="120" s="1"/>
  <c r="C1856" i="120" s="1"/>
  <c r="C2213" i="120" s="1"/>
  <c r="C2570" i="120" s="1"/>
  <c r="C439" i="120"/>
  <c r="C796" i="120" s="1"/>
  <c r="C1153" i="120" s="1"/>
  <c r="C1510" i="120" s="1"/>
  <c r="C1867" i="120" s="1"/>
  <c r="C2224" i="120" s="1"/>
  <c r="C2581" i="120" s="1"/>
  <c r="D387" i="120"/>
  <c r="D744" i="120" s="1"/>
  <c r="D1101" i="120" s="1"/>
  <c r="D1458" i="120" s="1"/>
  <c r="D1815" i="120" s="1"/>
  <c r="D2172" i="120" s="1"/>
  <c r="D2529" i="120" s="1"/>
  <c r="D435" i="120"/>
  <c r="D792" i="120" s="1"/>
  <c r="D1149" i="120" s="1"/>
  <c r="D1506" i="120" s="1"/>
  <c r="D1863" i="120" s="1"/>
  <c r="D2220" i="120" s="1"/>
  <c r="D2577" i="120" s="1"/>
  <c r="C396" i="120"/>
  <c r="C753" i="120" s="1"/>
  <c r="C1110" i="120" s="1"/>
  <c r="C1467" i="120" s="1"/>
  <c r="C1824" i="120" s="1"/>
  <c r="C2181" i="120" s="1"/>
  <c r="C2538" i="120" s="1"/>
  <c r="D409" i="120"/>
  <c r="D766" i="120" s="1"/>
  <c r="D1123" i="120" s="1"/>
  <c r="D1480" i="120" s="1"/>
  <c r="D1837" i="120" s="1"/>
  <c r="D2194" i="120" s="1"/>
  <c r="D2551" i="120" s="1"/>
  <c r="D413" i="120"/>
  <c r="D770" i="120" s="1"/>
  <c r="D1127" i="120" s="1"/>
  <c r="D1484" i="120" s="1"/>
  <c r="D1841" i="120" s="1"/>
  <c r="D2198" i="120" s="1"/>
  <c r="D2555" i="120" s="1"/>
  <c r="C425" i="120"/>
  <c r="C782" i="120" s="1"/>
  <c r="C1139" i="120" s="1"/>
  <c r="C1496" i="120" s="1"/>
  <c r="C1853" i="120" s="1"/>
  <c r="C2210" i="120" s="1"/>
  <c r="C2567" i="120" s="1"/>
  <c r="G1510" i="120"/>
  <c r="G1867" i="120" s="1"/>
  <c r="G2224" i="120" s="1"/>
  <c r="G2581" i="120" s="1"/>
  <c r="O1153" i="120"/>
  <c r="P1153" i="120" s="1"/>
  <c r="D396" i="120"/>
  <c r="D753" i="120" s="1"/>
  <c r="D1110" i="120" s="1"/>
  <c r="D1467" i="120" s="1"/>
  <c r="D1824" i="120" s="1"/>
  <c r="D2181" i="120" s="1"/>
  <c r="D2538" i="120" s="1"/>
  <c r="D425" i="120"/>
  <c r="D782" i="120" s="1"/>
  <c r="D1139" i="120" s="1"/>
  <c r="D1496" i="120" s="1"/>
  <c r="D1853" i="120" s="1"/>
  <c r="D2210" i="120" s="1"/>
  <c r="D2567" i="120" s="1"/>
  <c r="F2524" i="120"/>
  <c r="D376" i="120"/>
  <c r="D733" i="120" s="1"/>
  <c r="D1090" i="120" s="1"/>
  <c r="D1447" i="120" s="1"/>
  <c r="D1804" i="120" s="1"/>
  <c r="D2161" i="120" s="1"/>
  <c r="D2518" i="120" s="1"/>
  <c r="C387" i="120"/>
  <c r="C744" i="120" s="1"/>
  <c r="C1101" i="120" s="1"/>
  <c r="C1458" i="120" s="1"/>
  <c r="C1815" i="120" s="1"/>
  <c r="C2172" i="120" s="1"/>
  <c r="C2529" i="120" s="1"/>
  <c r="D405" i="120"/>
  <c r="D762" i="120" s="1"/>
  <c r="D1119" i="120" s="1"/>
  <c r="D1476" i="120" s="1"/>
  <c r="D1833" i="120" s="1"/>
  <c r="D2190" i="120" s="1"/>
  <c r="D2547" i="120" s="1"/>
  <c r="G402" i="120"/>
  <c r="G759" i="120" s="1"/>
  <c r="G1116" i="120" s="1"/>
  <c r="G1473" i="120" s="1"/>
  <c r="G1830" i="120" s="1"/>
  <c r="G2187" i="120" s="1"/>
  <c r="G2544" i="120" s="1"/>
  <c r="G377" i="120"/>
  <c r="G734" i="120" s="1"/>
  <c r="G1091" i="120" s="1"/>
  <c r="G1448" i="120" s="1"/>
  <c r="G1805" i="120" s="1"/>
  <c r="G2162" i="120" s="1"/>
  <c r="G2519" i="120" s="1"/>
  <c r="G399" i="120"/>
  <c r="G756" i="120" s="1"/>
  <c r="G1113" i="120" s="1"/>
  <c r="G1470" i="120" s="1"/>
  <c r="G1827" i="120" s="1"/>
  <c r="G2184" i="120" s="1"/>
  <c r="G2541" i="120" s="1"/>
  <c r="G410" i="120"/>
  <c r="G767" i="120" s="1"/>
  <c r="G1124" i="120" s="1"/>
  <c r="G1481" i="120" s="1"/>
  <c r="G1838" i="120" s="1"/>
  <c r="G2195" i="120" s="1"/>
  <c r="G2552" i="120" s="1"/>
  <c r="G384" i="120"/>
  <c r="G741" i="120" s="1"/>
  <c r="G1098" i="120" s="1"/>
  <c r="G1455" i="120" s="1"/>
  <c r="G1812" i="120" s="1"/>
  <c r="G2169" i="120" s="1"/>
  <c r="G2526" i="120" s="1"/>
  <c r="G401" i="120"/>
  <c r="G758" i="120" s="1"/>
  <c r="G1115" i="120" s="1"/>
  <c r="G1472" i="120" s="1"/>
  <c r="G1829" i="120" s="1"/>
  <c r="G2186" i="120" s="1"/>
  <c r="G2543" i="120" s="1"/>
  <c r="G441" i="120"/>
  <c r="G798" i="120" s="1"/>
  <c r="G1155" i="120" s="1"/>
  <c r="G1512" i="120" s="1"/>
  <c r="G1869" i="120" s="1"/>
  <c r="G2226" i="120" s="1"/>
  <c r="G2583" i="120" s="1"/>
  <c r="G391" i="120"/>
  <c r="G748" i="120" s="1"/>
  <c r="G1105" i="120" s="1"/>
  <c r="G1462" i="120" s="1"/>
  <c r="G1819" i="120" s="1"/>
  <c r="G2176" i="120" s="1"/>
  <c r="G2533" i="120" s="1"/>
  <c r="G397" i="120"/>
  <c r="G754" i="120" s="1"/>
  <c r="G1111" i="120" s="1"/>
  <c r="G1468" i="120" s="1"/>
  <c r="G1825" i="120" s="1"/>
  <c r="G2182" i="120" s="1"/>
  <c r="G2539" i="120" s="1"/>
  <c r="G435" i="120"/>
  <c r="G792" i="120" s="1"/>
  <c r="G1149" i="120" s="1"/>
  <c r="G1506" i="120" s="1"/>
  <c r="G1863" i="120" s="1"/>
  <c r="G2220" i="120" s="1"/>
  <c r="G2577" i="120" s="1"/>
  <c r="C421" i="120"/>
  <c r="C778" i="120" s="1"/>
  <c r="C1135" i="120" s="1"/>
  <c r="C1492" i="120" s="1"/>
  <c r="C1849" i="120" s="1"/>
  <c r="C2206" i="120" s="1"/>
  <c r="C2563" i="120" s="1"/>
  <c r="C388" i="120"/>
  <c r="C745" i="120" s="1"/>
  <c r="C1102" i="120" s="1"/>
  <c r="C1459" i="120" s="1"/>
  <c r="C1816" i="120" s="1"/>
  <c r="C2173" i="120" s="1"/>
  <c r="C2530" i="120" s="1"/>
  <c r="C426" i="120"/>
  <c r="C783" i="120" s="1"/>
  <c r="C1140" i="120" s="1"/>
  <c r="C1497" i="120" s="1"/>
  <c r="C1854" i="120" s="1"/>
  <c r="C2211" i="120" s="1"/>
  <c r="C2568" i="120" s="1"/>
  <c r="C391" i="120"/>
  <c r="C748" i="120" s="1"/>
  <c r="C1105" i="120" s="1"/>
  <c r="C1462" i="120" s="1"/>
  <c r="C1819" i="120" s="1"/>
  <c r="C2176" i="120" s="1"/>
  <c r="C2533" i="120" s="1"/>
  <c r="E434" i="120"/>
  <c r="E791" i="120" s="1"/>
  <c r="E1148" i="120" s="1"/>
  <c r="E1505" i="120" s="1"/>
  <c r="E1862" i="120" s="1"/>
  <c r="E2219" i="120" s="1"/>
  <c r="E2576" i="120" s="1"/>
  <c r="C410" i="120"/>
  <c r="C767" i="120" s="1"/>
  <c r="C1124" i="120" s="1"/>
  <c r="C1481" i="120" s="1"/>
  <c r="C1838" i="120" s="1"/>
  <c r="C2195" i="120" s="1"/>
  <c r="C2552" i="120" s="1"/>
  <c r="C370" i="120"/>
  <c r="C727" i="120" s="1"/>
  <c r="C1084" i="120" s="1"/>
  <c r="C1441" i="120" s="1"/>
  <c r="C1798" i="120" s="1"/>
  <c r="C2155" i="120" s="1"/>
  <c r="C2512" i="120" s="1"/>
  <c r="C382" i="120"/>
  <c r="C739" i="120" s="1"/>
  <c r="C1096" i="120" s="1"/>
  <c r="C1453" i="120" s="1"/>
  <c r="C1810" i="120" s="1"/>
  <c r="C2167" i="120" s="1"/>
  <c r="C2524" i="120" s="1"/>
  <c r="C397" i="120"/>
  <c r="C754" i="120" s="1"/>
  <c r="C1111" i="120" s="1"/>
  <c r="C1468" i="120" s="1"/>
  <c r="C1825" i="120" s="1"/>
  <c r="C2182" i="120" s="1"/>
  <c r="C2539" i="120" s="1"/>
  <c r="C406" i="120"/>
  <c r="C763" i="120" s="1"/>
  <c r="C1120" i="120" s="1"/>
  <c r="C1477" i="120" s="1"/>
  <c r="C1834" i="120" s="1"/>
  <c r="C2191" i="120" s="1"/>
  <c r="C2548" i="120" s="1"/>
  <c r="C436" i="120"/>
  <c r="C793" i="120" s="1"/>
  <c r="C1150" i="120" s="1"/>
  <c r="C1507" i="120" s="1"/>
  <c r="C1864" i="120" s="1"/>
  <c r="C2221" i="120" s="1"/>
  <c r="C2578" i="120" s="1"/>
  <c r="C415" i="120"/>
  <c r="C772" i="120" s="1"/>
  <c r="C1129" i="120" s="1"/>
  <c r="C1486" i="120" s="1"/>
  <c r="C1843" i="120" s="1"/>
  <c r="C2200" i="120" s="1"/>
  <c r="C2557" i="120" s="1"/>
  <c r="G708" i="120" l="1"/>
  <c r="G1065" i="120" s="1"/>
  <c r="G1422" i="120" s="1"/>
  <c r="G1779" i="120" s="1"/>
  <c r="G2136" i="120" s="1"/>
  <c r="G2493" i="120" s="1"/>
  <c r="G2850" i="120" s="1"/>
  <c r="D426" i="120"/>
  <c r="D783" i="120" s="1"/>
  <c r="D1140" i="120" s="1"/>
  <c r="D1497" i="120" s="1"/>
  <c r="D1854" i="120" s="1"/>
  <c r="D2211" i="120" s="1"/>
  <c r="D2568" i="120" s="1"/>
  <c r="D377" i="120"/>
  <c r="D734" i="120" s="1"/>
  <c r="D1091" i="120" s="1"/>
  <c r="D1448" i="120" s="1"/>
  <c r="D1805" i="120" s="1"/>
  <c r="D2162" i="120" s="1"/>
  <c r="D2519" i="120" s="1"/>
  <c r="G711" i="120"/>
  <c r="G1068" i="120" s="1"/>
  <c r="G1425" i="120" s="1"/>
  <c r="G1782" i="120" s="1"/>
  <c r="G2139" i="120" s="1"/>
  <c r="G2496" i="120" s="1"/>
  <c r="G2853" i="120" s="1"/>
  <c r="D421" i="120"/>
  <c r="D778" i="120" s="1"/>
  <c r="D1135" i="120" s="1"/>
  <c r="D1492" i="120" s="1"/>
  <c r="D1849" i="120" s="1"/>
  <c r="D2206" i="120" s="1"/>
  <c r="D2563" i="120" s="1"/>
  <c r="D436" i="120"/>
  <c r="D793" i="120" s="1"/>
  <c r="D1150" i="120" s="1"/>
  <c r="D1507" i="120" s="1"/>
  <c r="D1864" i="120" s="1"/>
  <c r="D2221" i="120" s="1"/>
  <c r="D2578" i="120" s="1"/>
  <c r="D415" i="120"/>
  <c r="D772" i="120" s="1"/>
  <c r="D1129" i="120" s="1"/>
  <c r="D1486" i="120" s="1"/>
  <c r="D1843" i="120" s="1"/>
  <c r="D2200" i="120" s="1"/>
  <c r="D2557" i="120" s="1"/>
  <c r="E386" i="120"/>
  <c r="E743" i="120" s="1"/>
  <c r="E1100" i="120" s="1"/>
  <c r="E1457" i="120" s="1"/>
  <c r="E1814" i="120" s="1"/>
  <c r="E2171" i="120" s="1"/>
  <c r="E2528" i="120" s="1"/>
  <c r="O39" i="120"/>
  <c r="P39" i="120" s="1"/>
  <c r="G396" i="120"/>
  <c r="G753" i="120" s="1"/>
  <c r="G1110" i="120" s="1"/>
  <c r="G1467" i="120" s="1"/>
  <c r="G1824" i="120" s="1"/>
  <c r="G2181" i="120" s="1"/>
  <c r="G2538" i="120" s="1"/>
  <c r="O35" i="120"/>
  <c r="P35" i="120" s="1"/>
  <c r="G392" i="120"/>
  <c r="G749" i="120" s="1"/>
  <c r="F772" i="120"/>
  <c r="H415" i="120"/>
  <c r="N415" i="120" s="1"/>
  <c r="D397" i="120"/>
  <c r="D754" i="120" s="1"/>
  <c r="D1111" i="120" s="1"/>
  <c r="D1468" i="120" s="1"/>
  <c r="D1825" i="120" s="1"/>
  <c r="D2182" i="120" s="1"/>
  <c r="D2539" i="120" s="1"/>
  <c r="F396" i="120"/>
  <c r="H39" i="120"/>
  <c r="N39" i="120" s="1"/>
  <c r="E427" i="120"/>
  <c r="E784" i="120" s="1"/>
  <c r="E1141" i="120" s="1"/>
  <c r="E1498" i="120" s="1"/>
  <c r="E1855" i="120" s="1"/>
  <c r="E2212" i="120" s="1"/>
  <c r="E2569" i="120" s="1"/>
  <c r="G428" i="120"/>
  <c r="G785" i="120" s="1"/>
  <c r="G1142" i="120" s="1"/>
  <c r="G1499" i="120" s="1"/>
  <c r="G1856" i="120" s="1"/>
  <c r="G2213" i="120" s="1"/>
  <c r="G2570" i="120" s="1"/>
  <c r="O71" i="120"/>
  <c r="P71" i="120" s="1"/>
  <c r="F392" i="120"/>
  <c r="H35" i="120"/>
  <c r="N35" i="120" s="1"/>
  <c r="D406" i="120"/>
  <c r="D763" i="120" s="1"/>
  <c r="D1120" i="120" s="1"/>
  <c r="D1477" i="120" s="1"/>
  <c r="D1834" i="120" s="1"/>
  <c r="D2191" i="120" s="1"/>
  <c r="D2548" i="120" s="1"/>
  <c r="H84" i="120"/>
  <c r="N84" i="120" s="1"/>
  <c r="F441" i="120"/>
  <c r="D391" i="120"/>
  <c r="D748" i="120" s="1"/>
  <c r="D1105" i="120" s="1"/>
  <c r="D1462" i="120" s="1"/>
  <c r="D1819" i="120" s="1"/>
  <c r="D2176" i="120" s="1"/>
  <c r="D2533" i="120" s="1"/>
  <c r="D382" i="120"/>
  <c r="D739" i="120" s="1"/>
  <c r="D1096" i="120" s="1"/>
  <c r="D1453" i="120" s="1"/>
  <c r="D1810" i="120" s="1"/>
  <c r="D2167" i="120" s="1"/>
  <c r="D2524" i="120" s="1"/>
  <c r="D410" i="120"/>
  <c r="D767" i="120" s="1"/>
  <c r="D1124" i="120" s="1"/>
  <c r="D1481" i="120" s="1"/>
  <c r="D1838" i="120" s="1"/>
  <c r="D2195" i="120" s="1"/>
  <c r="D2552" i="120" s="1"/>
  <c r="G382" i="120"/>
  <c r="H25" i="120"/>
  <c r="N25" i="120" s="1"/>
  <c r="G387" i="120"/>
  <c r="G744" i="120" s="1"/>
  <c r="G1101" i="120" s="1"/>
  <c r="G1458" i="120" s="1"/>
  <c r="G1815" i="120" s="1"/>
  <c r="G2172" i="120" s="1"/>
  <c r="G2529" i="120" s="1"/>
  <c r="D388" i="120"/>
  <c r="D745" i="120" s="1"/>
  <c r="D1102" i="120" s="1"/>
  <c r="D1459" i="120" s="1"/>
  <c r="D1816" i="120" s="1"/>
  <c r="D2173" i="120" s="1"/>
  <c r="D2530" i="120" s="1"/>
  <c r="H352" i="120"/>
  <c r="N352" i="120" s="1"/>
  <c r="F709" i="120"/>
  <c r="G376" i="120"/>
  <c r="G362" i="120"/>
  <c r="C378" i="120"/>
  <c r="C735" i="120" s="1"/>
  <c r="C1092" i="120" s="1"/>
  <c r="C1449" i="120" s="1"/>
  <c r="C1806" i="120" s="1"/>
  <c r="C2163" i="120" s="1"/>
  <c r="C2520" i="120" s="1"/>
  <c r="C377" i="120"/>
  <c r="C734" i="120" s="1"/>
  <c r="C1091" i="120" s="1"/>
  <c r="C1448" i="120" s="1"/>
  <c r="C1805" i="120" s="1"/>
  <c r="C2162" i="120" s="1"/>
  <c r="C2519" i="120" s="1"/>
  <c r="D370" i="120"/>
  <c r="D727" i="120" s="1"/>
  <c r="D1084" i="120" s="1"/>
  <c r="D1441" i="120" s="1"/>
  <c r="D1798" i="120" s="1"/>
  <c r="D2155" i="120" s="1"/>
  <c r="D2512" i="120" s="1"/>
  <c r="G707" i="120"/>
  <c r="G1064" i="120" s="1"/>
  <c r="G1421" i="120" s="1"/>
  <c r="G1778" i="120" s="1"/>
  <c r="G2135" i="120" s="1"/>
  <c r="G2492" i="120" s="1"/>
  <c r="G2849" i="120" s="1"/>
  <c r="C422" i="120"/>
  <c r="C779" i="120" s="1"/>
  <c r="C1136" i="120" s="1"/>
  <c r="C1493" i="120" s="1"/>
  <c r="C1850" i="120" s="1"/>
  <c r="C2207" i="120" s="1"/>
  <c r="C2564" i="120" s="1"/>
  <c r="C416" i="120"/>
  <c r="C773" i="120" s="1"/>
  <c r="C1130" i="120" s="1"/>
  <c r="C1487" i="120" s="1"/>
  <c r="C1844" i="120" s="1"/>
  <c r="C2201" i="120" s="1"/>
  <c r="C2558" i="120" s="1"/>
  <c r="C407" i="120"/>
  <c r="C764" i="120" s="1"/>
  <c r="C1121" i="120" s="1"/>
  <c r="C1478" i="120" s="1"/>
  <c r="C1835" i="120" s="1"/>
  <c r="C2192" i="120" s="1"/>
  <c r="C2549" i="120" s="1"/>
  <c r="C392" i="120"/>
  <c r="C749" i="120" s="1"/>
  <c r="C1106" i="120" s="1"/>
  <c r="C1463" i="120" s="1"/>
  <c r="C1820" i="120" s="1"/>
  <c r="C2177" i="120" s="1"/>
  <c r="C2534" i="120" s="1"/>
  <c r="C398" i="120"/>
  <c r="C755" i="120" s="1"/>
  <c r="C1112" i="120" s="1"/>
  <c r="C1469" i="120" s="1"/>
  <c r="C1826" i="120" s="1"/>
  <c r="C2183" i="120" s="1"/>
  <c r="C2540" i="120" s="1"/>
  <c r="C383" i="120"/>
  <c r="C740" i="120" s="1"/>
  <c r="C1097" i="120" s="1"/>
  <c r="C1454" i="120" s="1"/>
  <c r="C1811" i="120" s="1"/>
  <c r="C2168" i="120" s="1"/>
  <c r="C2525" i="120" s="1"/>
  <c r="C437" i="120"/>
  <c r="C794" i="120" s="1"/>
  <c r="C1151" i="120" s="1"/>
  <c r="C1508" i="120" s="1"/>
  <c r="C1865" i="120" s="1"/>
  <c r="C2222" i="120" s="1"/>
  <c r="C2579" i="120" s="1"/>
  <c r="D411" i="120"/>
  <c r="D768" i="120" s="1"/>
  <c r="D1125" i="120" s="1"/>
  <c r="D1482" i="120" s="1"/>
  <c r="D1839" i="120" s="1"/>
  <c r="D2196" i="120" s="1"/>
  <c r="D2553" i="120" s="1"/>
  <c r="C411" i="120"/>
  <c r="C768" i="120" s="1"/>
  <c r="C1125" i="120" s="1"/>
  <c r="C1482" i="120" s="1"/>
  <c r="C1839" i="120" s="1"/>
  <c r="C2196" i="120" s="1"/>
  <c r="C2553" i="120" s="1"/>
  <c r="C371" i="120"/>
  <c r="C728" i="120" s="1"/>
  <c r="C1085" i="120" s="1"/>
  <c r="C1442" i="120" s="1"/>
  <c r="C1799" i="120" s="1"/>
  <c r="C2156" i="120" s="1"/>
  <c r="C2513" i="120" s="1"/>
  <c r="F439" i="120" l="1"/>
  <c r="H82" i="120"/>
  <c r="N82" i="120" s="1"/>
  <c r="D407" i="120"/>
  <c r="D764" i="120" s="1"/>
  <c r="D1121" i="120" s="1"/>
  <c r="D1478" i="120" s="1"/>
  <c r="D1835" i="120" s="1"/>
  <c r="D2192" i="120" s="1"/>
  <c r="D2549" i="120" s="1"/>
  <c r="D422" i="120"/>
  <c r="D779" i="120" s="1"/>
  <c r="D1136" i="120" s="1"/>
  <c r="D1493" i="120" s="1"/>
  <c r="D1850" i="120" s="1"/>
  <c r="D2207" i="120" s="1"/>
  <c r="D2564" i="120" s="1"/>
  <c r="D371" i="120"/>
  <c r="D728" i="120" s="1"/>
  <c r="D1085" i="120" s="1"/>
  <c r="D1442" i="120" s="1"/>
  <c r="D1799" i="120" s="1"/>
  <c r="D2156" i="120" s="1"/>
  <c r="D2513" i="120" s="1"/>
  <c r="H34" i="120"/>
  <c r="N34" i="120" s="1"/>
  <c r="F391" i="120"/>
  <c r="G733" i="120"/>
  <c r="G719" i="120"/>
  <c r="H772" i="120"/>
  <c r="N772" i="120" s="1"/>
  <c r="F1129" i="120"/>
  <c r="H350" i="120"/>
  <c r="N350" i="120" s="1"/>
  <c r="F707" i="120"/>
  <c r="F376" i="120"/>
  <c r="H19" i="120"/>
  <c r="F402" i="120"/>
  <c r="H45" i="120"/>
  <c r="N45" i="120" s="1"/>
  <c r="F1066" i="120"/>
  <c r="H709" i="120"/>
  <c r="N709" i="120" s="1"/>
  <c r="H441" i="120"/>
  <c r="N441" i="120" s="1"/>
  <c r="F798" i="120"/>
  <c r="G1106" i="120"/>
  <c r="G1463" i="120" s="1"/>
  <c r="G1820" i="120" s="1"/>
  <c r="G2177" i="120" s="1"/>
  <c r="G2534" i="120" s="1"/>
  <c r="O749" i="120"/>
  <c r="P749" i="120" s="1"/>
  <c r="D392" i="120"/>
  <c r="D749" i="120" s="1"/>
  <c r="D1106" i="120" s="1"/>
  <c r="D1463" i="120" s="1"/>
  <c r="D1820" i="120" s="1"/>
  <c r="D2177" i="120" s="1"/>
  <c r="D2534" i="120" s="1"/>
  <c r="D378" i="120"/>
  <c r="D735" i="120" s="1"/>
  <c r="D1092" i="120" s="1"/>
  <c r="D1449" i="120" s="1"/>
  <c r="D1806" i="120" s="1"/>
  <c r="D2163" i="120" s="1"/>
  <c r="D2520" i="120" s="1"/>
  <c r="F410" i="120"/>
  <c r="H53" i="120"/>
  <c r="N53" i="120" s="1"/>
  <c r="D398" i="120"/>
  <c r="D755" i="120" s="1"/>
  <c r="D1112" i="120" s="1"/>
  <c r="D1469" i="120" s="1"/>
  <c r="D1826" i="120" s="1"/>
  <c r="D2183" i="120" s="1"/>
  <c r="D2540" i="120" s="1"/>
  <c r="D383" i="120"/>
  <c r="D740" i="120" s="1"/>
  <c r="D1097" i="120" s="1"/>
  <c r="D1454" i="120" s="1"/>
  <c r="D1811" i="120" s="1"/>
  <c r="D2168" i="120" s="1"/>
  <c r="D2525" i="120" s="1"/>
  <c r="D437" i="120"/>
  <c r="D794" i="120" s="1"/>
  <c r="D1151" i="120" s="1"/>
  <c r="D1508" i="120" s="1"/>
  <c r="D1865" i="120" s="1"/>
  <c r="D2222" i="120" s="1"/>
  <c r="D2579" i="120" s="1"/>
  <c r="H71" i="120"/>
  <c r="N71" i="120" s="1"/>
  <c r="F428" i="120"/>
  <c r="F377" i="120"/>
  <c r="H20" i="120"/>
  <c r="N20" i="120" s="1"/>
  <c r="G739" i="120"/>
  <c r="H382" i="120"/>
  <c r="N382" i="120" s="1"/>
  <c r="H354" i="120"/>
  <c r="N354" i="120" s="1"/>
  <c r="F711" i="120"/>
  <c r="H44" i="120"/>
  <c r="N44" i="120" s="1"/>
  <c r="F401" i="120"/>
  <c r="O73" i="120"/>
  <c r="P73" i="120" s="1"/>
  <c r="G430" i="120"/>
  <c r="G787" i="120" s="1"/>
  <c r="G1144" i="120" s="1"/>
  <c r="G1501" i="120" s="1"/>
  <c r="G1858" i="120" s="1"/>
  <c r="G2215" i="120" s="1"/>
  <c r="G2572" i="120" s="1"/>
  <c r="C379" i="120"/>
  <c r="C736" i="120" s="1"/>
  <c r="C1093" i="120" s="1"/>
  <c r="C1450" i="120" s="1"/>
  <c r="C1807" i="120" s="1"/>
  <c r="C2164" i="120" s="1"/>
  <c r="C2521" i="120" s="1"/>
  <c r="F435" i="120"/>
  <c r="H78" i="120"/>
  <c r="N78" i="120" s="1"/>
  <c r="F753" i="120"/>
  <c r="H396" i="120"/>
  <c r="N396" i="120" s="1"/>
  <c r="F708" i="120"/>
  <c r="H351" i="120"/>
  <c r="N351" i="120" s="1"/>
  <c r="H392" i="120"/>
  <c r="N392" i="120" s="1"/>
  <c r="F749" i="120"/>
  <c r="D416" i="120"/>
  <c r="D773" i="120" s="1"/>
  <c r="D1130" i="120" s="1"/>
  <c r="D1487" i="120" s="1"/>
  <c r="D1844" i="120" s="1"/>
  <c r="D2201" i="120" s="1"/>
  <c r="D2558" i="120" s="1"/>
  <c r="F399" i="120"/>
  <c r="H42" i="120"/>
  <c r="N42" i="120" s="1"/>
  <c r="C423" i="120"/>
  <c r="C780" i="120" s="1"/>
  <c r="C1137" i="120" s="1"/>
  <c r="C1494" i="120" s="1"/>
  <c r="C1851" i="120" s="1"/>
  <c r="C2208" i="120" s="1"/>
  <c r="C2565" i="120" s="1"/>
  <c r="C393" i="120"/>
  <c r="C750" i="120" s="1"/>
  <c r="C1107" i="120" s="1"/>
  <c r="C1464" i="120" s="1"/>
  <c r="C1821" i="120" s="1"/>
  <c r="C2178" i="120" s="1"/>
  <c r="C2535" i="120" s="1"/>
  <c r="C417" i="120"/>
  <c r="C774" i="120" s="1"/>
  <c r="C1131" i="120" s="1"/>
  <c r="C1488" i="120" s="1"/>
  <c r="C1845" i="120" s="1"/>
  <c r="C2202" i="120" s="1"/>
  <c r="C2559" i="120" s="1"/>
  <c r="C372" i="120"/>
  <c r="C729" i="120" s="1"/>
  <c r="C1086" i="120" s="1"/>
  <c r="C1443" i="120" s="1"/>
  <c r="C1800" i="120" s="1"/>
  <c r="C2157" i="120" s="1"/>
  <c r="C2514" i="120" s="1"/>
  <c r="D417" i="120"/>
  <c r="D774" i="120" s="1"/>
  <c r="D1131" i="120" s="1"/>
  <c r="D1488" i="120" s="1"/>
  <c r="D1845" i="120" s="1"/>
  <c r="D2202" i="120" s="1"/>
  <c r="D2559" i="120" s="1"/>
  <c r="D393" i="120"/>
  <c r="D750" i="120" s="1"/>
  <c r="D1107" i="120" s="1"/>
  <c r="D1464" i="120" s="1"/>
  <c r="D1821" i="120" s="1"/>
  <c r="D2178" i="120" s="1"/>
  <c r="D2535" i="120" s="1"/>
  <c r="C399" i="120"/>
  <c r="C756" i="120" s="1"/>
  <c r="C1113" i="120" s="1"/>
  <c r="C1470" i="120" s="1"/>
  <c r="C1827" i="120" s="1"/>
  <c r="C2184" i="120" s="1"/>
  <c r="C2541" i="120" s="1"/>
  <c r="C384" i="120"/>
  <c r="C741" i="120" s="1"/>
  <c r="C1098" i="120" s="1"/>
  <c r="C1455" i="120" s="1"/>
  <c r="C1812" i="120" s="1"/>
  <c r="C2169" i="120" s="1"/>
  <c r="C2526" i="120" s="1"/>
  <c r="D384" i="120" l="1"/>
  <c r="D741" i="120" s="1"/>
  <c r="D1098" i="120" s="1"/>
  <c r="D1455" i="120" s="1"/>
  <c r="D1812" i="120" s="1"/>
  <c r="D2169" i="120" s="1"/>
  <c r="D2526" i="120" s="1"/>
  <c r="D423" i="120"/>
  <c r="D780" i="120" s="1"/>
  <c r="D1137" i="120" s="1"/>
  <c r="D1494" i="120" s="1"/>
  <c r="D1851" i="120" s="1"/>
  <c r="D2208" i="120" s="1"/>
  <c r="D2565" i="120" s="1"/>
  <c r="D379" i="120"/>
  <c r="D736" i="120" s="1"/>
  <c r="D1093" i="120" s="1"/>
  <c r="D1450" i="120" s="1"/>
  <c r="D1807" i="120" s="1"/>
  <c r="D2164" i="120" s="1"/>
  <c r="D2521" i="120" s="1"/>
  <c r="F734" i="120"/>
  <c r="H377" i="120"/>
  <c r="N377" i="120" s="1"/>
  <c r="F792" i="120"/>
  <c r="H435" i="120"/>
  <c r="N435" i="120" s="1"/>
  <c r="F384" i="120"/>
  <c r="H27" i="120"/>
  <c r="N27" i="120" s="1"/>
  <c r="F785" i="120"/>
  <c r="H428" i="120"/>
  <c r="N428" i="120" s="1"/>
  <c r="D372" i="120"/>
  <c r="D729" i="120" s="1"/>
  <c r="D1086" i="120" s="1"/>
  <c r="D1443" i="120" s="1"/>
  <c r="D1800" i="120" s="1"/>
  <c r="D2157" i="120" s="1"/>
  <c r="D2514" i="120" s="1"/>
  <c r="H749" i="120"/>
  <c r="N749" i="120" s="1"/>
  <c r="F1106" i="120"/>
  <c r="F759" i="120"/>
  <c r="H402" i="120"/>
  <c r="N402" i="120" s="1"/>
  <c r="F733" i="120"/>
  <c r="H376" i="120"/>
  <c r="F1068" i="120"/>
  <c r="H711" i="120"/>
  <c r="N711" i="120" s="1"/>
  <c r="F767" i="120"/>
  <c r="H410" i="120"/>
  <c r="N410" i="120" s="1"/>
  <c r="F362" i="120"/>
  <c r="G1090" i="120"/>
  <c r="G1076" i="120"/>
  <c r="H1129" i="120"/>
  <c r="N1129" i="120" s="1"/>
  <c r="F1486" i="120"/>
  <c r="D399" i="120"/>
  <c r="D756" i="120" s="1"/>
  <c r="D1113" i="120" s="1"/>
  <c r="D1470" i="120" s="1"/>
  <c r="D1827" i="120" s="1"/>
  <c r="D2184" i="120" s="1"/>
  <c r="D2541" i="120" s="1"/>
  <c r="F430" i="120"/>
  <c r="H73" i="120"/>
  <c r="N73" i="120" s="1"/>
  <c r="F1155" i="120"/>
  <c r="H798" i="120"/>
  <c r="N798" i="120" s="1"/>
  <c r="N19" i="120"/>
  <c r="H362" i="120"/>
  <c r="F397" i="120"/>
  <c r="H40" i="120"/>
  <c r="N40" i="120" s="1"/>
  <c r="F756" i="120"/>
  <c r="H399" i="120"/>
  <c r="N399" i="120" s="1"/>
  <c r="F1065" i="120"/>
  <c r="H708" i="120"/>
  <c r="N708" i="120" s="1"/>
  <c r="F387" i="120"/>
  <c r="H30" i="120"/>
  <c r="N30" i="120" s="1"/>
  <c r="G1096" i="120"/>
  <c r="H739" i="120"/>
  <c r="N739" i="120" s="1"/>
  <c r="F1064" i="120"/>
  <c r="H707" i="120"/>
  <c r="N707" i="120" s="1"/>
  <c r="H391" i="120"/>
  <c r="N391" i="120" s="1"/>
  <c r="F748" i="120"/>
  <c r="F1110" i="120"/>
  <c r="H753" i="120"/>
  <c r="N753" i="120" s="1"/>
  <c r="F758" i="120"/>
  <c r="H401" i="120"/>
  <c r="N401" i="120" s="1"/>
  <c r="F1423" i="120"/>
  <c r="H1066" i="120"/>
  <c r="N1066" i="120" s="1"/>
  <c r="H439" i="120"/>
  <c r="N439" i="120" s="1"/>
  <c r="F796" i="120"/>
  <c r="C400" i="120"/>
  <c r="C757" i="120" s="1"/>
  <c r="C1114" i="120" s="1"/>
  <c r="C1471" i="120" s="1"/>
  <c r="C1828" i="120" s="1"/>
  <c r="C2185" i="120" s="1"/>
  <c r="C2542" i="120" s="1"/>
  <c r="C394" i="120"/>
  <c r="C751" i="120" s="1"/>
  <c r="C1108" i="120" s="1"/>
  <c r="C1465" i="120" s="1"/>
  <c r="C1822" i="120" s="1"/>
  <c r="C2179" i="120" s="1"/>
  <c r="C2536" i="120" s="1"/>
  <c r="C385" i="120"/>
  <c r="C742" i="120" s="1"/>
  <c r="C1099" i="120" s="1"/>
  <c r="C1456" i="120" s="1"/>
  <c r="C1813" i="120" s="1"/>
  <c r="C2170" i="120" s="1"/>
  <c r="C2527" i="120" s="1"/>
  <c r="D385" i="120"/>
  <c r="D742" i="120" s="1"/>
  <c r="D1099" i="120" s="1"/>
  <c r="D1456" i="120" s="1"/>
  <c r="D1813" i="120" s="1"/>
  <c r="D2170" i="120" s="1"/>
  <c r="D2527" i="120" s="1"/>
  <c r="D394" i="120"/>
  <c r="D751" i="120" s="1"/>
  <c r="D1108" i="120" s="1"/>
  <c r="D1465" i="120" s="1"/>
  <c r="D1822" i="120" s="1"/>
  <c r="D2179" i="120" s="1"/>
  <c r="D2536" i="120" s="1"/>
  <c r="F744" i="120" l="1"/>
  <c r="H387" i="120"/>
  <c r="N387" i="120" s="1"/>
  <c r="F1153" i="120"/>
  <c r="H796" i="120"/>
  <c r="N796" i="120" s="1"/>
  <c r="F1105" i="120"/>
  <c r="H748" i="120"/>
  <c r="N748" i="120" s="1"/>
  <c r="N376" i="120"/>
  <c r="N719" i="120" s="1"/>
  <c r="D400" i="120"/>
  <c r="D757" i="120" s="1"/>
  <c r="D1114" i="120" s="1"/>
  <c r="D1471" i="120" s="1"/>
  <c r="D1828" i="120" s="1"/>
  <c r="D2185" i="120" s="1"/>
  <c r="D2542" i="120" s="1"/>
  <c r="F1467" i="120"/>
  <c r="H1110" i="120"/>
  <c r="N1110" i="120" s="1"/>
  <c r="F719" i="120"/>
  <c r="F1091" i="120"/>
  <c r="H734" i="120"/>
  <c r="N734" i="120" s="1"/>
  <c r="H1155" i="120"/>
  <c r="N1155" i="120" s="1"/>
  <c r="F1512" i="120"/>
  <c r="F1090" i="120"/>
  <c r="H733" i="120"/>
  <c r="H1423" i="120"/>
  <c r="N1423" i="120" s="1"/>
  <c r="F1780" i="120"/>
  <c r="F1421" i="120"/>
  <c r="H1064" i="120"/>
  <c r="N1064" i="120" s="1"/>
  <c r="F1113" i="120"/>
  <c r="H756" i="120"/>
  <c r="N756" i="120" s="1"/>
  <c r="F787" i="120"/>
  <c r="H430" i="120"/>
  <c r="N430" i="120" s="1"/>
  <c r="F1116" i="120"/>
  <c r="H759" i="120"/>
  <c r="N759" i="120" s="1"/>
  <c r="F741" i="120"/>
  <c r="H384" i="120"/>
  <c r="N384" i="120" s="1"/>
  <c r="F1422" i="120"/>
  <c r="H1065" i="120"/>
  <c r="N1065" i="120" s="1"/>
  <c r="G1447" i="120"/>
  <c r="G1433" i="120"/>
  <c r="F1142" i="120"/>
  <c r="H785" i="120"/>
  <c r="N785" i="120" s="1"/>
  <c r="F1124" i="120"/>
  <c r="H767" i="120"/>
  <c r="N767" i="120" s="1"/>
  <c r="H1106" i="120"/>
  <c r="N1106" i="120" s="1"/>
  <c r="F1463" i="120"/>
  <c r="H1486" i="120"/>
  <c r="N1486" i="120" s="1"/>
  <c r="F1843" i="120"/>
  <c r="H1068" i="120"/>
  <c r="N1068" i="120" s="1"/>
  <c r="F1425" i="120"/>
  <c r="N362" i="120"/>
  <c r="F1115" i="120"/>
  <c r="H758" i="120"/>
  <c r="N758" i="120" s="1"/>
  <c r="G1453" i="120"/>
  <c r="H1096" i="120"/>
  <c r="N1096" i="120" s="1"/>
  <c r="F754" i="120"/>
  <c r="H397" i="120"/>
  <c r="N397" i="120" s="1"/>
  <c r="F1149" i="120"/>
  <c r="H792" i="120"/>
  <c r="N792" i="120" s="1"/>
  <c r="C401" i="120"/>
  <c r="C758" i="120" s="1"/>
  <c r="C1115" i="120" s="1"/>
  <c r="C1472" i="120" s="1"/>
  <c r="C1829" i="120" s="1"/>
  <c r="C2186" i="120" s="1"/>
  <c r="C2543" i="120" s="1"/>
  <c r="H1425" i="120" l="1"/>
  <c r="N1425" i="120" s="1"/>
  <c r="F1782" i="120"/>
  <c r="H1091" i="120"/>
  <c r="N1091" i="120" s="1"/>
  <c r="F1448" i="120"/>
  <c r="F1098" i="120"/>
  <c r="H741" i="120"/>
  <c r="N741" i="120" s="1"/>
  <c r="F2137" i="120"/>
  <c r="H1780" i="120"/>
  <c r="N1780" i="120" s="1"/>
  <c r="H1142" i="120"/>
  <c r="N1142" i="120" s="1"/>
  <c r="F1499" i="120"/>
  <c r="F1473" i="120"/>
  <c r="H1116" i="120"/>
  <c r="N1116" i="120" s="1"/>
  <c r="F1462" i="120"/>
  <c r="H1105" i="120"/>
  <c r="N1105" i="120" s="1"/>
  <c r="F1076" i="120"/>
  <c r="G1804" i="120"/>
  <c r="G1790" i="120"/>
  <c r="H787" i="120"/>
  <c r="N787" i="120" s="1"/>
  <c r="F1144" i="120"/>
  <c r="F1433" i="120" s="1"/>
  <c r="N733" i="120"/>
  <c r="F1824" i="120"/>
  <c r="H1467" i="120"/>
  <c r="N1467" i="120" s="1"/>
  <c r="F1510" i="120"/>
  <c r="H1153" i="120"/>
  <c r="N1153" i="120" s="1"/>
  <c r="H1124" i="120"/>
  <c r="N1124" i="120" s="1"/>
  <c r="F1481" i="120"/>
  <c r="F1778" i="120"/>
  <c r="H1421" i="120"/>
  <c r="N1421" i="120" s="1"/>
  <c r="F1506" i="120"/>
  <c r="H1149" i="120"/>
  <c r="N1149" i="120" s="1"/>
  <c r="F2200" i="120"/>
  <c r="H1843" i="120"/>
  <c r="N1843" i="120" s="1"/>
  <c r="G1810" i="120"/>
  <c r="H1453" i="120"/>
  <c r="N1453" i="120" s="1"/>
  <c r="F1820" i="120"/>
  <c r="H1463" i="120"/>
  <c r="N1463" i="120" s="1"/>
  <c r="H1090" i="120"/>
  <c r="F1447" i="120"/>
  <c r="F1779" i="120"/>
  <c r="H1422" i="120"/>
  <c r="N1422" i="120" s="1"/>
  <c r="F1470" i="120"/>
  <c r="H1113" i="120"/>
  <c r="N1113" i="120" s="1"/>
  <c r="H1512" i="120"/>
  <c r="N1512" i="120" s="1"/>
  <c r="F1869" i="120"/>
  <c r="F1111" i="120"/>
  <c r="H754" i="120"/>
  <c r="N754" i="120" s="1"/>
  <c r="D401" i="120"/>
  <c r="D758" i="120" s="1"/>
  <c r="D1115" i="120" s="1"/>
  <c r="D1472" i="120" s="1"/>
  <c r="D1829" i="120" s="1"/>
  <c r="D2186" i="120" s="1"/>
  <c r="D2543" i="120" s="1"/>
  <c r="F1472" i="120"/>
  <c r="H1115" i="120"/>
  <c r="N1115" i="120" s="1"/>
  <c r="H719" i="120"/>
  <c r="F1101" i="120"/>
  <c r="H744" i="120"/>
  <c r="N744" i="120" s="1"/>
  <c r="C402" i="120"/>
  <c r="C759" i="120" s="1"/>
  <c r="C1116" i="120" s="1"/>
  <c r="C1473" i="120" s="1"/>
  <c r="C1830" i="120" s="1"/>
  <c r="C2187" i="120" s="1"/>
  <c r="C2544" i="120" s="1"/>
  <c r="D402" i="120" l="1"/>
  <c r="D759" i="120" s="1"/>
  <c r="D1116" i="120" s="1"/>
  <c r="D1473" i="120" s="1"/>
  <c r="D1830" i="120" s="1"/>
  <c r="D2187" i="120" s="1"/>
  <c r="D2544" i="120" s="1"/>
  <c r="H1481" i="120"/>
  <c r="N1481" i="120" s="1"/>
  <c r="F1838" i="120"/>
  <c r="G2161" i="120"/>
  <c r="G2147" i="120"/>
  <c r="F2494" i="120"/>
  <c r="H2137" i="120"/>
  <c r="N2137" i="120" s="1"/>
  <c r="F1458" i="120"/>
  <c r="H1101" i="120"/>
  <c r="N1101" i="120" s="1"/>
  <c r="F2226" i="120"/>
  <c r="H1869" i="120"/>
  <c r="N1869" i="120" s="1"/>
  <c r="N1090" i="120"/>
  <c r="F1863" i="120"/>
  <c r="H1506" i="120"/>
  <c r="N1506" i="120" s="1"/>
  <c r="F2181" i="120"/>
  <c r="H1824" i="120"/>
  <c r="N1824" i="120" s="1"/>
  <c r="H1472" i="120"/>
  <c r="N1472" i="120" s="1"/>
  <c r="F1829" i="120"/>
  <c r="F1501" i="120"/>
  <c r="H1144" i="120"/>
  <c r="N1144" i="120" s="1"/>
  <c r="F1830" i="120"/>
  <c r="H1473" i="120"/>
  <c r="N1473" i="120" s="1"/>
  <c r="G2167" i="120"/>
  <c r="H1810" i="120"/>
  <c r="N1810" i="120" s="1"/>
  <c r="F1867" i="120"/>
  <c r="H1510" i="120"/>
  <c r="N1510" i="120" s="1"/>
  <c r="F1468" i="120"/>
  <c r="H1111" i="120"/>
  <c r="N1111" i="120" s="1"/>
  <c r="H1447" i="120"/>
  <c r="F1804" i="120"/>
  <c r="H1076" i="120"/>
  <c r="H1462" i="120"/>
  <c r="N1462" i="120" s="1"/>
  <c r="F1819" i="120"/>
  <c r="F1455" i="120"/>
  <c r="H1098" i="120"/>
  <c r="N1098" i="120" s="1"/>
  <c r="H2200" i="120"/>
  <c r="N2200" i="120" s="1"/>
  <c r="F2557" i="120"/>
  <c r="H2557" i="120" s="1"/>
  <c r="N2557" i="120" s="1"/>
  <c r="F2177" i="120"/>
  <c r="H1820" i="120"/>
  <c r="N1820" i="120" s="1"/>
  <c r="F2135" i="120"/>
  <c r="H1778" i="120"/>
  <c r="N1778" i="120" s="1"/>
  <c r="N1076" i="120"/>
  <c r="F1805" i="120"/>
  <c r="H1448" i="120"/>
  <c r="N1448" i="120" s="1"/>
  <c r="F1827" i="120"/>
  <c r="H1470" i="120"/>
  <c r="N1470" i="120" s="1"/>
  <c r="F1856" i="120"/>
  <c r="H1499" i="120"/>
  <c r="N1499" i="120" s="1"/>
  <c r="F2139" i="120"/>
  <c r="H1782" i="120"/>
  <c r="N1782" i="120" s="1"/>
  <c r="F2136" i="120"/>
  <c r="H1779" i="120"/>
  <c r="N1779" i="120" s="1"/>
  <c r="C403" i="120"/>
  <c r="C760" i="120" s="1"/>
  <c r="C1117" i="120" s="1"/>
  <c r="C1474" i="120" s="1"/>
  <c r="C1831" i="120" s="1"/>
  <c r="C2188" i="120" s="1"/>
  <c r="C2545" i="120" s="1"/>
  <c r="F2213" i="120" l="1"/>
  <c r="H1856" i="120"/>
  <c r="N1856" i="120" s="1"/>
  <c r="F2493" i="120"/>
  <c r="H2136" i="120"/>
  <c r="N2136" i="120" s="1"/>
  <c r="H1433" i="120"/>
  <c r="F2492" i="120"/>
  <c r="H2135" i="120"/>
  <c r="N2135" i="120" s="1"/>
  <c r="F2224" i="120"/>
  <c r="H1867" i="120"/>
  <c r="N1867" i="120" s="1"/>
  <c r="N1433" i="120"/>
  <c r="G2518" i="120"/>
  <c r="G2861" i="120" s="1"/>
  <c r="G2504" i="120"/>
  <c r="F2583" i="120"/>
  <c r="H2583" i="120" s="1"/>
  <c r="N2583" i="120" s="1"/>
  <c r="H2226" i="120"/>
  <c r="N2226" i="120" s="1"/>
  <c r="F2184" i="120"/>
  <c r="H1827" i="120"/>
  <c r="N1827" i="120" s="1"/>
  <c r="F2161" i="120"/>
  <c r="H1804" i="120"/>
  <c r="D403" i="120"/>
  <c r="D760" i="120" s="1"/>
  <c r="D1117" i="120" s="1"/>
  <c r="D1474" i="120" s="1"/>
  <c r="D1831" i="120" s="1"/>
  <c r="D2188" i="120" s="1"/>
  <c r="D2545" i="120" s="1"/>
  <c r="N1447" i="120"/>
  <c r="H1790" i="120"/>
  <c r="F2187" i="120"/>
  <c r="H1830" i="120"/>
  <c r="N1830" i="120" s="1"/>
  <c r="F2220" i="120"/>
  <c r="H1863" i="120"/>
  <c r="N1863" i="120" s="1"/>
  <c r="H2494" i="120"/>
  <c r="N2494" i="120" s="1"/>
  <c r="F2851" i="120"/>
  <c r="H2851" i="120" s="1"/>
  <c r="N2851" i="120" s="1"/>
  <c r="H1805" i="120"/>
  <c r="N1805" i="120" s="1"/>
  <c r="F2162" i="120"/>
  <c r="F1812" i="120"/>
  <c r="H1455" i="120"/>
  <c r="N1455" i="120" s="1"/>
  <c r="H1468" i="120"/>
  <c r="N1468" i="120" s="1"/>
  <c r="F1825" i="120"/>
  <c r="F1858" i="120"/>
  <c r="H1501" i="120"/>
  <c r="N1501" i="120" s="1"/>
  <c r="F2496" i="120"/>
  <c r="H2139" i="120"/>
  <c r="N2139" i="120" s="1"/>
  <c r="F2176" i="120"/>
  <c r="H1819" i="120"/>
  <c r="N1819" i="120" s="1"/>
  <c r="F2186" i="120"/>
  <c r="H1829" i="120"/>
  <c r="N1829" i="120" s="1"/>
  <c r="F2195" i="120"/>
  <c r="H1838" i="120"/>
  <c r="N1838" i="120" s="1"/>
  <c r="F2534" i="120"/>
  <c r="H2534" i="120" s="1"/>
  <c r="N2534" i="120" s="1"/>
  <c r="H2177" i="120"/>
  <c r="N2177" i="120" s="1"/>
  <c r="F1790" i="120"/>
  <c r="G2524" i="120"/>
  <c r="H2524" i="120" s="1"/>
  <c r="N2524" i="120" s="1"/>
  <c r="H2167" i="120"/>
  <c r="N2167" i="120" s="1"/>
  <c r="F2538" i="120"/>
  <c r="H2538" i="120" s="1"/>
  <c r="N2538" i="120" s="1"/>
  <c r="H2181" i="120"/>
  <c r="N2181" i="120" s="1"/>
  <c r="F1815" i="120"/>
  <c r="H1458" i="120"/>
  <c r="N1458" i="120" s="1"/>
  <c r="H2184" i="120" l="1"/>
  <c r="N2184" i="120" s="1"/>
  <c r="F2541" i="120"/>
  <c r="H2541" i="120" s="1"/>
  <c r="N2541" i="120" s="1"/>
  <c r="N1790" i="120"/>
  <c r="F2172" i="120"/>
  <c r="H1815" i="120"/>
  <c r="N1815" i="120" s="1"/>
  <c r="H1812" i="120"/>
  <c r="N1812" i="120" s="1"/>
  <c r="F2169" i="120"/>
  <c r="F2544" i="120"/>
  <c r="H2544" i="120" s="1"/>
  <c r="N2544" i="120" s="1"/>
  <c r="H2187" i="120"/>
  <c r="N2187" i="120" s="1"/>
  <c r="F2581" i="120"/>
  <c r="H2581" i="120" s="1"/>
  <c r="N2581" i="120" s="1"/>
  <c r="H2224" i="120"/>
  <c r="N2224" i="120" s="1"/>
  <c r="F2519" i="120"/>
  <c r="H2519" i="120" s="1"/>
  <c r="N2519" i="120" s="1"/>
  <c r="H2162" i="120"/>
  <c r="N2162" i="120" s="1"/>
  <c r="F2849" i="120"/>
  <c r="H2849" i="120" s="1"/>
  <c r="N2849" i="120" s="1"/>
  <c r="H2492" i="120"/>
  <c r="N2492" i="120" s="1"/>
  <c r="H1825" i="120"/>
  <c r="N1825" i="120" s="1"/>
  <c r="F2182" i="120"/>
  <c r="F2147" i="120"/>
  <c r="F2533" i="120"/>
  <c r="H2533" i="120" s="1"/>
  <c r="N2533" i="120" s="1"/>
  <c r="H2176" i="120"/>
  <c r="N2176" i="120" s="1"/>
  <c r="F2853" i="120"/>
  <c r="H2853" i="120" s="1"/>
  <c r="N2853" i="120" s="1"/>
  <c r="H2496" i="120"/>
  <c r="N2496" i="120" s="1"/>
  <c r="F2552" i="120"/>
  <c r="H2552" i="120" s="1"/>
  <c r="N2552" i="120" s="1"/>
  <c r="H2195" i="120"/>
  <c r="N2195" i="120" s="1"/>
  <c r="F2215" i="120"/>
  <c r="H1858" i="120"/>
  <c r="N1858" i="120" s="1"/>
  <c r="H2493" i="120"/>
  <c r="N2493" i="120" s="1"/>
  <c r="F2850" i="120"/>
  <c r="H2850" i="120" s="1"/>
  <c r="N2850" i="120" s="1"/>
  <c r="F2543" i="120"/>
  <c r="H2543" i="120" s="1"/>
  <c r="N2543" i="120" s="1"/>
  <c r="H2186" i="120"/>
  <c r="N2186" i="120" s="1"/>
  <c r="H2220" i="120"/>
  <c r="N2220" i="120" s="1"/>
  <c r="F2577" i="120"/>
  <c r="H2577" i="120" s="1"/>
  <c r="N2577" i="120" s="1"/>
  <c r="N1804" i="120"/>
  <c r="F2518" i="120"/>
  <c r="H2161" i="120"/>
  <c r="H2213" i="120"/>
  <c r="N2213" i="120" s="1"/>
  <c r="F2570" i="120"/>
  <c r="H2570" i="120" s="1"/>
  <c r="N2570" i="120" s="1"/>
  <c r="N2161" i="120" l="1"/>
  <c r="H2172" i="120"/>
  <c r="N2172" i="120" s="1"/>
  <c r="F2529" i="120"/>
  <c r="H2529" i="120" s="1"/>
  <c r="N2529" i="120" s="1"/>
  <c r="H2518" i="120"/>
  <c r="F2526" i="120"/>
  <c r="H2526" i="120" s="1"/>
  <c r="N2526" i="120" s="1"/>
  <c r="H2169" i="120"/>
  <c r="N2169" i="120" s="1"/>
  <c r="F2504" i="120"/>
  <c r="H2147" i="120"/>
  <c r="N2147" i="120"/>
  <c r="F2572" i="120"/>
  <c r="H2572" i="120" s="1"/>
  <c r="N2572" i="120" s="1"/>
  <c r="H2215" i="120"/>
  <c r="N2215" i="120" s="1"/>
  <c r="H2182" i="120"/>
  <c r="N2182" i="120" s="1"/>
  <c r="F2539" i="120"/>
  <c r="H2539" i="120" s="1"/>
  <c r="N2539" i="120" s="1"/>
  <c r="F2861" i="120" l="1"/>
  <c r="N2518" i="120"/>
  <c r="N2861" i="120" s="1"/>
  <c r="H2861" i="120"/>
  <c r="H2504" i="120"/>
  <c r="N2504" i="120"/>
  <c r="P21" i="59"/>
  <c r="O21" i="59"/>
  <c r="F3" i="76" l="1"/>
  <c r="F2" i="76"/>
  <c r="B8" i="76"/>
  <c r="B9" i="76" s="1"/>
  <c r="S10" i="93" l="1"/>
  <c r="R10" i="93"/>
  <c r="Q10" i="93"/>
  <c r="P10" i="93"/>
  <c r="O10" i="93"/>
  <c r="M10" i="93"/>
  <c r="H10" i="93"/>
  <c r="E10" i="93"/>
  <c r="F54" i="67" l="1"/>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H78" i="67"/>
  <c r="F77" i="67"/>
  <c r="F76" i="67"/>
  <c r="F75" i="67"/>
  <c r="F72" i="67"/>
  <c r="F71" i="67"/>
  <c r="H70" i="67"/>
  <c r="F69" i="67"/>
  <c r="F66" i="67"/>
  <c r="G65" i="67"/>
  <c r="H64" i="67"/>
  <c r="F63" i="67"/>
  <c r="F60" i="67"/>
  <c r="H59" i="67"/>
  <c r="F58" i="67"/>
  <c r="G57" i="67"/>
  <c r="F53" i="67"/>
  <c r="F52" i="67"/>
  <c r="H51" i="67"/>
  <c r="H50" i="67"/>
  <c r="G72" i="67" l="1"/>
  <c r="H72" i="67"/>
  <c r="G78" i="67"/>
  <c r="F70" i="67"/>
  <c r="F65" i="67"/>
  <c r="G59" i="67"/>
  <c r="H69" i="67"/>
  <c r="F59" i="67"/>
  <c r="F78" i="67"/>
  <c r="G70" i="67"/>
  <c r="F57" i="67"/>
  <c r="G51" i="67"/>
  <c r="H77" i="67"/>
  <c r="H53" i="67"/>
  <c r="F51" i="67"/>
  <c r="G77" i="67"/>
  <c r="G69" i="67"/>
  <c r="H66" i="67"/>
  <c r="F64" i="67"/>
  <c r="H58" i="67"/>
  <c r="G53" i="67"/>
  <c r="E79" i="67"/>
  <c r="H75" i="67"/>
  <c r="G75" i="67"/>
  <c r="G64" i="67"/>
  <c r="F50" i="67"/>
  <c r="H71" i="67"/>
  <c r="G66" i="67"/>
  <c r="H63" i="67"/>
  <c r="G58" i="67"/>
  <c r="G50" i="67"/>
  <c r="H76" i="67"/>
  <c r="G71" i="67"/>
  <c r="G63" i="67"/>
  <c r="H60" i="67"/>
  <c r="H52" i="67"/>
  <c r="G76" i="67"/>
  <c r="H65" i="67"/>
  <c r="G60" i="67"/>
  <c r="H57" i="67"/>
  <c r="G52" i="67"/>
  <c r="H79" i="67" l="1"/>
  <c r="G79" i="67"/>
  <c r="F79" i="67"/>
  <c r="D174" i="59"/>
  <c r="D175" i="59" s="1"/>
  <c r="P37" i="81"/>
  <c r="O37" i="81"/>
  <c r="N25" i="59"/>
  <c r="N28" i="59" s="1"/>
  <c r="M25" i="59"/>
  <c r="M28" i="59" s="1"/>
  <c r="I25" i="59"/>
  <c r="I28" i="59" s="1"/>
  <c r="E25" i="59"/>
  <c r="K34" i="81"/>
  <c r="K36" i="81"/>
  <c r="K35" i="81"/>
  <c r="F39" i="81"/>
  <c r="G36" i="81"/>
  <c r="F25" i="59"/>
  <c r="F28" i="59" s="1"/>
  <c r="F31" i="81"/>
  <c r="O23" i="59"/>
  <c r="G23" i="59"/>
  <c r="E23" i="59"/>
  <c r="I12" i="59"/>
  <c r="G25" i="81"/>
  <c r="G20" i="59" s="1"/>
  <c r="E12" i="59"/>
  <c r="D186" i="59" l="1"/>
  <c r="D184" i="59"/>
  <c r="D177" i="59"/>
  <c r="G35" i="81"/>
  <c r="E25" i="81"/>
  <c r="E20" i="59" s="1"/>
  <c r="F20" i="59"/>
  <c r="F30" i="81"/>
  <c r="F23" i="59" s="1"/>
  <c r="F40" i="81"/>
  <c r="Q34" i="81"/>
  <c r="Q37" i="81" s="1"/>
  <c r="M23" i="59"/>
  <c r="J25" i="59"/>
  <c r="J28" i="59" s="1"/>
  <c r="D23" i="65"/>
  <c r="D24" i="65" l="1"/>
  <c r="E82" i="61"/>
  <c r="P14" i="58" l="1"/>
  <c r="Q14" i="58" s="1"/>
  <c r="E81" i="61"/>
  <c r="M31" i="72"/>
  <c r="L31" i="72"/>
  <c r="N14" i="58" l="1"/>
  <c r="J29" i="72"/>
  <c r="N29" i="72" s="1"/>
  <c r="E84" i="61" l="1"/>
  <c r="O92" i="59"/>
  <c r="O91" i="59"/>
  <c r="O90" i="59"/>
  <c r="O89" i="59"/>
  <c r="K38" i="60"/>
  <c r="K37" i="60"/>
  <c r="K36" i="60"/>
  <c r="K35" i="60"/>
  <c r="K34" i="60"/>
  <c r="K33" i="60"/>
  <c r="K32" i="60"/>
  <c r="K31" i="60"/>
  <c r="K30" i="60"/>
  <c r="K29" i="60"/>
  <c r="L24" i="60"/>
  <c r="N43" i="59"/>
  <c r="O105" i="59" l="1"/>
  <c r="N124" i="60"/>
  <c r="K124" i="60" s="1"/>
  <c r="L54" i="60"/>
  <c r="Q55" i="59"/>
  <c r="N123" i="60"/>
  <c r="K123" i="60" s="1"/>
  <c r="L40" i="60"/>
  <c r="L97" i="60"/>
  <c r="L138" i="60"/>
  <c r="L112" i="60"/>
  <c r="Q65" i="59"/>
  <c r="N118" i="60"/>
  <c r="K118" i="60" s="1"/>
  <c r="L23" i="60"/>
  <c r="L26" i="60" s="1"/>
  <c r="Q44" i="59"/>
  <c r="N116" i="60"/>
  <c r="K116" i="60" s="1"/>
  <c r="N122" i="60"/>
  <c r="K122" i="60" s="1"/>
  <c r="N115" i="60"/>
  <c r="K115" i="60" s="1"/>
  <c r="N117" i="60"/>
  <c r="K117" i="60" s="1"/>
  <c r="O70" i="59"/>
  <c r="N120" i="60"/>
  <c r="K120" i="60" s="1"/>
  <c r="Q101" i="59"/>
  <c r="N119" i="60"/>
  <c r="K119" i="60" s="1"/>
  <c r="N121" i="60"/>
  <c r="K121" i="60" s="1"/>
  <c r="L125" i="60"/>
  <c r="N125" i="60" l="1"/>
  <c r="K125" i="60"/>
  <c r="V41" i="117" l="1"/>
  <c r="V42" i="117"/>
  <c r="V43" i="117"/>
  <c r="V44" i="117"/>
  <c r="V45" i="117"/>
  <c r="V46" i="117"/>
  <c r="V47" i="117"/>
  <c r="V48" i="117"/>
  <c r="V49" i="117"/>
  <c r="V50" i="117"/>
  <c r="V51" i="117"/>
  <c r="V52" i="117"/>
  <c r="V53" i="117"/>
  <c r="V54" i="117"/>
  <c r="V55" i="117"/>
  <c r="V56" i="117"/>
  <c r="V40" i="117"/>
  <c r="Q41" i="117"/>
  <c r="Q42" i="117"/>
  <c r="Q43" i="117"/>
  <c r="Q44" i="117"/>
  <c r="Q45" i="117"/>
  <c r="Q46" i="117"/>
  <c r="Q47" i="117"/>
  <c r="Q48" i="117"/>
  <c r="Q49" i="117"/>
  <c r="Q50" i="117"/>
  <c r="Q51" i="117"/>
  <c r="Q52" i="117"/>
  <c r="Q53" i="117"/>
  <c r="Q54" i="117"/>
  <c r="Q55" i="117"/>
  <c r="Q56" i="117"/>
  <c r="Q40" i="117"/>
  <c r="L41" i="117"/>
  <c r="L42" i="117"/>
  <c r="L43" i="117"/>
  <c r="L44" i="117"/>
  <c r="L45" i="117"/>
  <c r="L46" i="117"/>
  <c r="L47" i="117"/>
  <c r="L48" i="117"/>
  <c r="L49" i="117"/>
  <c r="L50" i="117"/>
  <c r="L51" i="117"/>
  <c r="L52" i="117"/>
  <c r="L53" i="117"/>
  <c r="L54" i="117"/>
  <c r="L55" i="117"/>
  <c r="L56" i="117"/>
  <c r="L40" i="117"/>
  <c r="G40" i="117"/>
  <c r="G41" i="117"/>
  <c r="G42" i="117"/>
  <c r="G43" i="117"/>
  <c r="G44" i="117"/>
  <c r="G45" i="117"/>
  <c r="G46" i="117"/>
  <c r="G47" i="117"/>
  <c r="G48" i="117"/>
  <c r="G49" i="117"/>
  <c r="G50" i="117"/>
  <c r="G51" i="117"/>
  <c r="G52" i="117"/>
  <c r="G53" i="117"/>
  <c r="G54" i="117"/>
  <c r="G55" i="117"/>
  <c r="G56" i="117"/>
  <c r="I19" i="65" l="1"/>
  <c r="H19" i="65"/>
  <c r="G19" i="65"/>
  <c r="F19" i="65"/>
  <c r="E19" i="65"/>
  <c r="I174" i="59"/>
  <c r="I175" i="59" s="1"/>
  <c r="H174" i="59"/>
  <c r="H175" i="59" s="1"/>
  <c r="G174" i="59"/>
  <c r="G175" i="59" s="1"/>
  <c r="F174" i="59"/>
  <c r="F175" i="59" s="1"/>
  <c r="E174" i="59"/>
  <c r="E175" i="59" s="1"/>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E186" i="59" l="1"/>
  <c r="E184" i="59"/>
  <c r="G186" i="59"/>
  <c r="G184" i="59"/>
  <c r="H186" i="59"/>
  <c r="H184" i="59"/>
  <c r="F186" i="59"/>
  <c r="F184" i="59"/>
  <c r="I186" i="59"/>
  <c r="I184" i="59"/>
  <c r="H177" i="59"/>
  <c r="I177" i="59"/>
  <c r="G177" i="59"/>
  <c r="E177" i="59"/>
  <c r="F177" i="59"/>
  <c r="M17" i="65" l="1"/>
  <c r="M13" i="58" s="1"/>
  <c r="I17" i="65"/>
  <c r="I13" i="58" s="1"/>
  <c r="E17" i="65"/>
  <c r="I44" i="66"/>
  <c r="H44" i="66"/>
  <c r="G44" i="66"/>
  <c r="F44" i="66"/>
  <c r="E44" i="66"/>
  <c r="E51" i="66" s="1"/>
  <c r="K10" i="66" s="1"/>
  <c r="W12" i="66"/>
  <c r="P15" i="65"/>
  <c r="O15" i="65"/>
  <c r="K15" i="65"/>
  <c r="L15" i="65" s="1"/>
  <c r="G15" i="65"/>
  <c r="H15" i="65" s="1"/>
  <c r="Q16" i="65"/>
  <c r="R16" i="65" s="1"/>
  <c r="L16" i="65"/>
  <c r="H16" i="65"/>
  <c r="E12" i="78"/>
  <c r="D12" i="78"/>
  <c r="B12" i="58"/>
  <c r="B13" i="58" s="1"/>
  <c r="B14" i="58" s="1"/>
  <c r="B15" i="58" s="1"/>
  <c r="B16" i="58" s="1"/>
  <c r="B17" i="58" s="1"/>
  <c r="B18" i="58" s="1"/>
  <c r="B19" i="58" s="1"/>
  <c r="B20" i="58" s="1"/>
  <c r="B21" i="58" s="1"/>
  <c r="B22" i="58" s="1"/>
  <c r="B23" i="58" s="1"/>
  <c r="B24" i="58" s="1"/>
  <c r="B25" i="58" s="1"/>
  <c r="B26" i="58" s="1"/>
  <c r="B27" i="58" s="1"/>
  <c r="E13" i="78" l="1"/>
  <c r="D13" i="78" s="1"/>
  <c r="Q15" i="65"/>
  <c r="R15" i="65" s="1"/>
  <c r="L10" i="66"/>
  <c r="S11" i="65"/>
  <c r="S10" i="65" s="1"/>
  <c r="G51" i="66"/>
  <c r="O10" i="66" s="1"/>
  <c r="H51" i="66"/>
  <c r="Q10" i="66" s="1"/>
  <c r="F51" i="66"/>
  <c r="M10" i="66" s="1"/>
  <c r="P10" i="65" s="1"/>
  <c r="I51" i="66"/>
  <c r="S10" i="66" s="1"/>
  <c r="W11" i="65" s="1"/>
  <c r="W10" i="65" s="1"/>
  <c r="W13" i="66"/>
  <c r="W16" i="66"/>
  <c r="W15" i="66"/>
  <c r="W14" i="66"/>
  <c r="B72" i="60"/>
  <c r="B73" i="60" s="1"/>
  <c r="B74" i="60" s="1"/>
  <c r="B75" i="60" s="1"/>
  <c r="B76" i="60" s="1"/>
  <c r="B77" i="60" s="1"/>
  <c r="B78" i="60" s="1"/>
  <c r="B79" i="60" s="1"/>
  <c r="B80" i="60" s="1"/>
  <c r="B81" i="60" s="1"/>
  <c r="B58" i="60"/>
  <c r="B59" i="60" s="1"/>
  <c r="B60" i="60" s="1"/>
  <c r="B61" i="60" s="1"/>
  <c r="B62" i="60" s="1"/>
  <c r="B63" i="60" s="1"/>
  <c r="B64" i="60" s="1"/>
  <c r="B65" i="60" s="1"/>
  <c r="B66" i="60" s="1"/>
  <c r="B67" i="60" s="1"/>
  <c r="K18" i="55"/>
  <c r="O10" i="65" l="1"/>
  <c r="Q10" i="65" s="1"/>
  <c r="T11" i="65"/>
  <c r="T10" i="65" s="1"/>
  <c r="N10" i="66"/>
  <c r="T10" i="66"/>
  <c r="R10" i="66"/>
  <c r="V11" i="65"/>
  <c r="V10" i="65" s="1"/>
  <c r="U11" i="65"/>
  <c r="U10" i="65" s="1"/>
  <c r="P10" i="66"/>
  <c r="W17" i="66"/>
  <c r="I23" i="59" l="1"/>
  <c r="H18" i="55" l="1"/>
  <c r="O16" i="81" l="1"/>
  <c r="V95" i="117" l="1"/>
  <c r="V96" i="117"/>
  <c r="V97" i="117"/>
  <c r="V98" i="117"/>
  <c r="V99" i="117"/>
  <c r="V100" i="117"/>
  <c r="V101" i="117"/>
  <c r="V102" i="117"/>
  <c r="V103" i="117"/>
  <c r="V104" i="117"/>
  <c r="V105" i="117"/>
  <c r="V106" i="117"/>
  <c r="V107" i="117"/>
  <c r="V108" i="117"/>
  <c r="V109" i="117"/>
  <c r="V110" i="117"/>
  <c r="V111" i="117"/>
  <c r="Q95" i="117"/>
  <c r="Q96" i="117"/>
  <c r="Q97" i="117"/>
  <c r="Q98" i="117"/>
  <c r="Q99" i="117"/>
  <c r="Q100" i="117"/>
  <c r="Q101" i="117"/>
  <c r="Q102" i="117"/>
  <c r="Q103" i="117"/>
  <c r="Q104" i="117"/>
  <c r="Q105" i="117"/>
  <c r="Q106" i="117"/>
  <c r="Q107" i="117"/>
  <c r="Q108" i="117"/>
  <c r="Q109" i="117"/>
  <c r="Q110" i="117"/>
  <c r="Q111" i="117"/>
  <c r="L95" i="117"/>
  <c r="L96" i="117"/>
  <c r="L97" i="117"/>
  <c r="L98" i="117"/>
  <c r="L99" i="117"/>
  <c r="L100" i="117"/>
  <c r="L101" i="117"/>
  <c r="L102" i="117"/>
  <c r="L103" i="117"/>
  <c r="L104" i="117"/>
  <c r="L105" i="117"/>
  <c r="L106" i="117"/>
  <c r="L107" i="117"/>
  <c r="L108" i="117"/>
  <c r="L109" i="117"/>
  <c r="L110" i="117"/>
  <c r="L111" i="117"/>
  <c r="G95" i="117"/>
  <c r="G96" i="117"/>
  <c r="G97" i="117"/>
  <c r="G98" i="117"/>
  <c r="G99" i="117"/>
  <c r="G100" i="117"/>
  <c r="G101" i="117"/>
  <c r="G102" i="117"/>
  <c r="G103" i="117"/>
  <c r="G104" i="117"/>
  <c r="G105" i="117"/>
  <c r="G106" i="117"/>
  <c r="G107" i="117"/>
  <c r="G108" i="117"/>
  <c r="G109" i="117"/>
  <c r="G110" i="117"/>
  <c r="G111" i="117"/>
  <c r="Q68" i="117" l="1"/>
  <c r="Q69" i="117"/>
  <c r="Q70" i="117"/>
  <c r="Q71" i="117"/>
  <c r="Q72" i="117"/>
  <c r="Q73" i="117"/>
  <c r="Q74" i="117"/>
  <c r="Q75" i="117"/>
  <c r="Q76" i="117"/>
  <c r="Q77" i="117"/>
  <c r="Q78" i="117"/>
  <c r="Q79" i="117"/>
  <c r="Q80" i="117"/>
  <c r="Q81" i="117"/>
  <c r="Q82" i="117"/>
  <c r="Q83" i="117"/>
  <c r="Q84" i="117"/>
  <c r="V15" i="117"/>
  <c r="V16" i="117"/>
  <c r="V17" i="117"/>
  <c r="V18" i="117"/>
  <c r="V19" i="117"/>
  <c r="V20" i="117"/>
  <c r="V21" i="117"/>
  <c r="V22" i="117"/>
  <c r="V23" i="117"/>
  <c r="V24" i="117"/>
  <c r="V25" i="117"/>
  <c r="V26" i="117"/>
  <c r="V27" i="117"/>
  <c r="V28" i="117"/>
  <c r="V29" i="117"/>
  <c r="V30" i="117"/>
  <c r="V14" i="117"/>
  <c r="P15" i="117"/>
  <c r="Q15" i="117"/>
  <c r="P16" i="117"/>
  <c r="Q16" i="117"/>
  <c r="P17" i="117"/>
  <c r="Q17" i="117"/>
  <c r="P18" i="117"/>
  <c r="Q18" i="117"/>
  <c r="P19" i="117"/>
  <c r="Q19" i="117"/>
  <c r="P20" i="117"/>
  <c r="Q20" i="117"/>
  <c r="P21" i="117"/>
  <c r="Q21" i="117"/>
  <c r="P22" i="117"/>
  <c r="Q22" i="117"/>
  <c r="P23" i="117"/>
  <c r="Q23" i="117"/>
  <c r="P24" i="117"/>
  <c r="Q24" i="117"/>
  <c r="P25" i="117"/>
  <c r="Q25" i="117"/>
  <c r="P26" i="117"/>
  <c r="Q26" i="117"/>
  <c r="P27" i="117"/>
  <c r="Q27" i="117"/>
  <c r="P28" i="117"/>
  <c r="Q28" i="117"/>
  <c r="P29" i="117"/>
  <c r="Q29" i="117"/>
  <c r="P30" i="117"/>
  <c r="Q30" i="117"/>
  <c r="Q14" i="117"/>
  <c r="O15" i="117"/>
  <c r="O16" i="117"/>
  <c r="O17" i="117"/>
  <c r="O18" i="117"/>
  <c r="O19" i="117"/>
  <c r="O20" i="117"/>
  <c r="O21" i="117"/>
  <c r="O22" i="117"/>
  <c r="O23" i="117"/>
  <c r="O24" i="117"/>
  <c r="O25" i="117"/>
  <c r="O26" i="117"/>
  <c r="O27" i="117"/>
  <c r="O28" i="117"/>
  <c r="O29" i="117"/>
  <c r="O30" i="117"/>
  <c r="P14" i="117"/>
  <c r="O14" i="117"/>
  <c r="L14" i="117"/>
  <c r="L84" i="117" l="1"/>
  <c r="G84" i="117"/>
  <c r="L83" i="117"/>
  <c r="G83" i="117"/>
  <c r="L82" i="117"/>
  <c r="G82" i="117"/>
  <c r="L81" i="117"/>
  <c r="G81" i="117"/>
  <c r="L80" i="117"/>
  <c r="G80" i="117"/>
  <c r="L79" i="117"/>
  <c r="G79" i="117"/>
  <c r="L78" i="117"/>
  <c r="G78" i="117"/>
  <c r="L77" i="117"/>
  <c r="G77" i="117"/>
  <c r="L76" i="117"/>
  <c r="G76" i="117"/>
  <c r="L75" i="117"/>
  <c r="G75" i="117"/>
  <c r="L74" i="117"/>
  <c r="G74" i="117"/>
  <c r="L73" i="117"/>
  <c r="G73" i="117"/>
  <c r="L72" i="117"/>
  <c r="G72" i="117"/>
  <c r="L71" i="117"/>
  <c r="G71" i="117"/>
  <c r="L70" i="117"/>
  <c r="G70" i="117"/>
  <c r="L69" i="117"/>
  <c r="G69" i="117"/>
  <c r="G123" i="117" s="1"/>
  <c r="L68" i="117"/>
  <c r="G68" i="117"/>
  <c r="G163" i="117"/>
  <c r="G159" i="117"/>
  <c r="G156" i="117"/>
  <c r="G155" i="117"/>
  <c r="G154" i="117"/>
  <c r="G152" i="117"/>
  <c r="G151" i="117"/>
  <c r="Q138" i="117"/>
  <c r="L30" i="117"/>
  <c r="G30" i="117"/>
  <c r="Q137" i="117"/>
  <c r="L29" i="117"/>
  <c r="G29" i="117"/>
  <c r="L28" i="117"/>
  <c r="G28" i="117"/>
  <c r="L27" i="117"/>
  <c r="G27" i="117"/>
  <c r="L26" i="117"/>
  <c r="L134" i="117" s="1"/>
  <c r="G26" i="117"/>
  <c r="Q133" i="117"/>
  <c r="L25" i="117"/>
  <c r="L133" i="117" s="1"/>
  <c r="G25" i="117"/>
  <c r="Q132" i="117"/>
  <c r="L24" i="117"/>
  <c r="G24" i="117"/>
  <c r="Q131" i="117"/>
  <c r="L23" i="117"/>
  <c r="G23" i="117"/>
  <c r="Q130" i="117"/>
  <c r="L22" i="117"/>
  <c r="G22" i="117"/>
  <c r="Q129" i="117"/>
  <c r="L21" i="117"/>
  <c r="L129" i="117" s="1"/>
  <c r="G21" i="117"/>
  <c r="L20" i="117"/>
  <c r="G20" i="117"/>
  <c r="L19" i="117"/>
  <c r="G19" i="117"/>
  <c r="Q126" i="117"/>
  <c r="L18" i="117"/>
  <c r="G18" i="117"/>
  <c r="L17" i="117"/>
  <c r="L125" i="117" s="1"/>
  <c r="G17" i="117"/>
  <c r="Q124" i="117"/>
  <c r="L16" i="117"/>
  <c r="G16" i="117"/>
  <c r="Q123" i="117"/>
  <c r="L15" i="117"/>
  <c r="G15" i="117"/>
  <c r="G14" i="117"/>
  <c r="K5" i="117"/>
  <c r="K4" i="117"/>
  <c r="V165" i="117"/>
  <c r="U165" i="117"/>
  <c r="T165" i="117"/>
  <c r="Q165" i="117"/>
  <c r="P165" i="117"/>
  <c r="O165" i="117"/>
  <c r="L165" i="117"/>
  <c r="K165" i="117"/>
  <c r="J165" i="117"/>
  <c r="B149" i="117"/>
  <c r="B150" i="117" s="1"/>
  <c r="B151" i="117" s="1"/>
  <c r="B152" i="117" s="1"/>
  <c r="B153" i="117" s="1"/>
  <c r="B154" i="117" s="1"/>
  <c r="B155" i="117" s="1"/>
  <c r="B156" i="117" s="1"/>
  <c r="B157" i="117" s="1"/>
  <c r="B158" i="117" s="1"/>
  <c r="B159" i="117" s="1"/>
  <c r="B160" i="117" s="1"/>
  <c r="B161" i="117" s="1"/>
  <c r="B162" i="117" s="1"/>
  <c r="B163" i="117" s="1"/>
  <c r="B164" i="117" s="1"/>
  <c r="B123" i="117"/>
  <c r="B124" i="117" s="1"/>
  <c r="B125" i="117" s="1"/>
  <c r="B126" i="117" s="1"/>
  <c r="B127" i="117" s="1"/>
  <c r="B128" i="117" s="1"/>
  <c r="B129" i="117" s="1"/>
  <c r="B130" i="117" s="1"/>
  <c r="B131" i="117" s="1"/>
  <c r="B132" i="117" s="1"/>
  <c r="B133" i="117" s="1"/>
  <c r="B134" i="117" s="1"/>
  <c r="B135" i="117" s="1"/>
  <c r="B136" i="117" s="1"/>
  <c r="B137" i="117" s="1"/>
  <c r="B138" i="117" s="1"/>
  <c r="B96" i="117"/>
  <c r="B97" i="117" s="1"/>
  <c r="B98" i="117" s="1"/>
  <c r="B99" i="117" s="1"/>
  <c r="B100" i="117" s="1"/>
  <c r="B101" i="117" s="1"/>
  <c r="B102" i="117" s="1"/>
  <c r="B103" i="117" s="1"/>
  <c r="B104" i="117" s="1"/>
  <c r="B105" i="117" s="1"/>
  <c r="B106" i="117" s="1"/>
  <c r="B107" i="117" s="1"/>
  <c r="B108" i="117" s="1"/>
  <c r="B109" i="117" s="1"/>
  <c r="B110" i="117" s="1"/>
  <c r="B111" i="117" s="1"/>
  <c r="Q85" i="117"/>
  <c r="B69" i="117"/>
  <c r="B70" i="117" s="1"/>
  <c r="B71" i="117" s="1"/>
  <c r="B72" i="117" s="1"/>
  <c r="B73" i="117" s="1"/>
  <c r="B74" i="117" s="1"/>
  <c r="B75" i="117" s="1"/>
  <c r="B76" i="117" s="1"/>
  <c r="B77" i="117" s="1"/>
  <c r="B78" i="117" s="1"/>
  <c r="B79" i="117" s="1"/>
  <c r="B80" i="117" s="1"/>
  <c r="B81" i="117" s="1"/>
  <c r="B82" i="117" s="1"/>
  <c r="B83" i="117" s="1"/>
  <c r="B84" i="117" s="1"/>
  <c r="B41" i="117"/>
  <c r="B42" i="117" s="1"/>
  <c r="B43" i="117" s="1"/>
  <c r="B44" i="117" s="1"/>
  <c r="B45" i="117" s="1"/>
  <c r="B46" i="117" s="1"/>
  <c r="B47" i="117" s="1"/>
  <c r="B48" i="117" s="1"/>
  <c r="B49" i="117" s="1"/>
  <c r="B50" i="117" s="1"/>
  <c r="B51" i="117" s="1"/>
  <c r="B52" i="117" s="1"/>
  <c r="B53" i="117" s="1"/>
  <c r="B54" i="117" s="1"/>
  <c r="B55" i="117" s="1"/>
  <c r="B56" i="117" s="1"/>
  <c r="Q128" i="117"/>
  <c r="Q127" i="117"/>
  <c r="B15" i="117"/>
  <c r="B16" i="117" s="1"/>
  <c r="B17" i="117" s="1"/>
  <c r="B18" i="117" s="1"/>
  <c r="B19" i="117" s="1"/>
  <c r="B20" i="117" s="1"/>
  <c r="B21" i="117" s="1"/>
  <c r="B22" i="117" s="1"/>
  <c r="B23" i="117" s="1"/>
  <c r="B24" i="117" s="1"/>
  <c r="B25" i="117" s="1"/>
  <c r="B26" i="117" s="1"/>
  <c r="B27" i="117" s="1"/>
  <c r="B28" i="117" s="1"/>
  <c r="B29" i="117" s="1"/>
  <c r="B30" i="117" s="1"/>
  <c r="G131" i="117" l="1"/>
  <c r="Q57" i="117"/>
  <c r="G124" i="117"/>
  <c r="G132" i="117"/>
  <c r="L128" i="117"/>
  <c r="L135" i="117"/>
  <c r="G130" i="117"/>
  <c r="G127" i="117"/>
  <c r="L85" i="117"/>
  <c r="L130" i="117"/>
  <c r="G137" i="117"/>
  <c r="G125" i="117"/>
  <c r="G133" i="117"/>
  <c r="G164" i="117"/>
  <c r="L124" i="117"/>
  <c r="L132" i="117"/>
  <c r="G153" i="117"/>
  <c r="G150" i="117"/>
  <c r="G162" i="117"/>
  <c r="G161" i="117"/>
  <c r="G136" i="117"/>
  <c r="V112" i="117"/>
  <c r="G126" i="117"/>
  <c r="G134" i="117"/>
  <c r="G149" i="117"/>
  <c r="G157" i="117"/>
  <c r="Q112" i="117"/>
  <c r="L138" i="117"/>
  <c r="L123" i="117"/>
  <c r="L131" i="117"/>
  <c r="Q122" i="117"/>
  <c r="Q31" i="117"/>
  <c r="L57" i="117"/>
  <c r="V57" i="117"/>
  <c r="O31" i="117"/>
  <c r="G148" i="117"/>
  <c r="G57" i="117"/>
  <c r="L122" i="117"/>
  <c r="L31" i="117"/>
  <c r="V31" i="117"/>
  <c r="P31" i="117"/>
  <c r="G31" i="117"/>
  <c r="L127" i="117"/>
  <c r="G128" i="117"/>
  <c r="Q134" i="117"/>
  <c r="G122" i="117"/>
  <c r="Q136" i="117"/>
  <c r="L137" i="117"/>
  <c r="G138" i="117"/>
  <c r="Q125" i="117"/>
  <c r="L126" i="117"/>
  <c r="G135" i="117"/>
  <c r="G85" i="117"/>
  <c r="G129" i="117"/>
  <c r="Q135" i="117"/>
  <c r="L136" i="117"/>
  <c r="G112" i="117"/>
  <c r="G158" i="117"/>
  <c r="G160" i="117"/>
  <c r="L112" i="117"/>
  <c r="E2" i="105"/>
  <c r="E2" i="106"/>
  <c r="E2" i="107"/>
  <c r="E2" i="108"/>
  <c r="E2" i="109"/>
  <c r="E2" i="110"/>
  <c r="E2" i="111"/>
  <c r="E2" i="112"/>
  <c r="E2" i="104"/>
  <c r="P4" i="116"/>
  <c r="Q139" i="117" l="1"/>
  <c r="G165" i="117"/>
  <c r="G139" i="117"/>
  <c r="L139" i="117"/>
  <c r="P5" i="116"/>
  <c r="B17" i="116" l="1"/>
  <c r="B18" i="116" s="1"/>
  <c r="B19" i="116" s="1"/>
  <c r="B20" i="116" s="1"/>
  <c r="B21" i="116" s="1"/>
  <c r="B22" i="116" s="1"/>
  <c r="B23" i="116" s="1"/>
  <c r="B24" i="116" s="1"/>
  <c r="B25" i="116" s="1"/>
  <c r="B26" i="116" s="1"/>
  <c r="B27" i="116" s="1"/>
  <c r="B28" i="116" s="1"/>
  <c r="B29" i="116" s="1"/>
  <c r="B30" i="116" s="1"/>
  <c r="B31" i="116" s="1"/>
  <c r="B32" i="116" s="1"/>
  <c r="L33" i="116"/>
  <c r="Q33" i="116"/>
  <c r="V33" i="116"/>
  <c r="AA33" i="116"/>
  <c r="F44" i="116"/>
  <c r="B45" i="116"/>
  <c r="B46" i="116" s="1"/>
  <c r="B47" i="116" s="1"/>
  <c r="B48" i="116" s="1"/>
  <c r="B49" i="116" s="1"/>
  <c r="B50" i="116" s="1"/>
  <c r="B51" i="116" s="1"/>
  <c r="B52" i="116" s="1"/>
  <c r="B53" i="116" s="1"/>
  <c r="B54" i="116" s="1"/>
  <c r="B55" i="116" s="1"/>
  <c r="B56" i="116" s="1"/>
  <c r="B57" i="116" s="1"/>
  <c r="B58" i="116" s="1"/>
  <c r="B59" i="116" s="1"/>
  <c r="B60" i="116" s="1"/>
  <c r="F45" i="116"/>
  <c r="F46" i="116"/>
  <c r="F47" i="116"/>
  <c r="F48" i="116"/>
  <c r="F49" i="116"/>
  <c r="F50" i="116"/>
  <c r="F51" i="116"/>
  <c r="F52" i="116"/>
  <c r="F53" i="116"/>
  <c r="F54" i="116"/>
  <c r="F55" i="116"/>
  <c r="F56" i="116"/>
  <c r="F57" i="116"/>
  <c r="F58" i="116"/>
  <c r="F60" i="116"/>
  <c r="G61" i="116"/>
  <c r="L61" i="116"/>
  <c r="Q61" i="116"/>
  <c r="V61" i="116"/>
  <c r="B71" i="116"/>
  <c r="B72" i="116" s="1"/>
  <c r="B73" i="116" s="1"/>
  <c r="B74" i="116" s="1"/>
  <c r="B75" i="116" s="1"/>
  <c r="B76" i="116" s="1"/>
  <c r="B77" i="116" s="1"/>
  <c r="B78" i="116" s="1"/>
  <c r="B79" i="116" s="1"/>
  <c r="B80" i="116" s="1"/>
  <c r="B81" i="116" s="1"/>
  <c r="B82" i="116" s="1"/>
  <c r="B83" i="116" s="1"/>
  <c r="B84" i="116" s="1"/>
  <c r="B85" i="116" s="1"/>
  <c r="B86" i="116" s="1"/>
  <c r="D86" i="116"/>
  <c r="G87" i="116"/>
  <c r="L87" i="116"/>
  <c r="Q87" i="116"/>
  <c r="V87" i="116"/>
  <c r="AA87" i="116"/>
  <c r="B4" i="115" l="1"/>
  <c r="B5" i="114"/>
  <c r="B9" i="115"/>
  <c r="B10" i="115" s="1"/>
  <c r="B11" i="115" s="1"/>
  <c r="B12" i="115" s="1"/>
  <c r="B13" i="115" s="1"/>
  <c r="B14" i="115" s="1"/>
  <c r="B15" i="115" s="1"/>
  <c r="B16" i="115" s="1"/>
  <c r="B17" i="115" s="1"/>
  <c r="B18" i="115" s="1"/>
  <c r="B19" i="115" s="1"/>
  <c r="B20" i="115" s="1"/>
  <c r="B15" i="114"/>
  <c r="T39" i="112"/>
  <c r="B64" i="55"/>
  <c r="B65" i="55" s="1"/>
  <c r="B55" i="55"/>
  <c r="B56" i="55" s="1"/>
  <c r="B57" i="55" s="1"/>
  <c r="B58" i="55"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K30" i="117" l="1"/>
  <c r="J30" i="117"/>
  <c r="K29" i="117"/>
  <c r="J29" i="117"/>
  <c r="K28" i="117"/>
  <c r="J28" i="117"/>
  <c r="K27" i="117"/>
  <c r="J27" i="117"/>
  <c r="K26" i="117"/>
  <c r="J26" i="117"/>
  <c r="K25" i="117"/>
  <c r="J25" i="117"/>
  <c r="K24" i="117"/>
  <c r="J24" i="117"/>
  <c r="K23" i="117"/>
  <c r="J23" i="117"/>
  <c r="K22" i="117"/>
  <c r="J22" i="117"/>
  <c r="K21" i="117"/>
  <c r="J21" i="117"/>
  <c r="K20" i="117"/>
  <c r="J20" i="117"/>
  <c r="K19" i="117"/>
  <c r="J19" i="117"/>
  <c r="K18" i="117"/>
  <c r="J18" i="117"/>
  <c r="K17" i="117"/>
  <c r="J17" i="117"/>
  <c r="K16" i="117"/>
  <c r="J16" i="117"/>
  <c r="K15" i="117"/>
  <c r="J15" i="117"/>
  <c r="K14" i="117"/>
  <c r="J14" i="117"/>
  <c r="J31" i="117" l="1"/>
  <c r="K31" i="117"/>
  <c r="D79" i="67" l="1"/>
  <c r="I17" i="55"/>
  <c r="I20" i="61"/>
  <c r="G20" i="61"/>
  <c r="M35" i="59"/>
  <c r="M34" i="59"/>
  <c r="I35" i="59"/>
  <c r="I34" i="59"/>
  <c r="M41" i="59"/>
  <c r="M39" i="59"/>
  <c r="N39" i="59" s="1"/>
  <c r="M37" i="81"/>
  <c r="I41" i="59"/>
  <c r="I39" i="59"/>
  <c r="J39" i="59" s="1"/>
  <c r="I37" i="81"/>
  <c r="D168" i="59" l="1"/>
  <c r="N41" i="59"/>
  <c r="V18" i="54"/>
  <c r="U18" i="54"/>
  <c r="I48" i="81"/>
  <c r="I42" i="81"/>
  <c r="I45" i="81" s="1"/>
  <c r="M48" i="81"/>
  <c r="M42" i="81"/>
  <c r="M45" i="81" s="1"/>
  <c r="M20" i="59"/>
  <c r="N20" i="59" s="1"/>
  <c r="O20" i="59" s="1"/>
  <c r="P20" i="59" s="1"/>
  <c r="Q20" i="59" s="1"/>
  <c r="N25" i="81"/>
  <c r="M22" i="59"/>
  <c r="J41" i="59"/>
  <c r="J56" i="81"/>
  <c r="M33" i="59" l="1"/>
  <c r="M36" i="59" s="1"/>
  <c r="M37" i="59" s="1"/>
  <c r="I33" i="59"/>
  <c r="I36" i="59" s="1"/>
  <c r="I37" i="59" s="1"/>
  <c r="Q17" i="91" l="1"/>
  <c r="E20" i="61"/>
  <c r="E43" i="59" l="1"/>
  <c r="E41" i="59"/>
  <c r="E39" i="59"/>
  <c r="G34" i="81" l="1"/>
  <c r="F30" i="117" l="1"/>
  <c r="E30" i="117"/>
  <c r="F29" i="117"/>
  <c r="E29" i="117"/>
  <c r="F28" i="117"/>
  <c r="E28" i="117"/>
  <c r="F27" i="117"/>
  <c r="E27" i="117"/>
  <c r="F26" i="117"/>
  <c r="E26" i="117"/>
  <c r="F25" i="117"/>
  <c r="E25" i="117"/>
  <c r="F24" i="117"/>
  <c r="E24" i="117"/>
  <c r="F23" i="117"/>
  <c r="E23" i="117"/>
  <c r="F22" i="117"/>
  <c r="E22" i="117"/>
  <c r="F21" i="117"/>
  <c r="E21" i="117"/>
  <c r="F20" i="117"/>
  <c r="E20" i="117"/>
  <c r="F19" i="117"/>
  <c r="E19" i="117"/>
  <c r="F18" i="117"/>
  <c r="E18" i="117"/>
  <c r="F17" i="117"/>
  <c r="E17" i="117"/>
  <c r="F16" i="117"/>
  <c r="E16" i="117"/>
  <c r="F15" i="117"/>
  <c r="E15" i="117"/>
  <c r="F14" i="117"/>
  <c r="E14" i="117"/>
  <c r="Q8" i="91" l="1"/>
  <c r="Q11" i="91"/>
  <c r="F31" i="117"/>
  <c r="E31" i="117"/>
  <c r="E26" i="75"/>
  <c r="Q20" i="91"/>
  <c r="E28" i="91" l="1"/>
  <c r="N3" i="58" l="1"/>
  <c r="F41" i="59" l="1"/>
  <c r="H42" i="59" s="1"/>
  <c r="E64" i="59"/>
  <c r="E63" i="59"/>
  <c r="F39" i="59"/>
  <c r="E33" i="59"/>
  <c r="F43" i="59" l="1"/>
  <c r="E24" i="60" s="1"/>
  <c r="E15" i="54" l="1"/>
  <c r="F19" i="59" l="1"/>
  <c r="F18" i="59"/>
  <c r="F16" i="59"/>
  <c r="F15" i="59"/>
  <c r="E31" i="70" l="1"/>
  <c r="E12" i="93" s="1"/>
  <c r="E14" i="93" l="1"/>
  <c r="E12" i="55" l="1"/>
  <c r="E15" i="93"/>
  <c r="E17" i="54"/>
  <c r="E315" i="54"/>
  <c r="E37" i="81"/>
  <c r="E48" i="81" l="1"/>
  <c r="E42" i="81"/>
  <c r="E45" i="81" s="1"/>
  <c r="B375" i="98"/>
  <c r="B387" i="98" s="1"/>
  <c r="B337" i="98"/>
  <c r="B349" i="98" s="1"/>
  <c r="B299" i="98"/>
  <c r="B311" i="98" s="1"/>
  <c r="N35" i="81"/>
  <c r="N36" i="81"/>
  <c r="J39"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Q29" i="91"/>
  <c r="Q27" i="91"/>
  <c r="Q26" i="91"/>
  <c r="Q25" i="91"/>
  <c r="J18" i="55"/>
  <c r="G18" i="55"/>
  <c r="M26" i="58"/>
  <c r="I26" i="58"/>
  <c r="N37" i="81" l="1"/>
  <c r="J40" i="81"/>
  <c r="L40" i="81" s="1"/>
  <c r="J38" i="81"/>
  <c r="I18" i="55"/>
  <c r="J37" i="81"/>
  <c r="L11" i="72"/>
  <c r="K37" i="81"/>
  <c r="J41"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Q30" i="91"/>
  <c r="E11" i="72" s="1"/>
  <c r="Q18" i="91"/>
  <c r="B15" i="91"/>
  <c r="B16" i="91" s="1"/>
  <c r="B17" i="91" s="1"/>
  <c r="B18" i="91" s="1"/>
  <c r="B19" i="91" s="1"/>
  <c r="B20" i="91" s="1"/>
  <c r="B21" i="91" s="1"/>
  <c r="B22" i="91" s="1"/>
  <c r="B23" i="91" s="1"/>
  <c r="B24" i="91" s="1"/>
  <c r="B25" i="91" s="1"/>
  <c r="B26" i="91" s="1"/>
  <c r="B27" i="91" s="1"/>
  <c r="B28" i="91" s="1"/>
  <c r="B29" i="91" s="1"/>
  <c r="B31" i="91" s="1"/>
  <c r="B32" i="91" s="1"/>
  <c r="B9" i="91"/>
  <c r="B10" i="91" s="1"/>
  <c r="B11" i="91" s="1"/>
  <c r="B12" i="91" s="1"/>
  <c r="J12" i="61"/>
  <c r="F12" i="61"/>
  <c r="J15" i="61"/>
  <c r="J16" i="61"/>
  <c r="J13" i="61"/>
  <c r="H15" i="61"/>
  <c r="H16" i="61"/>
  <c r="H12" i="61"/>
  <c r="H13" i="61"/>
  <c r="F16" i="61"/>
  <c r="F15" i="61"/>
  <c r="F13" i="61"/>
  <c r="G10" i="61"/>
  <c r="E10" i="61"/>
  <c r="B33" i="61"/>
  <c r="B34" i="61" s="1"/>
  <c r="B35" i="61" s="1"/>
  <c r="F56" i="81"/>
  <c r="H40" i="81"/>
  <c r="K46" i="100"/>
  <c r="P111" i="59"/>
  <c r="O112" i="59"/>
  <c r="O111" i="59"/>
  <c r="O110" i="59"/>
  <c r="O109" i="59"/>
  <c r="O106" i="59"/>
  <c r="O104" i="59"/>
  <c r="N65" i="59"/>
  <c r="E35" i="59"/>
  <c r="E34" i="59"/>
  <c r="J38" i="59"/>
  <c r="H31" i="59"/>
  <c r="Q31" i="59"/>
  <c r="L31" i="59"/>
  <c r="E28" i="59"/>
  <c r="P32" i="59"/>
  <c r="O32" i="59"/>
  <c r="B27" i="59"/>
  <c r="B28" i="59" s="1"/>
  <c r="H111" i="60"/>
  <c r="H110" i="60"/>
  <c r="H96" i="60"/>
  <c r="H95" i="60"/>
  <c r="H94" i="60"/>
  <c r="E111" i="60"/>
  <c r="E110" i="60"/>
  <c r="E96" i="60"/>
  <c r="E95" i="60"/>
  <c r="O113" i="59" l="1"/>
  <c r="E36" i="59"/>
  <c r="E37" i="59" s="1"/>
  <c r="H39" i="81"/>
  <c r="L46" i="73"/>
  <c r="F38" i="81"/>
  <c r="G37" i="81"/>
  <c r="F37" i="81"/>
  <c r="R31" i="59"/>
  <c r="F41" i="81" l="1"/>
  <c r="F42" i="81" s="1"/>
  <c r="W65" i="59" l="1"/>
  <c r="W111" i="59" s="1"/>
  <c r="V65" i="59"/>
  <c r="V111" i="59" s="1"/>
  <c r="U65" i="59"/>
  <c r="U111" i="59" s="1"/>
  <c r="T65" i="59"/>
  <c r="T111" i="59" s="1"/>
  <c r="S65" i="59"/>
  <c r="S111" i="59" s="1"/>
  <c r="T131" i="59" l="1"/>
  <c r="U131" i="59"/>
  <c r="V131" i="59"/>
  <c r="W131" i="59"/>
  <c r="T137" i="59"/>
  <c r="U137" i="59"/>
  <c r="V137" i="59"/>
  <c r="W137" i="59"/>
  <c r="S137" i="59"/>
  <c r="S131" i="59"/>
  <c r="T80" i="59"/>
  <c r="T123" i="59" s="1"/>
  <c r="U80" i="59"/>
  <c r="U123" i="59" s="1"/>
  <c r="V80" i="59"/>
  <c r="V123" i="59" s="1"/>
  <c r="W80" i="59"/>
  <c r="W123" i="59" s="1"/>
  <c r="S80" i="59"/>
  <c r="S123" i="59" s="1"/>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Q15" i="59"/>
  <c r="O24" i="59"/>
  <c r="L27" i="77"/>
  <c r="M21" i="58"/>
  <c r="K27" i="77"/>
  <c r="I21" i="58"/>
  <c r="O25" i="71" l="1"/>
  <c r="Q38" i="59"/>
  <c r="N38" i="59" s="1"/>
  <c r="O65" i="71"/>
  <c r="O57" i="71"/>
  <c r="O49" i="71"/>
  <c r="F37" i="55"/>
  <c r="D14" i="93"/>
  <c r="L13" i="54"/>
  <c r="L14" i="54"/>
  <c r="L20"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99" i="54" s="1"/>
  <c r="L103" i="54"/>
  <c r="L104" i="54"/>
  <c r="L105" i="54"/>
  <c r="L106" i="54"/>
  <c r="K107" i="54"/>
  <c r="L107" i="54" s="1"/>
  <c r="L108" i="54"/>
  <c r="K109" i="54"/>
  <c r="L110" i="54"/>
  <c r="L109" i="54" s="1"/>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AF165" i="70"/>
  <c r="AE165" i="70"/>
  <c r="AD165" i="70"/>
  <c r="AA165" i="70"/>
  <c r="Z165" i="70"/>
  <c r="Y165" i="70"/>
  <c r="V165" i="70"/>
  <c r="U165" i="70"/>
  <c r="T165" i="70"/>
  <c r="V112" i="70"/>
  <c r="Q112" i="70"/>
  <c r="L112" i="70"/>
  <c r="Q148" i="70"/>
  <c r="Q149" i="70"/>
  <c r="Q150" i="70"/>
  <c r="Q151" i="70"/>
  <c r="Q152" i="70"/>
  <c r="Q153" i="70"/>
  <c r="Q154" i="70"/>
  <c r="Q155" i="70"/>
  <c r="Q156" i="70"/>
  <c r="Q157" i="70"/>
  <c r="Q158" i="70"/>
  <c r="Q159" i="70"/>
  <c r="Q160" i="70"/>
  <c r="Q161" i="70"/>
  <c r="Q162" i="70"/>
  <c r="Q163" i="70"/>
  <c r="Q164" i="70"/>
  <c r="V57" i="70"/>
  <c r="Q57" i="70"/>
  <c r="L57" i="70"/>
  <c r="V31" i="70"/>
  <c r="G57" i="70"/>
  <c r="V85" i="70"/>
  <c r="G112" i="70"/>
  <c r="L89" i="54" l="1"/>
  <c r="L79" i="54"/>
  <c r="L69" i="54"/>
  <c r="L49" i="54"/>
  <c r="L39" i="54"/>
  <c r="L146" i="54"/>
  <c r="D17" i="54"/>
  <c r="D18" i="54" s="1"/>
  <c r="D12" i="55"/>
  <c r="L256" i="54"/>
  <c r="L246" i="54"/>
  <c r="L156" i="54"/>
  <c r="K122" i="54"/>
  <c r="Q165" i="70"/>
  <c r="K120" i="54"/>
  <c r="K266" i="54"/>
  <c r="L59" i="54"/>
  <c r="L236" i="54"/>
  <c r="L226" i="54"/>
  <c r="L206" i="54"/>
  <c r="L196" i="54"/>
  <c r="L166" i="54"/>
  <c r="L177" i="54"/>
  <c r="L176" i="54" s="1"/>
  <c r="L150" i="54"/>
  <c r="L143" i="54"/>
  <c r="K267" i="54"/>
  <c r="L215" i="54"/>
  <c r="L216" i="54" s="1"/>
  <c r="L185" i="54"/>
  <c r="L186" i="54" s="1"/>
  <c r="K156" i="54"/>
  <c r="K268" i="54" s="1"/>
  <c r="K263" i="54"/>
  <c r="H11" i="67"/>
  <c r="H14" i="58"/>
  <c r="L14" i="58"/>
  <c r="E39" i="67" l="1"/>
  <c r="I11" i="80" l="1"/>
  <c r="F11" i="80"/>
  <c r="M11" i="58"/>
  <c r="I11" i="58"/>
  <c r="R14" i="58"/>
  <c r="E13" i="58" l="1"/>
  <c r="P22" i="81" l="1"/>
  <c r="O22" i="81"/>
  <c r="P21" i="81"/>
  <c r="O21" i="81"/>
  <c r="P19" i="81"/>
  <c r="O19" i="81"/>
  <c r="P18" i="81"/>
  <c r="O18" i="81"/>
  <c r="G22" i="81"/>
  <c r="G21" i="81"/>
  <c r="G19" i="81"/>
  <c r="G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Q111" i="59"/>
  <c r="L38" i="59"/>
  <c r="Q30" i="59"/>
  <c r="R30" i="59" s="1"/>
  <c r="L30" i="59"/>
  <c r="H30" i="59"/>
  <c r="R22" i="59"/>
  <c r="L22" i="59"/>
  <c r="Q19" i="59"/>
  <c r="H19" i="59"/>
  <c r="Q18" i="59"/>
  <c r="H18" i="59"/>
  <c r="Q16" i="59"/>
  <c r="H16" i="59"/>
  <c r="H15" i="59"/>
  <c r="F131" i="59" l="1"/>
  <c r="H128" i="59"/>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J144" i="59"/>
  <c r="L144" i="59" s="1"/>
  <c r="O153" i="59"/>
  <c r="J148" i="59"/>
  <c r="L148" i="59" s="1"/>
  <c r="J145" i="59"/>
  <c r="L145" i="59" s="1"/>
  <c r="J152" i="59"/>
  <c r="L152" i="59" s="1"/>
  <c r="H131" i="59"/>
  <c r="J137" i="59"/>
  <c r="L134" i="59"/>
  <c r="L137" i="59" s="1"/>
  <c r="J149" i="59"/>
  <c r="L149" i="59" s="1"/>
  <c r="J142" i="59"/>
  <c r="L142" i="59" s="1"/>
  <c r="J146" i="59"/>
  <c r="L146" i="59" s="1"/>
  <c r="J150" i="59"/>
  <c r="L150" i="59" s="1"/>
  <c r="F152" i="59"/>
  <c r="H152" i="59" s="1"/>
  <c r="J143" i="59"/>
  <c r="L143" i="59" s="1"/>
  <c r="J147" i="59"/>
  <c r="L147" i="59" s="1"/>
  <c r="J151" i="59"/>
  <c r="L151" i="59" s="1"/>
  <c r="N140" i="59" l="1"/>
  <c r="Q153" i="59"/>
  <c r="N153" i="59" l="1"/>
  <c r="R140" i="59"/>
  <c r="R153" i="59" s="1"/>
  <c r="B58" i="78" l="1"/>
  <c r="B59" i="78" s="1"/>
  <c r="G19" i="78"/>
  <c r="B29" i="78"/>
  <c r="B30" i="78" s="1"/>
  <c r="L164" i="70" l="1"/>
  <c r="G164" i="70"/>
  <c r="L163" i="70"/>
  <c r="G163" i="70"/>
  <c r="L162" i="70"/>
  <c r="G162" i="70"/>
  <c r="L161" i="70"/>
  <c r="G161" i="70"/>
  <c r="L160" i="70"/>
  <c r="G160" i="70"/>
  <c r="L138" i="70"/>
  <c r="G138" i="70"/>
  <c r="L137" i="70"/>
  <c r="G137" i="70"/>
  <c r="L136" i="70"/>
  <c r="G136" i="70"/>
  <c r="L135" i="70"/>
  <c r="G135" i="70"/>
  <c r="L134" i="70"/>
  <c r="G134" i="70"/>
  <c r="Q85" i="70"/>
  <c r="L85" i="70"/>
  <c r="G85" i="70"/>
  <c r="Q31" i="70" l="1"/>
  <c r="L31" i="70"/>
  <c r="G31" i="70"/>
  <c r="Q18" i="81" l="1"/>
  <c r="Q19" i="81"/>
  <c r="Q21" i="81"/>
  <c r="Q22" i="81"/>
  <c r="O81" i="59" l="1"/>
  <c r="O80" i="59"/>
  <c r="O123" i="59" l="1"/>
  <c r="O124" i="59"/>
  <c r="B116" i="60" l="1"/>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H43" i="68"/>
  <c r="Q58" i="91" l="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J111" i="60" l="1"/>
  <c r="G111" i="60"/>
  <c r="J110" i="60"/>
  <c r="G110" i="60"/>
  <c r="J96" i="60"/>
  <c r="G96" i="60"/>
  <c r="J95" i="60"/>
  <c r="G95" i="60"/>
  <c r="O2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L159" i="70" l="1"/>
  <c r="G159" i="70"/>
  <c r="L158" i="70"/>
  <c r="G158" i="70"/>
  <c r="L157" i="70"/>
  <c r="G157" i="70"/>
  <c r="L156" i="70"/>
  <c r="G156" i="70"/>
  <c r="L155" i="70"/>
  <c r="G155" i="70"/>
  <c r="L154" i="70"/>
  <c r="G154" i="70"/>
  <c r="L153" i="70"/>
  <c r="G153" i="70"/>
  <c r="L152" i="70"/>
  <c r="G152" i="70"/>
  <c r="L151" i="70"/>
  <c r="G151" i="70"/>
  <c r="L150" i="70"/>
  <c r="G150" i="70"/>
  <c r="L149" i="70"/>
  <c r="G149" i="70"/>
  <c r="B149" i="70"/>
  <c r="B150" i="70" s="1"/>
  <c r="B151" i="70" s="1"/>
  <c r="B152" i="70" s="1"/>
  <c r="B153" i="70" s="1"/>
  <c r="B154" i="70" s="1"/>
  <c r="B155" i="70" s="1"/>
  <c r="B156" i="70" s="1"/>
  <c r="B157" i="70" s="1"/>
  <c r="B158" i="70" s="1"/>
  <c r="B159" i="70" s="1"/>
  <c r="B160" i="70" s="1"/>
  <c r="B161" i="70" s="1"/>
  <c r="B162" i="70" s="1"/>
  <c r="B163" i="70" s="1"/>
  <c r="B164" i="70" s="1"/>
  <c r="L148" i="70"/>
  <c r="G148"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L165" i="70" l="1"/>
  <c r="G165"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9" i="68"/>
  <c r="H38" i="68"/>
  <c r="H36" i="68"/>
  <c r="H35" i="68"/>
  <c r="H34" i="68"/>
  <c r="H33" i="68"/>
  <c r="H32" i="68"/>
  <c r="H31" i="68"/>
  <c r="H30" i="68"/>
  <c r="H29" i="68"/>
  <c r="H28" i="68"/>
  <c r="H27" i="68"/>
  <c r="H26" i="68"/>
  <c r="H25" i="68"/>
  <c r="H24" i="68"/>
  <c r="H23" i="68"/>
  <c r="H20" i="68"/>
  <c r="H19" i="68"/>
  <c r="H18" i="68"/>
  <c r="M67" i="66"/>
  <c r="N67" i="66" s="1"/>
  <c r="M66" i="66"/>
  <c r="N66" i="66" s="1"/>
  <c r="M65" i="66"/>
  <c r="N65" i="66" s="1"/>
  <c r="M64" i="66"/>
  <c r="N64" i="66" s="1"/>
  <c r="I67" i="66"/>
  <c r="I66" i="66"/>
  <c r="I65" i="66"/>
  <c r="I64" i="66"/>
  <c r="F67" i="66"/>
  <c r="F66" i="66"/>
  <c r="F65" i="66"/>
  <c r="F64" i="66"/>
  <c r="R137" i="59" l="1"/>
  <c r="D18" i="78" l="1"/>
  <c r="L11" i="55"/>
  <c r="F18" i="55"/>
  <c r="F17" i="55"/>
  <c r="F11" i="55"/>
  <c r="F20" i="54"/>
  <c r="H22" i="81"/>
  <c r="H21" i="81"/>
  <c r="H19" i="81"/>
  <c r="H18" i="81"/>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G18" i="54" s="1"/>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9" i="54"/>
  <c r="J15" i="54" s="1"/>
  <c r="J18" i="54" s="1"/>
  <c r="G19" i="55"/>
  <c r="G14" i="55"/>
  <c r="J10" i="55" s="1"/>
  <c r="J19" i="55" s="1"/>
  <c r="J21" i="55" s="1"/>
  <c r="G21" i="54" l="1"/>
  <c r="G23" i="54" s="1"/>
  <c r="J19" i="54"/>
  <c r="J21" i="54" s="1"/>
  <c r="J23" i="54" s="1"/>
  <c r="G21" i="55"/>
  <c r="I24" i="58" s="1"/>
  <c r="M24" i="58"/>
  <c r="J14" i="55"/>
  <c r="B12" i="93"/>
  <c r="B13" i="93" s="1"/>
  <c r="B14" i="93" s="1"/>
  <c r="G25" i="54" l="1"/>
  <c r="I17" i="58" s="1"/>
  <c r="J25" i="54"/>
  <c r="M17" i="58" s="1"/>
  <c r="B309" i="54"/>
  <c r="B310" i="54" s="1"/>
  <c r="B311" i="54" s="1"/>
  <c r="B312" i="54" s="1"/>
  <c r="B313" i="54" s="1"/>
  <c r="B314" i="54" s="1"/>
  <c r="B315" i="54" s="1"/>
  <c r="B316" i="54" s="1"/>
  <c r="B116" i="54"/>
  <c r="B117" i="54" s="1"/>
  <c r="B118" i="54" s="1"/>
  <c r="B119" i="54" s="1"/>
  <c r="B120" i="54" s="1"/>
  <c r="B121" i="54" s="1"/>
  <c r="B122" i="54" s="1"/>
  <c r="B123" i="54" s="1"/>
  <c r="B37" i="91"/>
  <c r="B38" i="91" s="1"/>
  <c r="B39" i="91" s="1"/>
  <c r="B40" i="91" s="1"/>
  <c r="B43" i="91" s="1"/>
  <c r="B44" i="91" s="1"/>
  <c r="B45" i="91" s="1"/>
  <c r="B46" i="91" s="1"/>
  <c r="B47" i="91" s="1"/>
  <c r="B48" i="91" s="1"/>
  <c r="B49" i="91" s="1"/>
  <c r="B50" i="91" s="1"/>
  <c r="B51" i="91" s="1"/>
  <c r="B52" i="91" s="1"/>
  <c r="B53" i="91" s="1"/>
  <c r="B54" i="91" l="1"/>
  <c r="B55" i="91" s="1"/>
  <c r="B56" i="91" s="1"/>
  <c r="B57" i="91" s="1"/>
  <c r="B59" i="91" s="1"/>
  <c r="B60"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11" i="65"/>
  <c r="B15" i="6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L19" i="59" l="1"/>
  <c r="K21" i="81"/>
  <c r="L21" i="81" s="1"/>
  <c r="K18" i="81"/>
  <c r="L18" i="81" s="1"/>
  <c r="L16" i="59"/>
  <c r="L15" i="59" l="1"/>
  <c r="K22" i="81"/>
  <c r="L22" i="81" s="1"/>
  <c r="K19" i="81"/>
  <c r="L19" i="81" s="1"/>
  <c r="L18" i="59"/>
  <c r="N55" i="59" l="1"/>
  <c r="R55" i="59" l="1"/>
  <c r="R65" i="59"/>
  <c r="L14" i="73" l="1"/>
  <c r="M14" i="73"/>
  <c r="J86" i="70" l="1"/>
  <c r="O86" i="70" s="1"/>
  <c r="T86" i="70" l="1"/>
  <c r="E113" i="70" l="1"/>
  <c r="J113" i="70" s="1"/>
  <c r="O113" i="70" s="1"/>
  <c r="T113" i="70" s="1"/>
  <c r="E62" i="116"/>
  <c r="J62" i="116" s="1"/>
  <c r="O62" i="116" s="1"/>
  <c r="T62" i="116" s="1"/>
  <c r="Y62" i="116" s="1"/>
  <c r="D39" i="67"/>
  <c r="M22" i="77" l="1"/>
  <c r="M23" i="77"/>
  <c r="M18" i="77"/>
  <c r="M21" i="77"/>
  <c r="N23" i="77" l="1"/>
  <c r="N21" i="77"/>
  <c r="N18" i="77"/>
  <c r="N22" i="77"/>
  <c r="E11" i="58" l="1"/>
  <c r="C11" i="80"/>
  <c r="O38" i="81" l="1"/>
  <c r="O41" i="81" s="1"/>
  <c r="O42" i="81" s="1"/>
  <c r="E37" i="55" l="1"/>
  <c r="K31" i="70" l="1"/>
  <c r="J31" i="70" l="1"/>
  <c r="H12" i="93" s="1"/>
  <c r="I12" i="93" l="1"/>
  <c r="I14" i="93" s="1"/>
  <c r="H14" i="93"/>
  <c r="H12" i="55" l="1"/>
  <c r="H15" i="93"/>
  <c r="H17" i="54"/>
  <c r="I17" i="54" s="1"/>
  <c r="P38" i="81" l="1"/>
  <c r="P41" i="81" s="1"/>
  <c r="P61" i="81" l="1"/>
  <c r="O31" i="70" l="1"/>
  <c r="P31" i="70"/>
  <c r="L14" i="93" l="1"/>
  <c r="K14" i="93"/>
  <c r="M12" i="93" l="1"/>
  <c r="M14" i="93" l="1"/>
  <c r="M15" i="93" s="1"/>
  <c r="N12" i="93"/>
  <c r="N14" i="93" s="1"/>
  <c r="K17" i="54" l="1"/>
  <c r="L17" i="54" s="1"/>
  <c r="K12" i="55"/>
  <c r="L12" i="55" s="1"/>
  <c r="M12" i="77" l="1"/>
  <c r="N12" i="77" s="1"/>
  <c r="M20" i="77"/>
  <c r="N20" i="77" l="1"/>
  <c r="H34" i="67" l="1"/>
  <c r="H22" i="67"/>
  <c r="H12" i="67"/>
  <c r="H32" i="67" l="1"/>
  <c r="H17" i="68"/>
  <c r="H13" i="67"/>
  <c r="H13" i="68"/>
  <c r="H12" i="68"/>
  <c r="H40" i="68"/>
  <c r="H14" i="68"/>
  <c r="H21" i="68"/>
  <c r="G44" i="68"/>
  <c r="P12" i="65" s="1"/>
  <c r="H29" i="67"/>
  <c r="G21" i="69"/>
  <c r="P13" i="65" s="1"/>
  <c r="H16" i="67"/>
  <c r="H11" i="68"/>
  <c r="F44" i="68"/>
  <c r="O12" i="65" s="1"/>
  <c r="H22" i="68"/>
  <c r="M13" i="75"/>
  <c r="H11" i="69"/>
  <c r="H16" i="68"/>
  <c r="H37" i="68"/>
  <c r="H10" i="69"/>
  <c r="F21" i="69"/>
  <c r="O13" i="65" s="1"/>
  <c r="G36" i="67"/>
  <c r="P11" i="65" s="1"/>
  <c r="H15" i="68"/>
  <c r="H14" i="69"/>
  <c r="H41" i="68"/>
  <c r="F36" i="67"/>
  <c r="O11" i="65" s="1"/>
  <c r="H12" i="69"/>
  <c r="H42" i="68"/>
  <c r="Q13" i="65" l="1"/>
  <c r="Q11" i="65"/>
  <c r="Q12" i="65"/>
  <c r="H44" i="68"/>
  <c r="H46" i="68" s="1"/>
  <c r="G46" i="68"/>
  <c r="H36" i="67"/>
  <c r="H38" i="67" s="1"/>
  <c r="H40" i="67" s="1"/>
  <c r="F38" i="67"/>
  <c r="F40" i="67" s="1"/>
  <c r="H21" i="69"/>
  <c r="F46" i="68"/>
  <c r="G38" i="67"/>
  <c r="G40" i="67" s="1"/>
  <c r="O57" i="81" l="1"/>
  <c r="O31" i="81"/>
  <c r="O52" i="60" l="1"/>
  <c r="O49" i="60"/>
  <c r="O75" i="59"/>
  <c r="O25" i="81"/>
  <c r="O46" i="60"/>
  <c r="P56" i="81"/>
  <c r="O44" i="60"/>
  <c r="O47" i="60"/>
  <c r="N11" i="81"/>
  <c r="O11" i="81"/>
  <c r="O51" i="60"/>
  <c r="O61" i="81"/>
  <c r="R44" i="59"/>
  <c r="O56" i="81"/>
  <c r="O48" i="60"/>
  <c r="O74" i="59"/>
  <c r="O79" i="59"/>
  <c r="O122" i="59" s="1"/>
  <c r="O78" i="59"/>
  <c r="O121" i="59" s="1"/>
  <c r="O50" i="60"/>
  <c r="P25" i="81"/>
  <c r="O45" i="60"/>
  <c r="O117" i="59" l="1"/>
  <c r="O118" i="59"/>
  <c r="O34" i="60"/>
  <c r="O30" i="60"/>
  <c r="O33" i="60"/>
  <c r="O37" i="60"/>
  <c r="O32" i="60"/>
  <c r="O38" i="60"/>
  <c r="O36" i="60"/>
  <c r="O35" i="60"/>
  <c r="O31" i="60"/>
  <c r="O43" i="60"/>
  <c r="O54" i="60" s="1"/>
  <c r="N56" i="81"/>
  <c r="N57" i="81" s="1"/>
  <c r="N52" i="81"/>
  <c r="O73" i="59"/>
  <c r="O116" i="59" s="1"/>
  <c r="N60" i="81"/>
  <c r="O24" i="60"/>
  <c r="O29" i="60"/>
  <c r="Q61" i="81"/>
  <c r="O125" i="59" l="1"/>
  <c r="O40" i="60"/>
  <c r="R61" i="81"/>
  <c r="R20" i="59"/>
  <c r="Q25" i="81"/>
  <c r="R25" i="81" s="1"/>
  <c r="Q56" i="81"/>
  <c r="R56" i="81" s="1"/>
  <c r="R41" i="59"/>
  <c r="Q52" i="81"/>
  <c r="R52" i="81" s="1"/>
  <c r="N38" i="81" l="1"/>
  <c r="N41" i="81" s="1"/>
  <c r="R34" i="81"/>
  <c r="O155" i="59"/>
  <c r="O11" i="58" l="1"/>
  <c r="M15" i="77" l="1"/>
  <c r="M14" i="77"/>
  <c r="M26" i="77"/>
  <c r="N26" i="77" s="1"/>
  <c r="M13" i="77"/>
  <c r="N13" i="77" s="1"/>
  <c r="M19" i="77"/>
  <c r="N19" i="77" l="1"/>
  <c r="N15" i="77"/>
  <c r="N14" i="77"/>
  <c r="P21" i="58"/>
  <c r="M11" i="77"/>
  <c r="N11" i="77" s="1"/>
  <c r="O21" i="58"/>
  <c r="M27" i="77" l="1"/>
  <c r="N27" i="77"/>
  <c r="Q21" i="58"/>
  <c r="N21" i="58" l="1"/>
  <c r="P11" i="81"/>
  <c r="R21" i="58" l="1"/>
  <c r="Q11" i="81"/>
  <c r="R11" i="81" s="1"/>
  <c r="P24" i="59" l="1"/>
  <c r="O88" i="60" l="1"/>
  <c r="N24" i="59"/>
  <c r="P31" i="81"/>
  <c r="Q31" i="81" s="1"/>
  <c r="Q24" i="59"/>
  <c r="L13" i="74"/>
  <c r="L25" i="73"/>
  <c r="M25" i="73"/>
  <c r="M13" i="74"/>
  <c r="O85" i="60"/>
  <c r="O91" i="60" l="1"/>
  <c r="O94" i="60"/>
  <c r="O89" i="60"/>
  <c r="O96" i="60"/>
  <c r="O87" i="60"/>
  <c r="O95" i="60"/>
  <c r="O93" i="60"/>
  <c r="O92" i="60"/>
  <c r="O90" i="60"/>
  <c r="O86" i="60"/>
  <c r="R38" i="59"/>
  <c r="N31" i="81"/>
  <c r="R31" i="81" s="1"/>
  <c r="M36" i="73"/>
  <c r="M24" i="74"/>
  <c r="R24" i="59"/>
  <c r="L36" i="73"/>
  <c r="L24" i="74"/>
  <c r="O97" i="60" l="1"/>
  <c r="I257" i="54" l="1"/>
  <c r="J94" i="60" l="1"/>
  <c r="J141" i="59"/>
  <c r="L141" i="59" s="1"/>
  <c r="K56" i="81" l="1"/>
  <c r="J13" i="59"/>
  <c r="L13" i="59" s="1"/>
  <c r="K16" i="81"/>
  <c r="E4" i="100" s="1"/>
  <c r="J140" i="59"/>
  <c r="J153" i="59" s="1"/>
  <c r="K153" i="59"/>
  <c r="K47" i="100"/>
  <c r="L140" i="59" l="1"/>
  <c r="L153" i="59" s="1"/>
  <c r="J57" i="81"/>
  <c r="L34" i="81"/>
  <c r="J16" i="81"/>
  <c r="L16" i="81" s="1"/>
  <c r="J52" i="81"/>
  <c r="F15" i="54" l="1"/>
  <c r="F141" i="59" l="1"/>
  <c r="H141" i="59" s="1"/>
  <c r="G153" i="59" l="1"/>
  <c r="F140" i="59"/>
  <c r="F153" i="59" s="1"/>
  <c r="H140" i="59" l="1"/>
  <c r="H153" i="59" s="1"/>
  <c r="M69" i="78" l="1"/>
  <c r="F24" i="54" l="1"/>
  <c r="H20" i="59" l="1"/>
  <c r="H25" i="81"/>
  <c r="F52" i="81"/>
  <c r="F60" i="81"/>
  <c r="G11" i="81" l="1"/>
  <c r="F11" i="81"/>
  <c r="H11" i="81" l="1"/>
  <c r="L13" i="72" l="1"/>
  <c r="H22" i="58" l="1"/>
  <c r="E18" i="78" l="1"/>
  <c r="F18" i="78" l="1"/>
  <c r="L18" i="78"/>
  <c r="G18" i="78"/>
  <c r="J22" i="58" l="1"/>
  <c r="D47" i="78" s="1"/>
  <c r="L22" i="58" l="1"/>
  <c r="F47" i="78"/>
  <c r="G47" i="78"/>
  <c r="N22" i="58"/>
  <c r="R22" i="58" s="1"/>
  <c r="F31" i="70" l="1"/>
  <c r="F12" i="93" l="1"/>
  <c r="F14" i="93" s="1"/>
  <c r="F12" i="55" l="1"/>
  <c r="F17" i="54"/>
  <c r="F28" i="91" l="1"/>
  <c r="F31" i="91" s="1"/>
  <c r="F32" i="91" s="1"/>
  <c r="G28" i="91"/>
  <c r="G31" i="91" s="1"/>
  <c r="G32" i="91" s="1"/>
  <c r="H28" i="91"/>
  <c r="H31" i="91" s="1"/>
  <c r="H32" i="91" s="1"/>
  <c r="I28" i="91"/>
  <c r="I31" i="91" s="1"/>
  <c r="I32" i="91" s="1"/>
  <c r="J28" i="91"/>
  <c r="J31" i="91" s="1"/>
  <c r="J32" i="91" s="1"/>
  <c r="K28" i="91"/>
  <c r="K31" i="91" s="1"/>
  <c r="K32" i="91" s="1"/>
  <c r="M28" i="91"/>
  <c r="M31" i="91" s="1"/>
  <c r="M32" i="91" s="1"/>
  <c r="N28" i="91"/>
  <c r="N31" i="91" s="1"/>
  <c r="N32" i="91" s="1"/>
  <c r="O28" i="91"/>
  <c r="O31" i="91" s="1"/>
  <c r="O32" i="91" s="1"/>
  <c r="P28" i="91"/>
  <c r="P31" i="91" s="1"/>
  <c r="P32" i="91" s="1"/>
  <c r="D9" i="71"/>
  <c r="D11" i="71" s="1"/>
  <c r="E9" i="71"/>
  <c r="E11" i="71" s="1"/>
  <c r="F9" i="71"/>
  <c r="F11" i="71" s="1"/>
  <c r="G9" i="71"/>
  <c r="G11" i="71" s="1"/>
  <c r="J9" i="71"/>
  <c r="J11" i="71" s="1"/>
  <c r="K9" i="71"/>
  <c r="K11" i="71" s="1"/>
  <c r="L9" i="71"/>
  <c r="L11" i="71" s="1"/>
  <c r="M9" i="71"/>
  <c r="M11" i="71" s="1"/>
  <c r="N9" i="71"/>
  <c r="N11" i="71" s="1"/>
  <c r="E19" i="91" l="1"/>
  <c r="E47" i="91" s="1"/>
  <c r="Q15" i="91"/>
  <c r="M19" i="91"/>
  <c r="M47" i="91" s="1"/>
  <c r="Q23" i="91"/>
  <c r="I21" i="91"/>
  <c r="L19" i="91"/>
  <c r="L47" i="91" s="1"/>
  <c r="P21" i="91"/>
  <c r="H21" i="91"/>
  <c r="K21" i="91"/>
  <c r="I9" i="71"/>
  <c r="I11" i="71" s="1"/>
  <c r="K19" i="91"/>
  <c r="K47" i="91" s="1"/>
  <c r="O21" i="91"/>
  <c r="G21" i="91"/>
  <c r="J21" i="91"/>
  <c r="H9" i="71"/>
  <c r="H11" i="71" s="1"/>
  <c r="J19" i="91"/>
  <c r="J47" i="91" s="1"/>
  <c r="N21" i="91"/>
  <c r="F21" i="91"/>
  <c r="Q16" i="91"/>
  <c r="Q22" i="91"/>
  <c r="E31" i="91"/>
  <c r="E32" i="91" s="1"/>
  <c r="I19" i="91"/>
  <c r="I47" i="91" s="1"/>
  <c r="M21" i="91"/>
  <c r="Q24" i="91"/>
  <c r="L28" i="91"/>
  <c r="L31" i="91" s="1"/>
  <c r="L32" i="91" s="1"/>
  <c r="P19" i="91"/>
  <c r="P47" i="91" s="1"/>
  <c r="H19" i="91"/>
  <c r="H47" i="91" s="1"/>
  <c r="L21" i="91"/>
  <c r="O19" i="91"/>
  <c r="O47" i="91" s="1"/>
  <c r="G19" i="91"/>
  <c r="G47" i="91" s="1"/>
  <c r="N19" i="91"/>
  <c r="N47" i="91" s="1"/>
  <c r="F19" i="91"/>
  <c r="F47" i="91" s="1"/>
  <c r="C11" i="72" l="1"/>
  <c r="J11" i="72" s="1"/>
  <c r="Q28" i="91"/>
  <c r="Q31" i="91" s="1"/>
  <c r="G11" i="72"/>
  <c r="G13" i="72" s="1"/>
  <c r="K11" i="72"/>
  <c r="K13" i="72" s="1"/>
  <c r="Q19" i="91"/>
  <c r="M11" i="72"/>
  <c r="M13" i="72" s="1"/>
  <c r="Q21" i="91"/>
  <c r="F11" i="72" s="1"/>
  <c r="E21" i="91"/>
  <c r="C9" i="71"/>
  <c r="D11" i="72" l="1"/>
  <c r="Q47" i="91"/>
  <c r="D20" i="72" s="1"/>
  <c r="Q32" i="91"/>
  <c r="C11" i="71"/>
  <c r="O9" i="71"/>
  <c r="O11" i="71" s="1"/>
  <c r="J13" i="72"/>
  <c r="N11" i="72"/>
  <c r="N13" i="72" s="1"/>
  <c r="E28" i="78" l="1"/>
  <c r="F28" i="78" s="1"/>
  <c r="R31" i="91"/>
  <c r="G28" i="78" l="1"/>
  <c r="L28" i="78"/>
  <c r="F253" i="54"/>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D36" i="67"/>
  <c r="G11" i="65" s="1"/>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F38" i="59"/>
  <c r="H38" i="59" s="1"/>
  <c r="F66" i="59"/>
  <c r="H66" i="59" s="1"/>
  <c r="F65" i="59"/>
  <c r="H65" i="59" s="1"/>
  <c r="F64" i="59"/>
  <c r="H64" i="59" s="1"/>
  <c r="F63" i="59"/>
  <c r="H63" i="59" s="1"/>
  <c r="F59" i="59"/>
  <c r="H59" i="59" s="1"/>
  <c r="F49" i="59"/>
  <c r="H49" i="59" s="1"/>
  <c r="D44" i="68" l="1"/>
  <c r="G12" i="65" s="1"/>
  <c r="G70" i="59"/>
  <c r="G104" i="59"/>
  <c r="G110" i="59"/>
  <c r="G32" i="59"/>
  <c r="H29" i="59"/>
  <c r="H32" i="59" s="1"/>
  <c r="F24" i="60"/>
  <c r="G24" i="60" s="1"/>
  <c r="G61" i="81"/>
  <c r="H61" i="81" s="1"/>
  <c r="H44" i="59"/>
  <c r="E100" i="60"/>
  <c r="E112" i="60" s="1"/>
  <c r="F78" i="59" s="1"/>
  <c r="F112" i="60"/>
  <c r="F125" i="60"/>
  <c r="E115" i="60"/>
  <c r="D38" i="67"/>
  <c r="F60" i="54"/>
  <c r="F100" i="54"/>
  <c r="F141" i="54"/>
  <c r="E263" i="54"/>
  <c r="F167" i="54"/>
  <c r="F207" i="54"/>
  <c r="F247" i="54"/>
  <c r="F63" i="54"/>
  <c r="E67" i="54"/>
  <c r="F67" i="54" s="1"/>
  <c r="E107" i="54"/>
  <c r="F107" i="54" s="1"/>
  <c r="F103" i="54"/>
  <c r="E264" i="54"/>
  <c r="F142" i="54"/>
  <c r="E174" i="54"/>
  <c r="F174" i="54" s="1"/>
  <c r="F170" i="54"/>
  <c r="F210" i="54"/>
  <c r="E214" i="54"/>
  <c r="F214" i="54" s="1"/>
  <c r="E254" i="54"/>
  <c r="F254" i="54" s="1"/>
  <c r="F250" i="54"/>
  <c r="D6" i="100"/>
  <c r="F48" i="59"/>
  <c r="F50" i="59"/>
  <c r="F60" i="59" s="1"/>
  <c r="H60" i="59" s="1"/>
  <c r="G109" i="59"/>
  <c r="G57" i="81"/>
  <c r="H57" i="81" s="1"/>
  <c r="G26" i="58"/>
  <c r="F26" i="75"/>
  <c r="E116" i="54"/>
  <c r="E37" i="54"/>
  <c r="E38" i="54" s="1"/>
  <c r="F33" i="54"/>
  <c r="F90" i="54"/>
  <c r="E265" i="54"/>
  <c r="F143" i="54"/>
  <c r="F157" i="54"/>
  <c r="F197" i="54"/>
  <c r="F237" i="54"/>
  <c r="F34" i="54"/>
  <c r="E117" i="54"/>
  <c r="F50" i="54"/>
  <c r="F93" i="54"/>
  <c r="E97" i="54"/>
  <c r="F97" i="54" s="1"/>
  <c r="E164" i="54"/>
  <c r="F164" i="54" s="1"/>
  <c r="F160" i="54"/>
  <c r="F200" i="54"/>
  <c r="E204" i="54"/>
  <c r="F204" i="54" s="1"/>
  <c r="F240" i="54"/>
  <c r="E244" i="54"/>
  <c r="F244" i="54" s="1"/>
  <c r="G106" i="59"/>
  <c r="G112" i="59"/>
  <c r="F21" i="59"/>
  <c r="H21" i="59" s="1"/>
  <c r="G26" i="81"/>
  <c r="F26" i="81" s="1"/>
  <c r="H26" i="81" s="1"/>
  <c r="F40" i="60"/>
  <c r="E29" i="60"/>
  <c r="E40" i="60" s="1"/>
  <c r="F74" i="59" s="1"/>
  <c r="E85" i="60"/>
  <c r="E97" i="60" s="1"/>
  <c r="F79" i="59" s="1"/>
  <c r="F97" i="60"/>
  <c r="E128" i="60"/>
  <c r="E138" i="60" s="1"/>
  <c r="F81" i="59" s="1"/>
  <c r="F138" i="60"/>
  <c r="G81" i="59" s="1"/>
  <c r="G124" i="59" s="1"/>
  <c r="F35" i="54"/>
  <c r="E118" i="54"/>
  <c r="E57" i="54"/>
  <c r="F57" i="54" s="1"/>
  <c r="F53" i="54"/>
  <c r="F80" i="54"/>
  <c r="F147" i="54"/>
  <c r="E269" i="54"/>
  <c r="F187" i="54"/>
  <c r="F227" i="54"/>
  <c r="F36" i="54"/>
  <c r="E119" i="54"/>
  <c r="E87" i="54"/>
  <c r="F87" i="54" s="1"/>
  <c r="F83" i="54"/>
  <c r="E154" i="54"/>
  <c r="F154" i="54" s="1"/>
  <c r="F150" i="54"/>
  <c r="E194" i="54"/>
  <c r="F194" i="54" s="1"/>
  <c r="F190" i="54"/>
  <c r="F230" i="54"/>
  <c r="E234" i="54"/>
  <c r="F234" i="54" s="1"/>
  <c r="G16" i="81"/>
  <c r="F13" i="59"/>
  <c r="F16" i="81" s="1"/>
  <c r="F23" i="60"/>
  <c r="E11" i="60"/>
  <c r="E23" i="60" s="1"/>
  <c r="E26" i="60" s="1"/>
  <c r="F73" i="59" s="1"/>
  <c r="F54" i="60"/>
  <c r="E43" i="60"/>
  <c r="E54" i="60" s="1"/>
  <c r="F75" i="59" s="1"/>
  <c r="F40" i="54"/>
  <c r="E123" i="54"/>
  <c r="F70" i="54"/>
  <c r="F110" i="54"/>
  <c r="F177" i="54"/>
  <c r="F217" i="54"/>
  <c r="F257" i="54"/>
  <c r="G105" i="59"/>
  <c r="G111" i="59"/>
  <c r="F43" i="54"/>
  <c r="E47" i="54"/>
  <c r="F47" i="54" s="1"/>
  <c r="F73" i="54"/>
  <c r="E77" i="54"/>
  <c r="F77" i="54" s="1"/>
  <c r="E262" i="54"/>
  <c r="F140" i="54"/>
  <c r="E144" i="54"/>
  <c r="E145" i="54" s="1"/>
  <c r="E184" i="54"/>
  <c r="F184" i="54" s="1"/>
  <c r="F180" i="54"/>
  <c r="E224" i="54"/>
  <c r="F224" i="54" s="1"/>
  <c r="F220" i="54"/>
  <c r="F26" i="58" l="1"/>
  <c r="D22" i="78" s="1"/>
  <c r="D46" i="68"/>
  <c r="G100" i="60"/>
  <c r="G112" i="60" s="1"/>
  <c r="H58" i="59"/>
  <c r="E68" i="54"/>
  <c r="E165" i="54"/>
  <c r="F165" i="54" s="1"/>
  <c r="F166" i="54" s="1"/>
  <c r="G11" i="60"/>
  <c r="E205" i="54"/>
  <c r="F205" i="54" s="1"/>
  <c r="F206" i="54" s="1"/>
  <c r="G29" i="60"/>
  <c r="G40" i="60" s="1"/>
  <c r="E245" i="54"/>
  <c r="F245" i="54" s="1"/>
  <c r="F246" i="54" s="1"/>
  <c r="E88" i="54"/>
  <c r="F88" i="54" s="1"/>
  <c r="F89" i="54" s="1"/>
  <c r="H81" i="59"/>
  <c r="H48" i="59"/>
  <c r="G78" i="59"/>
  <c r="G121" i="59" s="1"/>
  <c r="G74" i="59"/>
  <c r="G117" i="59" s="1"/>
  <c r="G128" i="60"/>
  <c r="G138" i="60" s="1"/>
  <c r="G75" i="59"/>
  <c r="H75" i="59" s="1"/>
  <c r="H13" i="59"/>
  <c r="E185" i="54"/>
  <c r="F185" i="54" s="1"/>
  <c r="F186" i="54" s="1"/>
  <c r="G79" i="59"/>
  <c r="G122" i="59" s="1"/>
  <c r="H50" i="59"/>
  <c r="E255" i="54"/>
  <c r="G80" i="59"/>
  <c r="G123" i="59" s="1"/>
  <c r="F38" i="54"/>
  <c r="F39" i="54" s="1"/>
  <c r="E39" i="54"/>
  <c r="E155" i="54"/>
  <c r="E48" i="54"/>
  <c r="G43" i="60"/>
  <c r="G54" i="60" s="1"/>
  <c r="D4" i="100"/>
  <c r="H16" i="81"/>
  <c r="E58" i="54"/>
  <c r="G85" i="60"/>
  <c r="G97" i="60" s="1"/>
  <c r="E98" i="54"/>
  <c r="E215" i="54"/>
  <c r="E108" i="54"/>
  <c r="F145" i="54"/>
  <c r="F146" i="54" s="1"/>
  <c r="E235" i="54"/>
  <c r="E22" i="78"/>
  <c r="D40" i="67"/>
  <c r="E175" i="54"/>
  <c r="E266" i="54"/>
  <c r="F144" i="54"/>
  <c r="E225" i="54"/>
  <c r="E146" i="54"/>
  <c r="L13" i="78"/>
  <c r="E195" i="54"/>
  <c r="E272" i="54"/>
  <c r="E274" i="54" s="1"/>
  <c r="G115" i="60"/>
  <c r="G125" i="60" s="1"/>
  <c r="E125" i="60"/>
  <c r="F80" i="59" s="1"/>
  <c r="G41" i="81"/>
  <c r="H38" i="81"/>
  <c r="E78" i="54"/>
  <c r="F26" i="60"/>
  <c r="G73" i="59" s="1"/>
  <c r="G116" i="59" s="1"/>
  <c r="G23" i="60"/>
  <c r="G26" i="60" s="1"/>
  <c r="G113" i="59"/>
  <c r="E126" i="54"/>
  <c r="E128" i="54" s="1"/>
  <c r="F37" i="54"/>
  <c r="E120" i="54"/>
  <c r="H26" i="58" l="1"/>
  <c r="H41" i="81"/>
  <c r="G42" i="81"/>
  <c r="E166" i="54"/>
  <c r="F68" i="59"/>
  <c r="H68" i="59" s="1"/>
  <c r="E246" i="54"/>
  <c r="E206" i="54"/>
  <c r="F68" i="54"/>
  <c r="F69" i="54" s="1"/>
  <c r="E69" i="54"/>
  <c r="E89" i="54"/>
  <c r="H78" i="59"/>
  <c r="E186" i="54"/>
  <c r="H74" i="59"/>
  <c r="H80" i="59"/>
  <c r="G118" i="59"/>
  <c r="G125" i="59" s="1"/>
  <c r="G155" i="59" s="1"/>
  <c r="F255" i="54"/>
  <c r="F256" i="54" s="1"/>
  <c r="E256" i="54"/>
  <c r="H79" i="59"/>
  <c r="H73" i="59"/>
  <c r="F98" i="54"/>
  <c r="F99" i="54" s="1"/>
  <c r="E99" i="54"/>
  <c r="F195" i="54"/>
  <c r="F196" i="54" s="1"/>
  <c r="E196" i="54"/>
  <c r="F225" i="54"/>
  <c r="F226" i="54" s="1"/>
  <c r="E226" i="54"/>
  <c r="E267" i="54"/>
  <c r="F58" i="54"/>
  <c r="F59" i="54" s="1"/>
  <c r="E59" i="54"/>
  <c r="F155" i="54"/>
  <c r="F156" i="54" s="1"/>
  <c r="E156" i="54"/>
  <c r="F78" i="54"/>
  <c r="F79" i="54" s="1"/>
  <c r="E79" i="54"/>
  <c r="F175" i="54"/>
  <c r="E176" i="54"/>
  <c r="F176" i="54" s="1"/>
  <c r="F22" i="78"/>
  <c r="L22" i="78"/>
  <c r="G22" i="78"/>
  <c r="F108" i="54"/>
  <c r="F109" i="54" s="1"/>
  <c r="E109" i="54"/>
  <c r="F235" i="54"/>
  <c r="F236" i="54" s="1"/>
  <c r="E236" i="54"/>
  <c r="F215" i="54"/>
  <c r="F216" i="54" s="1"/>
  <c r="E216" i="54"/>
  <c r="F48" i="54"/>
  <c r="F49" i="54" s="1"/>
  <c r="E49" i="54"/>
  <c r="E121" i="54"/>
  <c r="E122" i="54" s="1"/>
  <c r="G11" i="58" l="1"/>
  <c r="E10" i="78" s="1"/>
  <c r="E268" i="54"/>
  <c r="E22" i="54"/>
  <c r="F22" i="54" s="1"/>
  <c r="D21" i="69" l="1"/>
  <c r="G13" i="65" s="1"/>
  <c r="G17" i="65" l="1"/>
  <c r="E11" i="78" s="1"/>
  <c r="G10" i="65"/>
  <c r="F56" i="59"/>
  <c r="H56" i="59" s="1"/>
  <c r="F55" i="59"/>
  <c r="H55" i="59" s="1"/>
  <c r="F53" i="59" l="1"/>
  <c r="H53" i="59" s="1"/>
  <c r="F54" i="59"/>
  <c r="H54" i="59" s="1"/>
  <c r="F23" i="77" l="1"/>
  <c r="F22" i="77"/>
  <c r="F21" i="77"/>
  <c r="F26" i="77"/>
  <c r="F13" i="77"/>
  <c r="F12" i="77"/>
  <c r="E27" i="77" l="1"/>
  <c r="G21" i="58" s="1"/>
  <c r="F11" i="77"/>
  <c r="F27" i="77" s="1"/>
  <c r="F21" i="58" l="1"/>
  <c r="E17" i="78"/>
  <c r="H21" i="58" l="1"/>
  <c r="D17" i="78"/>
  <c r="G17" i="78" s="1"/>
  <c r="L17" i="78"/>
  <c r="F17" i="78" l="1"/>
  <c r="J26" i="81" l="1"/>
  <c r="L26" i="81" s="1"/>
  <c r="K21" i="59"/>
  <c r="J21" i="59" l="1"/>
  <c r="L21" i="59" s="1"/>
  <c r="F12" i="78" l="1"/>
  <c r="G13" i="58"/>
  <c r="L12" i="78" l="1"/>
  <c r="G12" i="78"/>
  <c r="N80" i="59" l="1"/>
  <c r="P80" i="59"/>
  <c r="Q80" i="59" s="1"/>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O115" i="60"/>
  <c r="O116" i="60"/>
  <c r="O117" i="60"/>
  <c r="O118" i="60"/>
  <c r="O119" i="60"/>
  <c r="O120" i="60"/>
  <c r="O121" i="60"/>
  <c r="O122" i="60"/>
  <c r="O123" i="60"/>
  <c r="O124" i="60"/>
  <c r="O23" i="60" l="1"/>
  <c r="O26" i="60" s="1"/>
  <c r="P123" i="59"/>
  <c r="Q123" i="59" s="1"/>
  <c r="O112" i="60"/>
  <c r="O125" i="60"/>
  <c r="R80" i="59"/>
  <c r="J11" i="81" l="1"/>
  <c r="K11" i="81"/>
  <c r="L11" i="81" l="1"/>
  <c r="H23" i="59"/>
  <c r="F33" i="59"/>
  <c r="G33" i="59"/>
  <c r="F34" i="59"/>
  <c r="G34" i="59"/>
  <c r="F35" i="59"/>
  <c r="G35" i="59"/>
  <c r="G40" i="59"/>
  <c r="G84" i="59"/>
  <c r="G85" i="59"/>
  <c r="G86" i="59"/>
  <c r="G89" i="59"/>
  <c r="G90" i="59"/>
  <c r="G91" i="59"/>
  <c r="G92" i="59"/>
  <c r="F92" i="59" s="1"/>
  <c r="F113" i="59"/>
  <c r="G53" i="81" l="1"/>
  <c r="H53" i="81" s="1"/>
  <c r="F89" i="59"/>
  <c r="F99" i="59" s="1"/>
  <c r="H99" i="59" s="1"/>
  <c r="F90" i="59"/>
  <c r="H90" i="59" s="1"/>
  <c r="H35" i="59"/>
  <c r="H33" i="59"/>
  <c r="H34" i="59"/>
  <c r="F44" i="81"/>
  <c r="F43" i="81"/>
  <c r="F102" i="59"/>
  <c r="H92" i="59"/>
  <c r="F91" i="59"/>
  <c r="F101" i="59" s="1"/>
  <c r="G36" i="59"/>
  <c r="G37" i="59" s="1"/>
  <c r="G157" i="59" s="1"/>
  <c r="G43" i="81"/>
  <c r="F36" i="59"/>
  <c r="F37" i="59" s="1"/>
  <c r="J46" i="100"/>
  <c r="H40" i="59"/>
  <c r="G44" i="81"/>
  <c r="H30" i="81"/>
  <c r="F100" i="59" l="1"/>
  <c r="F110" i="59" s="1"/>
  <c r="H110" i="59" s="1"/>
  <c r="H36" i="59"/>
  <c r="H37" i="59" s="1"/>
  <c r="H89" i="59"/>
  <c r="F121" i="59"/>
  <c r="H121" i="59" s="1"/>
  <c r="F109" i="59"/>
  <c r="H109" i="59" s="1"/>
  <c r="E11" i="80"/>
  <c r="F45" i="81"/>
  <c r="F48" i="81" s="1"/>
  <c r="H101" i="59"/>
  <c r="F111" i="59"/>
  <c r="H111" i="59" s="1"/>
  <c r="F123" i="59"/>
  <c r="H123" i="59" s="1"/>
  <c r="H44" i="81"/>
  <c r="H42" i="81"/>
  <c r="G45" i="81"/>
  <c r="H91" i="59"/>
  <c r="M46" i="100"/>
  <c r="H43" i="81"/>
  <c r="H102" i="59"/>
  <c r="F112" i="59"/>
  <c r="H112" i="59" s="1"/>
  <c r="F124" i="59"/>
  <c r="H124" i="59" s="1"/>
  <c r="H100" i="59" l="1"/>
  <c r="F122" i="59"/>
  <c r="H122" i="59" s="1"/>
  <c r="G48" i="81"/>
  <c r="H45" i="81"/>
  <c r="F105" i="59"/>
  <c r="F106" i="59"/>
  <c r="F104" i="59"/>
  <c r="F29" i="61" l="1"/>
  <c r="F22" i="61"/>
  <c r="H106" i="59"/>
  <c r="F96" i="59"/>
  <c r="H48" i="81"/>
  <c r="H105" i="59"/>
  <c r="F95" i="59"/>
  <c r="H104" i="59"/>
  <c r="F94" i="59"/>
  <c r="F84" i="59" l="1"/>
  <c r="H84" i="59" s="1"/>
  <c r="F116" i="59"/>
  <c r="F70" i="59"/>
  <c r="H70" i="59" s="1"/>
  <c r="H94" i="59"/>
  <c r="H95" i="59"/>
  <c r="F85" i="59"/>
  <c r="H85" i="59" s="1"/>
  <c r="F117" i="59"/>
  <c r="H117" i="59" s="1"/>
  <c r="H96" i="59"/>
  <c r="F86" i="59"/>
  <c r="H86" i="59" s="1"/>
  <c r="F118" i="59"/>
  <c r="H118" i="59" s="1"/>
  <c r="H113" i="59"/>
  <c r="F19" i="61" l="1"/>
  <c r="F125" i="59"/>
  <c r="F155" i="59" s="1"/>
  <c r="F20" i="61"/>
  <c r="H116" i="59"/>
  <c r="H125" i="59" s="1"/>
  <c r="H155" i="59" s="1"/>
  <c r="F157" i="59" l="1"/>
  <c r="F11" i="58"/>
  <c r="H11" i="58" l="1"/>
  <c r="D10" i="78"/>
  <c r="N46" i="100"/>
  <c r="D11" i="80"/>
  <c r="H157" i="59"/>
  <c r="O46" i="100" l="1"/>
  <c r="F10" i="78"/>
  <c r="G10" i="78"/>
  <c r="H10" i="78" s="1"/>
  <c r="L10" i="78" s="1"/>
  <c r="G29" i="78" l="1"/>
  <c r="H29" i="78" s="1"/>
  <c r="P46" i="100"/>
  <c r="L29" i="78" l="1"/>
  <c r="L30" i="78" s="1"/>
  <c r="O43" i="81" l="1"/>
  <c r="O44" i="81"/>
  <c r="O33" i="59"/>
  <c r="O34" i="59"/>
  <c r="O35" i="59"/>
  <c r="O40" i="59"/>
  <c r="O53" i="81" s="1"/>
  <c r="O84" i="59"/>
  <c r="O85" i="59"/>
  <c r="O86" i="59"/>
  <c r="O45" i="81" l="1"/>
  <c r="O48" i="81" s="1"/>
  <c r="O36" i="59"/>
  <c r="O37" i="59" l="1"/>
  <c r="O157" i="59" s="1"/>
  <c r="W15" i="81" l="1"/>
  <c r="E53" i="117" l="1"/>
  <c r="E45" i="117"/>
  <c r="O55" i="117"/>
  <c r="O47" i="117"/>
  <c r="J49" i="117"/>
  <c r="J44" i="117" l="1"/>
  <c r="J52" i="117"/>
  <c r="O42" i="117"/>
  <c r="E48" i="117"/>
  <c r="E56" i="117"/>
  <c r="J48" i="117"/>
  <c r="O46" i="117"/>
  <c r="E44" i="117"/>
  <c r="O50" i="117"/>
  <c r="J47" i="117"/>
  <c r="J55" i="117"/>
  <c r="O48" i="117"/>
  <c r="O56" i="117"/>
  <c r="O45" i="117"/>
  <c r="O53" i="117"/>
  <c r="E43" i="117"/>
  <c r="E51" i="117"/>
  <c r="J41" i="117"/>
  <c r="J56" i="117"/>
  <c r="O54" i="117"/>
  <c r="E52" i="117"/>
  <c r="E46" i="117"/>
  <c r="E54" i="117"/>
  <c r="J46" i="117"/>
  <c r="J54" i="117"/>
  <c r="O44" i="117"/>
  <c r="O52" i="117"/>
  <c r="E42" i="117"/>
  <c r="E50" i="117"/>
  <c r="J42" i="117"/>
  <c r="J50" i="117"/>
  <c r="J43" i="117"/>
  <c r="J51" i="117"/>
  <c r="O41" i="117"/>
  <c r="O49" i="117"/>
  <c r="E47" i="117"/>
  <c r="E55" i="117"/>
  <c r="O33" i="116"/>
  <c r="T33" i="116"/>
  <c r="J45" i="117"/>
  <c r="J53" i="117"/>
  <c r="O43" i="117"/>
  <c r="O51" i="117"/>
  <c r="E41" i="117"/>
  <c r="E49" i="117"/>
  <c r="J57" i="70"/>
  <c r="J40" i="117"/>
  <c r="O57" i="70"/>
  <c r="O40" i="117"/>
  <c r="E57" i="70"/>
  <c r="E40" i="117"/>
  <c r="J33" i="116"/>
  <c r="J57" i="117" l="1"/>
  <c r="Q12" i="93" s="1"/>
  <c r="O57" i="117"/>
  <c r="E57" i="117"/>
  <c r="T30" i="117"/>
  <c r="T29" i="117"/>
  <c r="T28" i="117"/>
  <c r="T27" i="117"/>
  <c r="T26" i="117"/>
  <c r="T25" i="117"/>
  <c r="T24" i="117"/>
  <c r="T23" i="117"/>
  <c r="T22" i="117"/>
  <c r="T21" i="117"/>
  <c r="T20" i="117"/>
  <c r="T19" i="117"/>
  <c r="T18" i="117"/>
  <c r="T17" i="117"/>
  <c r="T16" i="117"/>
  <c r="T15" i="117"/>
  <c r="P12" i="93" l="1"/>
  <c r="P14" i="93" s="1"/>
  <c r="P15" i="93" s="1"/>
  <c r="R12" i="93"/>
  <c r="Q14" i="93"/>
  <c r="Q15" i="93" s="1"/>
  <c r="R14" i="93"/>
  <c r="R15" i="93" s="1"/>
  <c r="T14" i="117"/>
  <c r="T31" i="117" s="1"/>
  <c r="T31" i="70"/>
  <c r="W35" i="81"/>
  <c r="V35" i="81"/>
  <c r="U35" i="81"/>
  <c r="T35" i="81"/>
  <c r="S35" i="81"/>
  <c r="N17" i="54" l="1"/>
  <c r="E56" i="55"/>
  <c r="O17" i="54"/>
  <c r="F56" i="55"/>
  <c r="U28" i="59"/>
  <c r="U34" i="81"/>
  <c r="P17" i="54"/>
  <c r="G56" i="55"/>
  <c r="W28" i="59"/>
  <c r="W34" i="81"/>
  <c r="O12" i="93"/>
  <c r="S28" i="59"/>
  <c r="S34" i="81"/>
  <c r="T28" i="59"/>
  <c r="T34" i="81"/>
  <c r="T15" i="81" l="1"/>
  <c r="V28" i="59"/>
  <c r="V34" i="81"/>
  <c r="V15" i="81"/>
  <c r="U15" i="81"/>
  <c r="O14" i="93"/>
  <c r="O15" i="93" s="1"/>
  <c r="S15" i="81" l="1"/>
  <c r="D56" i="55"/>
  <c r="M17" i="54"/>
  <c r="U31" i="70" l="1"/>
  <c r="F57" i="70"/>
  <c r="K57" i="70"/>
  <c r="U57" i="70"/>
  <c r="P57" i="70"/>
  <c r="T57" i="70"/>
  <c r="T56" i="117"/>
  <c r="T55" i="117"/>
  <c r="T54" i="117"/>
  <c r="T53" i="117"/>
  <c r="T52" i="117"/>
  <c r="T51" i="117"/>
  <c r="T50" i="117"/>
  <c r="T49" i="117"/>
  <c r="T48" i="117"/>
  <c r="T47" i="117"/>
  <c r="T46" i="117"/>
  <c r="T45" i="117"/>
  <c r="T44" i="117"/>
  <c r="T43" i="117"/>
  <c r="T42" i="117"/>
  <c r="T41" i="117"/>
  <c r="U56" i="117"/>
  <c r="U55" i="117"/>
  <c r="U54" i="117"/>
  <c r="U53" i="117"/>
  <c r="U52" i="117"/>
  <c r="U51" i="117"/>
  <c r="U50" i="117"/>
  <c r="U49" i="117"/>
  <c r="U48" i="117"/>
  <c r="U47" i="117"/>
  <c r="U46" i="117"/>
  <c r="U45" i="117"/>
  <c r="U44" i="117"/>
  <c r="U43" i="117"/>
  <c r="U42" i="117"/>
  <c r="U41" i="117"/>
  <c r="P56" i="117"/>
  <c r="P55" i="117"/>
  <c r="P54" i="117"/>
  <c r="P53" i="117"/>
  <c r="P52" i="117"/>
  <c r="P51" i="117"/>
  <c r="P50" i="117"/>
  <c r="P49" i="117"/>
  <c r="P48" i="117"/>
  <c r="P47" i="117"/>
  <c r="P46" i="117"/>
  <c r="P45" i="117"/>
  <c r="P44" i="117"/>
  <c r="P43" i="117"/>
  <c r="P42" i="117"/>
  <c r="P41" i="117"/>
  <c r="K56" i="117"/>
  <c r="K55" i="117"/>
  <c r="K54" i="117"/>
  <c r="K53" i="117"/>
  <c r="K52" i="117"/>
  <c r="K51" i="117"/>
  <c r="K50" i="117"/>
  <c r="K49" i="117"/>
  <c r="K48" i="117"/>
  <c r="K47" i="117"/>
  <c r="K46" i="117"/>
  <c r="K45" i="117"/>
  <c r="K44" i="117"/>
  <c r="K43" i="117"/>
  <c r="K42" i="117"/>
  <c r="K41" i="117"/>
  <c r="F56" i="117"/>
  <c r="F55" i="117"/>
  <c r="F54" i="117"/>
  <c r="F53" i="117"/>
  <c r="F52" i="117"/>
  <c r="F51" i="117"/>
  <c r="F50" i="117"/>
  <c r="F49" i="117"/>
  <c r="F48" i="117"/>
  <c r="F47" i="117"/>
  <c r="F46" i="117"/>
  <c r="F45" i="117"/>
  <c r="F44" i="117"/>
  <c r="F43" i="117"/>
  <c r="F42" i="117"/>
  <c r="F41" i="117"/>
  <c r="F70" i="116" l="1"/>
  <c r="U14" i="117"/>
  <c r="F78" i="116"/>
  <c r="U22" i="117"/>
  <c r="F86" i="116"/>
  <c r="H32" i="116"/>
  <c r="I32" i="116" s="1"/>
  <c r="M32" i="116" s="1"/>
  <c r="N32" i="116" s="1"/>
  <c r="U30" i="117"/>
  <c r="D75" i="116"/>
  <c r="H21" i="116"/>
  <c r="I21" i="116" s="1"/>
  <c r="D83" i="116"/>
  <c r="H29" i="116"/>
  <c r="I29" i="116" s="1"/>
  <c r="F71" i="116"/>
  <c r="U15" i="117"/>
  <c r="F79" i="116"/>
  <c r="U23" i="117"/>
  <c r="D76" i="116"/>
  <c r="H22" i="116"/>
  <c r="I22" i="116" s="1"/>
  <c r="M22" i="116" s="1"/>
  <c r="N22" i="116" s="1"/>
  <c r="D84" i="116"/>
  <c r="H30" i="116"/>
  <c r="I30" i="116" s="1"/>
  <c r="M30" i="116" s="1"/>
  <c r="N30" i="116" s="1"/>
  <c r="K33" i="116"/>
  <c r="F40" i="117"/>
  <c r="F57" i="117" s="1"/>
  <c r="F72" i="116"/>
  <c r="U16" i="117"/>
  <c r="F80" i="116"/>
  <c r="U24" i="117"/>
  <c r="D77" i="116"/>
  <c r="H23" i="116"/>
  <c r="I23" i="116" s="1"/>
  <c r="P33" i="116"/>
  <c r="K40" i="117"/>
  <c r="K57" i="117" s="1"/>
  <c r="F73" i="116"/>
  <c r="U17" i="117"/>
  <c r="F81" i="116"/>
  <c r="U25" i="117"/>
  <c r="D70" i="116"/>
  <c r="H16" i="116"/>
  <c r="D78" i="116"/>
  <c r="H24" i="116"/>
  <c r="I24" i="116" s="1"/>
  <c r="F74" i="116"/>
  <c r="U18" i="117"/>
  <c r="F82" i="116"/>
  <c r="U26" i="117"/>
  <c r="D71" i="116"/>
  <c r="H17" i="116"/>
  <c r="I17" i="116" s="1"/>
  <c r="M17" i="116" s="1"/>
  <c r="N17" i="116" s="1"/>
  <c r="D79" i="116"/>
  <c r="H25" i="116"/>
  <c r="I25" i="116" s="1"/>
  <c r="U33" i="116"/>
  <c r="P40" i="117"/>
  <c r="P57" i="117" s="1"/>
  <c r="F75" i="116"/>
  <c r="U19" i="117"/>
  <c r="F83" i="116"/>
  <c r="U27" i="117"/>
  <c r="D72" i="116"/>
  <c r="H18" i="116"/>
  <c r="I18" i="116" s="1"/>
  <c r="M18" i="116" s="1"/>
  <c r="N18" i="116" s="1"/>
  <c r="D80" i="116"/>
  <c r="H26" i="116"/>
  <c r="I26" i="116" s="1"/>
  <c r="M26" i="116" s="1"/>
  <c r="N26" i="116" s="1"/>
  <c r="Z33" i="116"/>
  <c r="U40" i="117"/>
  <c r="U57" i="117" s="1"/>
  <c r="F76" i="116"/>
  <c r="U20" i="117"/>
  <c r="F84" i="116"/>
  <c r="U28" i="117"/>
  <c r="D73" i="116"/>
  <c r="H19" i="116"/>
  <c r="I19" i="116" s="1"/>
  <c r="M19" i="116" s="1"/>
  <c r="N19" i="116" s="1"/>
  <c r="D81" i="116"/>
  <c r="H27" i="116"/>
  <c r="I27" i="116" s="1"/>
  <c r="M27" i="116" s="1"/>
  <c r="N27" i="116" s="1"/>
  <c r="Y33" i="116"/>
  <c r="T40" i="117"/>
  <c r="T57" i="117" s="1"/>
  <c r="F77" i="116"/>
  <c r="U21" i="117"/>
  <c r="U29" i="117"/>
  <c r="D74" i="116"/>
  <c r="H20" i="116"/>
  <c r="I20" i="116" s="1"/>
  <c r="M20" i="116" s="1"/>
  <c r="N20" i="116" s="1"/>
  <c r="D82" i="116"/>
  <c r="H28" i="116"/>
  <c r="I28" i="116" s="1"/>
  <c r="M28" i="116" s="1"/>
  <c r="N28" i="116" s="1"/>
  <c r="R17" i="116" l="1"/>
  <c r="S17" i="116" s="1"/>
  <c r="R22" i="116"/>
  <c r="S22" i="116" s="1"/>
  <c r="R20" i="116"/>
  <c r="S20" i="116" s="1"/>
  <c r="R27" i="116"/>
  <c r="S27" i="116" s="1"/>
  <c r="M21" i="116"/>
  <c r="N21" i="116" s="1"/>
  <c r="R26" i="116"/>
  <c r="S26" i="116" s="1"/>
  <c r="M24" i="116"/>
  <c r="N24" i="116" s="1"/>
  <c r="M23" i="116"/>
  <c r="N23" i="116" s="1"/>
  <c r="U31" i="117"/>
  <c r="S12" i="93"/>
  <c r="R30" i="116"/>
  <c r="S30" i="116" s="1"/>
  <c r="R19" i="116"/>
  <c r="S19" i="116" s="1"/>
  <c r="M25" i="116"/>
  <c r="N25" i="116" s="1"/>
  <c r="M29" i="116"/>
  <c r="N29" i="116" s="1"/>
  <c r="R28" i="116"/>
  <c r="S28" i="116" s="1"/>
  <c r="R18" i="116"/>
  <c r="S18" i="116" s="1"/>
  <c r="R32" i="116"/>
  <c r="S32" i="116" s="1"/>
  <c r="I16" i="116"/>
  <c r="W32" i="116" l="1"/>
  <c r="X32" i="116" s="1"/>
  <c r="R29" i="116"/>
  <c r="S29" i="116" s="1"/>
  <c r="R25" i="116"/>
  <c r="S25" i="116" s="1"/>
  <c r="W19" i="116"/>
  <c r="X19" i="116" s="1"/>
  <c r="R23" i="116"/>
  <c r="S23" i="116" s="1"/>
  <c r="W26" i="116"/>
  <c r="X26" i="116" s="1"/>
  <c r="W27" i="116"/>
  <c r="X27" i="116" s="1"/>
  <c r="W18" i="116"/>
  <c r="X18" i="116" s="1"/>
  <c r="R24" i="116"/>
  <c r="S24" i="116" s="1"/>
  <c r="R21" i="116"/>
  <c r="S21" i="116" s="1"/>
  <c r="S14" i="93"/>
  <c r="S15" i="93" s="1"/>
  <c r="W22" i="116"/>
  <c r="X22" i="116" s="1"/>
  <c r="W28" i="116"/>
  <c r="X28" i="116" s="1"/>
  <c r="M16" i="116"/>
  <c r="W30" i="116"/>
  <c r="X30" i="116" s="1"/>
  <c r="W20" i="116"/>
  <c r="X20" i="116" s="1"/>
  <c r="W17" i="116"/>
  <c r="X17" i="116" s="1"/>
  <c r="U77" i="59"/>
  <c r="W23" i="116" l="1"/>
  <c r="X23" i="116" s="1"/>
  <c r="AB17" i="116"/>
  <c r="AB30" i="116"/>
  <c r="AB18" i="116"/>
  <c r="W29" i="116"/>
  <c r="X29" i="116" s="1"/>
  <c r="AB27" i="116"/>
  <c r="AB32" i="116"/>
  <c r="AB19" i="116"/>
  <c r="N16" i="116"/>
  <c r="AB22" i="116"/>
  <c r="AB26" i="116"/>
  <c r="V77" i="59"/>
  <c r="AB28" i="116"/>
  <c r="H56" i="55"/>
  <c r="Q17" i="54"/>
  <c r="AB20" i="116"/>
  <c r="W21" i="116"/>
  <c r="X21" i="116" s="1"/>
  <c r="W24" i="116"/>
  <c r="X24" i="116" s="1"/>
  <c r="W25" i="116"/>
  <c r="X25" i="116" s="1"/>
  <c r="U76" i="59"/>
  <c r="V76" i="59"/>
  <c r="W76" i="59"/>
  <c r="W77" i="59"/>
  <c r="V62" i="59" l="1"/>
  <c r="U119" i="59"/>
  <c r="T77" i="59"/>
  <c r="T120" i="59" s="1"/>
  <c r="U62" i="59"/>
  <c r="U61" i="59"/>
  <c r="S77" i="59"/>
  <c r="S120" i="59" s="1"/>
  <c r="AB24" i="116"/>
  <c r="W62" i="59"/>
  <c r="V61" i="59"/>
  <c r="AB21" i="116"/>
  <c r="T61" i="59"/>
  <c r="T62" i="59"/>
  <c r="V120" i="59"/>
  <c r="W119" i="59"/>
  <c r="V119" i="59"/>
  <c r="S62" i="59"/>
  <c r="W120" i="59"/>
  <c r="AB25" i="116"/>
  <c r="R16" i="116"/>
  <c r="AB23" i="116"/>
  <c r="W61" i="59"/>
  <c r="AB29" i="116"/>
  <c r="U120" i="59" l="1"/>
  <c r="S16" i="116"/>
  <c r="W16" i="116" l="1"/>
  <c r="X16" i="116" l="1"/>
  <c r="AB16" i="116" l="1"/>
  <c r="S61" i="59" l="1"/>
  <c r="T76" i="59" l="1"/>
  <c r="T119" i="59" l="1"/>
  <c r="S76" i="59" l="1"/>
  <c r="S119" i="59" l="1"/>
  <c r="U153" i="59" l="1"/>
  <c r="S58" i="59"/>
  <c r="S60" i="59" l="1"/>
  <c r="T60" i="59"/>
  <c r="S59" i="59"/>
  <c r="S68" i="59" l="1"/>
  <c r="S104" i="59" s="1"/>
  <c r="T58" i="59"/>
  <c r="S70" i="59" l="1"/>
  <c r="S106" i="59"/>
  <c r="E169" i="59"/>
  <c r="E170" i="59" s="1"/>
  <c r="S108" i="59"/>
  <c r="S107" i="59"/>
  <c r="T59" i="59"/>
  <c r="T68" i="59" s="1"/>
  <c r="T106" i="59" s="1"/>
  <c r="S105" i="59"/>
  <c r="U60" i="59"/>
  <c r="U58" i="59"/>
  <c r="U59" i="59"/>
  <c r="U68" i="59" l="1"/>
  <c r="U104" i="59" s="1"/>
  <c r="T104" i="59"/>
  <c r="T70" i="59"/>
  <c r="F169" i="59"/>
  <c r="F170" i="59" s="1"/>
  <c r="T108" i="59"/>
  <c r="T107" i="59"/>
  <c r="T105" i="59"/>
  <c r="V60" i="59"/>
  <c r="V58" i="59"/>
  <c r="V59" i="59"/>
  <c r="U105" i="59" l="1"/>
  <c r="U106" i="59"/>
  <c r="V68" i="59"/>
  <c r="V105" i="59" s="1"/>
  <c r="G169" i="59"/>
  <c r="G170" i="59" s="1"/>
  <c r="U107" i="59"/>
  <c r="U108" i="59"/>
  <c r="U70" i="59"/>
  <c r="W60" i="59"/>
  <c r="W58" i="59"/>
  <c r="W59" i="59"/>
  <c r="V106" i="59" l="1"/>
  <c r="H169" i="59"/>
  <c r="H170" i="59" s="1"/>
  <c r="V107" i="59"/>
  <c r="V108" i="59"/>
  <c r="V70" i="59"/>
  <c r="W68" i="59"/>
  <c r="W70" i="59" s="1"/>
  <c r="V104" i="59"/>
  <c r="W106" i="59" l="1"/>
  <c r="W104" i="59"/>
  <c r="I169" i="59"/>
  <c r="I170" i="59" s="1"/>
  <c r="W107" i="59"/>
  <c r="W108" i="59"/>
  <c r="W105" i="59"/>
  <c r="E23" i="65" l="1"/>
  <c r="E24" i="65" s="1"/>
  <c r="F23" i="65" l="1"/>
  <c r="F82" i="61"/>
  <c r="G23" i="65" l="1"/>
  <c r="F24" i="65"/>
  <c r="G82" i="61"/>
  <c r="F81" i="61"/>
  <c r="S14" i="58"/>
  <c r="G81" i="61" l="1"/>
  <c r="T14" i="58"/>
  <c r="H23" i="65"/>
  <c r="G24" i="65"/>
  <c r="H82" i="61"/>
  <c r="W39" i="81"/>
  <c r="V39" i="81"/>
  <c r="U39" i="81"/>
  <c r="T39" i="81"/>
  <c r="S39" i="81" l="1"/>
  <c r="T32" i="59"/>
  <c r="V38" i="81"/>
  <c r="T57" i="81"/>
  <c r="S38" i="81"/>
  <c r="U32" i="59"/>
  <c r="W38" i="81"/>
  <c r="S57" i="81"/>
  <c r="W57" i="81"/>
  <c r="T38" i="81"/>
  <c r="V32" i="59"/>
  <c r="V57" i="81"/>
  <c r="U38" i="81"/>
  <c r="W32" i="59"/>
  <c r="U57" i="81"/>
  <c r="U14" i="58"/>
  <c r="H81" i="61"/>
  <c r="I23" i="65"/>
  <c r="H24" i="65"/>
  <c r="I82" i="61"/>
  <c r="S32" i="59" l="1"/>
  <c r="I81" i="61"/>
  <c r="V14" i="58"/>
  <c r="I24" i="65"/>
  <c r="J82" i="61"/>
  <c r="G168" i="59"/>
  <c r="G178" i="59" s="1"/>
  <c r="U53" i="81"/>
  <c r="E168" i="59"/>
  <c r="E178" i="59" s="1"/>
  <c r="S53" i="81"/>
  <c r="I168" i="59"/>
  <c r="I178" i="59" s="1"/>
  <c r="W53" i="81"/>
  <c r="H168" i="59"/>
  <c r="H178" i="59" s="1"/>
  <c r="V53" i="81"/>
  <c r="F168" i="59"/>
  <c r="F178" i="59" s="1"/>
  <c r="T53" i="81"/>
  <c r="J81" i="61" l="1"/>
  <c r="W14" i="58"/>
  <c r="E48" i="116" l="1"/>
  <c r="E49" i="116"/>
  <c r="E45" i="116"/>
  <c r="E55" i="116"/>
  <c r="E52" i="116"/>
  <c r="E51" i="116"/>
  <c r="E46" i="116"/>
  <c r="E47" i="116"/>
  <c r="E44" i="116"/>
  <c r="E56" i="116"/>
  <c r="E60" i="116"/>
  <c r="E53" i="116"/>
  <c r="E57" i="116"/>
  <c r="E50" i="116"/>
  <c r="E54" i="116"/>
  <c r="E58" i="116"/>
  <c r="H58" i="116" l="1"/>
  <c r="E84" i="116"/>
  <c r="H84" i="116" s="1"/>
  <c r="H60" i="116"/>
  <c r="E86" i="116"/>
  <c r="H86" i="116" s="1"/>
  <c r="H52" i="116"/>
  <c r="E78" i="116"/>
  <c r="H78" i="116" s="1"/>
  <c r="H50" i="116"/>
  <c r="E76" i="116"/>
  <c r="H76" i="116" s="1"/>
  <c r="H57" i="116"/>
  <c r="E83" i="116"/>
  <c r="H83" i="116" s="1"/>
  <c r="H44" i="116"/>
  <c r="E70" i="116"/>
  <c r="H47" i="116"/>
  <c r="E73" i="116"/>
  <c r="H73" i="116" s="1"/>
  <c r="H46" i="116"/>
  <c r="E72" i="116"/>
  <c r="H72" i="116" s="1"/>
  <c r="H56" i="116"/>
  <c r="E82" i="116"/>
  <c r="H82" i="116" s="1"/>
  <c r="H45" i="116"/>
  <c r="E71" i="116"/>
  <c r="H71" i="116" s="1"/>
  <c r="H54" i="116"/>
  <c r="E80" i="116"/>
  <c r="H80" i="116" s="1"/>
  <c r="H53" i="116"/>
  <c r="E79" i="116"/>
  <c r="H79" i="116" s="1"/>
  <c r="H51" i="116"/>
  <c r="E77" i="116"/>
  <c r="H77" i="116" s="1"/>
  <c r="H49" i="116"/>
  <c r="E75" i="116"/>
  <c r="H75" i="116" s="1"/>
  <c r="H55" i="116"/>
  <c r="E81" i="116"/>
  <c r="H81" i="116" s="1"/>
  <c r="H48" i="116"/>
  <c r="E74" i="116"/>
  <c r="H74" i="116" s="1"/>
  <c r="F64" i="55"/>
  <c r="E64" i="55"/>
  <c r="G64" i="55"/>
  <c r="H64" i="55"/>
  <c r="V74" i="117" l="1"/>
  <c r="V128" i="117" s="1"/>
  <c r="I50" i="116"/>
  <c r="I53" i="116"/>
  <c r="V77" i="117"/>
  <c r="V131" i="117" s="1"/>
  <c r="V69" i="117"/>
  <c r="V123" i="117" s="1"/>
  <c r="I45" i="116"/>
  <c r="V70" i="117"/>
  <c r="V124" i="117" s="1"/>
  <c r="I46" i="116"/>
  <c r="I44" i="116"/>
  <c r="V68" i="117"/>
  <c r="V76" i="117"/>
  <c r="V130" i="117" s="1"/>
  <c r="I52" i="116"/>
  <c r="I60" i="116"/>
  <c r="V84" i="117"/>
  <c r="V138" i="117" s="1"/>
  <c r="V73" i="117"/>
  <c r="V127" i="117" s="1"/>
  <c r="I49" i="116"/>
  <c r="V81" i="117"/>
  <c r="V135" i="117" s="1"/>
  <c r="I57" i="116"/>
  <c r="I55" i="116"/>
  <c r="V79" i="117"/>
  <c r="V133" i="117" s="1"/>
  <c r="V80" i="117"/>
  <c r="V134" i="117" s="1"/>
  <c r="I56" i="116"/>
  <c r="I47" i="116"/>
  <c r="V71" i="117"/>
  <c r="V125" i="117" s="1"/>
  <c r="V75" i="117"/>
  <c r="V129" i="117" s="1"/>
  <c r="I51" i="116"/>
  <c r="I58" i="116"/>
  <c r="V82" i="117"/>
  <c r="V136" i="117" s="1"/>
  <c r="V72" i="117"/>
  <c r="V126" i="117" s="1"/>
  <c r="I48" i="116"/>
  <c r="I54" i="116"/>
  <c r="V78" i="117"/>
  <c r="V132" i="117" s="1"/>
  <c r="H70" i="116"/>
  <c r="I86" i="116" l="1"/>
  <c r="K60" i="116"/>
  <c r="J60" i="116"/>
  <c r="I71" i="116"/>
  <c r="K45" i="116"/>
  <c r="J45" i="116"/>
  <c r="I74" i="116"/>
  <c r="K48" i="116"/>
  <c r="J48" i="116"/>
  <c r="K49" i="116"/>
  <c r="J49" i="116"/>
  <c r="I75" i="116"/>
  <c r="I82" i="116"/>
  <c r="K56" i="116"/>
  <c r="J56" i="116"/>
  <c r="I81" i="116"/>
  <c r="K55" i="116"/>
  <c r="J55" i="116"/>
  <c r="K52" i="116"/>
  <c r="J52" i="116"/>
  <c r="I78" i="116"/>
  <c r="V122" i="117"/>
  <c r="I72" i="116"/>
  <c r="K46" i="116"/>
  <c r="J46" i="116"/>
  <c r="K53" i="116"/>
  <c r="J53" i="116"/>
  <c r="I79" i="116"/>
  <c r="I80" i="116"/>
  <c r="K54" i="116"/>
  <c r="J54" i="116"/>
  <c r="I84" i="116"/>
  <c r="K58" i="116"/>
  <c r="J58" i="116"/>
  <c r="K51" i="116"/>
  <c r="J51" i="116"/>
  <c r="I77" i="116"/>
  <c r="I70" i="116"/>
  <c r="K44" i="116"/>
  <c r="J44" i="116"/>
  <c r="I73" i="116"/>
  <c r="K47" i="116"/>
  <c r="J47" i="116"/>
  <c r="K57" i="116"/>
  <c r="J57" i="116"/>
  <c r="I83" i="116"/>
  <c r="I76" i="116"/>
  <c r="K50" i="116"/>
  <c r="J50" i="116"/>
  <c r="M44" i="116" l="1"/>
  <c r="N44" i="116" s="1"/>
  <c r="K77" i="116"/>
  <c r="K81" i="116"/>
  <c r="K74" i="116"/>
  <c r="M50" i="116"/>
  <c r="N50" i="116" s="1"/>
  <c r="J76" i="116"/>
  <c r="M56" i="116"/>
  <c r="N56" i="116" s="1"/>
  <c r="J82" i="116"/>
  <c r="M45" i="116"/>
  <c r="N45" i="116" s="1"/>
  <c r="J71" i="116"/>
  <c r="F59" i="116"/>
  <c r="K76" i="116"/>
  <c r="K82" i="116"/>
  <c r="K71" i="116"/>
  <c r="J70" i="116"/>
  <c r="M70" i="116" s="1"/>
  <c r="M58" i="116"/>
  <c r="N58" i="116" s="1"/>
  <c r="J84" i="116"/>
  <c r="M60" i="116"/>
  <c r="N60" i="116" s="1"/>
  <c r="J86" i="116"/>
  <c r="M57" i="116"/>
  <c r="N57" i="116" s="1"/>
  <c r="J83" i="116"/>
  <c r="K70" i="116"/>
  <c r="K84" i="116"/>
  <c r="M46" i="116"/>
  <c r="N46" i="116" s="1"/>
  <c r="J72" i="116"/>
  <c r="M52" i="116"/>
  <c r="N52" i="116" s="1"/>
  <c r="J78" i="116"/>
  <c r="K86" i="116"/>
  <c r="K83" i="116"/>
  <c r="M47" i="116"/>
  <c r="N47" i="116" s="1"/>
  <c r="J73" i="116"/>
  <c r="K72" i="116"/>
  <c r="K78" i="116"/>
  <c r="K73" i="116"/>
  <c r="M54" i="116"/>
  <c r="N54" i="116" s="1"/>
  <c r="J80" i="116"/>
  <c r="M53" i="116"/>
  <c r="N53" i="116" s="1"/>
  <c r="J79" i="116"/>
  <c r="M49" i="116"/>
  <c r="N49" i="116" s="1"/>
  <c r="J75" i="116"/>
  <c r="M51" i="116"/>
  <c r="N51" i="116" s="1"/>
  <c r="J77" i="116"/>
  <c r="M77" i="116" s="1"/>
  <c r="K80" i="116"/>
  <c r="K79" i="116"/>
  <c r="M55" i="116"/>
  <c r="N55" i="116" s="1"/>
  <c r="J81" i="116"/>
  <c r="M81" i="116" s="1"/>
  <c r="K75" i="116"/>
  <c r="M48" i="116"/>
  <c r="N48" i="116" s="1"/>
  <c r="J74" i="116"/>
  <c r="M74" i="116" l="1"/>
  <c r="M79" i="116"/>
  <c r="M80" i="116"/>
  <c r="M78" i="116"/>
  <c r="P60" i="116"/>
  <c r="O60" i="116"/>
  <c r="N86" i="116"/>
  <c r="P51" i="116"/>
  <c r="O51" i="116"/>
  <c r="N77" i="116"/>
  <c r="P54" i="116"/>
  <c r="O54" i="116"/>
  <c r="N80" i="116"/>
  <c r="P52" i="116"/>
  <c r="O52" i="116"/>
  <c r="N78" i="116"/>
  <c r="M75" i="116"/>
  <c r="P53" i="116"/>
  <c r="O53" i="116"/>
  <c r="N79" i="116"/>
  <c r="M72" i="116"/>
  <c r="P48" i="116"/>
  <c r="O48" i="116"/>
  <c r="N74" i="116"/>
  <c r="P55" i="116"/>
  <c r="O55" i="116"/>
  <c r="N81" i="116"/>
  <c r="P49" i="116"/>
  <c r="O49" i="116"/>
  <c r="N75" i="116"/>
  <c r="P46" i="116"/>
  <c r="O46" i="116"/>
  <c r="N72" i="116"/>
  <c r="M73" i="116"/>
  <c r="M84" i="116"/>
  <c r="M82" i="116"/>
  <c r="P47" i="116"/>
  <c r="O47" i="116"/>
  <c r="N73" i="116"/>
  <c r="M83" i="116"/>
  <c r="P58" i="116"/>
  <c r="O58" i="116"/>
  <c r="N84" i="116"/>
  <c r="F61" i="116"/>
  <c r="F85" i="116"/>
  <c r="F87" i="116" s="1"/>
  <c r="M71" i="116"/>
  <c r="P56" i="116"/>
  <c r="O56" i="116"/>
  <c r="N82" i="116"/>
  <c r="P57" i="116"/>
  <c r="O57" i="116"/>
  <c r="N83" i="116"/>
  <c r="P45" i="116"/>
  <c r="O45" i="116"/>
  <c r="N71" i="116"/>
  <c r="M76" i="116"/>
  <c r="M86" i="116"/>
  <c r="P50" i="116"/>
  <c r="O50" i="116"/>
  <c r="N76" i="116"/>
  <c r="P44" i="116"/>
  <c r="O44" i="116"/>
  <c r="N70" i="116"/>
  <c r="R44" i="116" l="1"/>
  <c r="S44" i="116" s="1"/>
  <c r="P84" i="116"/>
  <c r="R60" i="116"/>
  <c r="S60" i="116" s="1"/>
  <c r="O86" i="116"/>
  <c r="O70" i="116"/>
  <c r="R50" i="116"/>
  <c r="S50" i="116" s="1"/>
  <c r="O76" i="116"/>
  <c r="R45" i="116"/>
  <c r="S45" i="116" s="1"/>
  <c r="O71" i="116"/>
  <c r="R57" i="116"/>
  <c r="S57" i="116" s="1"/>
  <c r="O83" i="116"/>
  <c r="R55" i="116"/>
  <c r="S55" i="116" s="1"/>
  <c r="O81" i="116"/>
  <c r="P86" i="116"/>
  <c r="P71" i="116"/>
  <c r="P83" i="116"/>
  <c r="P81" i="116"/>
  <c r="R52" i="116"/>
  <c r="S52" i="116" s="1"/>
  <c r="O78" i="116"/>
  <c r="P78" i="116"/>
  <c r="R56" i="116"/>
  <c r="S56" i="116" s="1"/>
  <c r="O82" i="116"/>
  <c r="R47" i="116"/>
  <c r="S47" i="116" s="1"/>
  <c r="O73" i="116"/>
  <c r="R49" i="116"/>
  <c r="S49" i="116" s="1"/>
  <c r="O75" i="116"/>
  <c r="R54" i="116"/>
  <c r="S54" i="116" s="1"/>
  <c r="O80" i="116"/>
  <c r="R51" i="116"/>
  <c r="S51" i="116" s="1"/>
  <c r="O77" i="116"/>
  <c r="P76" i="116"/>
  <c r="P82" i="116"/>
  <c r="P73" i="116"/>
  <c r="R46" i="116"/>
  <c r="S46" i="116" s="1"/>
  <c r="O72" i="116"/>
  <c r="P75" i="116"/>
  <c r="R48" i="116"/>
  <c r="S48" i="116" s="1"/>
  <c r="O74" i="116"/>
  <c r="P80" i="116"/>
  <c r="P77" i="116"/>
  <c r="P72" i="116"/>
  <c r="P74" i="116"/>
  <c r="R53" i="116"/>
  <c r="S53" i="116" s="1"/>
  <c r="O79" i="116"/>
  <c r="P70" i="116"/>
  <c r="R58" i="116"/>
  <c r="S58" i="116" s="1"/>
  <c r="O84" i="116"/>
  <c r="P79" i="116"/>
  <c r="R84" i="116" l="1"/>
  <c r="R74" i="116"/>
  <c r="U51" i="116"/>
  <c r="T51" i="116"/>
  <c r="S77" i="116"/>
  <c r="R73" i="116"/>
  <c r="R82" i="116"/>
  <c r="R83" i="116"/>
  <c r="U50" i="116"/>
  <c r="T50" i="116"/>
  <c r="S76" i="116"/>
  <c r="U60" i="116"/>
  <c r="T60" i="116"/>
  <c r="S86" i="116"/>
  <c r="R79" i="116"/>
  <c r="U48" i="116"/>
  <c r="T48" i="116"/>
  <c r="S74" i="116"/>
  <c r="U47" i="116"/>
  <c r="T47" i="116"/>
  <c r="S73" i="116"/>
  <c r="U56" i="116"/>
  <c r="T56" i="116"/>
  <c r="S82" i="116"/>
  <c r="U57" i="116"/>
  <c r="T57" i="116"/>
  <c r="S83" i="116"/>
  <c r="U53" i="116"/>
  <c r="T53" i="116"/>
  <c r="S79" i="116"/>
  <c r="R80" i="116"/>
  <c r="R78" i="116"/>
  <c r="R70" i="116"/>
  <c r="U54" i="116"/>
  <c r="T54" i="116"/>
  <c r="S80" i="116"/>
  <c r="R75" i="116"/>
  <c r="U52" i="116"/>
  <c r="T52" i="116"/>
  <c r="S78" i="116"/>
  <c r="R71" i="116"/>
  <c r="U58" i="116"/>
  <c r="T58" i="116"/>
  <c r="S84" i="116"/>
  <c r="U49" i="116"/>
  <c r="T49" i="116"/>
  <c r="S75" i="116"/>
  <c r="U45" i="116"/>
  <c r="T45" i="116"/>
  <c r="S71" i="116"/>
  <c r="R72" i="116"/>
  <c r="R81" i="116"/>
  <c r="S70" i="116"/>
  <c r="U44" i="116"/>
  <c r="T44" i="116"/>
  <c r="U46" i="116"/>
  <c r="T46" i="116"/>
  <c r="S72" i="116"/>
  <c r="U55" i="116"/>
  <c r="T55" i="116"/>
  <c r="S81" i="116"/>
  <c r="R77" i="116"/>
  <c r="R76" i="116"/>
  <c r="R86" i="116"/>
  <c r="T70" i="116" l="1"/>
  <c r="W45" i="116"/>
  <c r="X45" i="116" s="1"/>
  <c r="T71" i="116"/>
  <c r="U80" i="116"/>
  <c r="W47" i="116"/>
  <c r="X47" i="116" s="1"/>
  <c r="T73" i="116"/>
  <c r="U74" i="116"/>
  <c r="U71" i="116"/>
  <c r="U73" i="116"/>
  <c r="W60" i="116"/>
  <c r="X60" i="116" s="1"/>
  <c r="T86" i="116"/>
  <c r="U70" i="116"/>
  <c r="U86" i="116"/>
  <c r="W55" i="116"/>
  <c r="X55" i="116" s="1"/>
  <c r="T81" i="116"/>
  <c r="W46" i="116"/>
  <c r="X46" i="116" s="1"/>
  <c r="T72" i="116"/>
  <c r="W53" i="116"/>
  <c r="X53" i="116" s="1"/>
  <c r="T79" i="116"/>
  <c r="W50" i="116"/>
  <c r="X50" i="116" s="1"/>
  <c r="T76" i="116"/>
  <c r="U81" i="116"/>
  <c r="U72" i="116"/>
  <c r="W49" i="116"/>
  <c r="X49" i="116" s="1"/>
  <c r="T75" i="116"/>
  <c r="U79" i="116"/>
  <c r="W56" i="116"/>
  <c r="X56" i="116" s="1"/>
  <c r="T82" i="116"/>
  <c r="U76" i="116"/>
  <c r="U75" i="116"/>
  <c r="W58" i="116"/>
  <c r="X58" i="116" s="1"/>
  <c r="T84" i="116"/>
  <c r="W52" i="116"/>
  <c r="X52" i="116" s="1"/>
  <c r="T78" i="116"/>
  <c r="W57" i="116"/>
  <c r="X57" i="116" s="1"/>
  <c r="T83" i="116"/>
  <c r="U82" i="116"/>
  <c r="W51" i="116"/>
  <c r="X51" i="116" s="1"/>
  <c r="T77" i="116"/>
  <c r="W44" i="116"/>
  <c r="U84" i="116"/>
  <c r="U78" i="116"/>
  <c r="W54" i="116"/>
  <c r="X54" i="116" s="1"/>
  <c r="T80" i="116"/>
  <c r="U83" i="116"/>
  <c r="W48" i="116"/>
  <c r="X48" i="116" s="1"/>
  <c r="T74" i="116"/>
  <c r="W74" i="116" s="1"/>
  <c r="U77" i="116"/>
  <c r="W70" i="116" l="1"/>
  <c r="W80" i="116"/>
  <c r="X44" i="116"/>
  <c r="Z55" i="116"/>
  <c r="Y55" i="116"/>
  <c r="X81" i="116"/>
  <c r="W83" i="116"/>
  <c r="W84" i="116"/>
  <c r="W86" i="116"/>
  <c r="W77" i="116"/>
  <c r="Z57" i="116"/>
  <c r="Y57" i="116"/>
  <c r="X83" i="116"/>
  <c r="Z58" i="116"/>
  <c r="Y58" i="116"/>
  <c r="X84" i="116"/>
  <c r="W72" i="116"/>
  <c r="Z60" i="116"/>
  <c r="Y60" i="116"/>
  <c r="X86" i="116"/>
  <c r="Z54" i="116"/>
  <c r="Y54" i="116"/>
  <c r="X80" i="116"/>
  <c r="Z51" i="116"/>
  <c r="Y51" i="116"/>
  <c r="X77" i="116"/>
  <c r="W76" i="116"/>
  <c r="Z46" i="116"/>
  <c r="Y46" i="116"/>
  <c r="X72" i="116"/>
  <c r="W73" i="116"/>
  <c r="W82" i="116"/>
  <c r="Z50" i="116"/>
  <c r="Y50" i="116"/>
  <c r="X76" i="116"/>
  <c r="Z47" i="116"/>
  <c r="Y47" i="116"/>
  <c r="X73" i="116"/>
  <c r="Z48" i="116"/>
  <c r="Y48" i="116"/>
  <c r="X74" i="116"/>
  <c r="Z56" i="116"/>
  <c r="Y56" i="116"/>
  <c r="X82" i="116"/>
  <c r="W79" i="116"/>
  <c r="W71" i="116"/>
  <c r="W78" i="116"/>
  <c r="W75" i="116"/>
  <c r="Z53" i="116"/>
  <c r="Y53" i="116"/>
  <c r="X79" i="116"/>
  <c r="Z45" i="116"/>
  <c r="Y45" i="116"/>
  <c r="X71" i="116"/>
  <c r="Z52" i="116"/>
  <c r="Y52" i="116"/>
  <c r="X78" i="116"/>
  <c r="Z49" i="116"/>
  <c r="Y49" i="116"/>
  <c r="X75" i="116"/>
  <c r="W81" i="116"/>
  <c r="Z75" i="116" l="1"/>
  <c r="Z71" i="116"/>
  <c r="Z82" i="116"/>
  <c r="Z80" i="116"/>
  <c r="Z84" i="116"/>
  <c r="Y74" i="116"/>
  <c r="Y79" i="116"/>
  <c r="Z74" i="116"/>
  <c r="Y83" i="116"/>
  <c r="Z79" i="116"/>
  <c r="Y73" i="116"/>
  <c r="Y86" i="116"/>
  <c r="Z83" i="116"/>
  <c r="Y81" i="116"/>
  <c r="Y78" i="116"/>
  <c r="Z73" i="116"/>
  <c r="Y72" i="116"/>
  <c r="Z86" i="116"/>
  <c r="Z81" i="116"/>
  <c r="Z78" i="116"/>
  <c r="Y76" i="116"/>
  <c r="Z72" i="116"/>
  <c r="Z76" i="116"/>
  <c r="Y77" i="116"/>
  <c r="Y75" i="116"/>
  <c r="AB75" i="116" s="1"/>
  <c r="Y71" i="116"/>
  <c r="AB71" i="116" s="1"/>
  <c r="Y82" i="116"/>
  <c r="AB82" i="116" s="1"/>
  <c r="Z77" i="116"/>
  <c r="Y80" i="116"/>
  <c r="Y84" i="116"/>
  <c r="AB84" i="116" s="1"/>
  <c r="X70" i="116"/>
  <c r="Y44" i="116"/>
  <c r="Z44" i="116"/>
  <c r="AB80" i="116" l="1"/>
  <c r="AB83" i="116"/>
  <c r="AB72" i="116"/>
  <c r="AB73" i="116"/>
  <c r="AB74" i="116"/>
  <c r="AB76" i="116"/>
  <c r="AB77" i="116"/>
  <c r="AB78" i="116"/>
  <c r="AB81" i="116"/>
  <c r="Z70" i="116"/>
  <c r="AB79" i="116"/>
  <c r="Y70" i="116"/>
  <c r="AB86" i="116"/>
  <c r="D64" i="55"/>
  <c r="AB70" i="116" l="1"/>
  <c r="S79" i="59" l="1"/>
  <c r="T78" i="59" l="1"/>
  <c r="S78" i="59"/>
  <c r="S81" i="59"/>
  <c r="T81" i="59"/>
  <c r="T124" i="59" s="1"/>
  <c r="T79" i="59"/>
  <c r="S64" i="59"/>
  <c r="T66" i="59"/>
  <c r="T112" i="59" s="1"/>
  <c r="S66" i="59"/>
  <c r="S63" i="59"/>
  <c r="T64" i="59"/>
  <c r="T110" i="59" s="1"/>
  <c r="T122" i="59" l="1"/>
  <c r="T121" i="59"/>
  <c r="U78" i="59"/>
  <c r="U79" i="59"/>
  <c r="U64" i="59"/>
  <c r="U110" i="59" s="1"/>
  <c r="V78" i="59"/>
  <c r="V81" i="59"/>
  <c r="V124" i="59" s="1"/>
  <c r="U81" i="59"/>
  <c r="U124" i="59" s="1"/>
  <c r="U66" i="59"/>
  <c r="U112" i="59" s="1"/>
  <c r="T63" i="59"/>
  <c r="T109" i="59" s="1"/>
  <c r="T113" i="59" s="1"/>
  <c r="T23" i="59" s="1"/>
  <c r="T91" i="59" l="1"/>
  <c r="T92" i="59"/>
  <c r="T89" i="59"/>
  <c r="T90" i="59"/>
  <c r="U121" i="59"/>
  <c r="F182" i="59"/>
  <c r="T30" i="81"/>
  <c r="T35" i="59"/>
  <c r="T34" i="59"/>
  <c r="T33" i="59"/>
  <c r="T88" i="59"/>
  <c r="T87" i="59"/>
  <c r="T85" i="59"/>
  <c r="T86" i="59"/>
  <c r="T84" i="59"/>
  <c r="F61" i="61"/>
  <c r="F68" i="61"/>
  <c r="V121" i="59"/>
  <c r="U122" i="59"/>
  <c r="V79" i="59"/>
  <c r="V66" i="59"/>
  <c r="V112" i="59" s="1"/>
  <c r="V64" i="59"/>
  <c r="V110" i="59" s="1"/>
  <c r="U63" i="59"/>
  <c r="U109" i="59" s="1"/>
  <c r="U113" i="59" s="1"/>
  <c r="U23" i="59" s="1"/>
  <c r="U91" i="59" l="1"/>
  <c r="U92" i="59"/>
  <c r="U89" i="59"/>
  <c r="U90" i="59"/>
  <c r="T36" i="59"/>
  <c r="T37" i="59" s="1"/>
  <c r="N40" i="71" s="1"/>
  <c r="N42" i="71" s="1"/>
  <c r="T43" i="81"/>
  <c r="T42" i="81"/>
  <c r="T44" i="81"/>
  <c r="F191" i="59"/>
  <c r="F194" i="59" s="1"/>
  <c r="F196" i="59" s="1"/>
  <c r="F185" i="59"/>
  <c r="F187" i="59" s="1"/>
  <c r="G68" i="61"/>
  <c r="G61" i="61"/>
  <c r="U34" i="59"/>
  <c r="U33" i="59"/>
  <c r="U30" i="81"/>
  <c r="U35" i="59"/>
  <c r="G182" i="59"/>
  <c r="U87" i="59"/>
  <c r="U88" i="59"/>
  <c r="U86" i="59"/>
  <c r="U85" i="59"/>
  <c r="U84" i="59"/>
  <c r="V122" i="59"/>
  <c r="H61" i="61" s="1"/>
  <c r="D40" i="71"/>
  <c r="D42" i="71" s="1"/>
  <c r="W66" i="59"/>
  <c r="W112" i="59" s="1"/>
  <c r="W64" i="59"/>
  <c r="W110" i="59" s="1"/>
  <c r="W63" i="59"/>
  <c r="W109" i="59" s="1"/>
  <c r="W81" i="59"/>
  <c r="W124" i="59" s="1"/>
  <c r="W79" i="59"/>
  <c r="V63" i="59"/>
  <c r="V109" i="59" s="1"/>
  <c r="V113" i="59" s="1"/>
  <c r="V23" i="59" s="1"/>
  <c r="W78" i="59"/>
  <c r="F198" i="59" l="1"/>
  <c r="G79" i="61" s="1"/>
  <c r="E40" i="71"/>
  <c r="E42" i="71" s="1"/>
  <c r="F40" i="71"/>
  <c r="F42" i="71" s="1"/>
  <c r="C40" i="71"/>
  <c r="J40" i="71"/>
  <c r="J42" i="71" s="1"/>
  <c r="G40" i="71"/>
  <c r="G42" i="71" s="1"/>
  <c r="W113" i="59"/>
  <c r="W23" i="59" s="1"/>
  <c r="W91" i="59" s="1"/>
  <c r="H40" i="71"/>
  <c r="H42" i="71" s="1"/>
  <c r="I40" i="71"/>
  <c r="I42" i="71" s="1"/>
  <c r="V91" i="59"/>
  <c r="V90" i="59"/>
  <c r="V92" i="59"/>
  <c r="V89" i="59"/>
  <c r="L40" i="71"/>
  <c r="L42" i="71" s="1"/>
  <c r="G23" i="73"/>
  <c r="G25" i="73" s="1"/>
  <c r="M40" i="71"/>
  <c r="M42" i="71" s="1"/>
  <c r="K40" i="71"/>
  <c r="K42" i="71" s="1"/>
  <c r="U36" i="59"/>
  <c r="U37" i="59" s="1"/>
  <c r="G34" i="73" s="1"/>
  <c r="T45" i="81"/>
  <c r="T48" i="81" s="1"/>
  <c r="W121" i="59"/>
  <c r="V85" i="59"/>
  <c r="H182" i="59"/>
  <c r="V34" i="59"/>
  <c r="V33" i="59"/>
  <c r="V35" i="59"/>
  <c r="V30" i="81"/>
  <c r="V87" i="59"/>
  <c r="V88" i="59"/>
  <c r="V86" i="59"/>
  <c r="V84" i="59"/>
  <c r="G191" i="59"/>
  <c r="G194" i="59" s="1"/>
  <c r="G196" i="59" s="1"/>
  <c r="G185" i="59"/>
  <c r="G187" i="59" s="1"/>
  <c r="U43" i="81"/>
  <c r="U44" i="81"/>
  <c r="U42" i="81"/>
  <c r="W122" i="59"/>
  <c r="C42" i="71"/>
  <c r="H68" i="61"/>
  <c r="T12" i="58" l="1"/>
  <c r="G80" i="61"/>
  <c r="G83" i="61" s="1"/>
  <c r="I182" i="59"/>
  <c r="W90" i="59"/>
  <c r="W84" i="59"/>
  <c r="W92" i="59"/>
  <c r="W85" i="59"/>
  <c r="W88" i="59"/>
  <c r="W87" i="59"/>
  <c r="W89" i="59"/>
  <c r="W34" i="59"/>
  <c r="W33" i="59"/>
  <c r="W30" i="81"/>
  <c r="W44" i="81" s="1"/>
  <c r="W86" i="59"/>
  <c r="W35" i="59"/>
  <c r="O40" i="71"/>
  <c r="O42" i="71" s="1"/>
  <c r="G22" i="74"/>
  <c r="G24" i="74" s="1"/>
  <c r="U45" i="81"/>
  <c r="U48" i="81" s="1"/>
  <c r="N48" i="71"/>
  <c r="N50" i="71" s="1"/>
  <c r="F48" i="71"/>
  <c r="F50" i="71" s="1"/>
  <c r="M48" i="71"/>
  <c r="M50" i="71" s="1"/>
  <c r="E48" i="71"/>
  <c r="E50" i="71" s="1"/>
  <c r="L48" i="71"/>
  <c r="L50" i="71" s="1"/>
  <c r="D48" i="71"/>
  <c r="D50" i="71" s="1"/>
  <c r="K48" i="71"/>
  <c r="K50" i="71" s="1"/>
  <c r="C48" i="71"/>
  <c r="C50" i="71" s="1"/>
  <c r="J48" i="71"/>
  <c r="J50" i="71" s="1"/>
  <c r="I48" i="71"/>
  <c r="I50" i="71" s="1"/>
  <c r="H48" i="71"/>
  <c r="H50" i="71" s="1"/>
  <c r="G48" i="71"/>
  <c r="G50" i="71" s="1"/>
  <c r="W43" i="81"/>
  <c r="V44" i="81"/>
  <c r="V42" i="81"/>
  <c r="V43" i="81"/>
  <c r="I68" i="61"/>
  <c r="I61" i="61"/>
  <c r="I191" i="59"/>
  <c r="I194" i="59" s="1"/>
  <c r="I196" i="59" s="1"/>
  <c r="I185" i="59"/>
  <c r="I187" i="59" s="1"/>
  <c r="V36" i="59"/>
  <c r="V37" i="59" s="1"/>
  <c r="G198" i="59"/>
  <c r="H191" i="59"/>
  <c r="H194" i="59" s="1"/>
  <c r="H196" i="59" s="1"/>
  <c r="H185" i="59"/>
  <c r="H187" i="59" s="1"/>
  <c r="G31" i="74"/>
  <c r="G33" i="74" s="1"/>
  <c r="G36" i="73"/>
  <c r="H79" i="61" l="1"/>
  <c r="H80" i="61"/>
  <c r="W42" i="81"/>
  <c r="W45" i="81" s="1"/>
  <c r="W48" i="81" s="1"/>
  <c r="I198" i="59"/>
  <c r="W12" i="58" s="1"/>
  <c r="W36" i="59"/>
  <c r="W37" i="59" s="1"/>
  <c r="G54" i="73" s="1"/>
  <c r="O48" i="71"/>
  <c r="O50" i="71" s="1"/>
  <c r="H198" i="59"/>
  <c r="I80" i="61" s="1"/>
  <c r="V12" i="58"/>
  <c r="V45" i="81"/>
  <c r="V48" i="81" s="1"/>
  <c r="U12" i="58"/>
  <c r="I64" i="71"/>
  <c r="I66" i="71" s="1"/>
  <c r="H56" i="71"/>
  <c r="H58" i="71" s="1"/>
  <c r="K64" i="71"/>
  <c r="K66" i="71" s="1"/>
  <c r="D56" i="71"/>
  <c r="D58" i="71" s="1"/>
  <c r="N64" i="71"/>
  <c r="N66" i="71" s="1"/>
  <c r="F64" i="71"/>
  <c r="F66" i="71" s="1"/>
  <c r="I56" i="71"/>
  <c r="I58" i="71" s="1"/>
  <c r="L56" i="71"/>
  <c r="L58" i="71" s="1"/>
  <c r="M56" i="71"/>
  <c r="M58" i="71" s="1"/>
  <c r="G64" i="71"/>
  <c r="G66" i="71" s="1"/>
  <c r="J64" i="71"/>
  <c r="J66" i="71" s="1"/>
  <c r="D64" i="71"/>
  <c r="D66" i="71" s="1"/>
  <c r="N56" i="71"/>
  <c r="N58" i="71" s="1"/>
  <c r="K56" i="71"/>
  <c r="K58" i="71" s="1"/>
  <c r="M64" i="71"/>
  <c r="M66" i="71" s="1"/>
  <c r="J56" i="71"/>
  <c r="J58" i="71" s="1"/>
  <c r="F56" i="71"/>
  <c r="F58" i="71" s="1"/>
  <c r="E64" i="71"/>
  <c r="E66" i="71" s="1"/>
  <c r="C56" i="71"/>
  <c r="H64" i="71"/>
  <c r="H66" i="71" s="1"/>
  <c r="L64" i="71"/>
  <c r="L66" i="71" s="1"/>
  <c r="E56" i="71"/>
  <c r="E58" i="71" s="1"/>
  <c r="G56" i="71"/>
  <c r="G58" i="71" s="1"/>
  <c r="G44" i="73"/>
  <c r="I79" i="61" l="1"/>
  <c r="I83" i="61" s="1"/>
  <c r="J79" i="61"/>
  <c r="J80" i="61"/>
  <c r="C64" i="71"/>
  <c r="C66" i="71" s="1"/>
  <c r="O56" i="71"/>
  <c r="O58" i="71" s="1"/>
  <c r="C58" i="71"/>
  <c r="G56" i="73"/>
  <c r="G49" i="74"/>
  <c r="G51" i="74" s="1"/>
  <c r="G40" i="74"/>
  <c r="G42" i="74" s="1"/>
  <c r="G46" i="73"/>
  <c r="H83" i="61"/>
  <c r="O64" i="71" l="1"/>
  <c r="O66" i="71" s="1"/>
  <c r="J83" i="61"/>
  <c r="S122" i="59" l="1"/>
  <c r="S110" i="59"/>
  <c r="S124" i="59"/>
  <c r="S112" i="59"/>
  <c r="S121" i="59"/>
  <c r="S109" i="59"/>
  <c r="E61" i="61" l="1"/>
  <c r="E68" i="61"/>
  <c r="S113" i="59"/>
  <c r="S23" i="59" s="1"/>
  <c r="E182" i="59" s="1"/>
  <c r="S91" i="59" l="1"/>
  <c r="S89" i="59"/>
  <c r="S92" i="59"/>
  <c r="S90" i="59"/>
  <c r="S84" i="59"/>
  <c r="S34" i="59"/>
  <c r="S30" i="81"/>
  <c r="S33" i="59"/>
  <c r="S35" i="59"/>
  <c r="S88" i="59"/>
  <c r="S87" i="59"/>
  <c r="S86" i="59"/>
  <c r="S85" i="59"/>
  <c r="S36" i="59" l="1"/>
  <c r="S37" i="59" s="1"/>
  <c r="G32" i="71" s="1"/>
  <c r="G34" i="71" s="1"/>
  <c r="E191" i="59"/>
  <c r="E194" i="59" s="1"/>
  <c r="E196" i="59" s="1"/>
  <c r="E185" i="59"/>
  <c r="E187" i="59" s="1"/>
  <c r="S42" i="81"/>
  <c r="S44" i="81"/>
  <c r="S43" i="81"/>
  <c r="N32" i="71" l="1"/>
  <c r="N34" i="71" s="1"/>
  <c r="L32" i="71"/>
  <c r="L34" i="71" s="1"/>
  <c r="K32" i="71"/>
  <c r="K34" i="71" s="1"/>
  <c r="F32" i="71"/>
  <c r="F34" i="71" s="1"/>
  <c r="C32" i="71"/>
  <c r="C34" i="71" s="1"/>
  <c r="I32" i="71"/>
  <c r="I34" i="71" s="1"/>
  <c r="M32" i="71"/>
  <c r="M34" i="71" s="1"/>
  <c r="D32" i="71"/>
  <c r="D34" i="71" s="1"/>
  <c r="E32" i="71"/>
  <c r="E34" i="71" s="1"/>
  <c r="G12" i="73"/>
  <c r="G14" i="73" s="1"/>
  <c r="H32" i="71"/>
  <c r="H34" i="71" s="1"/>
  <c r="J32" i="71"/>
  <c r="J34" i="71" s="1"/>
  <c r="E198" i="59"/>
  <c r="F80" i="61" s="1"/>
  <c r="S45" i="81"/>
  <c r="S48" i="81" s="1"/>
  <c r="G11" i="74"/>
  <c r="G13" i="74" s="1"/>
  <c r="O32" i="71" l="1"/>
  <c r="O34" i="71" s="1"/>
  <c r="F79" i="61"/>
  <c r="F83" i="61" s="1"/>
  <c r="S12" i="58"/>
  <c r="G84" i="61" l="1"/>
  <c r="G85" i="61" s="1"/>
  <c r="T20" i="58" s="1"/>
  <c r="H84" i="61"/>
  <c r="H85" i="61" s="1"/>
  <c r="U20" i="58" s="1"/>
  <c r="I84" i="61"/>
  <c r="I85" i="61" s="1"/>
  <c r="V20" i="58" s="1"/>
  <c r="J84" i="61"/>
  <c r="J85" i="61" s="1"/>
  <c r="W20" i="58" s="1"/>
  <c r="F84" i="61"/>
  <c r="F85" i="61" s="1"/>
  <c r="S20" i="58" s="1"/>
  <c r="D85" i="116" l="1"/>
  <c r="D87" i="116" s="1"/>
  <c r="H31" i="116"/>
  <c r="E59" i="116"/>
  <c r="H59" i="116" l="1"/>
  <c r="E85" i="116"/>
  <c r="E61" i="116"/>
  <c r="I31" i="116"/>
  <c r="H33" i="116"/>
  <c r="M31" i="116" l="1"/>
  <c r="I33" i="116"/>
  <c r="H85" i="116"/>
  <c r="H87" i="116" s="1"/>
  <c r="E87" i="116"/>
  <c r="I59" i="116"/>
  <c r="V83" i="117"/>
  <c r="H61" i="116"/>
  <c r="V137" i="117" l="1"/>
  <c r="V85" i="117"/>
  <c r="N31" i="116"/>
  <c r="M33" i="116"/>
  <c r="I85" i="116"/>
  <c r="I87" i="116" s="1"/>
  <c r="K59" i="116"/>
  <c r="J59" i="116"/>
  <c r="I61" i="116"/>
  <c r="V139" i="117" l="1"/>
  <c r="R31" i="116"/>
  <c r="N33" i="116"/>
  <c r="M59" i="116"/>
  <c r="J85" i="116"/>
  <c r="J61" i="116"/>
  <c r="K85" i="116"/>
  <c r="K87" i="116" s="1"/>
  <c r="K61" i="116"/>
  <c r="M85" i="116" l="1"/>
  <c r="M87" i="116" s="1"/>
  <c r="J87" i="116"/>
  <c r="N59" i="116"/>
  <c r="M61" i="116"/>
  <c r="S31" i="116"/>
  <c r="R33" i="116"/>
  <c r="W31" i="116" l="1"/>
  <c r="S33" i="116"/>
  <c r="P59" i="116"/>
  <c r="O59" i="116"/>
  <c r="N61" i="116"/>
  <c r="N85" i="116"/>
  <c r="N87" i="116" s="1"/>
  <c r="X31" i="116" l="1"/>
  <c r="W33" i="116"/>
  <c r="R59" i="116"/>
  <c r="O85" i="116"/>
  <c r="O61" i="116"/>
  <c r="P85" i="116"/>
  <c r="P87" i="116" s="1"/>
  <c r="P61" i="116"/>
  <c r="AB31" i="116" l="1"/>
  <c r="AB33" i="116" s="1"/>
  <c r="X33" i="116"/>
  <c r="R85" i="116"/>
  <c r="R87" i="116" s="1"/>
  <c r="O87" i="116"/>
  <c r="S59" i="116"/>
  <c r="R61" i="116"/>
  <c r="U59" i="116" l="1"/>
  <c r="T59" i="116"/>
  <c r="S61" i="116"/>
  <c r="S85" i="116"/>
  <c r="S87" i="116" s="1"/>
  <c r="W59" i="116" l="1"/>
  <c r="T85" i="116"/>
  <c r="T61" i="116"/>
  <c r="U85" i="116"/>
  <c r="U87" i="116" s="1"/>
  <c r="U61" i="116"/>
  <c r="W85" i="116" l="1"/>
  <c r="W87" i="116" s="1"/>
  <c r="T87" i="116"/>
  <c r="X59" i="116"/>
  <c r="W61" i="116"/>
  <c r="Z59" i="116" l="1"/>
  <c r="Y59" i="116"/>
  <c r="X61" i="116"/>
  <c r="X85" i="116"/>
  <c r="X87" i="116" s="1"/>
  <c r="Z85" i="116" l="1"/>
  <c r="Z87" i="116" s="1"/>
  <c r="Y85" i="116"/>
  <c r="AB85" i="116" l="1"/>
  <c r="AB87" i="116" s="1"/>
  <c r="Y87" i="116"/>
  <c r="T153" i="59" l="1"/>
  <c r="S153" i="59" l="1"/>
  <c r="V153" i="59" l="1"/>
  <c r="W153" i="59"/>
  <c r="S75" i="59" l="1"/>
  <c r="S73" i="59"/>
  <c r="T75" i="59" l="1"/>
  <c r="S74" i="59"/>
  <c r="S118" i="59"/>
  <c r="S116" i="59"/>
  <c r="T74" i="59" l="1"/>
  <c r="S117" i="59"/>
  <c r="S125" i="59" s="1"/>
  <c r="S155" i="59" s="1"/>
  <c r="U75" i="59"/>
  <c r="T73" i="59"/>
  <c r="T118" i="59"/>
  <c r="E58" i="61" l="1"/>
  <c r="E59" i="61"/>
  <c r="S11" i="58"/>
  <c r="S157" i="59"/>
  <c r="T116" i="59"/>
  <c r="U74" i="59"/>
  <c r="V75" i="59"/>
  <c r="U118" i="59"/>
  <c r="T117" i="59"/>
  <c r="U73" i="59"/>
  <c r="F59" i="61" l="1"/>
  <c r="F58" i="61"/>
  <c r="V73" i="59"/>
  <c r="U117" i="59"/>
  <c r="T125" i="59"/>
  <c r="T155" i="59" s="1"/>
  <c r="W75" i="59"/>
  <c r="V74" i="59"/>
  <c r="U116" i="59"/>
  <c r="V118" i="59"/>
  <c r="L11" i="80"/>
  <c r="D12" i="73"/>
  <c r="D11" i="74" l="1"/>
  <c r="K12" i="73"/>
  <c r="G59" i="61"/>
  <c r="G58" i="61"/>
  <c r="U125" i="59"/>
  <c r="U155" i="59" s="1"/>
  <c r="T11" i="58"/>
  <c r="T157" i="59"/>
  <c r="V116" i="59"/>
  <c r="V117" i="59"/>
  <c r="W73" i="59"/>
  <c r="W74" i="59"/>
  <c r="W118" i="59"/>
  <c r="U11" i="58" l="1"/>
  <c r="U157" i="59"/>
  <c r="H58" i="61"/>
  <c r="H59" i="61"/>
  <c r="V125" i="59"/>
  <c r="V155" i="59" s="1"/>
  <c r="M11" i="80"/>
  <c r="D23" i="73"/>
  <c r="K11" i="74"/>
  <c r="K13" i="74" s="1"/>
  <c r="K14" i="73"/>
  <c r="W117" i="59"/>
  <c r="W116" i="59"/>
  <c r="I59" i="61" l="1"/>
  <c r="I58" i="61"/>
  <c r="W125" i="59"/>
  <c r="W155" i="59" s="1"/>
  <c r="N11" i="80"/>
  <c r="D34" i="73"/>
  <c r="D22" i="74"/>
  <c r="K23" i="73"/>
  <c r="V11" i="58"/>
  <c r="V157" i="59"/>
  <c r="W11" i="58" l="1"/>
  <c r="W157" i="59"/>
  <c r="O11" i="80"/>
  <c r="D44" i="73"/>
  <c r="D31" i="74"/>
  <c r="K34" i="73"/>
  <c r="K25" i="73"/>
  <c r="K22" i="74"/>
  <c r="K24" i="74" s="1"/>
  <c r="D40" i="74" l="1"/>
  <c r="K44" i="73"/>
  <c r="D54" i="73"/>
  <c r="P11" i="80"/>
  <c r="K31" i="74"/>
  <c r="K33" i="74" s="1"/>
  <c r="K36" i="73"/>
  <c r="K40" i="74" l="1"/>
  <c r="K42" i="74" s="1"/>
  <c r="K46" i="73"/>
  <c r="D49" i="74"/>
  <c r="K54" i="73"/>
  <c r="K56" i="73" l="1"/>
  <c r="K49" i="74"/>
  <c r="K51" i="74" s="1"/>
  <c r="G15" i="81" l="1"/>
  <c r="F12" i="59"/>
  <c r="F10" i="61" s="1"/>
  <c r="O15" i="81"/>
  <c r="O12" i="59" s="1"/>
  <c r="P15" i="81"/>
  <c r="P12" i="59" s="1"/>
  <c r="N12" i="59"/>
  <c r="I10" i="61" s="1"/>
  <c r="Q15" i="81"/>
  <c r="M15" i="81"/>
  <c r="M12" i="59" s="1"/>
  <c r="F3" i="100"/>
  <c r="Q12" i="59" l="1"/>
  <c r="R15" i="81"/>
  <c r="G12" i="59"/>
  <c r="H12" i="59" s="1"/>
  <c r="H15" i="81"/>
  <c r="D3" i="100"/>
  <c r="R12" i="59" l="1"/>
  <c r="J10" i="61"/>
  <c r="Q36" i="91" l="1"/>
  <c r="Q39" i="91"/>
  <c r="I253" i="54" l="1"/>
  <c r="I252" i="54"/>
  <c r="I251" i="54"/>
  <c r="I247" i="54"/>
  <c r="I243" i="54"/>
  <c r="I242" i="54"/>
  <c r="I241" i="54"/>
  <c r="I237" i="54"/>
  <c r="I233" i="54"/>
  <c r="I232" i="54"/>
  <c r="I231" i="54"/>
  <c r="I227" i="54"/>
  <c r="I223" i="54"/>
  <c r="I222" i="54"/>
  <c r="I221" i="54"/>
  <c r="I217" i="54"/>
  <c r="I213" i="54"/>
  <c r="I212" i="54"/>
  <c r="I211" i="54"/>
  <c r="I207" i="54"/>
  <c r="I203" i="54"/>
  <c r="I202" i="54"/>
  <c r="I201" i="54"/>
  <c r="I197" i="54"/>
  <c r="I193" i="54"/>
  <c r="I192" i="54"/>
  <c r="I191" i="54"/>
  <c r="I187" i="54"/>
  <c r="I183" i="54"/>
  <c r="I182" i="54"/>
  <c r="I181" i="54"/>
  <c r="I177" i="54"/>
  <c r="I173" i="54"/>
  <c r="I172" i="54"/>
  <c r="I171" i="54"/>
  <c r="I167" i="54"/>
  <c r="I163" i="54"/>
  <c r="I162" i="54"/>
  <c r="I161" i="54"/>
  <c r="I157" i="54"/>
  <c r="I153" i="54"/>
  <c r="I152" i="54"/>
  <c r="I151" i="54"/>
  <c r="I110" i="54"/>
  <c r="I106" i="54"/>
  <c r="I105" i="54"/>
  <c r="I104" i="54"/>
  <c r="I100" i="54"/>
  <c r="I96" i="54"/>
  <c r="I95" i="54"/>
  <c r="I94" i="54"/>
  <c r="I90" i="54"/>
  <c r="I86" i="54"/>
  <c r="I85" i="54"/>
  <c r="I84" i="54"/>
  <c r="I80" i="54"/>
  <c r="I76" i="54"/>
  <c r="I75" i="54"/>
  <c r="I74" i="54"/>
  <c r="I70" i="54"/>
  <c r="I66" i="54"/>
  <c r="I65" i="54"/>
  <c r="I64" i="54"/>
  <c r="I60" i="54"/>
  <c r="I56" i="54"/>
  <c r="I55" i="54"/>
  <c r="I54" i="54"/>
  <c r="I50" i="54"/>
  <c r="I46" i="54"/>
  <c r="I45" i="54"/>
  <c r="I44" i="54"/>
  <c r="I24" i="54"/>
  <c r="H53" i="60"/>
  <c r="J53" i="60" s="1"/>
  <c r="H39" i="60"/>
  <c r="J39" i="60" s="1"/>
  <c r="E44" i="68" l="1"/>
  <c r="K12" i="65" s="1"/>
  <c r="E36" i="67"/>
  <c r="K11" i="65" s="1"/>
  <c r="J49" i="59"/>
  <c r="L49" i="59" s="1"/>
  <c r="I141" i="54"/>
  <c r="H263" i="54"/>
  <c r="H26" i="75"/>
  <c r="J12" i="59"/>
  <c r="H10" i="61" s="1"/>
  <c r="K15" i="81"/>
  <c r="E3" i="100"/>
  <c r="J59" i="59"/>
  <c r="J69" i="59" s="1"/>
  <c r="J65" i="59"/>
  <c r="L65" i="59" s="1"/>
  <c r="K106" i="59"/>
  <c r="K112" i="59"/>
  <c r="H14" i="60"/>
  <c r="J14" i="60" s="1"/>
  <c r="H18" i="60"/>
  <c r="J18" i="60" s="1"/>
  <c r="H22" i="60"/>
  <c r="J22" i="60" s="1"/>
  <c r="H32" i="60"/>
  <c r="J32" i="60" s="1"/>
  <c r="H36" i="60"/>
  <c r="J36" i="60" s="1"/>
  <c r="I54" i="60"/>
  <c r="K75" i="59" s="1"/>
  <c r="H43" i="60"/>
  <c r="J43" i="60" s="1"/>
  <c r="H47" i="60"/>
  <c r="J47" i="60" s="1"/>
  <c r="H51" i="60"/>
  <c r="J51" i="60" s="1"/>
  <c r="H101" i="60"/>
  <c r="J101" i="60" s="1"/>
  <c r="H105" i="60"/>
  <c r="J105" i="60" s="1"/>
  <c r="H109" i="60"/>
  <c r="J109" i="60" s="1"/>
  <c r="H88" i="60"/>
  <c r="J88" i="60" s="1"/>
  <c r="H92" i="60"/>
  <c r="J92" i="60" s="1"/>
  <c r="H117" i="60"/>
  <c r="J117" i="60" s="1"/>
  <c r="H121" i="60"/>
  <c r="J121" i="60" s="1"/>
  <c r="H128" i="60"/>
  <c r="J128" i="60" s="1"/>
  <c r="I138" i="60"/>
  <c r="K81" i="59" s="1"/>
  <c r="H132" i="60"/>
  <c r="J132" i="60" s="1"/>
  <c r="H136" i="60"/>
  <c r="J136" i="60" s="1"/>
  <c r="H67" i="54"/>
  <c r="I63" i="54"/>
  <c r="H107" i="54"/>
  <c r="I103" i="54"/>
  <c r="H264" i="54"/>
  <c r="I142" i="54"/>
  <c r="H174" i="54"/>
  <c r="I170" i="54"/>
  <c r="H214" i="54"/>
  <c r="I210" i="54"/>
  <c r="H254" i="54"/>
  <c r="I250" i="54"/>
  <c r="J48" i="59"/>
  <c r="H37" i="54"/>
  <c r="I33" i="54"/>
  <c r="H116" i="54"/>
  <c r="I143" i="54"/>
  <c r="H265" i="54"/>
  <c r="K70" i="59"/>
  <c r="J64" i="59"/>
  <c r="L64" i="59" s="1"/>
  <c r="K105" i="59"/>
  <c r="K111" i="59"/>
  <c r="H13" i="60"/>
  <c r="J13" i="60" s="1"/>
  <c r="H17" i="60"/>
  <c r="J17" i="60" s="1"/>
  <c r="H21" i="60"/>
  <c r="J21" i="60" s="1"/>
  <c r="H31" i="60"/>
  <c r="J31" i="60" s="1"/>
  <c r="H35" i="60"/>
  <c r="J35" i="60" s="1"/>
  <c r="H46" i="60"/>
  <c r="J46" i="60" s="1"/>
  <c r="H50" i="60"/>
  <c r="J50" i="60" s="1"/>
  <c r="H100" i="60"/>
  <c r="J100" i="60" s="1"/>
  <c r="I112" i="60"/>
  <c r="K78" i="59" s="1"/>
  <c r="H104" i="60"/>
  <c r="J104" i="60" s="1"/>
  <c r="H108" i="60"/>
  <c r="J108" i="60" s="1"/>
  <c r="H87" i="60"/>
  <c r="J87" i="60" s="1"/>
  <c r="H91" i="60"/>
  <c r="J91" i="60" s="1"/>
  <c r="H116" i="60"/>
  <c r="J116" i="60" s="1"/>
  <c r="H120" i="60"/>
  <c r="J120" i="60" s="1"/>
  <c r="H124" i="60"/>
  <c r="J124" i="60" s="1"/>
  <c r="H131" i="60"/>
  <c r="J131" i="60" s="1"/>
  <c r="H135" i="60"/>
  <c r="J135" i="60" s="1"/>
  <c r="H117" i="54"/>
  <c r="I34" i="54"/>
  <c r="H97" i="54"/>
  <c r="I93" i="54"/>
  <c r="H164" i="54"/>
  <c r="I160" i="54"/>
  <c r="H204" i="54"/>
  <c r="I200" i="54"/>
  <c r="H244" i="54"/>
  <c r="I240" i="54"/>
  <c r="J31" i="81"/>
  <c r="L24" i="59"/>
  <c r="K23" i="59"/>
  <c r="K89" i="59" s="1"/>
  <c r="J47" i="100"/>
  <c r="J30" i="81"/>
  <c r="L30" i="81" s="1"/>
  <c r="K44" i="81"/>
  <c r="K43" i="81"/>
  <c r="I24" i="60"/>
  <c r="J24" i="60" s="1"/>
  <c r="L44" i="59"/>
  <c r="K61" i="81"/>
  <c r="L61" i="81" s="1"/>
  <c r="I35" i="54"/>
  <c r="H118" i="54"/>
  <c r="H57" i="54"/>
  <c r="I53" i="54"/>
  <c r="H269" i="54"/>
  <c r="H272" i="54" s="1"/>
  <c r="H274" i="54" s="1"/>
  <c r="I147" i="54"/>
  <c r="J63" i="59"/>
  <c r="L63" i="59" s="1"/>
  <c r="K104" i="59"/>
  <c r="K110" i="59"/>
  <c r="H12" i="60"/>
  <c r="J12" i="60" s="1"/>
  <c r="H16" i="60"/>
  <c r="J16" i="60" s="1"/>
  <c r="H20" i="60"/>
  <c r="J20" i="60" s="1"/>
  <c r="H30" i="60"/>
  <c r="J30" i="60" s="1"/>
  <c r="H34" i="60"/>
  <c r="J34" i="60" s="1"/>
  <c r="H38" i="60"/>
  <c r="J38" i="60" s="1"/>
  <c r="H45" i="60"/>
  <c r="J45" i="60" s="1"/>
  <c r="H49" i="60"/>
  <c r="J49" i="60" s="1"/>
  <c r="H103" i="60"/>
  <c r="J103" i="60" s="1"/>
  <c r="H107" i="60"/>
  <c r="J107" i="60" s="1"/>
  <c r="H86" i="60"/>
  <c r="J86" i="60" s="1"/>
  <c r="H90" i="60"/>
  <c r="J90" i="60" s="1"/>
  <c r="H115" i="60"/>
  <c r="J115" i="60" s="1"/>
  <c r="I125" i="60"/>
  <c r="K80" i="59" s="1"/>
  <c r="H119" i="60"/>
  <c r="J119" i="60" s="1"/>
  <c r="H123" i="60"/>
  <c r="J123" i="60" s="1"/>
  <c r="H130" i="60"/>
  <c r="J130" i="60" s="1"/>
  <c r="H134" i="60"/>
  <c r="J134" i="60" s="1"/>
  <c r="H119" i="54"/>
  <c r="I36" i="54"/>
  <c r="H87" i="54"/>
  <c r="I83" i="54"/>
  <c r="H154" i="54"/>
  <c r="I150" i="54"/>
  <c r="H194" i="54"/>
  <c r="I190" i="54"/>
  <c r="H234" i="54"/>
  <c r="I230" i="54"/>
  <c r="J20" i="59"/>
  <c r="I25" i="81"/>
  <c r="I20" i="59" s="1"/>
  <c r="K25" i="81"/>
  <c r="L42" i="59"/>
  <c r="K57" i="81"/>
  <c r="L57" i="81" s="1"/>
  <c r="J50" i="59"/>
  <c r="J60" i="59" s="1"/>
  <c r="L60" i="59" s="1"/>
  <c r="H123" i="54"/>
  <c r="I40" i="54"/>
  <c r="J66" i="59"/>
  <c r="L66" i="59" s="1"/>
  <c r="K109" i="59"/>
  <c r="H11" i="60"/>
  <c r="J11" i="60" s="1"/>
  <c r="I23" i="60"/>
  <c r="H15" i="60"/>
  <c r="J15" i="60" s="1"/>
  <c r="H19" i="60"/>
  <c r="J19" i="60" s="1"/>
  <c r="I40" i="60"/>
  <c r="K74" i="59" s="1"/>
  <c r="H29" i="60"/>
  <c r="J29" i="60" s="1"/>
  <c r="H33" i="60"/>
  <c r="J33" i="60" s="1"/>
  <c r="H37" i="60"/>
  <c r="J37" i="60" s="1"/>
  <c r="H44" i="60"/>
  <c r="J44" i="60" s="1"/>
  <c r="H48" i="60"/>
  <c r="J48" i="60" s="1"/>
  <c r="H52" i="60"/>
  <c r="J52" i="60" s="1"/>
  <c r="H102" i="60"/>
  <c r="J102" i="60" s="1"/>
  <c r="H106" i="60"/>
  <c r="J106" i="60" s="1"/>
  <c r="H85" i="60"/>
  <c r="J85" i="60" s="1"/>
  <c r="I97" i="60"/>
  <c r="K79" i="59" s="1"/>
  <c r="H89" i="60"/>
  <c r="J89" i="60" s="1"/>
  <c r="H93" i="60"/>
  <c r="J93" i="60" s="1"/>
  <c r="H118" i="60"/>
  <c r="J118" i="60" s="1"/>
  <c r="H122" i="60"/>
  <c r="J122" i="60" s="1"/>
  <c r="H129" i="60"/>
  <c r="J129" i="60" s="1"/>
  <c r="H133" i="60"/>
  <c r="J133" i="60" s="1"/>
  <c r="H137" i="60"/>
  <c r="J137" i="60" s="1"/>
  <c r="H47" i="54"/>
  <c r="I43" i="54"/>
  <c r="H77" i="54"/>
  <c r="I73" i="54"/>
  <c r="H144" i="54"/>
  <c r="H262" i="54"/>
  <c r="I140" i="54"/>
  <c r="H184" i="54"/>
  <c r="I180" i="54"/>
  <c r="H224" i="54"/>
  <c r="I220" i="54"/>
  <c r="J58" i="59" l="1"/>
  <c r="L58" i="59" s="1"/>
  <c r="L59" i="59"/>
  <c r="E46" i="68"/>
  <c r="M25" i="75"/>
  <c r="E38" i="67"/>
  <c r="E40" i="67" s="1"/>
  <c r="K84" i="59"/>
  <c r="I26" i="60"/>
  <c r="K73" i="59" s="1"/>
  <c r="K116" i="59" s="1"/>
  <c r="M24" i="75"/>
  <c r="M16" i="75"/>
  <c r="L50" i="59"/>
  <c r="K90" i="59"/>
  <c r="M23" i="75"/>
  <c r="M15" i="75"/>
  <c r="J23" i="60"/>
  <c r="J26" i="60" s="1"/>
  <c r="J125" i="60"/>
  <c r="J40" i="60"/>
  <c r="J97" i="60"/>
  <c r="M11" i="75"/>
  <c r="K26" i="75"/>
  <c r="K41" i="81"/>
  <c r="K42" i="81" s="1"/>
  <c r="K45" i="81" s="1"/>
  <c r="L38" i="81"/>
  <c r="L41" i="81" s="1"/>
  <c r="K118" i="59"/>
  <c r="H145" i="54"/>
  <c r="H266" i="54"/>
  <c r="I144" i="54"/>
  <c r="H88" i="54"/>
  <c r="I87" i="54"/>
  <c r="K35" i="59"/>
  <c r="K34" i="59"/>
  <c r="K33" i="59"/>
  <c r="H165" i="54"/>
  <c r="I164" i="54"/>
  <c r="J112" i="60"/>
  <c r="J138" i="60"/>
  <c r="I26" i="75"/>
  <c r="K26" i="58"/>
  <c r="M20" i="75"/>
  <c r="M22" i="75"/>
  <c r="H126" i="54"/>
  <c r="H128" i="54" s="1"/>
  <c r="K121" i="59"/>
  <c r="H255" i="54"/>
  <c r="I254" i="54"/>
  <c r="H108" i="54"/>
  <c r="I107" i="54"/>
  <c r="K124" i="59"/>
  <c r="H78" i="54"/>
  <c r="I77" i="54"/>
  <c r="H235" i="54"/>
  <c r="I234" i="54"/>
  <c r="H98" i="54"/>
  <c r="I97" i="54"/>
  <c r="H112" i="60"/>
  <c r="J78" i="59" s="1"/>
  <c r="L78" i="59" s="1"/>
  <c r="K91" i="59"/>
  <c r="H138" i="60"/>
  <c r="J81" i="59" s="1"/>
  <c r="L81" i="59" s="1"/>
  <c r="H225" i="54"/>
  <c r="I224" i="54"/>
  <c r="K123" i="59"/>
  <c r="K113" i="59"/>
  <c r="K40" i="59" s="1"/>
  <c r="H38" i="54"/>
  <c r="H120" i="54"/>
  <c r="I37" i="54"/>
  <c r="H215" i="54"/>
  <c r="I214" i="54"/>
  <c r="H68" i="54"/>
  <c r="I67" i="54"/>
  <c r="K92" i="59"/>
  <c r="Q42" i="59"/>
  <c r="P57" i="81"/>
  <c r="H48" i="54"/>
  <c r="I47" i="54"/>
  <c r="K122" i="59"/>
  <c r="H195" i="54"/>
  <c r="I194" i="54"/>
  <c r="H58" i="54"/>
  <c r="I57" i="54"/>
  <c r="H245" i="54"/>
  <c r="I244" i="54"/>
  <c r="L48" i="59"/>
  <c r="H185" i="54"/>
  <c r="I184" i="54"/>
  <c r="H97" i="60"/>
  <c r="J79" i="59" s="1"/>
  <c r="L79" i="59" s="1"/>
  <c r="H40" i="60"/>
  <c r="J74" i="59" s="1"/>
  <c r="L74" i="59" s="1"/>
  <c r="H23" i="60"/>
  <c r="H26" i="60" s="1"/>
  <c r="J73" i="59" s="1"/>
  <c r="H125" i="60"/>
  <c r="J80" i="59" s="1"/>
  <c r="L80" i="59" s="1"/>
  <c r="K85" i="59"/>
  <c r="H175" i="54"/>
  <c r="I174" i="54"/>
  <c r="J54" i="60"/>
  <c r="L26" i="75"/>
  <c r="P26" i="58" s="1"/>
  <c r="K117" i="59"/>
  <c r="K20" i="59"/>
  <c r="L20" i="59" s="1"/>
  <c r="L25" i="81"/>
  <c r="H155" i="54"/>
  <c r="I154" i="54"/>
  <c r="J43" i="81"/>
  <c r="L43" i="81" s="1"/>
  <c r="J44" i="81"/>
  <c r="L44" i="81" s="1"/>
  <c r="J42" i="81"/>
  <c r="J23" i="59"/>
  <c r="H205" i="54"/>
  <c r="I204" i="54"/>
  <c r="K32" i="59"/>
  <c r="L29" i="59"/>
  <c r="L32" i="59" s="1"/>
  <c r="H54" i="60"/>
  <c r="J75" i="59" s="1"/>
  <c r="L75" i="59" s="1"/>
  <c r="K86" i="59"/>
  <c r="K12" i="59"/>
  <c r="L12" i="59" s="1"/>
  <c r="L15" i="81"/>
  <c r="N16" i="71"/>
  <c r="N18" i="71" s="1"/>
  <c r="M16" i="71"/>
  <c r="M18" i="71" s="1"/>
  <c r="L16" i="71"/>
  <c r="L18" i="71" s="1"/>
  <c r="K16" i="71"/>
  <c r="K18" i="71" s="1"/>
  <c r="J16" i="71"/>
  <c r="J18" i="71" s="1"/>
  <c r="I16" i="71"/>
  <c r="I18" i="71" s="1"/>
  <c r="H16" i="71"/>
  <c r="H18" i="71" s="1"/>
  <c r="G16" i="71"/>
  <c r="G18" i="71" s="1"/>
  <c r="F16" i="71"/>
  <c r="F18" i="71" s="1"/>
  <c r="E16" i="71"/>
  <c r="E18" i="71" s="1"/>
  <c r="D16" i="71"/>
  <c r="D18" i="71" s="1"/>
  <c r="P49" i="91"/>
  <c r="N49" i="91"/>
  <c r="M49" i="91"/>
  <c r="L49" i="91"/>
  <c r="J49" i="91"/>
  <c r="I49" i="91"/>
  <c r="G49" i="91"/>
  <c r="F49" i="91"/>
  <c r="O49" i="91" l="1"/>
  <c r="J68" i="59"/>
  <c r="L68" i="59" s="1"/>
  <c r="K49" i="91"/>
  <c r="H49" i="91"/>
  <c r="L73" i="59"/>
  <c r="G56" i="91"/>
  <c r="G59" i="91" s="1"/>
  <c r="G60" i="91" s="1"/>
  <c r="O56" i="91"/>
  <c r="O59" i="91" s="1"/>
  <c r="O60" i="91" s="1"/>
  <c r="K46" i="91"/>
  <c r="H56" i="91"/>
  <c r="H59" i="91" s="1"/>
  <c r="H60" i="91" s="1"/>
  <c r="P56" i="91"/>
  <c r="P59" i="91" s="1"/>
  <c r="P60" i="91" s="1"/>
  <c r="L46" i="91"/>
  <c r="I56" i="91"/>
  <c r="I59" i="91" s="1"/>
  <c r="I60" i="91" s="1"/>
  <c r="M46" i="91"/>
  <c r="J89" i="59"/>
  <c r="J99" i="59" s="1"/>
  <c r="F56" i="91"/>
  <c r="F59" i="91" s="1"/>
  <c r="F60" i="91" s="1"/>
  <c r="N56" i="91"/>
  <c r="N59" i="91" s="1"/>
  <c r="N60" i="91" s="1"/>
  <c r="J46" i="91"/>
  <c r="Q55" i="91"/>
  <c r="L20" i="72" s="1"/>
  <c r="L22" i="72" s="1"/>
  <c r="J56" i="91"/>
  <c r="J59" i="91" s="1"/>
  <c r="J60" i="91" s="1"/>
  <c r="K56" i="91"/>
  <c r="K59" i="91" s="1"/>
  <c r="K60" i="91" s="1"/>
  <c r="G46" i="91"/>
  <c r="O46" i="91"/>
  <c r="F46" i="91"/>
  <c r="L56" i="91"/>
  <c r="L59" i="91" s="1"/>
  <c r="L60" i="91" s="1"/>
  <c r="H46" i="91"/>
  <c r="P46" i="91"/>
  <c r="Q44" i="91"/>
  <c r="N46" i="91"/>
  <c r="Q43" i="91"/>
  <c r="M56" i="91"/>
  <c r="M59" i="91" s="1"/>
  <c r="M60" i="91" s="1"/>
  <c r="I46" i="91"/>
  <c r="L89" i="59"/>
  <c r="E46" i="91"/>
  <c r="Q51" i="91"/>
  <c r="K20" i="72" s="1"/>
  <c r="K22" i="72" s="1"/>
  <c r="Q52" i="91"/>
  <c r="E49" i="91"/>
  <c r="J92" i="59"/>
  <c r="J102" i="59" s="1"/>
  <c r="H226" i="54"/>
  <c r="I225" i="54"/>
  <c r="I226" i="54" s="1"/>
  <c r="H146" i="54"/>
  <c r="I145" i="54"/>
  <c r="I146" i="54" s="1"/>
  <c r="H267" i="54"/>
  <c r="H156" i="54"/>
  <c r="I155" i="54"/>
  <c r="I156" i="54" s="1"/>
  <c r="H176" i="54"/>
  <c r="I175" i="54"/>
  <c r="I176" i="54" s="1"/>
  <c r="H196" i="54"/>
  <c r="I195" i="54"/>
  <c r="I196" i="54" s="1"/>
  <c r="H79" i="54"/>
  <c r="I78" i="54"/>
  <c r="I79" i="54" s="1"/>
  <c r="H186" i="54"/>
  <c r="I185" i="54"/>
  <c r="I186" i="54" s="1"/>
  <c r="H69" i="54"/>
  <c r="I68" i="54"/>
  <c r="I69" i="54" s="1"/>
  <c r="L40" i="59"/>
  <c r="K53" i="81"/>
  <c r="L53" i="81" s="1"/>
  <c r="J91" i="59"/>
  <c r="J101" i="59" s="1"/>
  <c r="M26" i="75"/>
  <c r="N26" i="75" s="1"/>
  <c r="O26" i="58"/>
  <c r="Q26" i="58" s="1"/>
  <c r="N26" i="58" s="1"/>
  <c r="R26" i="58" s="1"/>
  <c r="H206" i="54"/>
  <c r="I205" i="54"/>
  <c r="I206" i="54" s="1"/>
  <c r="H89" i="54"/>
  <c r="I88" i="54"/>
  <c r="I89" i="54" s="1"/>
  <c r="Q50" i="91"/>
  <c r="C20" i="72" s="1"/>
  <c r="J20" i="72" s="1"/>
  <c r="E56" i="91"/>
  <c r="C16" i="71"/>
  <c r="Q45" i="91"/>
  <c r="G20" i="72" s="1"/>
  <c r="G22" i="72" s="1"/>
  <c r="J34" i="59"/>
  <c r="L34" i="59" s="1"/>
  <c r="J35" i="59"/>
  <c r="L35" i="59" s="1"/>
  <c r="J33" i="59"/>
  <c r="J113" i="59"/>
  <c r="H216" i="54"/>
  <c r="I215" i="54"/>
  <c r="I216" i="54" s="1"/>
  <c r="H166" i="54"/>
  <c r="I165" i="54"/>
  <c r="I166" i="54" s="1"/>
  <c r="L42" i="81"/>
  <c r="J45" i="81"/>
  <c r="J48" i="81" s="1"/>
  <c r="H246" i="54"/>
  <c r="I245" i="54"/>
  <c r="I246" i="54" s="1"/>
  <c r="H49" i="54"/>
  <c r="I48" i="54"/>
  <c r="I49" i="54" s="1"/>
  <c r="H99" i="54"/>
  <c r="I98" i="54"/>
  <c r="I99" i="54" s="1"/>
  <c r="H109" i="54"/>
  <c r="I108" i="54"/>
  <c r="I109" i="54" s="1"/>
  <c r="L23" i="59"/>
  <c r="K48" i="81"/>
  <c r="K125" i="59"/>
  <c r="K155" i="59" s="1"/>
  <c r="K11" i="58" s="1"/>
  <c r="K36" i="59"/>
  <c r="K37" i="59" s="1"/>
  <c r="H59" i="54"/>
  <c r="I58" i="54"/>
  <c r="I59" i="54" s="1"/>
  <c r="Q57" i="81"/>
  <c r="R57" i="81" s="1"/>
  <c r="R42" i="59"/>
  <c r="H39" i="54"/>
  <c r="H121" i="54"/>
  <c r="I38" i="54"/>
  <c r="I39" i="54" s="1"/>
  <c r="H236" i="54"/>
  <c r="I235" i="54"/>
  <c r="I236" i="54" s="1"/>
  <c r="H256" i="54"/>
  <c r="I255" i="54"/>
  <c r="I256" i="54" s="1"/>
  <c r="J26" i="58"/>
  <c r="D51" i="78" s="1"/>
  <c r="E51" i="78"/>
  <c r="J90" i="59"/>
  <c r="L45" i="81" l="1"/>
  <c r="H122" i="54"/>
  <c r="J36" i="59"/>
  <c r="J37" i="59" s="1"/>
  <c r="L91" i="59"/>
  <c r="L48" i="81"/>
  <c r="Q46" i="91"/>
  <c r="L26" i="58"/>
  <c r="C18" i="71"/>
  <c r="O16" i="71"/>
  <c r="O18" i="71" s="1"/>
  <c r="L92" i="59"/>
  <c r="E39" i="78"/>
  <c r="E59" i="91"/>
  <c r="Q56" i="91"/>
  <c r="J112" i="59"/>
  <c r="L112" i="59" s="1"/>
  <c r="J124" i="59"/>
  <c r="L124" i="59" s="1"/>
  <c r="L102" i="59"/>
  <c r="J22" i="72"/>
  <c r="J111" i="59"/>
  <c r="L111" i="59" s="1"/>
  <c r="J123" i="59"/>
  <c r="L123" i="59" s="1"/>
  <c r="L101" i="59"/>
  <c r="H22" i="54"/>
  <c r="Q49" i="91"/>
  <c r="F20" i="72" s="1"/>
  <c r="M20" i="72"/>
  <c r="M22" i="72" s="1"/>
  <c r="H268" i="54"/>
  <c r="J100" i="59"/>
  <c r="L90" i="59"/>
  <c r="K157" i="59"/>
  <c r="L51" i="78"/>
  <c r="G51" i="78"/>
  <c r="F51" i="78"/>
  <c r="L33" i="59"/>
  <c r="L36" i="59" s="1"/>
  <c r="L37" i="59" s="1"/>
  <c r="J121" i="59"/>
  <c r="J109" i="59"/>
  <c r="L99" i="59"/>
  <c r="L109" i="59" l="1"/>
  <c r="J122" i="59"/>
  <c r="L122" i="59" s="1"/>
  <c r="J110" i="59"/>
  <c r="L110" i="59" s="1"/>
  <c r="L100" i="59"/>
  <c r="E60" i="91"/>
  <c r="Q60" i="91" s="1"/>
  <c r="Q59" i="91"/>
  <c r="N20" i="72"/>
  <c r="L121" i="59"/>
  <c r="H11" i="80"/>
  <c r="K22" i="54"/>
  <c r="L22" i="54" s="1"/>
  <c r="I22" i="54"/>
  <c r="N22" i="54"/>
  <c r="O22" i="54"/>
  <c r="M22" i="54"/>
  <c r="P22" i="54"/>
  <c r="Q22" i="54"/>
  <c r="J106" i="59" l="1"/>
  <c r="J96" i="59" s="1"/>
  <c r="H29" i="61"/>
  <c r="H22" i="61"/>
  <c r="E57" i="78"/>
  <c r="N22" i="72"/>
  <c r="R60" i="91" s="1"/>
  <c r="J104" i="59"/>
  <c r="J105" i="59"/>
  <c r="L106" i="59" l="1"/>
  <c r="J95" i="59"/>
  <c r="L105" i="59"/>
  <c r="J94" i="59"/>
  <c r="L104" i="59"/>
  <c r="J118" i="59"/>
  <c r="L118" i="59" s="1"/>
  <c r="J86" i="59"/>
  <c r="L86" i="59" s="1"/>
  <c r="L96" i="59"/>
  <c r="F57" i="78"/>
  <c r="L57" i="78"/>
  <c r="L113" i="59" l="1"/>
  <c r="J116" i="59"/>
  <c r="J84" i="59"/>
  <c r="L84" i="59" s="1"/>
  <c r="L94" i="59"/>
  <c r="J70" i="59"/>
  <c r="L70" i="59" s="1"/>
  <c r="J117" i="59"/>
  <c r="L117" i="59" s="1"/>
  <c r="J85" i="59"/>
  <c r="L85" i="59" s="1"/>
  <c r="L95" i="59"/>
  <c r="H19" i="61" l="1"/>
  <c r="H20" i="61"/>
  <c r="J125" i="59"/>
  <c r="J155" i="59" s="1"/>
  <c r="L116" i="59"/>
  <c r="L125" i="59" s="1"/>
  <c r="L155" i="59" s="1"/>
  <c r="J157" i="59" l="1"/>
  <c r="J11" i="58"/>
  <c r="D39" i="78" l="1"/>
  <c r="L11" i="58"/>
  <c r="N47" i="100"/>
  <c r="G11" i="80"/>
  <c r="L157" i="59"/>
  <c r="G39" i="78" l="1"/>
  <c r="H39" i="78" s="1"/>
  <c r="L39" i="78" s="1"/>
  <c r="F39" i="78"/>
  <c r="J53" i="59" l="1"/>
  <c r="L53" i="59" s="1"/>
  <c r="J54" i="59"/>
  <c r="L54" i="59" s="1"/>
  <c r="J55" i="59"/>
  <c r="L55" i="59" s="1"/>
  <c r="J56" i="59" l="1"/>
  <c r="L56" i="59" s="1"/>
  <c r="Q60" i="59" l="1"/>
  <c r="Q59" i="59"/>
  <c r="N59" i="59" s="1"/>
  <c r="Q50" i="59" l="1"/>
  <c r="N50" i="59" s="1"/>
  <c r="N60" i="59" s="1"/>
  <c r="R60" i="59" s="1"/>
  <c r="Q94" i="59"/>
  <c r="Q48" i="59"/>
  <c r="Q69" i="59"/>
  <c r="N69" i="59" s="1"/>
  <c r="Q96" i="59"/>
  <c r="Q95" i="59"/>
  <c r="Q49" i="59"/>
  <c r="R50" i="59" l="1"/>
  <c r="P105" i="59"/>
  <c r="Q105" i="59" s="1"/>
  <c r="N48" i="59"/>
  <c r="D169" i="59"/>
  <c r="D170" i="59" s="1"/>
  <c r="D178" i="59" s="1"/>
  <c r="Q68" i="59"/>
  <c r="P104" i="59"/>
  <c r="P106" i="59"/>
  <c r="Q106" i="59" s="1"/>
  <c r="N49" i="59"/>
  <c r="R59" i="59" s="1"/>
  <c r="R48" i="59" l="1"/>
  <c r="R49" i="59"/>
  <c r="Q104" i="59"/>
  <c r="L24" i="54" l="1"/>
  <c r="Q99" i="59" l="1"/>
  <c r="Q100" i="59" l="1"/>
  <c r="N128" i="60"/>
  <c r="N131" i="60"/>
  <c r="N134" i="60"/>
  <c r="N130" i="60"/>
  <c r="N136" i="60"/>
  <c r="N133" i="60"/>
  <c r="Q102" i="59"/>
  <c r="N129" i="60"/>
  <c r="N135" i="60"/>
  <c r="N132" i="60"/>
  <c r="N137" i="60"/>
  <c r="K132" i="60" l="1"/>
  <c r="O132" i="60" s="1"/>
  <c r="K131" i="60"/>
  <c r="O131" i="60" s="1"/>
  <c r="K135" i="60"/>
  <c r="O135" i="60"/>
  <c r="K128" i="60"/>
  <c r="N138" i="60"/>
  <c r="K129" i="60"/>
  <c r="O129" i="60" s="1"/>
  <c r="K133" i="60"/>
  <c r="O133" i="60" s="1"/>
  <c r="K136" i="60"/>
  <c r="O136" i="60" s="1"/>
  <c r="K130" i="60"/>
  <c r="O130" i="60" s="1"/>
  <c r="K137" i="60"/>
  <c r="O137" i="60" s="1"/>
  <c r="K134" i="60"/>
  <c r="O134" i="60" s="1"/>
  <c r="K138" i="60" l="1"/>
  <c r="N81" i="59" s="1"/>
  <c r="O128" i="60"/>
  <c r="O138" i="60" s="1"/>
  <c r="J14" i="65" l="1"/>
  <c r="D41" i="78" s="1"/>
  <c r="E41" i="78"/>
  <c r="F41" i="78" l="1"/>
  <c r="G41" i="78"/>
  <c r="H41" i="78" s="1"/>
  <c r="L41" i="78" s="1"/>
  <c r="F6" i="100"/>
  <c r="I26" i="77" l="1"/>
  <c r="I23" i="77"/>
  <c r="I22" i="77"/>
  <c r="I21" i="77"/>
  <c r="I13" i="77"/>
  <c r="I12" i="77"/>
  <c r="E21" i="69"/>
  <c r="K13" i="65" l="1"/>
  <c r="E6" i="100"/>
  <c r="E42" i="78"/>
  <c r="D42" i="78" l="1"/>
  <c r="L42" i="78"/>
  <c r="K10" i="65"/>
  <c r="K17" i="65"/>
  <c r="K13" i="58" l="1"/>
  <c r="E40" i="78"/>
  <c r="M47" i="100"/>
  <c r="O47" i="100" s="1"/>
  <c r="H27" i="77"/>
  <c r="K21" i="58" s="1"/>
  <c r="I11" i="77"/>
  <c r="I27" i="77" s="1"/>
  <c r="S21" i="58"/>
  <c r="J21" i="58" l="1"/>
  <c r="D46" i="78" s="1"/>
  <c r="E46" i="78"/>
  <c r="G58" i="78"/>
  <c r="H58" i="78" s="1"/>
  <c r="L58" i="78" s="1"/>
  <c r="L59" i="78" s="1"/>
  <c r="P47" i="100"/>
  <c r="P81" i="59"/>
  <c r="S26" i="58"/>
  <c r="T21" i="58"/>
  <c r="L21" i="58" l="1"/>
  <c r="Q81" i="59"/>
  <c r="R81" i="59" s="1"/>
  <c r="P124" i="59"/>
  <c r="Q124" i="59" s="1"/>
  <c r="G46" i="78"/>
  <c r="L46" i="78"/>
  <c r="F46" i="78"/>
  <c r="Q53" i="59"/>
  <c r="Q54" i="59"/>
  <c r="Q56" i="59"/>
  <c r="T26" i="58"/>
  <c r="U21" i="58"/>
  <c r="U26" i="58"/>
  <c r="N56" i="59" l="1"/>
  <c r="R56" i="59" s="1"/>
  <c r="N54" i="59"/>
  <c r="R54" i="59" s="1"/>
  <c r="N53" i="59"/>
  <c r="R53" i="59" s="1"/>
  <c r="N97" i="60"/>
  <c r="K97" i="60" s="1"/>
  <c r="N79" i="59" s="1"/>
  <c r="P79" i="59"/>
  <c r="N112" i="60"/>
  <c r="K112" i="60" s="1"/>
  <c r="N78" i="59" s="1"/>
  <c r="P78" i="59"/>
  <c r="W21" i="58"/>
  <c r="V21" i="58"/>
  <c r="W26" i="58"/>
  <c r="V26" i="58"/>
  <c r="Q66" i="59" l="1"/>
  <c r="P112" i="59"/>
  <c r="Q112" i="59" s="1"/>
  <c r="Q63" i="59"/>
  <c r="P109" i="59"/>
  <c r="Q64" i="59"/>
  <c r="P110" i="59"/>
  <c r="Q110" i="59" s="1"/>
  <c r="P121" i="59"/>
  <c r="Q121" i="59" s="1"/>
  <c r="Q78" i="59"/>
  <c r="R78" i="59" s="1"/>
  <c r="P122" i="59"/>
  <c r="Q122" i="59" s="1"/>
  <c r="Q79" i="59"/>
  <c r="R79" i="59" s="1"/>
  <c r="N64" i="59" l="1"/>
  <c r="R64" i="59" s="1"/>
  <c r="Q109" i="59"/>
  <c r="P113" i="59"/>
  <c r="N63" i="59"/>
  <c r="R63" i="59"/>
  <c r="N66" i="59"/>
  <c r="R66" i="59" s="1"/>
  <c r="Q113" i="59" l="1"/>
  <c r="P14" i="65" l="1"/>
  <c r="O17" i="65"/>
  <c r="O13" i="58" s="1"/>
  <c r="Q14" i="65" l="1"/>
  <c r="P17" i="65"/>
  <c r="P13" i="58" s="1"/>
  <c r="Q13" i="58" s="1"/>
  <c r="N14" i="65" l="1"/>
  <c r="K13" i="66"/>
  <c r="Q17" i="65"/>
  <c r="M13" i="66" l="1"/>
  <c r="S14" i="65"/>
  <c r="S17" i="65" s="1"/>
  <c r="S13" i="58" s="1"/>
  <c r="E65" i="61" s="1"/>
  <c r="L13" i="66"/>
  <c r="L14" i="66" s="1"/>
  <c r="L16" i="66" s="1"/>
  <c r="K14" i="66"/>
  <c r="K16" i="66" s="1"/>
  <c r="N13" i="66" l="1"/>
  <c r="N14" i="66" s="1"/>
  <c r="N16" i="66" s="1"/>
  <c r="M14" i="66"/>
  <c r="M16" i="66" s="1"/>
  <c r="O13" i="66"/>
  <c r="T14" i="65"/>
  <c r="T17" i="65" s="1"/>
  <c r="T13" i="58" s="1"/>
  <c r="F65" i="61" s="1"/>
  <c r="P13" i="66" l="1"/>
  <c r="P14" i="66" s="1"/>
  <c r="P16" i="66" s="1"/>
  <c r="U14" i="65"/>
  <c r="U17" i="65" s="1"/>
  <c r="U13" i="58" s="1"/>
  <c r="G65" i="61" s="1"/>
  <c r="Q13" i="66"/>
  <c r="O14" i="66"/>
  <c r="O16" i="66" s="1"/>
  <c r="S13" i="66" l="1"/>
  <c r="R13" i="66"/>
  <c r="R14" i="66" s="1"/>
  <c r="R16" i="66" s="1"/>
  <c r="V14" i="65"/>
  <c r="V17" i="65" s="1"/>
  <c r="V13" i="58" s="1"/>
  <c r="H65" i="61" s="1"/>
  <c r="Q14" i="66"/>
  <c r="Q16" i="66" s="1"/>
  <c r="T13" i="66" l="1"/>
  <c r="T14" i="66" s="1"/>
  <c r="T16" i="66" s="1"/>
  <c r="S14" i="66"/>
  <c r="S16" i="66" s="1"/>
  <c r="W14" i="65"/>
  <c r="W17" i="65" s="1"/>
  <c r="W13" i="58" s="1"/>
  <c r="I65" i="61" s="1"/>
  <c r="T26" i="81" l="1"/>
  <c r="V26" i="81"/>
  <c r="U26" i="81"/>
  <c r="W26" i="81"/>
  <c r="V16" i="81" l="1"/>
  <c r="W16" i="81"/>
  <c r="U16" i="81"/>
  <c r="T16" i="81"/>
  <c r="N54" i="60" l="1"/>
  <c r="K54" i="60" s="1"/>
  <c r="N75" i="59" s="1"/>
  <c r="P75" i="59"/>
  <c r="N40" i="60" l="1"/>
  <c r="K40" i="60" s="1"/>
  <c r="N74" i="59" s="1"/>
  <c r="P74" i="59"/>
  <c r="N26" i="60"/>
  <c r="K26" i="60" s="1"/>
  <c r="N73" i="59" s="1"/>
  <c r="P73" i="59"/>
  <c r="P118" i="59"/>
  <c r="Q118" i="59" s="1"/>
  <c r="Q75" i="59"/>
  <c r="R75" i="59" s="1"/>
  <c r="Q73" i="59" l="1"/>
  <c r="R73" i="59" s="1"/>
  <c r="P116" i="59"/>
  <c r="P117" i="59"/>
  <c r="Q117" i="59" s="1"/>
  <c r="Q74" i="59"/>
  <c r="R74" i="59" s="1"/>
  <c r="Q116" i="59" l="1"/>
  <c r="P125" i="59"/>
  <c r="P155" i="59" s="1"/>
  <c r="P11" i="58" s="1"/>
  <c r="Q11" i="58" s="1"/>
  <c r="Q125" i="59" l="1"/>
  <c r="Q155" i="59" s="1"/>
  <c r="Q58" i="59" l="1"/>
  <c r="N58" i="59" s="1"/>
  <c r="P70" i="59"/>
  <c r="Q70" i="59" l="1"/>
  <c r="N68" i="59" l="1"/>
  <c r="R68" i="59" s="1"/>
  <c r="R58" i="59"/>
  <c r="P16" i="81" l="1"/>
  <c r="L26" i="71" l="1"/>
  <c r="N26" i="71"/>
  <c r="K26" i="71"/>
  <c r="J26" i="71"/>
  <c r="I26" i="71"/>
  <c r="M26" i="71"/>
  <c r="P23" i="59"/>
  <c r="D182" i="59" s="1"/>
  <c r="P42" i="81"/>
  <c r="Q30" i="81"/>
  <c r="P43" i="81"/>
  <c r="Q43" i="81" s="1"/>
  <c r="P44" i="81"/>
  <c r="Q44" i="81" s="1"/>
  <c r="P45" i="81" l="1"/>
  <c r="P48" i="81"/>
  <c r="Q48" i="81" s="1"/>
  <c r="Q45" i="81"/>
  <c r="P91" i="59"/>
  <c r="Q91" i="59" s="1"/>
  <c r="P34" i="59"/>
  <c r="Q34" i="59" s="1"/>
  <c r="P35" i="59"/>
  <c r="Q35" i="59" s="1"/>
  <c r="P33" i="59"/>
  <c r="P85" i="59"/>
  <c r="P86" i="59"/>
  <c r="P84" i="59"/>
  <c r="P89" i="59"/>
  <c r="P90" i="59"/>
  <c r="P92" i="59"/>
  <c r="Q92" i="59" s="1"/>
  <c r="P40" i="59"/>
  <c r="P53" i="81" s="1"/>
  <c r="G30" i="72"/>
  <c r="Q23" i="59"/>
  <c r="N30" i="81"/>
  <c r="R30" i="81" s="1"/>
  <c r="Q13" i="59" l="1"/>
  <c r="Q86" i="59"/>
  <c r="Q85" i="59"/>
  <c r="Q84" i="59"/>
  <c r="Q89" i="59"/>
  <c r="Q90" i="59"/>
  <c r="Q40" i="59"/>
  <c r="Q33" i="59"/>
  <c r="P36" i="59"/>
  <c r="D191" i="59"/>
  <c r="D194" i="59" s="1"/>
  <c r="D196" i="59" s="1"/>
  <c r="D185" i="59"/>
  <c r="D187" i="59" s="1"/>
  <c r="N44" i="81"/>
  <c r="R44" i="81" s="1"/>
  <c r="N23" i="59"/>
  <c r="N42" i="81"/>
  <c r="N43" i="81"/>
  <c r="R43" i="81" s="1"/>
  <c r="Q53" i="81" l="1"/>
  <c r="R53" i="81" s="1"/>
  <c r="R40" i="59"/>
  <c r="N90" i="59"/>
  <c r="N100" i="59" s="1"/>
  <c r="N91" i="59"/>
  <c r="N89" i="59"/>
  <c r="N99" i="59" s="1"/>
  <c r="N45" i="81"/>
  <c r="N33" i="59"/>
  <c r="R33" i="59" s="1"/>
  <c r="N35" i="59"/>
  <c r="R35" i="59" s="1"/>
  <c r="N113" i="59"/>
  <c r="N34" i="59"/>
  <c r="R34" i="59" s="1"/>
  <c r="N92" i="59"/>
  <c r="P37" i="59"/>
  <c r="Q36" i="59"/>
  <c r="Q29" i="59"/>
  <c r="R23" i="59"/>
  <c r="D198" i="59"/>
  <c r="Q21" i="59"/>
  <c r="N13" i="59"/>
  <c r="N16" i="81" s="1"/>
  <c r="Q16" i="81"/>
  <c r="R89" i="59" l="1"/>
  <c r="R90" i="59"/>
  <c r="R29" i="59"/>
  <c r="R32" i="59" s="1"/>
  <c r="Q32" i="59"/>
  <c r="Q38" i="81"/>
  <c r="R45" i="81"/>
  <c r="N48" i="81"/>
  <c r="R48" i="81" s="1"/>
  <c r="F4" i="100"/>
  <c r="R16" i="81"/>
  <c r="R13" i="59" s="1"/>
  <c r="P157" i="59"/>
  <c r="Q37" i="59"/>
  <c r="N109" i="59"/>
  <c r="R109" i="59" s="1"/>
  <c r="N121" i="59"/>
  <c r="R99" i="59"/>
  <c r="N102" i="59"/>
  <c r="R92" i="59"/>
  <c r="N101" i="59"/>
  <c r="R91" i="59"/>
  <c r="Q26" i="81"/>
  <c r="N21" i="59"/>
  <c r="R21" i="59" s="1"/>
  <c r="P12" i="58"/>
  <c r="Q12" i="58" s="1"/>
  <c r="N12" i="58" s="1"/>
  <c r="E80" i="61"/>
  <c r="E79" i="61"/>
  <c r="N122" i="59"/>
  <c r="R122" i="59" s="1"/>
  <c r="N110" i="59"/>
  <c r="R110" i="59" s="1"/>
  <c r="R100" i="59"/>
  <c r="R36" i="59"/>
  <c r="R37" i="59" s="1"/>
  <c r="N36" i="59"/>
  <c r="N37" i="59" s="1"/>
  <c r="E83" i="61" l="1"/>
  <c r="E85" i="61" s="1"/>
  <c r="P20" i="58" s="1"/>
  <c r="Q20" i="58" s="1"/>
  <c r="N20" i="58" s="1"/>
  <c r="N26" i="81"/>
  <c r="R26" i="81" s="1"/>
  <c r="N123" i="59"/>
  <c r="R123" i="59" s="1"/>
  <c r="R101" i="59"/>
  <c r="N111" i="59"/>
  <c r="N124" i="59"/>
  <c r="R124" i="59" s="1"/>
  <c r="N112" i="59"/>
  <c r="R112" i="59" s="1"/>
  <c r="R102" i="59"/>
  <c r="R121" i="59"/>
  <c r="Q41" i="81"/>
  <c r="Q42" i="81" s="1"/>
  <c r="R42" i="81" s="1"/>
  <c r="R38" i="81"/>
  <c r="E24" i="71"/>
  <c r="E26" i="71" s="1"/>
  <c r="F24" i="71"/>
  <c r="F26" i="71" s="1"/>
  <c r="D24" i="71"/>
  <c r="D26" i="71" s="1"/>
  <c r="G24" i="71"/>
  <c r="G26" i="71" s="1"/>
  <c r="H24" i="71"/>
  <c r="H26" i="71" s="1"/>
  <c r="C24" i="71"/>
  <c r="Q157" i="59"/>
  <c r="K11" i="80" s="1"/>
  <c r="J22" i="61" l="1"/>
  <c r="J29" i="61"/>
  <c r="R111" i="59"/>
  <c r="N106" i="59"/>
  <c r="N105" i="59"/>
  <c r="N104" i="59"/>
  <c r="C26" i="71"/>
  <c r="G29" i="72" s="1"/>
  <c r="O24" i="71"/>
  <c r="O26" i="71" s="1"/>
  <c r="D29" i="72" l="1"/>
  <c r="F29" i="72"/>
  <c r="G31" i="72"/>
  <c r="N94" i="59"/>
  <c r="R104" i="59"/>
  <c r="N95" i="59"/>
  <c r="R105" i="59"/>
  <c r="N96" i="59"/>
  <c r="R106" i="59"/>
  <c r="N118" i="59" l="1"/>
  <c r="R118" i="59" s="1"/>
  <c r="N86" i="59"/>
  <c r="R86" i="59" s="1"/>
  <c r="R96" i="59"/>
  <c r="N117" i="59"/>
  <c r="R117" i="59" s="1"/>
  <c r="N85" i="59"/>
  <c r="R85" i="59" s="1"/>
  <c r="R95" i="59"/>
  <c r="R113" i="59"/>
  <c r="N116" i="59"/>
  <c r="N84" i="59"/>
  <c r="R84" i="59" s="1"/>
  <c r="R94" i="59"/>
  <c r="N70" i="59"/>
  <c r="R70" i="59" s="1"/>
  <c r="J19" i="61" l="1"/>
  <c r="J20" i="61"/>
  <c r="N125" i="59"/>
  <c r="N155" i="59" s="1"/>
  <c r="R116" i="59"/>
  <c r="R125" i="59" s="1"/>
  <c r="R155" i="59" s="1"/>
  <c r="R157" i="59" s="1"/>
  <c r="N11" i="58" l="1"/>
  <c r="R11" i="58" s="1"/>
  <c r="N157" i="59"/>
  <c r="J11" i="80" s="1"/>
  <c r="S16" i="81" l="1"/>
  <c r="S26" i="81"/>
  <c r="E30" i="61" l="1"/>
  <c r="E34" i="61" s="1"/>
  <c r="E19" i="58" s="1"/>
  <c r="E23" i="58" s="1"/>
  <c r="E27" i="58" s="1"/>
  <c r="C9" i="80" s="1"/>
  <c r="G30" i="61"/>
  <c r="G34" i="61" s="1"/>
  <c r="I19" i="58" s="1"/>
  <c r="I23" i="58" s="1"/>
  <c r="I27" i="58" s="1"/>
  <c r="F9" i="80" s="1"/>
  <c r="I30" i="61"/>
  <c r="I34" i="61" s="1"/>
  <c r="M19" i="58" s="1"/>
  <c r="M23" i="58" s="1"/>
  <c r="M27" i="58" s="1"/>
  <c r="I9" i="80" s="1"/>
  <c r="K30" i="72" l="1"/>
  <c r="K31" i="72" s="1"/>
  <c r="K32" i="72" s="1"/>
  <c r="F71" i="70" l="1"/>
  <c r="D71" i="117"/>
  <c r="D79" i="117"/>
  <c r="F79" i="70"/>
  <c r="E68" i="70"/>
  <c r="A95" i="70"/>
  <c r="A99" i="70"/>
  <c r="E72" i="70"/>
  <c r="H72" i="70" s="1"/>
  <c r="I72" i="70" s="1"/>
  <c r="E76" i="70"/>
  <c r="A103" i="70"/>
  <c r="A107" i="70"/>
  <c r="E80" i="70"/>
  <c r="H80" i="70" s="1"/>
  <c r="I80" i="70" s="1"/>
  <c r="E84" i="70"/>
  <c r="H84" i="70" s="1"/>
  <c r="I84" i="70" s="1"/>
  <c r="A111" i="70"/>
  <c r="F72" i="70"/>
  <c r="D72" i="117"/>
  <c r="F80" i="70"/>
  <c r="D80" i="117"/>
  <c r="F78" i="70"/>
  <c r="D78" i="117"/>
  <c r="E73" i="70"/>
  <c r="D73" i="117"/>
  <c r="F73" i="70"/>
  <c r="D81" i="117"/>
  <c r="F81" i="70"/>
  <c r="A98" i="70"/>
  <c r="E71" i="70"/>
  <c r="H71" i="70" s="1"/>
  <c r="I71" i="70" s="1"/>
  <c r="A102" i="70"/>
  <c r="E75" i="70"/>
  <c r="E79" i="70"/>
  <c r="H79" i="70" s="1"/>
  <c r="I79" i="70" s="1"/>
  <c r="A106" i="70"/>
  <c r="E83" i="70"/>
  <c r="A110" i="70"/>
  <c r="D84" i="117"/>
  <c r="F84" i="70"/>
  <c r="F69" i="70"/>
  <c r="D69" i="117"/>
  <c r="E77" i="70"/>
  <c r="A104" i="70"/>
  <c r="A108" i="70"/>
  <c r="E81" i="70"/>
  <c r="D70" i="117"/>
  <c r="F70" i="70"/>
  <c r="E19" i="55"/>
  <c r="F10" i="55"/>
  <c r="E40" i="55"/>
  <c r="F74" i="70"/>
  <c r="D74" i="117"/>
  <c r="F82" i="70"/>
  <c r="D82" i="117"/>
  <c r="D68" i="117"/>
  <c r="D85" i="70"/>
  <c r="F68" i="70"/>
  <c r="D76" i="117"/>
  <c r="F76" i="70"/>
  <c r="H76" i="70" s="1"/>
  <c r="I76" i="70" s="1"/>
  <c r="F77" i="70"/>
  <c r="D77" i="117"/>
  <c r="A96" i="70"/>
  <c r="E69" i="70"/>
  <c r="H69" i="70" s="1"/>
  <c r="I69" i="70" s="1"/>
  <c r="A100" i="70"/>
  <c r="H14" i="70"/>
  <c r="D14" i="117"/>
  <c r="D31" i="70"/>
  <c r="E16" i="54" s="1"/>
  <c r="D122" i="70"/>
  <c r="D15" i="117"/>
  <c r="H15" i="70"/>
  <c r="I15" i="70" s="1"/>
  <c r="D123" i="70"/>
  <c r="D16" i="117"/>
  <c r="H16" i="70"/>
  <c r="I16" i="70" s="1"/>
  <c r="D124" i="70"/>
  <c r="H17" i="70"/>
  <c r="I17" i="70" s="1"/>
  <c r="D17" i="117"/>
  <c r="D125" i="70"/>
  <c r="H18" i="70"/>
  <c r="I18" i="70" s="1"/>
  <c r="D18" i="117"/>
  <c r="D126" i="70"/>
  <c r="H19" i="70"/>
  <c r="I19" i="70" s="1"/>
  <c r="D19" i="117"/>
  <c r="D127" i="70"/>
  <c r="D128" i="70"/>
  <c r="H20" i="70"/>
  <c r="I20" i="70" s="1"/>
  <c r="D20" i="117"/>
  <c r="D21" i="117"/>
  <c r="H21" i="70"/>
  <c r="I21" i="70" s="1"/>
  <c r="D129" i="70"/>
  <c r="H22" i="70"/>
  <c r="I22" i="70" s="1"/>
  <c r="M22" i="70" s="1"/>
  <c r="N22" i="70" s="1"/>
  <c r="D130" i="70"/>
  <c r="D22" i="117"/>
  <c r="H23" i="70"/>
  <c r="I23" i="70" s="1"/>
  <c r="D131" i="70"/>
  <c r="D23" i="117"/>
  <c r="D24" i="117"/>
  <c r="D132" i="70"/>
  <c r="H24" i="70"/>
  <c r="I24" i="70" s="1"/>
  <c r="D25" i="117"/>
  <c r="D133" i="70"/>
  <c r="H25" i="70"/>
  <c r="I25" i="70" s="1"/>
  <c r="D26" i="117"/>
  <c r="H26" i="70"/>
  <c r="I26" i="70" s="1"/>
  <c r="D134" i="70"/>
  <c r="H27" i="70"/>
  <c r="I27" i="70" s="1"/>
  <c r="D135" i="70"/>
  <c r="D27" i="117"/>
  <c r="D136" i="70"/>
  <c r="D28" i="117"/>
  <c r="H28" i="70"/>
  <c r="I28" i="70" s="1"/>
  <c r="M28" i="70" s="1"/>
  <c r="N28" i="70" s="1"/>
  <c r="D137" i="70"/>
  <c r="D29" i="117"/>
  <c r="H29" i="70"/>
  <c r="I29" i="70" s="1"/>
  <c r="D138" i="70"/>
  <c r="D30" i="117"/>
  <c r="H30" i="70"/>
  <c r="I30" i="70" s="1"/>
  <c r="F75" i="70"/>
  <c r="D75" i="117"/>
  <c r="H75" i="70"/>
  <c r="I75" i="70" s="1"/>
  <c r="F83" i="70"/>
  <c r="D83" i="117"/>
  <c r="A97" i="70"/>
  <c r="E70" i="70"/>
  <c r="A101" i="70"/>
  <c r="E74" i="70"/>
  <c r="E78" i="70"/>
  <c r="A105" i="70"/>
  <c r="A109" i="70"/>
  <c r="E82" i="70"/>
  <c r="H82" i="70" s="1"/>
  <c r="I82" i="70" s="1"/>
  <c r="H74" i="70" l="1"/>
  <c r="I74" i="70" s="1"/>
  <c r="H73" i="70"/>
  <c r="I73" i="70" s="1"/>
  <c r="M73" i="70" s="1"/>
  <c r="N73" i="70" s="1"/>
  <c r="J69" i="70"/>
  <c r="K69" i="70"/>
  <c r="J74" i="70"/>
  <c r="K74" i="70"/>
  <c r="J71" i="70"/>
  <c r="K71" i="70"/>
  <c r="I130" i="70"/>
  <c r="K76" i="70"/>
  <c r="J76" i="70"/>
  <c r="M76" i="70" s="1"/>
  <c r="N76" i="70" s="1"/>
  <c r="D156" i="70" s="1"/>
  <c r="J79" i="70"/>
  <c r="K79" i="70"/>
  <c r="K73" i="70"/>
  <c r="J73" i="70"/>
  <c r="D85" i="117"/>
  <c r="D138" i="117"/>
  <c r="H30" i="117"/>
  <c r="I30" i="117" s="1"/>
  <c r="D135" i="117"/>
  <c r="H27" i="117"/>
  <c r="I27" i="117" s="1"/>
  <c r="D133" i="117"/>
  <c r="H25" i="117"/>
  <c r="I25" i="117" s="1"/>
  <c r="M17" i="70"/>
  <c r="N17" i="70" s="1"/>
  <c r="I125" i="70"/>
  <c r="F16" i="54"/>
  <c r="H77" i="70"/>
  <c r="I77" i="70" s="1"/>
  <c r="P77" i="117"/>
  <c r="P131" i="117" s="1"/>
  <c r="F131" i="70"/>
  <c r="F77" i="117"/>
  <c r="F131" i="117" s="1"/>
  <c r="I136" i="70"/>
  <c r="J82" i="70"/>
  <c r="K82" i="70"/>
  <c r="H81" i="70"/>
  <c r="I81" i="70" s="1"/>
  <c r="I135" i="70" s="1"/>
  <c r="F81" i="117"/>
  <c r="F135" i="117" s="1"/>
  <c r="F135" i="70"/>
  <c r="P81" i="117"/>
  <c r="P135" i="117" s="1"/>
  <c r="F132" i="70"/>
  <c r="P78" i="117"/>
  <c r="P132" i="117" s="1"/>
  <c r="F78" i="117"/>
  <c r="F132" i="117" s="1"/>
  <c r="E138" i="70"/>
  <c r="E84" i="117"/>
  <c r="E138" i="117" s="1"/>
  <c r="E85" i="70"/>
  <c r="E122" i="70"/>
  <c r="E68" i="117"/>
  <c r="M24" i="70"/>
  <c r="N24" i="70" s="1"/>
  <c r="R22" i="70"/>
  <c r="S22" i="70" s="1"/>
  <c r="D127" i="117"/>
  <c r="H19" i="117"/>
  <c r="I19" i="117" s="1"/>
  <c r="H14" i="117"/>
  <c r="D31" i="117"/>
  <c r="D23" i="69" s="1"/>
  <c r="D122" i="117"/>
  <c r="E77" i="117"/>
  <c r="E131" i="117" s="1"/>
  <c r="E131" i="70"/>
  <c r="H131" i="70" s="1"/>
  <c r="H83" i="70"/>
  <c r="I83" i="70" s="1"/>
  <c r="I137" i="70" s="1"/>
  <c r="E137" i="70"/>
  <c r="E83" i="117"/>
  <c r="E137" i="117" s="1"/>
  <c r="K80" i="70"/>
  <c r="J80" i="70"/>
  <c r="M80" i="70"/>
  <c r="N80" i="70" s="1"/>
  <c r="E80" i="117"/>
  <c r="E134" i="117" s="1"/>
  <c r="E134" i="70"/>
  <c r="E70" i="117"/>
  <c r="E124" i="117" s="1"/>
  <c r="E124" i="70"/>
  <c r="M19" i="70"/>
  <c r="N19" i="70" s="1"/>
  <c r="I127" i="70"/>
  <c r="F19" i="55"/>
  <c r="P79" i="117"/>
  <c r="P133" i="117" s="1"/>
  <c r="F79" i="117"/>
  <c r="F133" i="117" s="1"/>
  <c r="F133" i="70"/>
  <c r="P83" i="117"/>
  <c r="P137" i="117" s="1"/>
  <c r="F83" i="117"/>
  <c r="F137" i="117" s="1"/>
  <c r="F137" i="70"/>
  <c r="H137" i="70" s="1"/>
  <c r="H29" i="117"/>
  <c r="I29" i="117" s="1"/>
  <c r="D137" i="117"/>
  <c r="H24" i="117"/>
  <c r="I24" i="117" s="1"/>
  <c r="D132" i="117"/>
  <c r="M21" i="70"/>
  <c r="N21" i="70" s="1"/>
  <c r="I129" i="70"/>
  <c r="D124" i="117"/>
  <c r="H16" i="117"/>
  <c r="I16" i="117" s="1"/>
  <c r="H70" i="70"/>
  <c r="I70" i="70" s="1"/>
  <c r="I124" i="70" s="1"/>
  <c r="P69" i="117"/>
  <c r="P123" i="117" s="1"/>
  <c r="F123" i="70"/>
  <c r="F69" i="117"/>
  <c r="F123" i="117" s="1"/>
  <c r="E133" i="70"/>
  <c r="H133" i="70" s="1"/>
  <c r="E79" i="117"/>
  <c r="E133" i="117" s="1"/>
  <c r="P80" i="117"/>
  <c r="P134" i="117" s="1"/>
  <c r="F80" i="117"/>
  <c r="F134" i="117" s="1"/>
  <c r="F134" i="70"/>
  <c r="K84" i="70"/>
  <c r="J84" i="70"/>
  <c r="M84" i="70" s="1"/>
  <c r="N84" i="70" s="1"/>
  <c r="M27" i="70"/>
  <c r="N27" i="70" s="1"/>
  <c r="H31" i="70"/>
  <c r="I14" i="70"/>
  <c r="J75" i="70"/>
  <c r="K75" i="70"/>
  <c r="I134" i="70"/>
  <c r="M26" i="70"/>
  <c r="N26" i="70" s="1"/>
  <c r="D131" i="117"/>
  <c r="H23" i="117"/>
  <c r="I23" i="117" s="1"/>
  <c r="D129" i="117"/>
  <c r="H21" i="117"/>
  <c r="I21" i="117" s="1"/>
  <c r="H18" i="117"/>
  <c r="I18" i="117" s="1"/>
  <c r="M18" i="117" s="1"/>
  <c r="N18" i="117" s="1"/>
  <c r="D126" i="117"/>
  <c r="H68" i="70"/>
  <c r="H74" i="117"/>
  <c r="I74" i="117" s="1"/>
  <c r="P70" i="117"/>
  <c r="P124" i="117" s="1"/>
  <c r="F70" i="117"/>
  <c r="F124" i="117" s="1"/>
  <c r="F124" i="70"/>
  <c r="E129" i="70"/>
  <c r="E75" i="117"/>
  <c r="E129" i="117" s="1"/>
  <c r="J72" i="70"/>
  <c r="K72" i="70"/>
  <c r="M72" i="70"/>
  <c r="N72" i="70" s="1"/>
  <c r="E76" i="117"/>
  <c r="E130" i="117" s="1"/>
  <c r="E130" i="70"/>
  <c r="D139" i="70"/>
  <c r="M29" i="70"/>
  <c r="N29" i="70" s="1"/>
  <c r="R29" i="70" s="1"/>
  <c r="S29" i="70" s="1"/>
  <c r="F130" i="70"/>
  <c r="P76" i="117"/>
  <c r="P130" i="117" s="1"/>
  <c r="F76" i="117"/>
  <c r="F130" i="117" s="1"/>
  <c r="P73" i="117"/>
  <c r="P127" i="117" s="1"/>
  <c r="F127" i="70"/>
  <c r="F73" i="117"/>
  <c r="F127" i="117" s="1"/>
  <c r="E78" i="117"/>
  <c r="E132" i="117" s="1"/>
  <c r="E132" i="70"/>
  <c r="R28" i="70"/>
  <c r="S28" i="70" s="1"/>
  <c r="D134" i="117"/>
  <c r="H26" i="117"/>
  <c r="I26" i="117" s="1"/>
  <c r="H20" i="117"/>
  <c r="I20" i="117" s="1"/>
  <c r="D128" i="117"/>
  <c r="M18" i="70"/>
  <c r="N18" i="70" s="1"/>
  <c r="I126" i="70"/>
  <c r="I123" i="70"/>
  <c r="M15" i="70"/>
  <c r="N15" i="70" s="1"/>
  <c r="E69" i="117"/>
  <c r="E123" i="117" s="1"/>
  <c r="E123" i="70"/>
  <c r="H123" i="70" s="1"/>
  <c r="F122" i="70"/>
  <c r="P68" i="117"/>
  <c r="F68" i="117"/>
  <c r="F85" i="70"/>
  <c r="P74" i="117"/>
  <c r="P128" i="117" s="1"/>
  <c r="F74" i="117"/>
  <c r="F128" i="117" s="1"/>
  <c r="F128" i="70"/>
  <c r="F138" i="70"/>
  <c r="F84" i="117"/>
  <c r="F138" i="117" s="1"/>
  <c r="P84" i="117"/>
  <c r="P138" i="117" s="1"/>
  <c r="E127" i="70"/>
  <c r="E73" i="117"/>
  <c r="E127" i="117" s="1"/>
  <c r="E72" i="117"/>
  <c r="E126" i="117" s="1"/>
  <c r="E126" i="70"/>
  <c r="M30" i="70"/>
  <c r="N30" i="70" s="1"/>
  <c r="I138" i="70"/>
  <c r="H22" i="117"/>
  <c r="I22" i="117" s="1"/>
  <c r="D130" i="117"/>
  <c r="H17" i="117"/>
  <c r="I17" i="117" s="1"/>
  <c r="D125" i="117"/>
  <c r="E82" i="117"/>
  <c r="E136" i="117" s="1"/>
  <c r="E136" i="70"/>
  <c r="M16" i="70"/>
  <c r="N16" i="70" s="1"/>
  <c r="P82" i="117"/>
  <c r="P136" i="117" s="1"/>
  <c r="F136" i="70"/>
  <c r="F82" i="117"/>
  <c r="F136" i="117" s="1"/>
  <c r="E128" i="70"/>
  <c r="E74" i="117"/>
  <c r="E128" i="117" s="1"/>
  <c r="F75" i="117"/>
  <c r="F129" i="117" s="1"/>
  <c r="P75" i="117"/>
  <c r="P129" i="117" s="1"/>
  <c r="F129" i="70"/>
  <c r="H28" i="117"/>
  <c r="I28" i="117" s="1"/>
  <c r="D136" i="117"/>
  <c r="M25" i="70"/>
  <c r="N25" i="70" s="1"/>
  <c r="I133" i="70"/>
  <c r="M23" i="70"/>
  <c r="N23" i="70" s="1"/>
  <c r="I131" i="70"/>
  <c r="M20" i="70"/>
  <c r="N20" i="70" s="1"/>
  <c r="I128" i="70"/>
  <c r="D123" i="117"/>
  <c r="H15" i="117"/>
  <c r="I15" i="117" s="1"/>
  <c r="E13" i="55"/>
  <c r="E135" i="70"/>
  <c r="H135" i="70" s="1"/>
  <c r="E81" i="117"/>
  <c r="E135" i="117" s="1"/>
  <c r="E125" i="70"/>
  <c r="E71" i="117"/>
  <c r="E125" i="117" s="1"/>
  <c r="H78" i="70"/>
  <c r="I78" i="70" s="1"/>
  <c r="I132" i="70" s="1"/>
  <c r="F72" i="117"/>
  <c r="F126" i="117" s="1"/>
  <c r="F126" i="70"/>
  <c r="P72" i="117"/>
  <c r="P126" i="117" s="1"/>
  <c r="F125" i="70"/>
  <c r="P71" i="117"/>
  <c r="P125" i="117" s="1"/>
  <c r="F71" i="117"/>
  <c r="F125" i="117" s="1"/>
  <c r="M79" i="70" l="1"/>
  <c r="N79" i="70" s="1"/>
  <c r="H71" i="117"/>
  <c r="I71" i="117" s="1"/>
  <c r="H136" i="70"/>
  <c r="H70" i="117"/>
  <c r="I70" i="117" s="1"/>
  <c r="H125" i="70"/>
  <c r="H84" i="117"/>
  <c r="I84" i="117" s="1"/>
  <c r="H127" i="70"/>
  <c r="H129" i="70"/>
  <c r="M82" i="70"/>
  <c r="N82" i="70" s="1"/>
  <c r="H128" i="70"/>
  <c r="H73" i="117"/>
  <c r="I73" i="117" s="1"/>
  <c r="H124" i="117"/>
  <c r="H124" i="70"/>
  <c r="H138" i="70"/>
  <c r="H138" i="117"/>
  <c r="M74" i="70"/>
  <c r="N74" i="70" s="1"/>
  <c r="P74" i="70" s="1"/>
  <c r="F154" i="70" s="1"/>
  <c r="P79" i="70"/>
  <c r="F159" i="70" s="1"/>
  <c r="O79" i="70"/>
  <c r="W28" i="70"/>
  <c r="D54" i="70" s="1"/>
  <c r="S28" i="117"/>
  <c r="P72" i="70"/>
  <c r="F152" i="70" s="1"/>
  <c r="O72" i="70"/>
  <c r="R27" i="70"/>
  <c r="S27" i="70" s="1"/>
  <c r="K71" i="117"/>
  <c r="K125" i="117" s="1"/>
  <c r="K125" i="70"/>
  <c r="R16" i="70"/>
  <c r="S16" i="70" s="1"/>
  <c r="F122" i="117"/>
  <c r="F139" i="117" s="1"/>
  <c r="F85" i="117"/>
  <c r="R18" i="70"/>
  <c r="S18" i="70" s="1"/>
  <c r="D152" i="70"/>
  <c r="H75" i="117"/>
  <c r="I75" i="117" s="1"/>
  <c r="K72" i="117"/>
  <c r="K126" i="117" s="1"/>
  <c r="K126" i="70"/>
  <c r="H85" i="70"/>
  <c r="I68" i="70"/>
  <c r="O84" i="70"/>
  <c r="P84" i="70"/>
  <c r="F164" i="70" s="1"/>
  <c r="R19" i="70"/>
  <c r="S19" i="70" s="1"/>
  <c r="D153" i="70"/>
  <c r="P80" i="70"/>
  <c r="F160" i="70" s="1"/>
  <c r="O80" i="70"/>
  <c r="W22" i="70"/>
  <c r="D48" i="70" s="1"/>
  <c r="S22" i="117"/>
  <c r="K136" i="70"/>
  <c r="K82" i="117"/>
  <c r="K136" i="117" s="1"/>
  <c r="J125" i="70"/>
  <c r="J71" i="117"/>
  <c r="J125" i="117" s="1"/>
  <c r="R23" i="70"/>
  <c r="S23" i="70" s="1"/>
  <c r="D164" i="70"/>
  <c r="R30" i="70"/>
  <c r="S30" i="70" s="1"/>
  <c r="P85" i="117"/>
  <c r="P122" i="117"/>
  <c r="P139" i="117" s="1"/>
  <c r="H128" i="117"/>
  <c r="H132" i="70"/>
  <c r="J126" i="70"/>
  <c r="M126" i="70" s="1"/>
  <c r="J72" i="117"/>
  <c r="J126" i="117" s="1"/>
  <c r="H126" i="117"/>
  <c r="J84" i="117"/>
  <c r="J138" i="117" s="1"/>
  <c r="J138" i="70"/>
  <c r="H83" i="117"/>
  <c r="I83" i="117" s="1"/>
  <c r="I137" i="117" s="1"/>
  <c r="J134" i="70"/>
  <c r="J80" i="117"/>
  <c r="J134" i="117" s="1"/>
  <c r="H82" i="117"/>
  <c r="I82" i="117" s="1"/>
  <c r="I136" i="117" s="1"/>
  <c r="J136" i="70"/>
  <c r="J82" i="117"/>
  <c r="J136" i="117" s="1"/>
  <c r="J133" i="70"/>
  <c r="J79" i="117"/>
  <c r="J133" i="117" s="1"/>
  <c r="M22" i="117"/>
  <c r="N22" i="117" s="1"/>
  <c r="M30" i="117"/>
  <c r="N30" i="117" s="1"/>
  <c r="I138" i="117"/>
  <c r="M20" i="117"/>
  <c r="N20" i="117" s="1"/>
  <c r="I128" i="117"/>
  <c r="R18" i="117"/>
  <c r="M75" i="70"/>
  <c r="N75" i="70" s="1"/>
  <c r="D155" i="70" s="1"/>
  <c r="K129" i="70"/>
  <c r="K75" i="117"/>
  <c r="K129" i="117" s="1"/>
  <c r="K84" i="117"/>
  <c r="K138" i="117" s="1"/>
  <c r="K138" i="70"/>
  <c r="K134" i="70"/>
  <c r="K80" i="117"/>
  <c r="K134" i="117" s="1"/>
  <c r="D139" i="117"/>
  <c r="R24" i="70"/>
  <c r="S24" i="70" s="1"/>
  <c r="K74" i="117"/>
  <c r="K128" i="117" s="1"/>
  <c r="K128" i="70"/>
  <c r="M15" i="117"/>
  <c r="N15" i="117" s="1"/>
  <c r="R25" i="70"/>
  <c r="S25" i="70" s="1"/>
  <c r="D159" i="70"/>
  <c r="H80" i="117"/>
  <c r="I80" i="117" s="1"/>
  <c r="I134" i="117" s="1"/>
  <c r="H78" i="117"/>
  <c r="I78" i="117" s="1"/>
  <c r="I132" i="117" s="1"/>
  <c r="H126" i="70"/>
  <c r="M21" i="117"/>
  <c r="N21" i="117" s="1"/>
  <c r="J75" i="117"/>
  <c r="J129" i="117" s="1"/>
  <c r="J129" i="70"/>
  <c r="H79" i="117"/>
  <c r="I79" i="117" s="1"/>
  <c r="H132" i="117"/>
  <c r="H81" i="117"/>
  <c r="I81" i="117" s="1"/>
  <c r="I135" i="117" s="1"/>
  <c r="D24" i="69"/>
  <c r="F27" i="61"/>
  <c r="E85" i="117"/>
  <c r="E122" i="117"/>
  <c r="E139" i="117" s="1"/>
  <c r="M25" i="117"/>
  <c r="N25" i="117" s="1"/>
  <c r="I133" i="117"/>
  <c r="J130" i="70"/>
  <c r="J76" i="117"/>
  <c r="J130" i="117" s="1"/>
  <c r="J74" i="117"/>
  <c r="J128" i="117" s="1"/>
  <c r="J128" i="70"/>
  <c r="P82" i="70"/>
  <c r="F162" i="70" s="1"/>
  <c r="O82" i="70"/>
  <c r="R82" i="70" s="1"/>
  <c r="S82" i="70" s="1"/>
  <c r="I162" i="70" s="1"/>
  <c r="H122" i="70"/>
  <c r="F139" i="70"/>
  <c r="R17" i="70"/>
  <c r="S17" i="70" s="1"/>
  <c r="D151" i="70"/>
  <c r="K78" i="70"/>
  <c r="J78" i="70"/>
  <c r="H123" i="117"/>
  <c r="H136" i="117"/>
  <c r="H125" i="117"/>
  <c r="M26" i="117"/>
  <c r="N26" i="117" s="1"/>
  <c r="H129" i="117"/>
  <c r="M14" i="70"/>
  <c r="I31" i="70"/>
  <c r="I122" i="70"/>
  <c r="M24" i="117"/>
  <c r="N24" i="117" s="1"/>
  <c r="H77" i="117"/>
  <c r="I77" i="117" s="1"/>
  <c r="I14" i="117"/>
  <c r="H31" i="117"/>
  <c r="E139" i="70"/>
  <c r="H133" i="117"/>
  <c r="O73" i="70"/>
  <c r="P73" i="70"/>
  <c r="F153" i="70" s="1"/>
  <c r="K76" i="117"/>
  <c r="K130" i="117" s="1"/>
  <c r="K130" i="70"/>
  <c r="K69" i="117"/>
  <c r="K123" i="117" s="1"/>
  <c r="K123" i="70"/>
  <c r="R20" i="70"/>
  <c r="S20" i="70" s="1"/>
  <c r="R26" i="70"/>
  <c r="S26" i="70" s="1"/>
  <c r="D160" i="70"/>
  <c r="R21" i="70"/>
  <c r="S21" i="70" s="1"/>
  <c r="H68" i="117"/>
  <c r="M28" i="117"/>
  <c r="N28" i="117" s="1"/>
  <c r="M17" i="117"/>
  <c r="N17" i="117" s="1"/>
  <c r="I125" i="117"/>
  <c r="H72" i="117"/>
  <c r="I72" i="117" s="1"/>
  <c r="R15" i="70"/>
  <c r="S15" i="70" s="1"/>
  <c r="H134" i="117"/>
  <c r="H130" i="70"/>
  <c r="M23" i="117"/>
  <c r="N23" i="117" s="1"/>
  <c r="J70" i="70"/>
  <c r="K70" i="70"/>
  <c r="H137" i="117"/>
  <c r="I127" i="117"/>
  <c r="M19" i="117"/>
  <c r="N19" i="117" s="1"/>
  <c r="F86" i="70"/>
  <c r="M27" i="117"/>
  <c r="N27" i="117" s="1"/>
  <c r="R27" i="117" s="1"/>
  <c r="J73" i="117"/>
  <c r="J127" i="117" s="1"/>
  <c r="J127" i="70"/>
  <c r="J69" i="117"/>
  <c r="J123" i="117" s="1"/>
  <c r="J123" i="70"/>
  <c r="M123" i="70" s="1"/>
  <c r="M16" i="117"/>
  <c r="N16" i="117" s="1"/>
  <c r="I124" i="117"/>
  <c r="K79" i="117"/>
  <c r="K133" i="117" s="1"/>
  <c r="K133" i="70"/>
  <c r="M133" i="70" s="1"/>
  <c r="E41" i="55"/>
  <c r="E42" i="55" s="1"/>
  <c r="F13" i="55"/>
  <c r="E20" i="55"/>
  <c r="E14" i="55"/>
  <c r="F14" i="55" s="1"/>
  <c r="W29" i="70"/>
  <c r="D55" i="70" s="1"/>
  <c r="S29" i="117"/>
  <c r="P76" i="70"/>
  <c r="F156" i="70" s="1"/>
  <c r="O76" i="70"/>
  <c r="H130" i="117"/>
  <c r="D162" i="70"/>
  <c r="H69" i="117"/>
  <c r="I69" i="117" s="1"/>
  <c r="H131" i="117"/>
  <c r="H76" i="117"/>
  <c r="I76" i="117" s="1"/>
  <c r="M29" i="117"/>
  <c r="N29" i="117" s="1"/>
  <c r="H134" i="70"/>
  <c r="K83" i="70"/>
  <c r="J83" i="70"/>
  <c r="M83" i="70"/>
  <c r="N83" i="70" s="1"/>
  <c r="H127" i="117"/>
  <c r="K81" i="70"/>
  <c r="J81" i="70"/>
  <c r="M81" i="70" s="1"/>
  <c r="N81" i="70" s="1"/>
  <c r="J77" i="70"/>
  <c r="K77" i="70"/>
  <c r="M77" i="70"/>
  <c r="N77" i="70" s="1"/>
  <c r="H135" i="117"/>
  <c r="K73" i="117"/>
  <c r="K127" i="117" s="1"/>
  <c r="K127" i="70"/>
  <c r="M71" i="70"/>
  <c r="N71" i="70" s="1"/>
  <c r="M69" i="70"/>
  <c r="N69" i="70" s="1"/>
  <c r="D149" i="70" s="1"/>
  <c r="M127" i="70" l="1"/>
  <c r="M70" i="70"/>
  <c r="N70" i="70" s="1"/>
  <c r="R73" i="70"/>
  <c r="S73" i="70" s="1"/>
  <c r="I153" i="70" s="1"/>
  <c r="H122" i="117"/>
  <c r="M134" i="117"/>
  <c r="M80" i="117"/>
  <c r="N80" i="117" s="1"/>
  <c r="D154" i="70"/>
  <c r="M128" i="117"/>
  <c r="O74" i="70"/>
  <c r="R74" i="70" s="1"/>
  <c r="S74" i="70" s="1"/>
  <c r="I154" i="70" s="1"/>
  <c r="M125" i="117"/>
  <c r="H139" i="70"/>
  <c r="M128" i="70"/>
  <c r="M84" i="117"/>
  <c r="N84" i="117" s="1"/>
  <c r="R84" i="70"/>
  <c r="S84" i="70" s="1"/>
  <c r="T84" i="70" s="1"/>
  <c r="M129" i="70"/>
  <c r="M138" i="70"/>
  <c r="R79" i="70"/>
  <c r="S79" i="70" s="1"/>
  <c r="T79" i="70" s="1"/>
  <c r="T73" i="70"/>
  <c r="U73" i="70"/>
  <c r="W73" i="70"/>
  <c r="D100" i="70" s="1"/>
  <c r="O81" i="70"/>
  <c r="P81" i="70"/>
  <c r="F161" i="70" s="1"/>
  <c r="R81" i="70"/>
  <c r="S81" i="70" s="1"/>
  <c r="I161" i="70" s="1"/>
  <c r="D161" i="70"/>
  <c r="O70" i="70"/>
  <c r="P70" i="70"/>
  <c r="F150" i="70" s="1"/>
  <c r="D150" i="70"/>
  <c r="R15" i="117"/>
  <c r="M69" i="117"/>
  <c r="N69" i="117" s="1"/>
  <c r="S15" i="117"/>
  <c r="W15" i="70"/>
  <c r="D41" i="70" s="1"/>
  <c r="R26" i="117"/>
  <c r="N134" i="117"/>
  <c r="W17" i="70"/>
  <c r="D43" i="70" s="1"/>
  <c r="S17" i="117"/>
  <c r="R20" i="117"/>
  <c r="S19" i="117"/>
  <c r="W19" i="70"/>
  <c r="D45" i="70" s="1"/>
  <c r="M75" i="117"/>
  <c r="N75" i="117" s="1"/>
  <c r="K77" i="117"/>
  <c r="K131" i="117" s="1"/>
  <c r="K131" i="70"/>
  <c r="K137" i="70"/>
  <c r="K83" i="117"/>
  <c r="K137" i="117" s="1"/>
  <c r="W29" i="117"/>
  <c r="D55" i="117" s="1"/>
  <c r="J124" i="70"/>
  <c r="J70" i="117"/>
  <c r="I126" i="117"/>
  <c r="M126" i="117" s="1"/>
  <c r="M72" i="117"/>
  <c r="N72" i="117" s="1"/>
  <c r="M138" i="117"/>
  <c r="W30" i="70"/>
  <c r="D56" i="70" s="1"/>
  <c r="S30" i="117"/>
  <c r="D163" i="70"/>
  <c r="P83" i="70"/>
  <c r="F163" i="70" s="1"/>
  <c r="O83" i="70"/>
  <c r="I31" i="117"/>
  <c r="E23" i="69" s="1"/>
  <c r="M14" i="117"/>
  <c r="H54" i="70"/>
  <c r="I54" i="70" s="1"/>
  <c r="M54" i="70" s="1"/>
  <c r="N54" i="70" s="1"/>
  <c r="R54" i="70" s="1"/>
  <c r="S54" i="70" s="1"/>
  <c r="W54" i="70" s="1"/>
  <c r="P77" i="70"/>
  <c r="F157" i="70" s="1"/>
  <c r="O77" i="70"/>
  <c r="J77" i="117"/>
  <c r="J131" i="117" s="1"/>
  <c r="J131" i="70"/>
  <c r="S26" i="117"/>
  <c r="W26" i="70"/>
  <c r="D52" i="70" s="1"/>
  <c r="M130" i="70"/>
  <c r="W22" i="117"/>
  <c r="D48" i="117" s="1"/>
  <c r="W27" i="70"/>
  <c r="D53" i="70" s="1"/>
  <c r="S27" i="117"/>
  <c r="P69" i="70"/>
  <c r="F149" i="70" s="1"/>
  <c r="O69" i="70"/>
  <c r="R69" i="70" s="1"/>
  <c r="S69" i="70" s="1"/>
  <c r="M71" i="117"/>
  <c r="N71" i="117" s="1"/>
  <c r="R16" i="117"/>
  <c r="R23" i="117"/>
  <c r="R17" i="117"/>
  <c r="O73" i="117"/>
  <c r="O127" i="117" s="1"/>
  <c r="E153" i="70"/>
  <c r="H153" i="70" s="1"/>
  <c r="I139" i="70"/>
  <c r="M133" i="117"/>
  <c r="M79" i="117"/>
  <c r="N79" i="117" s="1"/>
  <c r="S24" i="117"/>
  <c r="W24" i="70"/>
  <c r="D50" i="70" s="1"/>
  <c r="M73" i="117"/>
  <c r="N73" i="117" s="1"/>
  <c r="M136" i="70"/>
  <c r="D157" i="70"/>
  <c r="H48" i="70"/>
  <c r="I48" i="70" s="1"/>
  <c r="M48" i="70" s="1"/>
  <c r="N48" i="70" s="1"/>
  <c r="R48" i="70" s="1"/>
  <c r="S48" i="70" s="1"/>
  <c r="W48" i="70" s="1"/>
  <c r="R72" i="70"/>
  <c r="S72" i="70" s="1"/>
  <c r="I152" i="70" s="1"/>
  <c r="E152" i="70"/>
  <c r="H152" i="70" s="1"/>
  <c r="O72" i="117"/>
  <c r="O126" i="117" s="1"/>
  <c r="E164" i="70"/>
  <c r="H164" i="70" s="1"/>
  <c r="O84" i="117"/>
  <c r="O138" i="117" s="1"/>
  <c r="J78" i="117"/>
  <c r="J132" i="117" s="1"/>
  <c r="J132" i="70"/>
  <c r="R25" i="117"/>
  <c r="H139" i="117"/>
  <c r="P75" i="70"/>
  <c r="F155" i="70" s="1"/>
  <c r="O75" i="70"/>
  <c r="R75" i="70"/>
  <c r="S75" i="70" s="1"/>
  <c r="M82" i="117"/>
  <c r="N82" i="117" s="1"/>
  <c r="W23" i="70"/>
  <c r="D49" i="70" s="1"/>
  <c r="S23" i="117"/>
  <c r="W23" i="117" s="1"/>
  <c r="D49" i="117" s="1"/>
  <c r="E160" i="70"/>
  <c r="H160" i="70" s="1"/>
  <c r="O80" i="117"/>
  <c r="O134" i="117" s="1"/>
  <c r="I85" i="70"/>
  <c r="K68" i="70"/>
  <c r="J68" i="70"/>
  <c r="M68" i="70" s="1"/>
  <c r="E159" i="70"/>
  <c r="H159" i="70" s="1"/>
  <c r="O79" i="117"/>
  <c r="O133" i="117" s="1"/>
  <c r="R21" i="117"/>
  <c r="N129" i="117"/>
  <c r="K124" i="70"/>
  <c r="K70" i="117"/>
  <c r="K124" i="117" s="1"/>
  <c r="H55" i="70"/>
  <c r="I55" i="70" s="1"/>
  <c r="M55" i="70" s="1"/>
  <c r="N55" i="70" s="1"/>
  <c r="R55" i="70" s="1"/>
  <c r="S55" i="70" s="1"/>
  <c r="W55" i="70" s="1"/>
  <c r="R24" i="117"/>
  <c r="M136" i="117"/>
  <c r="S18" i="117"/>
  <c r="W18" i="70"/>
  <c r="D44" i="70" s="1"/>
  <c r="J135" i="70"/>
  <c r="J81" i="117"/>
  <c r="J135" i="117" s="1"/>
  <c r="I131" i="117"/>
  <c r="M76" i="117"/>
  <c r="N76" i="117" s="1"/>
  <c r="N130" i="117" s="1"/>
  <c r="R76" i="70"/>
  <c r="S76" i="70" s="1"/>
  <c r="F20" i="55"/>
  <c r="E21" i="55"/>
  <c r="R19" i="117"/>
  <c r="R28" i="117"/>
  <c r="M31" i="70"/>
  <c r="N14" i="70"/>
  <c r="K132" i="70"/>
  <c r="K78" i="117"/>
  <c r="K132" i="117" s="1"/>
  <c r="O82" i="117"/>
  <c r="O136" i="117" s="1"/>
  <c r="E162" i="70"/>
  <c r="H162" i="70" s="1"/>
  <c r="W25" i="70"/>
  <c r="D51" i="70" s="1"/>
  <c r="S25" i="117"/>
  <c r="R22" i="117"/>
  <c r="W16" i="70"/>
  <c r="D42" i="70" s="1"/>
  <c r="S16" i="117"/>
  <c r="J137" i="70"/>
  <c r="M137" i="70" s="1"/>
  <c r="J83" i="117"/>
  <c r="J137" i="117" s="1"/>
  <c r="M137" i="117" s="1"/>
  <c r="W21" i="70"/>
  <c r="D47" i="70" s="1"/>
  <c r="S21" i="117"/>
  <c r="R30" i="117"/>
  <c r="N138" i="117"/>
  <c r="P71" i="70"/>
  <c r="F151" i="70" s="1"/>
  <c r="O71" i="70"/>
  <c r="R71" i="70" s="1"/>
  <c r="S71" i="70" s="1"/>
  <c r="I151" i="70" s="1"/>
  <c r="R29" i="117"/>
  <c r="M74" i="117"/>
  <c r="N74" i="117" s="1"/>
  <c r="S20" i="117"/>
  <c r="W20" i="70"/>
  <c r="D46" i="70" s="1"/>
  <c r="T82" i="70"/>
  <c r="U82" i="70"/>
  <c r="K81" i="117"/>
  <c r="K135" i="117" s="1"/>
  <c r="M135" i="117" s="1"/>
  <c r="K135" i="70"/>
  <c r="E156" i="70"/>
  <c r="H156" i="70" s="1"/>
  <c r="O76" i="117"/>
  <c r="O130" i="117" s="1"/>
  <c r="M127" i="117"/>
  <c r="I68" i="117"/>
  <c r="I122" i="117" s="1"/>
  <c r="H85" i="117"/>
  <c r="M78" i="70"/>
  <c r="N78" i="70" s="1"/>
  <c r="G15" i="58"/>
  <c r="E18" i="54"/>
  <c r="I129" i="117"/>
  <c r="M129" i="117" s="1"/>
  <c r="I123" i="117"/>
  <c r="M123" i="117" s="1"/>
  <c r="I130" i="117"/>
  <c r="M130" i="117" s="1"/>
  <c r="M134" i="70"/>
  <c r="M125" i="70"/>
  <c r="R80" i="70"/>
  <c r="S80" i="70" s="1"/>
  <c r="W28" i="117"/>
  <c r="D54" i="117" s="1"/>
  <c r="R73" i="117" l="1"/>
  <c r="S73" i="117" s="1"/>
  <c r="R70" i="70"/>
  <c r="S70" i="70" s="1"/>
  <c r="I150" i="70" s="1"/>
  <c r="I164" i="70"/>
  <c r="R79" i="117"/>
  <c r="S79" i="117" s="1"/>
  <c r="R83" i="70"/>
  <c r="S83" i="70" s="1"/>
  <c r="T83" i="70" s="1"/>
  <c r="O74" i="117"/>
  <c r="O128" i="117" s="1"/>
  <c r="E154" i="70"/>
  <c r="H154" i="70" s="1"/>
  <c r="U79" i="70"/>
  <c r="W79" i="70" s="1"/>
  <c r="D106" i="70" s="1"/>
  <c r="F106" i="70" s="1"/>
  <c r="M78" i="117"/>
  <c r="N78" i="117" s="1"/>
  <c r="N132" i="117" s="1"/>
  <c r="I159" i="70"/>
  <c r="U84" i="70"/>
  <c r="W84" i="70" s="1"/>
  <c r="D111" i="70" s="1"/>
  <c r="N164" i="70" s="1"/>
  <c r="M132" i="117"/>
  <c r="N127" i="117"/>
  <c r="R80" i="117"/>
  <c r="S80" i="117" s="1"/>
  <c r="I139" i="117"/>
  <c r="U69" i="70"/>
  <c r="T69" i="70"/>
  <c r="I149" i="70"/>
  <c r="I163" i="70"/>
  <c r="R82" i="117"/>
  <c r="S82" i="117" s="1"/>
  <c r="R72" i="117"/>
  <c r="S72" i="117" s="1"/>
  <c r="S126" i="117" s="1"/>
  <c r="N126" i="117"/>
  <c r="R126" i="117" s="1"/>
  <c r="F100" i="70"/>
  <c r="E100" i="70"/>
  <c r="H100" i="70" s="1"/>
  <c r="I100" i="70" s="1"/>
  <c r="H44" i="70"/>
  <c r="I44" i="70" s="1"/>
  <c r="M44" i="70" s="1"/>
  <c r="N44" i="70" s="1"/>
  <c r="R44" i="70" s="1"/>
  <c r="S44" i="70" s="1"/>
  <c r="W44" i="70" s="1"/>
  <c r="U75" i="70"/>
  <c r="T75" i="70"/>
  <c r="W26" i="117"/>
  <c r="D52" i="117" s="1"/>
  <c r="S134" i="117"/>
  <c r="M31" i="117"/>
  <c r="N14" i="117"/>
  <c r="W17" i="117"/>
  <c r="D43" i="117" s="1"/>
  <c r="K153" i="70"/>
  <c r="U73" i="117"/>
  <c r="U127" i="117" s="1"/>
  <c r="H54" i="117"/>
  <c r="I54" i="117" s="1"/>
  <c r="M54" i="117" s="1"/>
  <c r="N54" i="117" s="1"/>
  <c r="R54" i="117" s="1"/>
  <c r="S54" i="117" s="1"/>
  <c r="W54" i="117" s="1"/>
  <c r="F15" i="58"/>
  <c r="I155" i="70"/>
  <c r="W18" i="117"/>
  <c r="D44" i="117" s="1"/>
  <c r="M83" i="117"/>
  <c r="N83" i="117" s="1"/>
  <c r="E155" i="70"/>
  <c r="H155" i="70" s="1"/>
  <c r="O75" i="117"/>
  <c r="O129" i="117" s="1"/>
  <c r="R129" i="117" s="1"/>
  <c r="W27" i="117"/>
  <c r="D53" i="117" s="1"/>
  <c r="T74" i="70"/>
  <c r="U74" i="70"/>
  <c r="W74" i="70"/>
  <c r="D101" i="70" s="1"/>
  <c r="N154" i="70" s="1"/>
  <c r="J124" i="117"/>
  <c r="M124" i="117" s="1"/>
  <c r="M70" i="117"/>
  <c r="N70" i="117" s="1"/>
  <c r="H43" i="70"/>
  <c r="I43" i="70" s="1"/>
  <c r="M43" i="70" s="1"/>
  <c r="N43" i="70" s="1"/>
  <c r="R43" i="70" s="1"/>
  <c r="S43" i="70" s="1"/>
  <c r="W43" i="70" s="1"/>
  <c r="N123" i="117"/>
  <c r="J159" i="70"/>
  <c r="T79" i="117"/>
  <c r="T133" i="117" s="1"/>
  <c r="J153" i="70"/>
  <c r="M153" i="70" s="1"/>
  <c r="T73" i="117"/>
  <c r="T127" i="117" s="1"/>
  <c r="M85" i="70"/>
  <c r="N68" i="70"/>
  <c r="F18" i="54"/>
  <c r="E19" i="54"/>
  <c r="K68" i="117"/>
  <c r="K85" i="70"/>
  <c r="K122" i="70"/>
  <c r="K139" i="70" s="1"/>
  <c r="T80" i="70"/>
  <c r="U80" i="70"/>
  <c r="W21" i="117"/>
  <c r="D47" i="117" s="1"/>
  <c r="M124" i="70"/>
  <c r="O71" i="117"/>
  <c r="O125" i="117" s="1"/>
  <c r="E151" i="70"/>
  <c r="H151" i="70" s="1"/>
  <c r="H47" i="70"/>
  <c r="I47" i="70" s="1"/>
  <c r="M47" i="70" s="1"/>
  <c r="N47" i="70" s="1"/>
  <c r="R47" i="70" s="1"/>
  <c r="S47" i="70" s="1"/>
  <c r="W47" i="70" s="1"/>
  <c r="R76" i="117"/>
  <c r="S76" i="117" s="1"/>
  <c r="H56" i="70"/>
  <c r="I56" i="70" s="1"/>
  <c r="M56" i="70" s="1"/>
  <c r="N56" i="70" s="1"/>
  <c r="R56" i="70" s="1"/>
  <c r="S56" i="70" s="1"/>
  <c r="W56" i="70" s="1"/>
  <c r="H45" i="70"/>
  <c r="I45" i="70" s="1"/>
  <c r="M45" i="70" s="1"/>
  <c r="N45" i="70" s="1"/>
  <c r="R45" i="70" s="1"/>
  <c r="S45" i="70" s="1"/>
  <c r="W45" i="70" s="1"/>
  <c r="N153" i="70"/>
  <c r="T84" i="117"/>
  <c r="T138" i="117" s="1"/>
  <c r="J164" i="70"/>
  <c r="H52" i="70"/>
  <c r="I52" i="70" s="1"/>
  <c r="M52" i="70" s="1"/>
  <c r="N52" i="70" s="1"/>
  <c r="R52" i="70" s="1"/>
  <c r="S52" i="70" s="1"/>
  <c r="W52" i="70" s="1"/>
  <c r="W15" i="117"/>
  <c r="D41" i="117" s="1"/>
  <c r="H41" i="117" s="1"/>
  <c r="I41" i="117" s="1"/>
  <c r="M41" i="117" s="1"/>
  <c r="N41" i="117" s="1"/>
  <c r="R41" i="117" s="1"/>
  <c r="S41" i="117" s="1"/>
  <c r="W41" i="117" s="1"/>
  <c r="H42" i="70"/>
  <c r="I42" i="70" s="1"/>
  <c r="M42" i="70" s="1"/>
  <c r="N42" i="70" s="1"/>
  <c r="R42" i="70" s="1"/>
  <c r="S42" i="70" s="1"/>
  <c r="W42" i="70" s="1"/>
  <c r="T71" i="70"/>
  <c r="U71" i="70"/>
  <c r="U76" i="70"/>
  <c r="T76" i="70"/>
  <c r="I156" i="70"/>
  <c r="R84" i="117"/>
  <c r="S84" i="117" s="1"/>
  <c r="M131" i="70"/>
  <c r="I85" i="117"/>
  <c r="W25" i="117"/>
  <c r="D51" i="117" s="1"/>
  <c r="S133" i="117"/>
  <c r="M131" i="117"/>
  <c r="N133" i="117"/>
  <c r="R133" i="117" s="1"/>
  <c r="H48" i="117"/>
  <c r="I48" i="117" s="1"/>
  <c r="M48" i="117" s="1"/>
  <c r="N48" i="117" s="1"/>
  <c r="R48" i="117" s="1"/>
  <c r="S48" i="117" s="1"/>
  <c r="W48" i="117" s="1"/>
  <c r="R77" i="70"/>
  <c r="S77" i="70" s="1"/>
  <c r="O77" i="117"/>
  <c r="O131" i="117" s="1"/>
  <c r="E157" i="70"/>
  <c r="H157" i="70" s="1"/>
  <c r="E163" i="70"/>
  <c r="H163" i="70" s="1"/>
  <c r="O83" i="117"/>
  <c r="O137" i="117" s="1"/>
  <c r="H55" i="117"/>
  <c r="I55" i="117" s="1"/>
  <c r="M55" i="117" s="1"/>
  <c r="N55" i="117" s="1"/>
  <c r="R55" i="117" s="1"/>
  <c r="S55" i="117" s="1"/>
  <c r="W55" i="117" s="1"/>
  <c r="W19" i="117"/>
  <c r="D45" i="117" s="1"/>
  <c r="S127" i="117"/>
  <c r="M77" i="117"/>
  <c r="N77" i="117" s="1"/>
  <c r="U70" i="70"/>
  <c r="T70" i="70"/>
  <c r="W70" i="70" s="1"/>
  <c r="D97" i="70" s="1"/>
  <c r="U81" i="70"/>
  <c r="T81" i="70"/>
  <c r="W81" i="70" s="1"/>
  <c r="D108" i="70" s="1"/>
  <c r="N161" i="70" s="1"/>
  <c r="W16" i="117"/>
  <c r="D42" i="117" s="1"/>
  <c r="F21" i="55"/>
  <c r="G24" i="58"/>
  <c r="P78" i="70"/>
  <c r="F158" i="70" s="1"/>
  <c r="O78" i="70"/>
  <c r="R78" i="70" s="1"/>
  <c r="S78" i="70" s="1"/>
  <c r="D158" i="70"/>
  <c r="E24" i="69"/>
  <c r="H27" i="61"/>
  <c r="N136" i="117"/>
  <c r="R136" i="117" s="1"/>
  <c r="H46" i="70"/>
  <c r="I46" i="70" s="1"/>
  <c r="M46" i="70" s="1"/>
  <c r="N46" i="70" s="1"/>
  <c r="R46" i="70" s="1"/>
  <c r="S46" i="70" s="1"/>
  <c r="W46" i="70" s="1"/>
  <c r="R138" i="117"/>
  <c r="H51" i="70"/>
  <c r="I51" i="70" s="1"/>
  <c r="M51" i="70" s="1"/>
  <c r="N51" i="70" s="1"/>
  <c r="R51" i="70" s="1"/>
  <c r="S51" i="70" s="1"/>
  <c r="W51" i="70" s="1"/>
  <c r="H49" i="117"/>
  <c r="I49" i="117" s="1"/>
  <c r="M49" i="117" s="1"/>
  <c r="N49" i="117" s="1"/>
  <c r="R49" i="117" s="1"/>
  <c r="S49" i="117" s="1"/>
  <c r="W49" i="117" s="1"/>
  <c r="U72" i="70"/>
  <c r="T72" i="70"/>
  <c r="W72" i="70"/>
  <c r="D99" i="70" s="1"/>
  <c r="H50" i="70"/>
  <c r="I50" i="70" s="1"/>
  <c r="M50" i="70" s="1"/>
  <c r="N50" i="70" s="1"/>
  <c r="R50" i="70" s="1"/>
  <c r="S50" i="70" s="1"/>
  <c r="W50" i="70" s="1"/>
  <c r="R127" i="117"/>
  <c r="M81" i="117"/>
  <c r="N81" i="117" s="1"/>
  <c r="N128" i="117"/>
  <c r="R128" i="117" s="1"/>
  <c r="U82" i="117"/>
  <c r="U136" i="117" s="1"/>
  <c r="K162" i="70"/>
  <c r="N31" i="70"/>
  <c r="D148" i="70"/>
  <c r="R14" i="70"/>
  <c r="H53" i="70"/>
  <c r="I53" i="70" s="1"/>
  <c r="M53" i="70" s="1"/>
  <c r="N53" i="70" s="1"/>
  <c r="R53" i="70" s="1"/>
  <c r="S53" i="70" s="1"/>
  <c r="W53" i="70" s="1"/>
  <c r="W30" i="117"/>
  <c r="D56" i="117" s="1"/>
  <c r="S138" i="117"/>
  <c r="R134" i="117"/>
  <c r="W82" i="70"/>
  <c r="D109" i="70" s="1"/>
  <c r="J162" i="70"/>
  <c r="T82" i="117"/>
  <c r="T136" i="117" s="1"/>
  <c r="R130" i="117"/>
  <c r="W20" i="117"/>
  <c r="D46" i="117" s="1"/>
  <c r="M135" i="70"/>
  <c r="J85" i="70"/>
  <c r="J68" i="117"/>
  <c r="M68" i="117" s="1"/>
  <c r="J122" i="70"/>
  <c r="H49" i="70"/>
  <c r="I49" i="70" s="1"/>
  <c r="M49" i="70" s="1"/>
  <c r="N49" i="70" s="1"/>
  <c r="R49" i="70" s="1"/>
  <c r="S49" i="70" s="1"/>
  <c r="W49" i="70" s="1"/>
  <c r="M132" i="70"/>
  <c r="W24" i="117"/>
  <c r="D50" i="117" s="1"/>
  <c r="N125" i="117"/>
  <c r="E149" i="70"/>
  <c r="H149" i="70" s="1"/>
  <c r="O69" i="117"/>
  <c r="O123" i="117" s="1"/>
  <c r="I160" i="70"/>
  <c r="H41" i="70"/>
  <c r="I41" i="70" s="1"/>
  <c r="M41" i="70" s="1"/>
  <c r="N41" i="70" s="1"/>
  <c r="R41" i="70" s="1"/>
  <c r="S41" i="70" s="1"/>
  <c r="W41" i="70" s="1"/>
  <c r="O70" i="117"/>
  <c r="O124" i="117" s="1"/>
  <c r="E150" i="70"/>
  <c r="H150" i="70" s="1"/>
  <c r="O81" i="117"/>
  <c r="O135" i="117" s="1"/>
  <c r="E161" i="70"/>
  <c r="H161" i="70" s="1"/>
  <c r="K159" i="70" l="1"/>
  <c r="U79" i="117"/>
  <c r="W76" i="70"/>
  <c r="D103" i="70" s="1"/>
  <c r="E103" i="70" s="1"/>
  <c r="H103" i="70" s="1"/>
  <c r="I103" i="70" s="1"/>
  <c r="U83" i="70"/>
  <c r="N159" i="70"/>
  <c r="W80" i="70"/>
  <c r="D107" i="70" s="1"/>
  <c r="N160" i="70" s="1"/>
  <c r="W69" i="70"/>
  <c r="D96" i="70" s="1"/>
  <c r="E96" i="70" s="1"/>
  <c r="U84" i="117"/>
  <c r="U138" i="117" s="1"/>
  <c r="W127" i="117"/>
  <c r="K164" i="70"/>
  <c r="M164" i="70" s="1"/>
  <c r="E106" i="70"/>
  <c r="H106" i="70" s="1"/>
  <c r="I106" i="70" s="1"/>
  <c r="M162" i="70"/>
  <c r="R69" i="117"/>
  <c r="S69" i="117" s="1"/>
  <c r="R74" i="117"/>
  <c r="S74" i="117" s="1"/>
  <c r="S128" i="117" s="1"/>
  <c r="F103" i="70"/>
  <c r="K100" i="70"/>
  <c r="K100" i="117" s="1"/>
  <c r="J100" i="70"/>
  <c r="J100" i="117" s="1"/>
  <c r="U78" i="70"/>
  <c r="T78" i="70"/>
  <c r="W78" i="70"/>
  <c r="D105" i="70" s="1"/>
  <c r="I158" i="70"/>
  <c r="H56" i="117"/>
  <c r="I56" i="117" s="1"/>
  <c r="M56" i="117" s="1"/>
  <c r="N56" i="117" s="1"/>
  <c r="R56" i="117" s="1"/>
  <c r="S56" i="117" s="1"/>
  <c r="W56" i="117" s="1"/>
  <c r="R77" i="117"/>
  <c r="S77" i="117" s="1"/>
  <c r="N131" i="117"/>
  <c r="R131" i="117" s="1"/>
  <c r="H46" i="117"/>
  <c r="I46" i="117" s="1"/>
  <c r="M46" i="117" s="1"/>
  <c r="N46" i="117" s="1"/>
  <c r="R46" i="117" s="1"/>
  <c r="S46" i="117" s="1"/>
  <c r="W46" i="117" s="1"/>
  <c r="J163" i="70"/>
  <c r="T83" i="117"/>
  <c r="T137" i="117" s="1"/>
  <c r="H43" i="117"/>
  <c r="I43" i="117" s="1"/>
  <c r="M43" i="117" s="1"/>
  <c r="N43" i="117" s="1"/>
  <c r="R43" i="117" s="1"/>
  <c r="S43" i="117" s="1"/>
  <c r="W43" i="117" s="1"/>
  <c r="J139" i="70"/>
  <c r="M122" i="70"/>
  <c r="M139" i="70" s="1"/>
  <c r="R31" i="70"/>
  <c r="S14" i="70"/>
  <c r="K152" i="70"/>
  <c r="U72" i="117"/>
  <c r="U126" i="117" s="1"/>
  <c r="F24" i="58"/>
  <c r="H24" i="58" s="1"/>
  <c r="J161" i="70"/>
  <c r="T81" i="117"/>
  <c r="T135" i="117" s="1"/>
  <c r="R83" i="117"/>
  <c r="S83" i="117" s="1"/>
  <c r="N137" i="117"/>
  <c r="R137" i="117" s="1"/>
  <c r="H15" i="58"/>
  <c r="R14" i="117"/>
  <c r="R31" i="117" s="1"/>
  <c r="N31" i="117"/>
  <c r="O159" i="70"/>
  <c r="E106" i="117"/>
  <c r="E159" i="117" s="1"/>
  <c r="E158" i="70"/>
  <c r="H158" i="70" s="1"/>
  <c r="O78" i="117"/>
  <c r="J152" i="70"/>
  <c r="T72" i="117"/>
  <c r="T126" i="117" s="1"/>
  <c r="W126" i="117" s="1"/>
  <c r="H45" i="117"/>
  <c r="I45" i="117" s="1"/>
  <c r="M45" i="117" s="1"/>
  <c r="N45" i="117" s="1"/>
  <c r="R45" i="117" s="1"/>
  <c r="S45" i="117" s="1"/>
  <c r="W45" i="117" s="1"/>
  <c r="U76" i="117"/>
  <c r="U130" i="117" s="1"/>
  <c r="K156" i="70"/>
  <c r="R70" i="117"/>
  <c r="S70" i="117" s="1"/>
  <c r="N124" i="117"/>
  <c r="R124" i="117" s="1"/>
  <c r="K161" i="70"/>
  <c r="U81" i="117"/>
  <c r="U135" i="117" s="1"/>
  <c r="R71" i="117"/>
  <c r="S71" i="117" s="1"/>
  <c r="U71" i="117"/>
  <c r="U125" i="117" s="1"/>
  <c r="K151" i="70"/>
  <c r="E100" i="117"/>
  <c r="E153" i="117" s="1"/>
  <c r="O153" i="70"/>
  <c r="R125" i="117"/>
  <c r="F97" i="70"/>
  <c r="E97" i="70"/>
  <c r="J151" i="70"/>
  <c r="T71" i="117"/>
  <c r="T125" i="117" s="1"/>
  <c r="H15" i="54"/>
  <c r="E21" i="54"/>
  <c r="F19" i="54"/>
  <c r="M159" i="70"/>
  <c r="K154" i="70"/>
  <c r="U74" i="117"/>
  <c r="U128" i="117" s="1"/>
  <c r="H44" i="117"/>
  <c r="I44" i="117" s="1"/>
  <c r="M44" i="117" s="1"/>
  <c r="N44" i="117" s="1"/>
  <c r="R44" i="117" s="1"/>
  <c r="S44" i="117" s="1"/>
  <c r="W44" i="117" s="1"/>
  <c r="F100" i="117"/>
  <c r="F153" i="117" s="1"/>
  <c r="P153" i="70"/>
  <c r="U69" i="117"/>
  <c r="U123" i="117" s="1"/>
  <c r="K149" i="70"/>
  <c r="H42" i="117"/>
  <c r="I42" i="117" s="1"/>
  <c r="M42" i="117" s="1"/>
  <c r="N42" i="117" s="1"/>
  <c r="R42" i="117" s="1"/>
  <c r="S42" i="117" s="1"/>
  <c r="W42" i="117" s="1"/>
  <c r="F107" i="70"/>
  <c r="H53" i="117"/>
  <c r="I53" i="117" s="1"/>
  <c r="M53" i="117" s="1"/>
  <c r="N53" i="117" s="1"/>
  <c r="R53" i="117" s="1"/>
  <c r="S53" i="117" s="1"/>
  <c r="W53" i="117" s="1"/>
  <c r="W75" i="70"/>
  <c r="D102" i="70" s="1"/>
  <c r="U75" i="117"/>
  <c r="U129" i="117" s="1"/>
  <c r="K155" i="70"/>
  <c r="E99" i="70"/>
  <c r="F99" i="70"/>
  <c r="J156" i="70"/>
  <c r="M156" i="70" s="1"/>
  <c r="T76" i="117"/>
  <c r="T130" i="117" s="1"/>
  <c r="T80" i="117"/>
  <c r="J160" i="70"/>
  <c r="W82" i="117"/>
  <c r="D109" i="117" s="1"/>
  <c r="S136" i="117"/>
  <c r="W136" i="117" s="1"/>
  <c r="J85" i="117"/>
  <c r="K15" i="58" s="1"/>
  <c r="J122" i="117"/>
  <c r="F101" i="70"/>
  <c r="E101" i="70"/>
  <c r="H101" i="70"/>
  <c r="I101" i="70" s="1"/>
  <c r="J149" i="70"/>
  <c r="T69" i="117"/>
  <c r="T123" i="117" s="1"/>
  <c r="F109" i="70"/>
  <c r="E109" i="70"/>
  <c r="N162" i="70"/>
  <c r="N135" i="117"/>
  <c r="R135" i="117" s="1"/>
  <c r="R81" i="117"/>
  <c r="S81" i="117" s="1"/>
  <c r="J150" i="70"/>
  <c r="T70" i="117"/>
  <c r="T124" i="117" s="1"/>
  <c r="W71" i="70"/>
  <c r="D98" i="70" s="1"/>
  <c r="S130" i="117"/>
  <c r="H47" i="117"/>
  <c r="I47" i="117" s="1"/>
  <c r="M47" i="117" s="1"/>
  <c r="N47" i="117" s="1"/>
  <c r="R47" i="117" s="1"/>
  <c r="S47" i="117" s="1"/>
  <c r="W47" i="117" s="1"/>
  <c r="R123" i="117"/>
  <c r="J154" i="70"/>
  <c r="M154" i="70" s="1"/>
  <c r="T74" i="117"/>
  <c r="H52" i="117"/>
  <c r="I52" i="117" s="1"/>
  <c r="M52" i="117" s="1"/>
  <c r="N52" i="117" s="1"/>
  <c r="R52" i="117" s="1"/>
  <c r="S52" i="117" s="1"/>
  <c r="W52" i="117" s="1"/>
  <c r="U83" i="117"/>
  <c r="U137" i="117" s="1"/>
  <c r="K163" i="70"/>
  <c r="U77" i="70"/>
  <c r="T77" i="70"/>
  <c r="W77" i="70" s="1"/>
  <c r="D104" i="70" s="1"/>
  <c r="I157" i="70"/>
  <c r="H51" i="117"/>
  <c r="I51" i="117" s="1"/>
  <c r="M51" i="117" s="1"/>
  <c r="N51" i="117" s="1"/>
  <c r="R51" i="117" s="1"/>
  <c r="S51" i="117" s="1"/>
  <c r="W51" i="117" s="1"/>
  <c r="S123" i="117"/>
  <c r="R75" i="117"/>
  <c r="S75" i="117" s="1"/>
  <c r="N152" i="70"/>
  <c r="E108" i="70"/>
  <c r="F108" i="70"/>
  <c r="H108" i="70"/>
  <c r="I108" i="70" s="1"/>
  <c r="N68" i="117"/>
  <c r="N122" i="117" s="1"/>
  <c r="M85" i="117"/>
  <c r="D165" i="70"/>
  <c r="W73" i="117"/>
  <c r="D100" i="117" s="1"/>
  <c r="K122" i="117"/>
  <c r="K139" i="117" s="1"/>
  <c r="K85" i="117"/>
  <c r="F106" i="117"/>
  <c r="F159" i="117" s="1"/>
  <c r="P159" i="70"/>
  <c r="H50" i="117"/>
  <c r="I50" i="117" s="1"/>
  <c r="M50" i="117" s="1"/>
  <c r="N50" i="117" s="1"/>
  <c r="R50" i="117" s="1"/>
  <c r="S50" i="117" s="1"/>
  <c r="W50" i="117" s="1"/>
  <c r="W138" i="117"/>
  <c r="U70" i="117"/>
  <c r="U124" i="117" s="1"/>
  <c r="K150" i="70"/>
  <c r="W84" i="117"/>
  <c r="D111" i="117" s="1"/>
  <c r="N150" i="70"/>
  <c r="E111" i="70"/>
  <c r="F111" i="70"/>
  <c r="H111" i="70" s="1"/>
  <c r="I111" i="70" s="1"/>
  <c r="U80" i="117"/>
  <c r="U134" i="117" s="1"/>
  <c r="K160" i="70"/>
  <c r="P68" i="70"/>
  <c r="N85" i="70"/>
  <c r="O68" i="70"/>
  <c r="T75" i="117"/>
  <c r="T129" i="117" s="1"/>
  <c r="J155" i="70"/>
  <c r="W83" i="70"/>
  <c r="D110" i="70" s="1"/>
  <c r="E107" i="70" l="1"/>
  <c r="N149" i="70"/>
  <c r="W72" i="117"/>
  <c r="D99" i="117" s="1"/>
  <c r="D152" i="117" s="1"/>
  <c r="F96" i="70"/>
  <c r="H96" i="70" s="1"/>
  <c r="I96" i="70" s="1"/>
  <c r="N156" i="70"/>
  <c r="U133" i="117"/>
  <c r="W133" i="117" s="1"/>
  <c r="W79" i="117"/>
  <c r="D106" i="117" s="1"/>
  <c r="D159" i="117" s="1"/>
  <c r="H159" i="117" s="1"/>
  <c r="I159" i="117" s="1"/>
  <c r="M159" i="117" s="1"/>
  <c r="N159" i="117" s="1"/>
  <c r="R159" i="117" s="1"/>
  <c r="S159" i="117" s="1"/>
  <c r="W159" i="117" s="1"/>
  <c r="M152" i="70"/>
  <c r="M149" i="70"/>
  <c r="M100" i="70"/>
  <c r="N100" i="70" s="1"/>
  <c r="M160" i="70"/>
  <c r="W76" i="117"/>
  <c r="D103" i="117" s="1"/>
  <c r="M155" i="70"/>
  <c r="J111" i="70"/>
  <c r="J111" i="117" s="1"/>
  <c r="K111" i="70"/>
  <c r="K111" i="117" s="1"/>
  <c r="E104" i="70"/>
  <c r="H104" i="70" s="1"/>
  <c r="I104" i="70" s="1"/>
  <c r="F104" i="70"/>
  <c r="N157" i="70"/>
  <c r="E107" i="117"/>
  <c r="E160" i="117" s="1"/>
  <c r="O160" i="70"/>
  <c r="G23" i="69"/>
  <c r="G24" i="69" s="1"/>
  <c r="F23" i="69"/>
  <c r="R153" i="70"/>
  <c r="S153" i="70" s="1"/>
  <c r="W153" i="70" s="1"/>
  <c r="X153" i="70" s="1"/>
  <c r="AB153" i="70" s="1"/>
  <c r="AC153" i="70" s="1"/>
  <c r="AG153" i="70" s="1"/>
  <c r="E105" i="70"/>
  <c r="H105" i="70" s="1"/>
  <c r="I105" i="70" s="1"/>
  <c r="F105" i="70"/>
  <c r="N158" i="70"/>
  <c r="P149" i="70"/>
  <c r="F96" i="117"/>
  <c r="F149" i="117" s="1"/>
  <c r="P161" i="70"/>
  <c r="F108" i="117"/>
  <c r="F161" i="117" s="1"/>
  <c r="M150" i="70"/>
  <c r="O132" i="117"/>
  <c r="R132" i="117" s="1"/>
  <c r="R78" i="117"/>
  <c r="S78" i="117" s="1"/>
  <c r="J158" i="70"/>
  <c r="T78" i="117"/>
  <c r="T132" i="117" s="1"/>
  <c r="E96" i="117"/>
  <c r="E149" i="117" s="1"/>
  <c r="O149" i="70"/>
  <c r="R149" i="70" s="1"/>
  <c r="S149" i="70" s="1"/>
  <c r="W149" i="70" s="1"/>
  <c r="X149" i="70" s="1"/>
  <c r="AB149" i="70" s="1"/>
  <c r="AC149" i="70" s="1"/>
  <c r="AG149" i="70" s="1"/>
  <c r="O68" i="117"/>
  <c r="O85" i="70"/>
  <c r="E148" i="70"/>
  <c r="E109" i="117"/>
  <c r="E162" i="117" s="1"/>
  <c r="O162" i="70"/>
  <c r="F109" i="117"/>
  <c r="F162" i="117" s="1"/>
  <c r="P162" i="70"/>
  <c r="R162" i="70" s="1"/>
  <c r="S162" i="70" s="1"/>
  <c r="W162" i="70" s="1"/>
  <c r="X162" i="70" s="1"/>
  <c r="AB162" i="70" s="1"/>
  <c r="AC162" i="70" s="1"/>
  <c r="AG162" i="70" s="1"/>
  <c r="H16" i="54"/>
  <c r="I16" i="54" s="1"/>
  <c r="I15" i="54"/>
  <c r="T77" i="117"/>
  <c r="T131" i="117" s="1"/>
  <c r="J157" i="70"/>
  <c r="W81" i="117"/>
  <c r="D108" i="117" s="1"/>
  <c r="S135" i="117"/>
  <c r="W135" i="117" s="1"/>
  <c r="J101" i="70"/>
  <c r="J101" i="117" s="1"/>
  <c r="K101" i="70"/>
  <c r="K101" i="117" s="1"/>
  <c r="T134" i="117"/>
  <c r="W134" i="117" s="1"/>
  <c r="W80" i="117"/>
  <c r="D107" i="117" s="1"/>
  <c r="F102" i="70"/>
  <c r="E102" i="70"/>
  <c r="H102" i="70" s="1"/>
  <c r="I102" i="70" s="1"/>
  <c r="N155" i="70"/>
  <c r="W69" i="117"/>
  <c r="D96" i="117" s="1"/>
  <c r="U78" i="117"/>
  <c r="U132" i="117" s="1"/>
  <c r="K158" i="70"/>
  <c r="J15" i="58"/>
  <c r="L15" i="58" s="1"/>
  <c r="N139" i="117"/>
  <c r="E99" i="117"/>
  <c r="E152" i="117" s="1"/>
  <c r="O152" i="70"/>
  <c r="J108" i="70"/>
  <c r="J108" i="117" s="1"/>
  <c r="K108" i="70"/>
  <c r="K108" i="117" s="1"/>
  <c r="D162" i="117"/>
  <c r="W70" i="117"/>
  <c r="D97" i="117" s="1"/>
  <c r="S124" i="117"/>
  <c r="W124" i="117" s="1"/>
  <c r="E108" i="117"/>
  <c r="E161" i="117" s="1"/>
  <c r="O161" i="70"/>
  <c r="H100" i="117"/>
  <c r="I100" i="117" s="1"/>
  <c r="M100" i="117" s="1"/>
  <c r="N100" i="117" s="1"/>
  <c r="U77" i="117"/>
  <c r="U131" i="117" s="1"/>
  <c r="K157" i="70"/>
  <c r="M157" i="70" s="1"/>
  <c r="E101" i="117"/>
  <c r="E154" i="117" s="1"/>
  <c r="O154" i="70"/>
  <c r="M151" i="70"/>
  <c r="D153" i="117"/>
  <c r="H153" i="117" s="1"/>
  <c r="I153" i="117" s="1"/>
  <c r="M153" i="117" s="1"/>
  <c r="N153" i="117" s="1"/>
  <c r="R153" i="117" s="1"/>
  <c r="S153" i="117" s="1"/>
  <c r="W153" i="117" s="1"/>
  <c r="W83" i="117"/>
  <c r="D110" i="117" s="1"/>
  <c r="S137" i="117"/>
  <c r="W137" i="117" s="1"/>
  <c r="W14" i="70"/>
  <c r="S14" i="117"/>
  <c r="S31" i="70"/>
  <c r="P100" i="70"/>
  <c r="P100" i="117" s="1"/>
  <c r="O100" i="70"/>
  <c r="O100" i="117" s="1"/>
  <c r="K103" i="70"/>
  <c r="K103" i="117" s="1"/>
  <c r="J103" i="70"/>
  <c r="J103" i="117" s="1"/>
  <c r="F99" i="117"/>
  <c r="F152" i="117" s="1"/>
  <c r="P152" i="70"/>
  <c r="F110" i="70"/>
  <c r="E110" i="70"/>
  <c r="N163" i="70"/>
  <c r="N85" i="117"/>
  <c r="F98" i="70"/>
  <c r="E98" i="70"/>
  <c r="H98" i="70" s="1"/>
  <c r="I98" i="70" s="1"/>
  <c r="N151" i="70"/>
  <c r="E23" i="54"/>
  <c r="F21" i="54"/>
  <c r="P164" i="70"/>
  <c r="F111" i="117"/>
  <c r="F164" i="117" s="1"/>
  <c r="W75" i="117"/>
  <c r="D102" i="117" s="1"/>
  <c r="S129" i="117"/>
  <c r="W129" i="117" s="1"/>
  <c r="M163" i="70"/>
  <c r="F101" i="117"/>
  <c r="F154" i="117" s="1"/>
  <c r="P154" i="70"/>
  <c r="W71" i="117"/>
  <c r="D98" i="117" s="1"/>
  <c r="S125" i="117"/>
  <c r="W125" i="117" s="1"/>
  <c r="S131" i="117"/>
  <c r="E103" i="117"/>
  <c r="E156" i="117" s="1"/>
  <c r="O156" i="70"/>
  <c r="D156" i="117"/>
  <c r="F107" i="117"/>
  <c r="F160" i="117" s="1"/>
  <c r="P160" i="70"/>
  <c r="H97" i="70"/>
  <c r="I97" i="70" s="1"/>
  <c r="F97" i="117"/>
  <c r="F150" i="117" s="1"/>
  <c r="P150" i="70"/>
  <c r="F148" i="70"/>
  <c r="F165" i="70" s="1"/>
  <c r="P85" i="70"/>
  <c r="T128" i="117"/>
  <c r="W128" i="117" s="1"/>
  <c r="W74" i="117"/>
  <c r="D101" i="117" s="1"/>
  <c r="R68" i="70"/>
  <c r="E111" i="117"/>
  <c r="E164" i="117" s="1"/>
  <c r="O164" i="70"/>
  <c r="W123" i="117"/>
  <c r="W130" i="117"/>
  <c r="H109" i="70"/>
  <c r="I109" i="70" s="1"/>
  <c r="J139" i="117"/>
  <c r="M122" i="117"/>
  <c r="M139" i="117" s="1"/>
  <c r="H99" i="70"/>
  <c r="I99" i="70" s="1"/>
  <c r="H107" i="70"/>
  <c r="I107" i="70" s="1"/>
  <c r="K106" i="70"/>
  <c r="K106" i="117" s="1"/>
  <c r="J106" i="70"/>
  <c r="J106" i="117" s="1"/>
  <c r="O150" i="70"/>
  <c r="E97" i="117"/>
  <c r="E150" i="117" s="1"/>
  <c r="R159" i="70"/>
  <c r="S159" i="70" s="1"/>
  <c r="W159" i="70" s="1"/>
  <c r="X159" i="70" s="1"/>
  <c r="AB159" i="70" s="1"/>
  <c r="AC159" i="70" s="1"/>
  <c r="AG159" i="70" s="1"/>
  <c r="M161" i="70"/>
  <c r="D164" i="117"/>
  <c r="H164" i="117" s="1"/>
  <c r="I164" i="117" s="1"/>
  <c r="M164" i="117" s="1"/>
  <c r="N164" i="117" s="1"/>
  <c r="R164" i="117" s="1"/>
  <c r="S164" i="117" s="1"/>
  <c r="W164" i="117" s="1"/>
  <c r="F103" i="117"/>
  <c r="F156" i="117" s="1"/>
  <c r="P156" i="70"/>
  <c r="J96" i="70" l="1"/>
  <c r="J96" i="117" s="1"/>
  <c r="K96" i="70"/>
  <c r="K96" i="117" s="1"/>
  <c r="H106" i="117"/>
  <c r="I106" i="117" s="1"/>
  <c r="W77" i="117"/>
  <c r="D104" i="117" s="1"/>
  <c r="R156" i="70"/>
  <c r="S156" i="70" s="1"/>
  <c r="W156" i="70" s="1"/>
  <c r="X156" i="70" s="1"/>
  <c r="AB156" i="70" s="1"/>
  <c r="AC156" i="70" s="1"/>
  <c r="AG156" i="70" s="1"/>
  <c r="R154" i="70"/>
  <c r="S154" i="70" s="1"/>
  <c r="W154" i="70" s="1"/>
  <c r="X154" i="70" s="1"/>
  <c r="AB154" i="70" s="1"/>
  <c r="AC154" i="70" s="1"/>
  <c r="AG154" i="70" s="1"/>
  <c r="M111" i="70"/>
  <c r="N111" i="70" s="1"/>
  <c r="O111" i="70" s="1"/>
  <c r="O111" i="117" s="1"/>
  <c r="M106" i="117"/>
  <c r="N106" i="117" s="1"/>
  <c r="H152" i="117"/>
  <c r="I152" i="117" s="1"/>
  <c r="M152" i="117" s="1"/>
  <c r="N152" i="117" s="1"/>
  <c r="R152" i="117" s="1"/>
  <c r="S152" i="117" s="1"/>
  <c r="W152" i="117" s="1"/>
  <c r="H156" i="117"/>
  <c r="I156" i="117" s="1"/>
  <c r="M156" i="117" s="1"/>
  <c r="N156" i="117" s="1"/>
  <c r="R156" i="117" s="1"/>
  <c r="S156" i="117" s="1"/>
  <c r="W156" i="117" s="1"/>
  <c r="H109" i="117"/>
  <c r="I109" i="117" s="1"/>
  <c r="R150" i="70"/>
  <c r="S150" i="70" s="1"/>
  <c r="W150" i="70" s="1"/>
  <c r="X150" i="70" s="1"/>
  <c r="AB150" i="70" s="1"/>
  <c r="AC150" i="70" s="1"/>
  <c r="AG150" i="70" s="1"/>
  <c r="H103" i="117"/>
  <c r="I103" i="117" s="1"/>
  <c r="M108" i="70"/>
  <c r="N108" i="70" s="1"/>
  <c r="H18" i="54"/>
  <c r="I18" i="54" s="1"/>
  <c r="M106" i="70"/>
  <c r="N106" i="70" s="1"/>
  <c r="P106" i="70" s="1"/>
  <c r="P106" i="117" s="1"/>
  <c r="M158" i="70"/>
  <c r="J102" i="70"/>
  <c r="J102" i="117" s="1"/>
  <c r="K102" i="70"/>
  <c r="K102" i="117" s="1"/>
  <c r="M102" i="70"/>
  <c r="N102" i="70" s="1"/>
  <c r="K105" i="70"/>
  <c r="K105" i="117" s="1"/>
  <c r="J105" i="70"/>
  <c r="J105" i="117" s="1"/>
  <c r="H104" i="117"/>
  <c r="I104" i="117" s="1"/>
  <c r="D157" i="117"/>
  <c r="O151" i="70"/>
  <c r="E98" i="117"/>
  <c r="E151" i="117" s="1"/>
  <c r="O122" i="117"/>
  <c r="O85" i="117"/>
  <c r="O15" i="58" s="1"/>
  <c r="K104" i="70"/>
  <c r="K104" i="117" s="1"/>
  <c r="J104" i="70"/>
  <c r="J104" i="117" s="1"/>
  <c r="H101" i="117"/>
  <c r="I101" i="117" s="1"/>
  <c r="M101" i="117" s="1"/>
  <c r="N101" i="117" s="1"/>
  <c r="D154" i="117"/>
  <c r="H154" i="117" s="1"/>
  <c r="I154" i="117" s="1"/>
  <c r="M154" i="117" s="1"/>
  <c r="N154" i="117" s="1"/>
  <c r="R154" i="117" s="1"/>
  <c r="S154" i="117" s="1"/>
  <c r="W154" i="117" s="1"/>
  <c r="P151" i="70"/>
  <c r="F98" i="117"/>
  <c r="F151" i="117" s="1"/>
  <c r="R152" i="70"/>
  <c r="S152" i="70" s="1"/>
  <c r="W152" i="70" s="1"/>
  <c r="X152" i="70" s="1"/>
  <c r="AB152" i="70" s="1"/>
  <c r="AC152" i="70" s="1"/>
  <c r="AG152" i="70" s="1"/>
  <c r="F104" i="117"/>
  <c r="F157" i="117" s="1"/>
  <c r="P157" i="70"/>
  <c r="J97" i="70"/>
  <c r="J97" i="117" s="1"/>
  <c r="K97" i="70"/>
  <c r="K97" i="117" s="1"/>
  <c r="P163" i="70"/>
  <c r="F110" i="117"/>
  <c r="F163" i="117" s="1"/>
  <c r="O158" i="70"/>
  <c r="E105" i="117"/>
  <c r="E158" i="117" s="1"/>
  <c r="K99" i="70"/>
  <c r="K99" i="117" s="1"/>
  <c r="J99" i="70"/>
  <c r="J99" i="117" s="1"/>
  <c r="D155" i="117"/>
  <c r="E104" i="117"/>
  <c r="E157" i="117" s="1"/>
  <c r="O157" i="70"/>
  <c r="K109" i="70"/>
  <c r="K109" i="117" s="1"/>
  <c r="J109" i="70"/>
  <c r="J109" i="117" s="1"/>
  <c r="M109" i="117" s="1"/>
  <c r="N109" i="117" s="1"/>
  <c r="M103" i="117"/>
  <c r="N103" i="117" s="1"/>
  <c r="H99" i="117"/>
  <c r="I99" i="117" s="1"/>
  <c r="W31" i="70"/>
  <c r="D40" i="70"/>
  <c r="F102" i="117"/>
  <c r="F155" i="117" s="1"/>
  <c r="P155" i="70"/>
  <c r="M103" i="70"/>
  <c r="N103" i="70" s="1"/>
  <c r="R100" i="117"/>
  <c r="S100" i="117" s="1"/>
  <c r="H107" i="117"/>
  <c r="I107" i="117" s="1"/>
  <c r="D160" i="117"/>
  <c r="H160" i="117" s="1"/>
  <c r="I160" i="117" s="1"/>
  <c r="M160" i="117" s="1"/>
  <c r="N160" i="117" s="1"/>
  <c r="R160" i="117" s="1"/>
  <c r="S160" i="117" s="1"/>
  <c r="W160" i="117" s="1"/>
  <c r="W131" i="117"/>
  <c r="R160" i="70"/>
  <c r="S160" i="70" s="1"/>
  <c r="W160" i="70" s="1"/>
  <c r="X160" i="70" s="1"/>
  <c r="AB160" i="70" s="1"/>
  <c r="AC160" i="70" s="1"/>
  <c r="AG160" i="70" s="1"/>
  <c r="J107" i="70"/>
  <c r="J107" i="117" s="1"/>
  <c r="K107" i="70"/>
  <c r="K107" i="117" s="1"/>
  <c r="M96" i="70"/>
  <c r="N96" i="70" s="1"/>
  <c r="S31" i="117"/>
  <c r="I23" i="69" s="1"/>
  <c r="W14" i="117"/>
  <c r="H108" i="117"/>
  <c r="I108" i="117" s="1"/>
  <c r="M108" i="117" s="1"/>
  <c r="N108" i="117" s="1"/>
  <c r="D161" i="117"/>
  <c r="H161" i="117" s="1"/>
  <c r="I161" i="117" s="1"/>
  <c r="M161" i="117" s="1"/>
  <c r="N161" i="117" s="1"/>
  <c r="R161" i="117" s="1"/>
  <c r="S161" i="117" s="1"/>
  <c r="W161" i="117" s="1"/>
  <c r="E25" i="54"/>
  <c r="G17" i="58" s="1"/>
  <c r="F23" i="54"/>
  <c r="F25" i="54" s="1"/>
  <c r="H110" i="70"/>
  <c r="I110" i="70" s="1"/>
  <c r="R100" i="70"/>
  <c r="S100" i="70" s="1"/>
  <c r="D163" i="117"/>
  <c r="R161" i="70"/>
  <c r="S161" i="70" s="1"/>
  <c r="W161" i="70" s="1"/>
  <c r="X161" i="70" s="1"/>
  <c r="AB161" i="70" s="1"/>
  <c r="AC161" i="70" s="1"/>
  <c r="AG161" i="70" s="1"/>
  <c r="D149" i="117"/>
  <c r="H149" i="117" s="1"/>
  <c r="I149" i="117" s="1"/>
  <c r="M149" i="117" s="1"/>
  <c r="N149" i="117" s="1"/>
  <c r="R149" i="117" s="1"/>
  <c r="S149" i="117" s="1"/>
  <c r="W149" i="117" s="1"/>
  <c r="H96" i="117"/>
  <c r="I96" i="117" s="1"/>
  <c r="M96" i="117" s="1"/>
  <c r="N96" i="117" s="1"/>
  <c r="H162" i="117"/>
  <c r="I162" i="117" s="1"/>
  <c r="M162" i="117" s="1"/>
  <c r="N162" i="117" s="1"/>
  <c r="R162" i="117" s="1"/>
  <c r="S162" i="117" s="1"/>
  <c r="W162" i="117" s="1"/>
  <c r="W78" i="117"/>
  <c r="D105" i="117" s="1"/>
  <c r="S132" i="117"/>
  <c r="W132" i="117" s="1"/>
  <c r="J98" i="70"/>
  <c r="J98" i="117" s="1"/>
  <c r="K98" i="70"/>
  <c r="K98" i="117" s="1"/>
  <c r="M98" i="70"/>
  <c r="N98" i="70" s="1"/>
  <c r="S68" i="70"/>
  <c r="R85" i="70"/>
  <c r="H97" i="117"/>
  <c r="I97" i="117" s="1"/>
  <c r="D150" i="117"/>
  <c r="H150" i="117" s="1"/>
  <c r="I150" i="117" s="1"/>
  <c r="M150" i="117" s="1"/>
  <c r="N150" i="117" s="1"/>
  <c r="R150" i="117" s="1"/>
  <c r="S150" i="117" s="1"/>
  <c r="W150" i="117" s="1"/>
  <c r="D151" i="117"/>
  <c r="H151" i="117" s="1"/>
  <c r="I151" i="117" s="1"/>
  <c r="M151" i="117" s="1"/>
  <c r="N151" i="117" s="1"/>
  <c r="R151" i="117" s="1"/>
  <c r="S151" i="117" s="1"/>
  <c r="W151" i="117" s="1"/>
  <c r="R68" i="117"/>
  <c r="E102" i="117"/>
  <c r="E155" i="117" s="1"/>
  <c r="O155" i="70"/>
  <c r="F24" i="69"/>
  <c r="H23" i="69"/>
  <c r="R164" i="70"/>
  <c r="S164" i="70" s="1"/>
  <c r="W164" i="70" s="1"/>
  <c r="X164" i="70" s="1"/>
  <c r="AB164" i="70" s="1"/>
  <c r="AC164" i="70" s="1"/>
  <c r="AG164" i="70" s="1"/>
  <c r="R151" i="70"/>
  <c r="S151" i="70" s="1"/>
  <c r="W151" i="70" s="1"/>
  <c r="X151" i="70" s="1"/>
  <c r="AB151" i="70" s="1"/>
  <c r="AC151" i="70" s="1"/>
  <c r="AG151" i="70" s="1"/>
  <c r="O163" i="70"/>
  <c r="R163" i="70" s="1"/>
  <c r="S163" i="70" s="1"/>
  <c r="W163" i="70" s="1"/>
  <c r="X163" i="70" s="1"/>
  <c r="AB163" i="70" s="1"/>
  <c r="AC163" i="70" s="1"/>
  <c r="AG163" i="70" s="1"/>
  <c r="E110" i="117"/>
  <c r="E163" i="117" s="1"/>
  <c r="M101" i="70"/>
  <c r="N101" i="70" s="1"/>
  <c r="E165" i="70"/>
  <c r="H148" i="70"/>
  <c r="H165" i="70" s="1"/>
  <c r="P158" i="70"/>
  <c r="R158" i="70" s="1"/>
  <c r="S158" i="70" s="1"/>
  <c r="W158" i="70" s="1"/>
  <c r="X158" i="70" s="1"/>
  <c r="AB158" i="70" s="1"/>
  <c r="AC158" i="70" s="1"/>
  <c r="AG158" i="70" s="1"/>
  <c r="F105" i="117"/>
  <c r="F158" i="117" s="1"/>
  <c r="H111" i="117"/>
  <c r="I111" i="117" s="1"/>
  <c r="M111" i="117" s="1"/>
  <c r="N111" i="117" s="1"/>
  <c r="M99" i="70" l="1"/>
  <c r="N99" i="70" s="1"/>
  <c r="P111" i="70"/>
  <c r="P111" i="117" s="1"/>
  <c r="O106" i="70"/>
  <c r="O106" i="117" s="1"/>
  <c r="R106" i="117" s="1"/>
  <c r="S106" i="117" s="1"/>
  <c r="H98" i="117"/>
  <c r="I98" i="117" s="1"/>
  <c r="M98" i="117" s="1"/>
  <c r="N98" i="117" s="1"/>
  <c r="M107" i="70"/>
  <c r="N107" i="70" s="1"/>
  <c r="P107" i="70" s="1"/>
  <c r="P107" i="117" s="1"/>
  <c r="P108" i="70"/>
  <c r="P108" i="117" s="1"/>
  <c r="R111" i="117"/>
  <c r="S111" i="117" s="1"/>
  <c r="W111" i="117" s="1"/>
  <c r="O108" i="70"/>
  <c r="O108" i="117" s="1"/>
  <c r="H19" i="54"/>
  <c r="I19" i="54" s="1"/>
  <c r="R111" i="70"/>
  <c r="S111" i="70" s="1"/>
  <c r="H163" i="117"/>
  <c r="I163" i="117" s="1"/>
  <c r="M163" i="117" s="1"/>
  <c r="N163" i="117" s="1"/>
  <c r="R163" i="117" s="1"/>
  <c r="S163" i="117" s="1"/>
  <c r="W163" i="117" s="1"/>
  <c r="M104" i="70"/>
  <c r="N104" i="70" s="1"/>
  <c r="H157" i="117"/>
  <c r="I157" i="117" s="1"/>
  <c r="M157" i="117" s="1"/>
  <c r="N157" i="117" s="1"/>
  <c r="R157" i="117" s="1"/>
  <c r="S157" i="117" s="1"/>
  <c r="W157" i="117" s="1"/>
  <c r="M104" i="117"/>
  <c r="N104" i="117" s="1"/>
  <c r="R106" i="70"/>
  <c r="S106" i="70" s="1"/>
  <c r="R157" i="70"/>
  <c r="S157" i="70" s="1"/>
  <c r="W157" i="70" s="1"/>
  <c r="X157" i="70" s="1"/>
  <c r="AB157" i="70" s="1"/>
  <c r="AC157" i="70" s="1"/>
  <c r="AG157" i="70" s="1"/>
  <c r="M105" i="70"/>
  <c r="N105" i="70" s="1"/>
  <c r="O98" i="70"/>
  <c r="O98" i="117" s="1"/>
  <c r="P98" i="70"/>
  <c r="P98" i="117" s="1"/>
  <c r="P103" i="70"/>
  <c r="P103" i="117" s="1"/>
  <c r="O103" i="70"/>
  <c r="O103" i="117" s="1"/>
  <c r="R103" i="70"/>
  <c r="S103" i="70" s="1"/>
  <c r="O99" i="70"/>
  <c r="O99" i="117" s="1"/>
  <c r="P99" i="70"/>
  <c r="P99" i="117" s="1"/>
  <c r="U111" i="70"/>
  <c r="U111" i="117" s="1"/>
  <c r="T111" i="70"/>
  <c r="T111" i="117" s="1"/>
  <c r="D57" i="70"/>
  <c r="H40" i="70"/>
  <c r="P15" i="58"/>
  <c r="Q15" i="58"/>
  <c r="H105" i="117"/>
  <c r="I105" i="117" s="1"/>
  <c r="M105" i="117" s="1"/>
  <c r="N105" i="117" s="1"/>
  <c r="D158" i="117"/>
  <c r="H158" i="117" s="1"/>
  <c r="I158" i="117" s="1"/>
  <c r="M158" i="117" s="1"/>
  <c r="N158" i="117" s="1"/>
  <c r="R158" i="117" s="1"/>
  <c r="S158" i="117" s="1"/>
  <c r="W158" i="117" s="1"/>
  <c r="H110" i="117"/>
  <c r="I110" i="117" s="1"/>
  <c r="O139" i="117"/>
  <c r="R122" i="117"/>
  <c r="R139" i="117" s="1"/>
  <c r="O104" i="70"/>
  <c r="O104" i="117" s="1"/>
  <c r="P104" i="70"/>
  <c r="P104" i="117" s="1"/>
  <c r="R104" i="70"/>
  <c r="S104" i="70" s="1"/>
  <c r="S68" i="117"/>
  <c r="R85" i="117"/>
  <c r="J27" i="61"/>
  <c r="H24" i="69"/>
  <c r="M97" i="117"/>
  <c r="N97" i="117" s="1"/>
  <c r="U100" i="70"/>
  <c r="U100" i="117" s="1"/>
  <c r="T100" i="70"/>
  <c r="T100" i="117" s="1"/>
  <c r="W100" i="117" s="1"/>
  <c r="W100" i="70"/>
  <c r="W31" i="117"/>
  <c r="D40" i="117"/>
  <c r="M99" i="117"/>
  <c r="N99" i="117" s="1"/>
  <c r="H155" i="117"/>
  <c r="I155" i="117" s="1"/>
  <c r="M155" i="117" s="1"/>
  <c r="N155" i="117" s="1"/>
  <c r="R155" i="117" s="1"/>
  <c r="S155" i="117" s="1"/>
  <c r="W155" i="117" s="1"/>
  <c r="P102" i="70"/>
  <c r="P102" i="117" s="1"/>
  <c r="O102" i="70"/>
  <c r="O102" i="117" s="1"/>
  <c r="K110" i="70"/>
  <c r="K110" i="117" s="1"/>
  <c r="J110" i="70"/>
  <c r="J110" i="117" s="1"/>
  <c r="I24" i="69"/>
  <c r="E66" i="61"/>
  <c r="M107" i="117"/>
  <c r="N107" i="117" s="1"/>
  <c r="R155" i="70"/>
  <c r="S155" i="70" s="1"/>
  <c r="W155" i="70" s="1"/>
  <c r="X155" i="70" s="1"/>
  <c r="AB155" i="70" s="1"/>
  <c r="AC155" i="70" s="1"/>
  <c r="AG155" i="70" s="1"/>
  <c r="R103" i="117"/>
  <c r="S103" i="117" s="1"/>
  <c r="H102" i="117"/>
  <c r="I102" i="117" s="1"/>
  <c r="M102" i="117" s="1"/>
  <c r="N102" i="117" s="1"/>
  <c r="M97" i="70"/>
  <c r="N97" i="70" s="1"/>
  <c r="F17" i="58"/>
  <c r="H17" i="58" s="1"/>
  <c r="O101" i="70"/>
  <c r="O101" i="117" s="1"/>
  <c r="P101" i="70"/>
  <c r="P101" i="117" s="1"/>
  <c r="R101" i="70"/>
  <c r="S101" i="70" s="1"/>
  <c r="S85" i="70"/>
  <c r="U68" i="70"/>
  <c r="T68" i="70"/>
  <c r="W68" i="70"/>
  <c r="I148" i="70"/>
  <c r="P96" i="70"/>
  <c r="P96" i="117" s="1"/>
  <c r="O96" i="70"/>
  <c r="O96" i="117" s="1"/>
  <c r="R96" i="117" s="1"/>
  <c r="S96" i="117" s="1"/>
  <c r="R96" i="70"/>
  <c r="S96" i="70" s="1"/>
  <c r="M109" i="70"/>
  <c r="N109" i="70" s="1"/>
  <c r="R108" i="117" l="1"/>
  <c r="S108" i="117" s="1"/>
  <c r="H21" i="54"/>
  <c r="K15" i="54"/>
  <c r="R104" i="117"/>
  <c r="S104" i="117" s="1"/>
  <c r="R102" i="117"/>
  <c r="S102" i="117" s="1"/>
  <c r="O107" i="70"/>
  <c r="O107" i="117" s="1"/>
  <c r="R107" i="117" s="1"/>
  <c r="S107" i="117" s="1"/>
  <c r="R99" i="70"/>
  <c r="S99" i="70" s="1"/>
  <c r="U99" i="70" s="1"/>
  <c r="U99" i="117" s="1"/>
  <c r="R108" i="70"/>
  <c r="S108" i="70" s="1"/>
  <c r="R98" i="117"/>
  <c r="S98" i="117" s="1"/>
  <c r="M110" i="70"/>
  <c r="N110" i="70" s="1"/>
  <c r="P105" i="70"/>
  <c r="P105" i="117" s="1"/>
  <c r="O105" i="70"/>
  <c r="O105" i="117" s="1"/>
  <c r="R105" i="117" s="1"/>
  <c r="S105" i="117" s="1"/>
  <c r="I165" i="70"/>
  <c r="N15" i="58"/>
  <c r="R15" i="58" s="1"/>
  <c r="M110" i="117"/>
  <c r="N110" i="117" s="1"/>
  <c r="R102" i="70"/>
  <c r="S102" i="70" s="1"/>
  <c r="I40" i="70"/>
  <c r="H57" i="70"/>
  <c r="R99" i="117"/>
  <c r="S99" i="117" s="1"/>
  <c r="T68" i="117"/>
  <c r="T85" i="70"/>
  <c r="J148" i="70"/>
  <c r="J165" i="70" s="1"/>
  <c r="R107" i="70"/>
  <c r="S107" i="70" s="1"/>
  <c r="T103" i="70"/>
  <c r="T103" i="117" s="1"/>
  <c r="W103" i="117" s="1"/>
  <c r="U103" i="70"/>
  <c r="U103" i="117" s="1"/>
  <c r="T104" i="70"/>
  <c r="T104" i="117" s="1"/>
  <c r="U104" i="70"/>
  <c r="U104" i="117" s="1"/>
  <c r="P97" i="70"/>
  <c r="P97" i="117" s="1"/>
  <c r="O97" i="70"/>
  <c r="O97" i="117" s="1"/>
  <c r="U106" i="70"/>
  <c r="U106" i="117" s="1"/>
  <c r="T106" i="70"/>
  <c r="T106" i="117" s="1"/>
  <c r="P109" i="70"/>
  <c r="P109" i="117" s="1"/>
  <c r="O109" i="70"/>
  <c r="O109" i="117" s="1"/>
  <c r="U96" i="70"/>
  <c r="U96" i="117" s="1"/>
  <c r="T96" i="70"/>
  <c r="T96" i="117" s="1"/>
  <c r="H23" i="54"/>
  <c r="I21" i="54"/>
  <c r="H40" i="117"/>
  <c r="D57" i="117"/>
  <c r="J23" i="69" s="1"/>
  <c r="W111" i="70"/>
  <c r="D95" i="70"/>
  <c r="W85" i="70"/>
  <c r="K148" i="70"/>
  <c r="K165" i="70" s="1"/>
  <c r="U85" i="70"/>
  <c r="U68" i="117"/>
  <c r="T101" i="70"/>
  <c r="T101" i="117" s="1"/>
  <c r="U101" i="70"/>
  <c r="U101" i="117" s="1"/>
  <c r="R101" i="117"/>
  <c r="S101" i="117" s="1"/>
  <c r="K16" i="54"/>
  <c r="L16" i="54" s="1"/>
  <c r="L15" i="54"/>
  <c r="S85" i="117"/>
  <c r="W68" i="117"/>
  <c r="S122" i="117"/>
  <c r="R98" i="70"/>
  <c r="S98" i="70" s="1"/>
  <c r="W101" i="117" l="1"/>
  <c r="R109" i="70"/>
  <c r="S109" i="70" s="1"/>
  <c r="W101" i="70"/>
  <c r="R109" i="117"/>
  <c r="S109" i="117" s="1"/>
  <c r="U108" i="70"/>
  <c r="U108" i="117" s="1"/>
  <c r="T108" i="70"/>
  <c r="W104" i="117"/>
  <c r="R97" i="117"/>
  <c r="S97" i="117" s="1"/>
  <c r="T99" i="70"/>
  <c r="T99" i="117" s="1"/>
  <c r="W99" i="117" s="1"/>
  <c r="W103" i="70"/>
  <c r="K18" i="54"/>
  <c r="L18" i="54" s="1"/>
  <c r="W96" i="70"/>
  <c r="W106" i="117"/>
  <c r="D112" i="70"/>
  <c r="E95" i="70"/>
  <c r="H95" i="70" s="1"/>
  <c r="F95" i="70"/>
  <c r="N148" i="70"/>
  <c r="W96" i="117"/>
  <c r="W106" i="70"/>
  <c r="W104" i="70"/>
  <c r="U102" i="70"/>
  <c r="U102" i="117" s="1"/>
  <c r="T102" i="70"/>
  <c r="T102" i="117" s="1"/>
  <c r="W102" i="117" s="1"/>
  <c r="R105" i="70"/>
  <c r="S105" i="70" s="1"/>
  <c r="M148" i="70"/>
  <c r="M165" i="70" s="1"/>
  <c r="T122" i="117"/>
  <c r="T139" i="117" s="1"/>
  <c r="T85" i="117"/>
  <c r="S15" i="58" s="1"/>
  <c r="I23" i="54"/>
  <c r="I25" i="54" s="1"/>
  <c r="H25" i="54"/>
  <c r="K17" i="58" s="1"/>
  <c r="T98" i="70"/>
  <c r="T98" i="117" s="1"/>
  <c r="U98" i="70"/>
  <c r="U98" i="117" s="1"/>
  <c r="U107" i="70"/>
  <c r="U107" i="117" s="1"/>
  <c r="T107" i="70"/>
  <c r="T107" i="117" s="1"/>
  <c r="D95" i="117"/>
  <c r="W85" i="117"/>
  <c r="O110" i="70"/>
  <c r="O110" i="117" s="1"/>
  <c r="P110" i="70"/>
  <c r="P110" i="117" s="1"/>
  <c r="S139" i="117"/>
  <c r="U109" i="70"/>
  <c r="U109" i="117" s="1"/>
  <c r="T109" i="70"/>
  <c r="T109" i="117" s="1"/>
  <c r="W109" i="117" s="1"/>
  <c r="J24" i="69"/>
  <c r="F66" i="61"/>
  <c r="U122" i="117"/>
  <c r="U139" i="117" s="1"/>
  <c r="U85" i="117"/>
  <c r="I40" i="117"/>
  <c r="H57" i="117"/>
  <c r="W99" i="70"/>
  <c r="R97" i="70"/>
  <c r="S97" i="70" s="1"/>
  <c r="I57" i="70"/>
  <c r="M40" i="70"/>
  <c r="W107" i="117" l="1"/>
  <c r="K19" i="54"/>
  <c r="M15" i="54" s="1"/>
  <c r="W98" i="70"/>
  <c r="W98" i="117"/>
  <c r="T108" i="117"/>
  <c r="W108" i="117" s="1"/>
  <c r="W108" i="70"/>
  <c r="N165" i="70"/>
  <c r="L19" i="54"/>
  <c r="K21" i="54"/>
  <c r="U105" i="70"/>
  <c r="U105" i="117" s="1"/>
  <c r="T105" i="70"/>
  <c r="T105" i="117" s="1"/>
  <c r="W105" i="117" s="1"/>
  <c r="H112" i="70"/>
  <c r="I95" i="70"/>
  <c r="W102" i="70"/>
  <c r="P148" i="70"/>
  <c r="P165" i="70" s="1"/>
  <c r="F95" i="117"/>
  <c r="F112" i="70"/>
  <c r="D112" i="117"/>
  <c r="D148" i="117"/>
  <c r="W109" i="70"/>
  <c r="W107" i="70"/>
  <c r="M40" i="117"/>
  <c r="I57" i="117"/>
  <c r="K23" i="69" s="1"/>
  <c r="W122" i="117"/>
  <c r="W139" i="117" s="1"/>
  <c r="J17" i="58"/>
  <c r="O148" i="70"/>
  <c r="O165" i="70" s="1"/>
  <c r="E112" i="70"/>
  <c r="E95" i="117"/>
  <c r="T97" i="70"/>
  <c r="T97" i="117" s="1"/>
  <c r="W97" i="117" s="1"/>
  <c r="U97" i="70"/>
  <c r="U97" i="117" s="1"/>
  <c r="R110" i="117"/>
  <c r="S110" i="117" s="1"/>
  <c r="M57" i="70"/>
  <c r="N40" i="70"/>
  <c r="R110" i="70"/>
  <c r="S110" i="70" s="1"/>
  <c r="H95" i="117" l="1"/>
  <c r="I95" i="117" s="1"/>
  <c r="H112" i="117"/>
  <c r="M18" i="54"/>
  <c r="M19" i="54" s="1"/>
  <c r="N15" i="54" s="1"/>
  <c r="K23" i="54"/>
  <c r="L21" i="54"/>
  <c r="U110" i="70"/>
  <c r="U110" i="117" s="1"/>
  <c r="T110" i="70"/>
  <c r="T110" i="117" s="1"/>
  <c r="W110" i="117" s="1"/>
  <c r="N57" i="70"/>
  <c r="R40" i="70"/>
  <c r="M57" i="117"/>
  <c r="N40" i="117"/>
  <c r="D165" i="117"/>
  <c r="E112" i="117"/>
  <c r="T15" i="58" s="1"/>
  <c r="E148" i="117"/>
  <c r="E165" i="117" s="1"/>
  <c r="K95" i="70"/>
  <c r="I112" i="70"/>
  <c r="J95" i="70"/>
  <c r="W97" i="70"/>
  <c r="W105" i="70"/>
  <c r="R148" i="70"/>
  <c r="L17" i="58"/>
  <c r="G66" i="61"/>
  <c r="K24" i="69"/>
  <c r="F112" i="117"/>
  <c r="F148" i="117"/>
  <c r="F165" i="117" s="1"/>
  <c r="J112" i="70" l="1"/>
  <c r="J95" i="117"/>
  <c r="J112" i="117" s="1"/>
  <c r="U15" i="58" s="1"/>
  <c r="R40" i="117"/>
  <c r="N57" i="117"/>
  <c r="L23" i="69" s="1"/>
  <c r="S40" i="70"/>
  <c r="R57" i="70"/>
  <c r="S148" i="70"/>
  <c r="R165" i="70"/>
  <c r="N18" i="54"/>
  <c r="N19" i="54" s="1"/>
  <c r="O15" i="54" s="1"/>
  <c r="M21" i="54"/>
  <c r="M23" i="54" s="1"/>
  <c r="K112" i="70"/>
  <c r="K95" i="117"/>
  <c r="K112" i="117" s="1"/>
  <c r="H148" i="117"/>
  <c r="M95" i="70"/>
  <c r="K25" i="54"/>
  <c r="O17" i="58" s="1"/>
  <c r="P17" i="58" s="1"/>
  <c r="Q17" i="58" s="1"/>
  <c r="N17" i="58" s="1"/>
  <c r="R17" i="58" s="1"/>
  <c r="L23" i="54"/>
  <c r="L25" i="54" s="1"/>
  <c r="W110" i="70"/>
  <c r="I112" i="117"/>
  <c r="W148" i="70" l="1"/>
  <c r="S165" i="70"/>
  <c r="M25" i="54"/>
  <c r="S17" i="58" s="1"/>
  <c r="W40" i="70"/>
  <c r="W57" i="70" s="1"/>
  <c r="S57" i="70"/>
  <c r="H66" i="61"/>
  <c r="L24" i="69"/>
  <c r="O18" i="54"/>
  <c r="O19" i="54" s="1"/>
  <c r="P15" i="54" s="1"/>
  <c r="S40" i="117"/>
  <c r="R57" i="117"/>
  <c r="M112" i="70"/>
  <c r="N95" i="70"/>
  <c r="M95" i="117"/>
  <c r="H165" i="117"/>
  <c r="I148" i="117"/>
  <c r="N21" i="54"/>
  <c r="N23" i="54" s="1"/>
  <c r="I165" i="117" l="1"/>
  <c r="M148" i="117"/>
  <c r="S57" i="117"/>
  <c r="M23" i="69" s="1"/>
  <c r="W40" i="117"/>
  <c r="W57" i="117" s="1"/>
  <c r="N95" i="117"/>
  <c r="M112" i="117"/>
  <c r="N112" i="70"/>
  <c r="P95" i="70"/>
  <c r="O95" i="70"/>
  <c r="N25" i="54"/>
  <c r="T17" i="58" s="1"/>
  <c r="O21" i="54"/>
  <c r="O23" i="54" s="1"/>
  <c r="W165" i="70"/>
  <c r="X148" i="70"/>
  <c r="R95" i="70" l="1"/>
  <c r="R112" i="70"/>
  <c r="S95" i="70"/>
  <c r="O25" i="54"/>
  <c r="U17" i="58" s="1"/>
  <c r="O112" i="70"/>
  <c r="O95" i="117"/>
  <c r="O112" i="117" s="1"/>
  <c r="N148" i="117"/>
  <c r="M165" i="117"/>
  <c r="N112" i="117"/>
  <c r="M24" i="69"/>
  <c r="I66" i="61"/>
  <c r="AB148" i="70"/>
  <c r="X165" i="70"/>
  <c r="P95" i="117"/>
  <c r="P112" i="117" s="1"/>
  <c r="P112" i="70"/>
  <c r="AC148" i="70" l="1"/>
  <c r="AB165" i="70"/>
  <c r="N165" i="117"/>
  <c r="R148" i="117"/>
  <c r="S112" i="70"/>
  <c r="U95" i="70"/>
  <c r="T95" i="70"/>
  <c r="V15" i="58"/>
  <c r="P18" i="54"/>
  <c r="P19" i="54" s="1"/>
  <c r="R95" i="117"/>
  <c r="T112" i="70" l="1"/>
  <c r="T95" i="117"/>
  <c r="T112" i="117" s="1"/>
  <c r="W15" i="58" s="1"/>
  <c r="R112" i="117"/>
  <c r="S95" i="117"/>
  <c r="R165" i="117"/>
  <c r="S148" i="117"/>
  <c r="U95" i="117"/>
  <c r="U112" i="117" s="1"/>
  <c r="U112" i="70"/>
  <c r="Q15" i="54"/>
  <c r="P21" i="54"/>
  <c r="P23" i="54" s="1"/>
  <c r="W95" i="70"/>
  <c r="W112" i="70" s="1"/>
  <c r="AC165" i="70"/>
  <c r="AG148" i="70"/>
  <c r="AG165" i="70" s="1"/>
  <c r="Q18" i="54" l="1"/>
  <c r="Q19" i="54" s="1"/>
  <c r="Q21" i="54" s="1"/>
  <c r="Q23" i="54" s="1"/>
  <c r="Q25" i="54" s="1"/>
  <c r="W17" i="58" s="1"/>
  <c r="P25" i="54"/>
  <c r="V17" i="58" s="1"/>
  <c r="W148" i="117"/>
  <c r="W165" i="117" s="1"/>
  <c r="S165" i="117"/>
  <c r="S112" i="117"/>
  <c r="W95" i="117"/>
  <c r="W112" i="117" s="1"/>
  <c r="F10" i="65" l="1"/>
  <c r="H11" i="65"/>
  <c r="H17" i="65" s="1"/>
  <c r="F17" i="65"/>
  <c r="D11" i="78" l="1"/>
  <c r="F13" i="58"/>
  <c r="L11" i="65"/>
  <c r="L17" i="65" s="1"/>
  <c r="J10" i="65"/>
  <c r="J17" i="65"/>
  <c r="H10" i="65"/>
  <c r="N17" i="65" l="1"/>
  <c r="N13" i="58" s="1"/>
  <c r="R11" i="65"/>
  <c r="R17" i="65" s="1"/>
  <c r="N10" i="65"/>
  <c r="D40" i="78"/>
  <c r="J13" i="58"/>
  <c r="L10" i="65"/>
  <c r="F26" i="61"/>
  <c r="H13" i="58"/>
  <c r="G11" i="78"/>
  <c r="H11" i="78" s="1"/>
  <c r="L11" i="78" s="1"/>
  <c r="F11" i="78"/>
  <c r="L13" i="58" l="1"/>
  <c r="H26" i="61"/>
  <c r="F40" i="78"/>
  <c r="G40" i="78"/>
  <c r="H40" i="78" s="1"/>
  <c r="L40" i="78" s="1"/>
  <c r="R10" i="65"/>
  <c r="R13" i="58"/>
  <c r="J26" i="61"/>
  <c r="F40" i="55" l="1"/>
  <c r="H19" i="55"/>
  <c r="H13" i="55"/>
  <c r="F16" i="58" l="1"/>
  <c r="H16" i="58"/>
  <c r="E14" i="78"/>
  <c r="H14" i="55"/>
  <c r="H20" i="55"/>
  <c r="I20" i="55" s="1"/>
  <c r="F41" i="55"/>
  <c r="F42" i="55" s="1"/>
  <c r="I13" i="55"/>
  <c r="I19" i="55"/>
  <c r="K10" i="55" l="1"/>
  <c r="I14" i="55"/>
  <c r="L14" i="78"/>
  <c r="H21" i="55"/>
  <c r="D14" i="78"/>
  <c r="F14" i="78" s="1"/>
  <c r="G14" i="78" l="1"/>
  <c r="K24" i="58"/>
  <c r="I21" i="55"/>
  <c r="F25" i="58"/>
  <c r="D21" i="78" s="1"/>
  <c r="E21" i="78"/>
  <c r="L10" i="55"/>
  <c r="K13" i="55"/>
  <c r="K19" i="55"/>
  <c r="F21" i="78" l="1"/>
  <c r="L21" i="78"/>
  <c r="G21" i="78"/>
  <c r="L13" i="55"/>
  <c r="K20" i="55"/>
  <c r="L20" i="55" s="1"/>
  <c r="K14" i="55"/>
  <c r="L19" i="55"/>
  <c r="J24" i="58"/>
  <c r="L24" i="58" s="1"/>
  <c r="L14" i="55" l="1"/>
  <c r="D54" i="55"/>
  <c r="K21" i="55"/>
  <c r="O24" i="58" l="1"/>
  <c r="P24" i="58" s="1"/>
  <c r="Q24" i="58" s="1"/>
  <c r="L21" i="55"/>
  <c r="D57" i="55"/>
  <c r="D58" i="55" s="1"/>
  <c r="E54" i="55" s="1"/>
  <c r="D63" i="55"/>
  <c r="D65" i="55" s="1"/>
  <c r="S24" i="58" s="1"/>
  <c r="E57" i="55" l="1"/>
  <c r="E58" i="55" s="1"/>
  <c r="F54" i="55" s="1"/>
  <c r="E63" i="55"/>
  <c r="E65" i="55" s="1"/>
  <c r="T24" i="58" s="1"/>
  <c r="N24" i="58"/>
  <c r="R24" i="58" s="1"/>
  <c r="F63" i="55" l="1"/>
  <c r="F65" i="55" s="1"/>
  <c r="U24" i="58" s="1"/>
  <c r="F57" i="55"/>
  <c r="F58" i="55" s="1"/>
  <c r="G54" i="55" s="1"/>
  <c r="G63" i="55" l="1"/>
  <c r="G65" i="55" s="1"/>
  <c r="V24" i="58" s="1"/>
  <c r="G57" i="55"/>
  <c r="G58" i="55" s="1"/>
  <c r="H54" i="55" s="1"/>
  <c r="H57" i="55" l="1"/>
  <c r="H58" i="55" s="1"/>
  <c r="H63" i="55"/>
  <c r="H65" i="55" s="1"/>
  <c r="W24" i="58" s="1"/>
  <c r="F18" i="58" l="1"/>
  <c r="E15" i="78"/>
  <c r="L15" i="78" l="1"/>
  <c r="D15" i="78"/>
  <c r="F15" i="78" l="1"/>
  <c r="G15" i="78"/>
  <c r="J16" i="58" l="1"/>
  <c r="E43" i="78"/>
  <c r="L43" i="78" l="1"/>
  <c r="D43" i="78"/>
  <c r="L16" i="58"/>
  <c r="F43" i="78" l="1"/>
  <c r="G43" i="78"/>
  <c r="J25" i="58"/>
  <c r="D50" i="78" s="1"/>
  <c r="E50" i="78"/>
  <c r="L50" i="78" l="1"/>
  <c r="F50" i="78"/>
  <c r="G50" i="78"/>
  <c r="J18" i="58" l="1"/>
  <c r="E44" i="78"/>
  <c r="L44" i="78" l="1"/>
  <c r="D44" i="78"/>
  <c r="G44" i="78" l="1"/>
  <c r="F44" i="78"/>
  <c r="Q16" i="58" l="1"/>
  <c r="N16" i="58" l="1"/>
  <c r="R16" i="58"/>
  <c r="N25" i="58" l="1"/>
  <c r="N18" i="58" l="1"/>
  <c r="J30" i="72" l="1"/>
  <c r="C31" i="72"/>
  <c r="J31" i="72" l="1"/>
  <c r="N30" i="72"/>
  <c r="N31" i="72" s="1"/>
  <c r="G19" i="58" l="1"/>
  <c r="G23" i="58"/>
  <c r="G27" i="58" s="1"/>
  <c r="K19" i="58"/>
  <c r="F28" i="61" l="1"/>
  <c r="F30" i="61" s="1"/>
  <c r="F34" i="61" s="1"/>
  <c r="F19" i="58" s="1"/>
  <c r="K23" i="58"/>
  <c r="K27" i="58" s="1"/>
  <c r="E45" i="78"/>
  <c r="H9" i="80"/>
  <c r="E9" i="80"/>
  <c r="E16" i="78"/>
  <c r="H19" i="58"/>
  <c r="H23" i="58" s="1"/>
  <c r="H27" i="58" s="1"/>
  <c r="H28" i="61" l="1"/>
  <c r="H30" i="61" s="1"/>
  <c r="H34" i="61" s="1"/>
  <c r="J19" i="58" s="1"/>
  <c r="E20" i="78"/>
  <c r="E49" i="78"/>
  <c r="D5" i="100"/>
  <c r="D7" i="100" s="1"/>
  <c r="D16" i="78"/>
  <c r="F16" i="78" s="1"/>
  <c r="F23" i="58"/>
  <c r="F27" i="58" s="1"/>
  <c r="D9" i="80"/>
  <c r="J23" i="58" l="1"/>
  <c r="J27" i="58" s="1"/>
  <c r="D45" i="78"/>
  <c r="G9" i="80"/>
  <c r="E5" i="100"/>
  <c r="E7" i="100" s="1"/>
  <c r="L19" i="58"/>
  <c r="L23" i="58" s="1"/>
  <c r="L27" i="58" s="1"/>
  <c r="G16" i="78"/>
  <c r="H16" i="78" s="1"/>
  <c r="D20" i="78"/>
  <c r="D23" i="78" s="1"/>
  <c r="L16" i="78"/>
  <c r="L20" i="78" s="1"/>
  <c r="L23" i="78" s="1"/>
  <c r="D19" i="100"/>
  <c r="D22" i="100"/>
  <c r="D28" i="100" s="1"/>
  <c r="D34" i="100" s="1"/>
  <c r="D20" i="100"/>
  <c r="D26" i="100" s="1"/>
  <c r="D32" i="100" s="1"/>
  <c r="D21" i="100"/>
  <c r="F20" i="78"/>
  <c r="G20" i="78"/>
  <c r="E23" i="78"/>
  <c r="E52" i="78"/>
  <c r="D25" i="100" l="1"/>
  <c r="D37" i="100" s="1"/>
  <c r="D44" i="100" s="1"/>
  <c r="D49" i="78"/>
  <c r="G45" i="78"/>
  <c r="H45" i="78" s="1"/>
  <c r="L45" i="78" s="1"/>
  <c r="L49" i="78" s="1"/>
  <c r="L52" i="78" s="1"/>
  <c r="F45" i="78"/>
  <c r="F49" i="78" s="1"/>
  <c r="F52" i="78" s="1"/>
  <c r="D27" i="100"/>
  <c r="D39" i="100" s="1"/>
  <c r="D46" i="100" s="1"/>
  <c r="G23" i="78"/>
  <c r="F23" i="78"/>
  <c r="E19" i="100"/>
  <c r="E22" i="100"/>
  <c r="E28" i="100" s="1"/>
  <c r="E34" i="100" s="1"/>
  <c r="E46" i="100" s="1"/>
  <c r="E20" i="100"/>
  <c r="E26" i="100" s="1"/>
  <c r="E32" i="100" s="1"/>
  <c r="E44" i="100" s="1"/>
  <c r="E21" i="100"/>
  <c r="E25" i="100" l="1"/>
  <c r="E48" i="100" s="1"/>
  <c r="E8" i="100" s="1"/>
  <c r="D48" i="100"/>
  <c r="D8" i="100" s="1"/>
  <c r="D52" i="78"/>
  <c r="G52" i="78" s="1"/>
  <c r="G49" i="78"/>
  <c r="E27" i="100"/>
  <c r="E39" i="100" s="1"/>
  <c r="E53" i="78" l="1"/>
  <c r="L53" i="78" s="1"/>
  <c r="L54" i="78" s="1"/>
  <c r="L60" i="78" s="1"/>
  <c r="M61" i="78" s="1"/>
  <c r="E9" i="100"/>
  <c r="E10" i="100" s="1"/>
  <c r="E24" i="78"/>
  <c r="L24" i="78" s="1"/>
  <c r="L25" i="78" s="1"/>
  <c r="L31" i="78" s="1"/>
  <c r="D9" i="100"/>
  <c r="D10" i="100" s="1"/>
  <c r="E37" i="100"/>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M4" authorId="0" shapeId="0" xr:uid="{2F635C98-3F83-4AD0-A818-63AD00D34411}">
      <text>
        <r>
          <rPr>
            <b/>
            <sz val="9"/>
            <rFont val="Tahoma"/>
            <family val="2"/>
          </rPr>
          <t xml:space="preserve">SSP-RCD
</t>
        </r>
        <r>
          <rPr>
            <sz val="9"/>
            <rFont val="Tahoma"/>
            <family val="2"/>
          </rPr>
          <t>As per the implementation plan submitted in the DPR/ Approved by MERC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MercadosEMI</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 ref="E289" authorId="1" shapeId="0" xr:uid="{00000000-0006-0000-1800-000002000000}">
      <text>
        <r>
          <rPr>
            <b/>
            <sz val="9"/>
            <color indexed="81"/>
            <rFont val="Tahoma"/>
            <family val="2"/>
          </rPr>
          <t>MercadosEMI:</t>
        </r>
        <r>
          <rPr>
            <sz val="9"/>
            <color indexed="81"/>
            <rFont val="Tahoma"/>
            <family val="2"/>
          </rPr>
          <t xml:space="preserve">
Formuka was missing
</t>
        </r>
      </text>
    </comment>
    <comment ref="E299" authorId="1" shapeId="0" xr:uid="{00000000-0006-0000-1800-000003000000}">
      <text>
        <r>
          <rPr>
            <b/>
            <sz val="9"/>
            <color indexed="81"/>
            <rFont val="Tahoma"/>
            <family val="2"/>
          </rPr>
          <t>MercadosEMI:</t>
        </r>
        <r>
          <rPr>
            <sz val="9"/>
            <color indexed="81"/>
            <rFont val="Tahoma"/>
            <family val="2"/>
          </rPr>
          <t xml:space="preserve">
Formuka was missing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sharedStrings.xml><?xml version="1.0" encoding="utf-8"?>
<sst xmlns="http://schemas.openxmlformats.org/spreadsheetml/2006/main" count="9979" uniqueCount="2114">
  <si>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</si>
  <si>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</si>
  <si>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</si>
  <si>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</si>
  <si>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</si>
  <si>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</si>
  <si>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</si>
  <si>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</si>
  <si>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</si>
  <si>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</si>
  <si>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</si>
  <si>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</si>
  <si>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</si>
  <si>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</si>
  <si>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</si>
  <si>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</si>
  <si>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</si>
  <si>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</si>
  <si>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</si>
  <si>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</si>
  <si>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</si>
  <si>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</si>
  <si>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</si>
  <si>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</si>
  <si>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</si>
  <si>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</si>
  <si>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</si>
  <si>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</si>
  <si>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</si>
  <si>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</si>
  <si>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</si>
  <si>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</si>
  <si>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</si>
  <si>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</si>
  <si>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</si>
  <si>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</si>
  <si>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</si>
  <si>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</si>
  <si>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</si>
  <si>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</si>
  <si>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</si>
  <si>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</si>
  <si>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</si>
  <si>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</si>
  <si>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</si>
  <si>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</si>
  <si>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</si>
  <si>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</si>
  <si>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</si>
  <si>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</si>
  <si>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</si>
  <si>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</si>
  <si>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</si>
  <si>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</si>
  <si>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</si>
  <si>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</si>
  <si>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</si>
  <si>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</si>
  <si>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</si>
  <si>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</si>
  <si>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</si>
  <si>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</si>
  <si>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</si>
  <si>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</si>
  <si>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</si>
  <si>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</si>
  <si>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</si>
  <si>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</si>
  <si>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</si>
  <si>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</si>
  <si>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</si>
  <si>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</si>
  <si>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</si>
  <si>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</si>
  <si>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</si>
  <si>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</si>
  <si>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</si>
  <si>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</si>
  <si>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</si>
  <si>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</si>
  <si>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</si>
  <si>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</si>
  <si>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</si>
  <si>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</si>
  <si>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</si>
  <si>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</si>
  <si>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</si>
  <si>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</si>
  <si>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</si>
  <si>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</si>
  <si>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</si>
  <si>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</si>
  <si>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</si>
  <si>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</si>
  <si>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</si>
  <si>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</si>
  <si>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</si>
  <si>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</si>
  <si>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</si>
  <si>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</si>
  <si>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</si>
  <si>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</si>
  <si>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</si>
  <si>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</si>
  <si>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</si>
  <si>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</si>
  <si>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</si>
  <si>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</si>
  <si>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</si>
  <si>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</si>
  <si>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</si>
  <si>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</si>
  <si>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</si>
  <si>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</si>
  <si>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</si>
  <si>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</si>
  <si>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</si>
  <si>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</si>
  <si>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</si>
  <si>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</si>
  <si>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</si>
  <si>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</si>
  <si>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</si>
  <si>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</si>
  <si>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</si>
  <si>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</si>
  <si>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</si>
  <si>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</si>
  <si>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</si>
  <si>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</si>
  <si>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</si>
  <si>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</si>
  <si>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</si>
  <si>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</si>
  <si>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</si>
  <si>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</si>
  <si>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</si>
  <si>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</si>
  <si>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</si>
  <si>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</si>
  <si>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</si>
  <si>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</si>
  <si>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</si>
  <si>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</si>
  <si>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</si>
  <si>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</si>
  <si>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</si>
  <si>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</si>
  <si>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</si>
  <si>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</si>
  <si>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</si>
  <si>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</si>
  <si>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</si>
  <si>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</si>
  <si>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</si>
  <si>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</si>
  <si>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</si>
  <si>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</si>
  <si>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</si>
  <si>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</si>
  <si>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</si>
  <si>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</si>
  <si>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</si>
  <si>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</si>
  <si>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</si>
  <si>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</si>
  <si>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</si>
  <si>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</si>
  <si>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</si>
  <si>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</si>
  <si>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</si>
  <si>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</si>
  <si>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</si>
  <si>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</si>
  <si>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</si>
  <si>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</si>
  <si>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</si>
  <si>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</si>
  <si>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</si>
  <si>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</si>
  <si>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</si>
  <si>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</si>
  <si>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</si>
  <si>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</si>
  <si>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</si>
  <si>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</si>
  <si>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</si>
  <si>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</si>
  <si>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</si>
  <si>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</si>
  <si>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</si>
  <si>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</si>
  <si>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</si>
  <si>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</si>
  <si>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</si>
  <si>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</si>
  <si>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</si>
  <si>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</si>
  <si>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</si>
  <si>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</si>
  <si>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</si>
  <si>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</si>
  <si>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</si>
  <si>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</si>
  <si>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</si>
  <si>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</si>
  <si>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</si>
  <si>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</si>
  <si>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</si>
  <si>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</si>
  <si>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</si>
  <si>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</si>
  <si>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</si>
  <si>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</si>
  <si>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</si>
  <si>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</si>
  <si>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</si>
  <si>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</si>
  <si>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</si>
  <si>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</si>
  <si>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</si>
  <si>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</si>
  <si>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</si>
  <si>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</si>
  <si>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</si>
  <si>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</si>
  <si>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</si>
  <si>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</si>
  <si>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</si>
  <si>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</si>
  <si>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</si>
  <si>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</si>
  <si>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</si>
  <si>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</si>
  <si>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</si>
  <si>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</si>
  <si>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</si>
  <si>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</si>
  <si>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</si>
  <si>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</si>
  <si>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</si>
  <si>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</si>
  <si>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</si>
  <si>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</si>
  <si>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</si>
  <si>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</si>
  <si>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</si>
  <si>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</si>
  <si>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</si>
  <si>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</si>
  <si>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</si>
  <si>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</si>
  <si>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</si>
  <si>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</si>
  <si>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</si>
  <si>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</si>
  <si>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</si>
  <si>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</si>
  <si>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</si>
  <si>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</si>
  <si>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</si>
  <si>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</si>
  <si>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</si>
  <si>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</si>
  <si>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</si>
  <si>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</si>
  <si>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</si>
  <si>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</si>
  <si>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</si>
  <si>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</si>
  <si>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</si>
  <si>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</si>
  <si>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</si>
  <si>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</si>
  <si>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</si>
  <si>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</si>
  <si>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</si>
  <si>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</si>
  <si>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</si>
  <si>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</si>
  <si>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</si>
  <si>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</si>
  <si>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</si>
  <si>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</si>
  <si>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</si>
  <si>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</si>
  <si>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</si>
  <si>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</si>
  <si>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</si>
  <si>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</si>
  <si>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</si>
  <si>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</si>
  <si>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</si>
  <si>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</si>
  <si>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</si>
  <si>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</si>
  <si>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</si>
  <si>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</si>
  <si>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</si>
  <si>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</si>
  <si>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</si>
  <si>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</si>
  <si>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</si>
  <si>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</si>
  <si>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</si>
  <si>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</si>
  <si>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</si>
  <si>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</si>
  <si>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</si>
  <si>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</si>
  <si>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</si>
  <si>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</si>
  <si>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</si>
  <si>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</si>
  <si>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</si>
  <si>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</si>
  <si>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</si>
  <si>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</si>
  <si>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</si>
  <si>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</si>
  <si>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</si>
  <si>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</si>
  <si>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</si>
  <si>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</si>
  <si>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</si>
  <si>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</si>
  <si>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</si>
  <si>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</si>
  <si>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</si>
  <si>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</si>
  <si>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</si>
  <si>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</si>
  <si>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</si>
  <si>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</si>
  <si>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</si>
  <si>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</si>
  <si>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</si>
  <si>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</si>
  <si>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</si>
  <si>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</si>
  <si>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</si>
  <si>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</si>
  <si>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</si>
  <si>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</si>
  <si>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</si>
  <si>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</si>
  <si>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</si>
  <si>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</si>
  <si>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</si>
  <si>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</si>
  <si>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</si>
  <si>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</si>
  <si>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</si>
  <si>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</si>
  <si>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</si>
  <si>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</si>
  <si>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</si>
  <si>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</si>
  <si>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</si>
  <si>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</si>
  <si>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</si>
  <si>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</si>
  <si>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</si>
  <si>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</si>
  <si>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</si>
  <si>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</si>
  <si>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</si>
  <si>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</si>
  <si>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</si>
  <si>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</si>
  <si>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</si>
  <si>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</si>
  <si>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</si>
  <si>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</si>
  <si>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</si>
  <si>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</si>
  <si>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</si>
  <si>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</si>
  <si>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</si>
  <si>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</si>
  <si>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</si>
  <si>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</si>
  <si>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</si>
  <si>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</si>
  <si>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</si>
  <si>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</si>
  <si>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</si>
  <si>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</si>
  <si>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</si>
  <si>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</si>
  <si>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</si>
  <si>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</si>
  <si>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</si>
  <si>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</si>
  <si>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</si>
  <si>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</si>
  <si>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</si>
  <si>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</si>
  <si>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</si>
  <si>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</si>
  <si>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</si>
  <si>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</si>
  <si>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</si>
  <si>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</si>
  <si>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</si>
  <si>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</si>
  <si>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</si>
  <si>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</si>
  <si>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</si>
  <si>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</si>
  <si>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</si>
  <si>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</si>
  <si>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</si>
  <si>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</si>
  <si>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</si>
  <si>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</si>
  <si>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</si>
  <si>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</si>
  <si>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</si>
  <si>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</si>
  <si>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</si>
  <si>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</si>
  <si>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</si>
  <si>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</si>
  <si>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</si>
  <si>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</si>
  <si>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</si>
  <si>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</si>
  <si>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</si>
  <si>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</si>
  <si>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</si>
  <si>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</si>
  <si>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</si>
  <si>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</si>
  <si>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</si>
  <si>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</si>
  <si>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</si>
  <si>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</si>
  <si>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</si>
  <si>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</si>
  <si>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</si>
  <si>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</si>
  <si>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</si>
  <si>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</si>
  <si>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</si>
  <si>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</si>
  <si>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</si>
  <si>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</si>
  <si>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</si>
  <si>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</si>
  <si>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</si>
  <si>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</si>
  <si>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</si>
  <si>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</si>
  <si>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</si>
  <si>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</si>
  <si>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</si>
  <si>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</si>
  <si>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</si>
  <si>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</si>
  <si>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</si>
  <si>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</si>
  <si>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</si>
  <si>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</si>
  <si>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</si>
  <si>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</si>
  <si>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</si>
  <si>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</si>
  <si>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</si>
  <si>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</si>
  <si>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</si>
  <si>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</si>
  <si>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</si>
  <si>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</si>
  <si>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</si>
  <si>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</si>
  <si>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</si>
  <si>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</si>
  <si>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</si>
  <si>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</si>
  <si>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</si>
  <si>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</si>
  <si>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</si>
  <si>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</si>
  <si>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</si>
  <si>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</si>
  <si>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</si>
  <si>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</si>
  <si>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</si>
  <si>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</si>
  <si>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</si>
  <si>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</si>
  <si>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</si>
  <si>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</si>
  <si>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</si>
  <si>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</si>
  <si>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</si>
  <si>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</si>
  <si>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</si>
  <si>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</si>
  <si>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</si>
  <si>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</si>
  <si>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</si>
  <si>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</si>
  <si>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</si>
  <si>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</si>
  <si>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</si>
  <si>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</si>
  <si>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</si>
  <si>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</si>
  <si>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</si>
  <si>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</si>
  <si>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</si>
  <si>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</si>
  <si>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</si>
  <si>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</si>
  <si>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</si>
  <si>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</si>
  <si>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</si>
  <si>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</si>
  <si>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</si>
  <si>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</si>
  <si>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</si>
  <si>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</si>
  <si>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</si>
  <si>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</si>
  <si>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</si>
  <si>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</si>
  <si>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</si>
  <si>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</si>
  <si>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</si>
  <si>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</si>
  <si>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</si>
  <si>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</si>
  <si>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</si>
  <si>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</si>
  <si>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</si>
  <si>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</si>
  <si>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</si>
  <si>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</si>
  <si>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</si>
  <si>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</si>
  <si>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</si>
  <si>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</si>
  <si>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</si>
  <si>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</si>
  <si>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</si>
  <si>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</si>
  <si>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</si>
  <si>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</si>
  <si>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</si>
  <si>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</si>
  <si>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</si>
  <si>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</si>
  <si>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</si>
  <si>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</si>
  <si>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</si>
  <si>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</si>
  <si>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</si>
  <si>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</si>
  <si>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</si>
  <si>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</si>
  <si>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</si>
  <si>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</si>
  <si>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</si>
  <si>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</si>
  <si>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</si>
  <si>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</si>
  <si>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</si>
  <si>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</si>
  <si>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</si>
  <si>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</si>
  <si>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</si>
  <si>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</si>
  <si>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</si>
  <si>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</si>
  <si>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</si>
  <si>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</si>
  <si>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</si>
  <si>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</si>
  <si>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</si>
  <si>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</si>
  <si>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</si>
  <si>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</si>
  <si>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</si>
  <si>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</si>
  <si>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</si>
  <si>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</si>
  <si>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</si>
  <si>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</si>
  <si>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</si>
  <si>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</si>
  <si>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</si>
  <si>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</si>
  <si>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(p)</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</si>
  <si>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</si>
  <si>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</si>
  <si>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</si>
  <si>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</si>
  <si>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</si>
  <si>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</si>
  <si>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</si>
  <si>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</si>
  <si>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</si>
  <si>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</si>
  <si>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</si>
  <si>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</si>
  <si>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</si>
  <si>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</si>
  <si>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</si>
  <si>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</si>
  <si>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</si>
  <si>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</si>
  <si>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</si>
  <si>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</si>
  <si>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</si>
  <si>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</si>
  <si>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</si>
  <si>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</si>
  <si>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</si>
  <si>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</si>
  <si>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</si>
  <si>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</si>
  <si>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</si>
  <si>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</si>
  <si>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</si>
  <si>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</si>
  <si>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</si>
  <si>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</si>
  <si>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</si>
  <si>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</si>
  <si>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</si>
  <si>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</si>
  <si>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</si>
  <si>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</si>
  <si>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</si>
  <si>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</si>
  <si>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</si>
  <si>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</si>
  <si>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</si>
  <si>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</si>
  <si>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</si>
  <si>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</si>
  <si>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</si>
  <si>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</si>
  <si>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</si>
  <si>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</si>
  <si>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</si>
  <si>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</si>
  <si>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</si>
  <si>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</si>
  <si>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</si>
  <si>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</si>
  <si>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</si>
  <si>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</si>
  <si>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(o)</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</si>
  <si>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</si>
  <si>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</si>
  <si>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</si>
  <si>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</si>
  <si>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</si>
  <si>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</si>
  <si>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</si>
  <si>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</si>
  <si>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</si>
  <si>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</si>
  <si>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</si>
  <si>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</si>
  <si>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</si>
  <si>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</si>
  <si>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</si>
  <si>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</si>
  <si>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</si>
  <si>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</si>
  <si>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</si>
  <si>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</si>
  <si>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</si>
  <si>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</si>
  <si>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</si>
  <si>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</si>
  <si>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FY 2019-20*</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</si>
  <si>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</si>
  <si>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</si>
  <si>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</si>
  <si>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</si>
  <si>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</si>
  <si>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</si>
  <si>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</si>
  <si>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</si>
  <si>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</si>
  <si>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</si>
  <si>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</si>
  <si>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</si>
  <si>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</si>
  <si>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</si>
  <si>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</si>
  <si>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</si>
  <si>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</si>
  <si>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</si>
  <si>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</si>
  <si>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</si>
  <si>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</si>
  <si>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</si>
  <si>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</si>
  <si>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</si>
  <si>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</si>
  <si>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</si>
  <si>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</si>
  <si>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</si>
  <si>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</si>
  <si>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</si>
  <si>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</si>
  <si>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</si>
  <si>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</si>
  <si>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</si>
  <si>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</si>
  <si>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</si>
  <si>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</si>
  <si>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</si>
  <si>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</si>
  <si>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</si>
  <si>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</si>
  <si>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</si>
  <si>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</si>
  <si>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</si>
  <si>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</si>
  <si>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</si>
  <si>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</si>
  <si>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</si>
  <si>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</si>
  <si>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</si>
  <si>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</si>
  <si>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</si>
  <si>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</si>
  <si>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</si>
  <si>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</si>
  <si>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</si>
  <si>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Scheduled PLF during the month (%)</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</si>
  <si>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</si>
  <si>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</si>
  <si>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</si>
  <si>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</si>
  <si>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</si>
  <si>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</si>
  <si>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</si>
  <si>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</si>
  <si>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</si>
  <si>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</si>
  <si>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</si>
  <si>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</si>
  <si>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</si>
  <si>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</si>
  <si>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</si>
  <si>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</si>
  <si>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</si>
  <si>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</si>
  <si>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</si>
  <si>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</si>
  <si>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</si>
  <si>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</si>
  <si>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</si>
  <si>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</si>
  <si>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</si>
  <si>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</si>
  <si>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</si>
  <si>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</si>
  <si>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</si>
  <si>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</si>
  <si>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</si>
  <si>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</si>
  <si>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</si>
  <si>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</si>
  <si>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</si>
  <si>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</si>
  <si>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</si>
  <si>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</si>
  <si>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</si>
  <si>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</si>
  <si>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</si>
  <si>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</si>
  <si>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MYT Petition Formats for Bhusawal Unit 3</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</si>
  <si>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</si>
  <si>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</si>
  <si>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</si>
  <si>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</si>
  <si>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</si>
  <si>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</si>
  <si>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</si>
  <si>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</si>
  <si>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</si>
  <si>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</si>
  <si>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</si>
  <si>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</si>
  <si>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</si>
  <si>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</si>
  <si>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</si>
  <si>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</si>
  <si>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</si>
  <si>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</si>
  <si>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</si>
  <si>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</si>
  <si>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</si>
  <si>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</si>
  <si>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</si>
  <si>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</si>
  <si>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</si>
  <si>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</si>
  <si>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</si>
  <si>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</si>
  <si>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</si>
  <si>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</si>
  <si>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</si>
  <si>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</si>
  <si>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</si>
  <si>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</si>
  <si>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</si>
  <si>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</si>
  <si>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</si>
  <si>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</si>
  <si>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</si>
  <si>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</si>
  <si>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</si>
  <si>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</si>
  <si>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</si>
  <si>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</si>
  <si>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</si>
  <si>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</si>
  <si>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</si>
  <si>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</si>
  <si>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</si>
  <si>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</si>
  <si>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</si>
  <si>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</si>
  <si>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</si>
  <si>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</si>
  <si>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</si>
  <si>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</si>
  <si>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</si>
  <si>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</si>
  <si>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</si>
  <si>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</si>
  <si>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</si>
  <si>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</si>
  <si>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</si>
  <si>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</si>
  <si>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</si>
  <si>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</si>
  <si>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</si>
  <si>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</si>
  <si>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</si>
  <si>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</si>
  <si>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</si>
  <si>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</si>
  <si>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</si>
  <si>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</si>
  <si>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</si>
  <si>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</si>
  <si>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</si>
  <si>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</si>
  <si>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</si>
  <si>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</si>
  <si>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</si>
  <si>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</si>
  <si>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</si>
  <si>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</si>
  <si>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</si>
  <si>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</si>
  <si>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</si>
  <si>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</si>
  <si>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</si>
  <si>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</si>
  <si>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</si>
  <si>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</si>
  <si>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</si>
  <si>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</si>
  <si>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</si>
  <si>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</si>
  <si>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</si>
  <si>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</si>
  <si>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</si>
  <si>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</si>
  <si>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</si>
  <si>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</si>
  <si>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</si>
  <si>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</si>
  <si>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</si>
  <si>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</si>
  <si>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</si>
  <si>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</si>
  <si>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</si>
  <si>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</si>
  <si>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</si>
  <si>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</si>
  <si>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</si>
  <si>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</si>
  <si>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</si>
  <si>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</si>
  <si>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</si>
  <si>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</si>
  <si>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</si>
  <si>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</si>
  <si>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</si>
  <si>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</si>
  <si>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</si>
  <si>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</si>
  <si>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</si>
  <si>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</si>
  <si>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</si>
  <si>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</si>
  <si>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</si>
  <si>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</si>
  <si>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</si>
  <si>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</si>
  <si>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</si>
  <si>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</si>
  <si>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</si>
  <si>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</si>
  <si>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</si>
  <si>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</si>
  <si>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</si>
  <si>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</si>
  <si>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</si>
  <si>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</si>
  <si>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</si>
  <si>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</si>
  <si>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</si>
  <si>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</si>
  <si>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</si>
  <si>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</si>
  <si>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</si>
  <si>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MTR Petition Formats - Generation</t>
  </si>
  <si>
    <t>DPR</t>
  </si>
  <si>
    <t>Date of Submission</t>
  </si>
  <si>
    <t xml:space="preserve">Cost as per DPR  Crs. </t>
  </si>
  <si>
    <t>Old Asset retired against capitalised item (in Rs. Cr)</t>
  </si>
  <si>
    <t>Current Status</t>
  </si>
  <si>
    <t>N.A.</t>
  </si>
  <si>
    <t>Not Initiated</t>
  </si>
  <si>
    <t>Scheme</t>
  </si>
  <si>
    <t>WIP</t>
  </si>
  <si>
    <t>Non-DPR</t>
  </si>
  <si>
    <t>Capitalised</t>
  </si>
  <si>
    <t>Cancelled</t>
  </si>
  <si>
    <t>To be cancelled</t>
  </si>
  <si>
    <t>To be confirmed</t>
  </si>
  <si>
    <t>HO
DPR-5</t>
  </si>
  <si>
    <t>Procurement of energy efficient HT motors at Bhusawal TPS, Koradi TPS, Chandrapur TPS, khaperkheda TPS, Parli TPS &amp; Paras TPS as insurance spares</t>
  </si>
  <si>
    <t>MERC/TECH 1/CAPEX/20142015/01218</t>
  </si>
  <si>
    <t>Supply, Installation, Commissioning and Operation &amp; Maintenance Services of Continuous Ambient Air Quality Monitoring Stations (CAAQMS) at various TPS</t>
  </si>
  <si>
    <t>MERC/CAPEX/20162017/00423</t>
  </si>
  <si>
    <t>HO
DPR 7</t>
  </si>
  <si>
    <t>Installation of Real Time Online Coal-Ash Analyzer at various TPS</t>
  </si>
  <si>
    <t>MERC/CAPEX/20162017/00774</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</si>
  <si>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</si>
  <si>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</si>
  <si>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</si>
  <si>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</si>
  <si>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</si>
  <si>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</si>
  <si>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</si>
  <si>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</si>
  <si>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</si>
  <si>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</si>
  <si>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</si>
  <si>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</si>
  <si>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</si>
  <si>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</si>
  <si>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</si>
  <si>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</si>
  <si>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</si>
  <si>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</si>
  <si>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</si>
  <si>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</si>
  <si>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</si>
  <si>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</si>
  <si>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</si>
  <si>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</si>
  <si>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</si>
  <si>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</si>
  <si>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</si>
  <si>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</si>
  <si>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</si>
  <si>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</si>
  <si>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</si>
  <si>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</si>
  <si>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</si>
  <si>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</si>
  <si>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</si>
  <si>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</si>
  <si>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</si>
  <si>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</si>
  <si>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</si>
  <si>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</si>
  <si>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</si>
  <si>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</si>
  <si>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</si>
  <si>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</si>
  <si>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</si>
  <si>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</si>
  <si>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</si>
  <si>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</si>
  <si>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</si>
  <si>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</si>
  <si>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</si>
  <si>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</si>
  <si>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</si>
  <si>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</si>
  <si>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</si>
  <si>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</si>
  <si>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</si>
  <si>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</si>
  <si>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</si>
  <si>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</si>
  <si>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</si>
  <si>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</si>
  <si>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</si>
  <si>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</si>
  <si>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</si>
  <si>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</si>
  <si>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</si>
  <si>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</si>
  <si>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</si>
  <si>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</si>
  <si>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</si>
  <si>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</si>
  <si>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</si>
  <si>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</si>
  <si>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</si>
  <si>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</si>
  <si>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</si>
  <si>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</si>
  <si>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</si>
  <si>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</si>
  <si>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</si>
  <si>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</si>
  <si>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</si>
  <si>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</si>
  <si>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</si>
  <si>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</si>
  <si>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</si>
  <si>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</si>
  <si>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</si>
  <si>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</si>
  <si>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</si>
  <si>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</si>
  <si>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</si>
  <si>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</si>
  <si>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</si>
  <si>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</si>
  <si>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</si>
  <si>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Net Revenue Requirement</t>
  </si>
  <si>
    <t>MYT Petition Formats for Parli Units 6 &amp; 7</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</si>
  <si>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</si>
  <si>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</si>
  <si>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</si>
  <si>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</si>
  <si>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</si>
  <si>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</si>
  <si>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</si>
  <si>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</si>
  <si>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</si>
  <si>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</si>
  <si>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</si>
  <si>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</si>
  <si>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</si>
  <si>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</si>
  <si>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</si>
  <si>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</si>
  <si>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</si>
  <si>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</si>
  <si>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</si>
  <si>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</si>
  <si>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</si>
  <si>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</si>
  <si>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</si>
  <si>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</si>
  <si>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</si>
  <si>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</si>
  <si>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</si>
  <si>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</si>
  <si>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</si>
  <si>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</si>
  <si>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</si>
  <si>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</si>
  <si>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</si>
  <si>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</si>
  <si>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Form 5.1 (E): Assets &amp; Depreciation- Existing Schemes (CoD on or before the March 31, 2025 or Assets in-principally approved  before the notification of MERC MYT Regulations 2024)</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</si>
  <si>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</si>
  <si>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</si>
  <si>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</si>
  <si>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</si>
  <si>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</si>
  <si>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</si>
  <si>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</si>
  <si>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</si>
  <si>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</si>
  <si>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</si>
  <si>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</si>
  <si>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</si>
  <si>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</si>
  <si>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</si>
  <si>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</si>
  <si>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</si>
  <si>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</si>
  <si>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</si>
  <si>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</si>
  <si>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</si>
  <si>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</si>
  <si>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</si>
  <si>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</si>
  <si>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</si>
  <si>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</si>
  <si>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</si>
  <si>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</si>
  <si>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</si>
  <si>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</si>
  <si>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</si>
  <si>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</si>
  <si>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</si>
  <si>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</si>
  <si>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</si>
  <si>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</si>
  <si>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</si>
  <si>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</si>
  <si>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</si>
  <si>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</si>
  <si>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</si>
  <si>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</si>
  <si>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</si>
  <si>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</si>
  <si>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</si>
  <si>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</si>
  <si>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</si>
  <si>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</si>
  <si>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</si>
  <si>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</si>
  <si>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</si>
  <si>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</si>
  <si>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</si>
  <si>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</si>
  <si>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</si>
  <si>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</si>
  <si>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</si>
  <si>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</si>
  <si>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</si>
  <si>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</si>
  <si>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</si>
  <si>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</si>
  <si>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</si>
  <si>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</si>
  <si>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</si>
  <si>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</si>
  <si>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</si>
  <si>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</si>
  <si>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</si>
  <si>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</si>
  <si>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</si>
  <si>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</si>
  <si>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</si>
  <si>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</si>
  <si>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</si>
  <si>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</si>
  <si>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</si>
  <si>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</si>
  <si>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</si>
  <si>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</si>
  <si>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</si>
  <si>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</si>
  <si>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</si>
  <si>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</si>
  <si>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</si>
  <si>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</si>
  <si>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</si>
  <si>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</si>
  <si>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</si>
  <si>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</si>
  <si>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</si>
  <si>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</si>
  <si>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</si>
  <si>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</si>
  <si>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</si>
  <si>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</si>
  <si>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</si>
  <si>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</si>
  <si>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</si>
  <si>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</si>
  <si>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</si>
  <si>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</si>
  <si>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</si>
  <si>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</si>
  <si>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</si>
  <si>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</si>
  <si>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</si>
  <si>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</si>
  <si>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</si>
  <si>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</si>
  <si>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</si>
  <si>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</si>
  <si>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</si>
  <si>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</si>
  <si>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</si>
  <si>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</si>
  <si>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</si>
  <si>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</si>
  <si>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</si>
  <si>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</si>
  <si>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</si>
  <si>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</si>
  <si>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</si>
  <si>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</si>
  <si>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</si>
  <si>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</si>
  <si>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</si>
  <si>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</si>
  <si>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</si>
  <si>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</si>
  <si>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</si>
  <si>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</si>
  <si>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</si>
  <si>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</si>
  <si>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</si>
  <si>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</si>
  <si>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</si>
  <si>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</si>
  <si>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</si>
  <si>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</si>
  <si>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</si>
  <si>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</si>
  <si>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</si>
  <si>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</si>
  <si>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</si>
  <si>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</si>
  <si>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</si>
  <si>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</si>
  <si>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</si>
  <si>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</si>
  <si>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</si>
  <si>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</si>
  <si>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</si>
  <si>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</si>
  <si>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</si>
  <si>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</si>
  <si>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</si>
  <si>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</si>
  <si>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</si>
  <si>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</si>
  <si>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</si>
  <si>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</si>
  <si>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</si>
  <si>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</si>
  <si>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</si>
  <si>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</si>
  <si>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</si>
  <si>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</si>
  <si>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</si>
  <si>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</si>
  <si>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</si>
  <si>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</si>
  <si>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</si>
  <si>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</si>
  <si>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</si>
  <si>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</si>
  <si>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</si>
  <si>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</si>
  <si>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</si>
  <si>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</si>
  <si>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</si>
  <si>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</si>
  <si>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</si>
  <si>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</si>
  <si>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</si>
  <si>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</si>
  <si>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</si>
  <si>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</si>
  <si>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</si>
  <si>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</si>
  <si>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</si>
  <si>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</si>
  <si>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</si>
  <si>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</si>
  <si>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</si>
  <si>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</si>
  <si>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</si>
  <si>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</si>
  <si>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</si>
  <si>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</si>
  <si>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</si>
  <si>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</si>
  <si>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</si>
  <si>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</si>
  <si>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</si>
  <si>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</si>
  <si>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</si>
  <si>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</si>
  <si>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</si>
  <si>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</si>
  <si>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</si>
  <si>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</si>
  <si>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</si>
  <si>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</si>
  <si>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</si>
  <si>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</si>
  <si>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</si>
  <si>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</si>
  <si>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</si>
  <si>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</si>
  <si>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</si>
  <si>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</si>
  <si>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</si>
  <si>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</si>
  <si>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</si>
  <si>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</si>
  <si>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</si>
  <si>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</si>
  <si>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</si>
  <si>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</si>
  <si>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</si>
  <si>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</si>
  <si>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</si>
  <si>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</si>
  <si>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</si>
  <si>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</si>
  <si>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</si>
  <si>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</si>
  <si>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</si>
  <si>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</si>
  <si>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</si>
  <si>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</si>
  <si>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</si>
  <si>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</si>
  <si>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</si>
  <si>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</si>
  <si>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</si>
  <si>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</si>
  <si>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</si>
  <si>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</si>
  <si>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</si>
  <si>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</si>
  <si>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</si>
  <si>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</si>
  <si>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</si>
  <si>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</si>
  <si>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</si>
  <si>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</si>
  <si>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</si>
  <si>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</si>
  <si>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</si>
  <si>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</si>
  <si>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</si>
  <si>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</si>
  <si>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</si>
  <si>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</si>
  <si>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</si>
  <si>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</si>
  <si>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</si>
  <si>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</si>
  <si>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</si>
  <si>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</si>
  <si>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</si>
  <si>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</si>
  <si>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</si>
  <si>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</si>
  <si>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</si>
  <si>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</si>
  <si>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</si>
  <si>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</si>
  <si>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</si>
  <si>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</si>
  <si>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</si>
  <si>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</si>
  <si>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</si>
  <si>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</si>
  <si>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</si>
  <si>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</si>
  <si>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</si>
  <si>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</si>
  <si>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</si>
  <si>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</si>
  <si>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</si>
  <si>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</si>
  <si>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</si>
  <si>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</si>
  <si>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</si>
  <si>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</si>
  <si>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</si>
  <si>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</si>
  <si>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</si>
  <si>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</si>
  <si>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</si>
  <si>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</si>
  <si>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</si>
  <si>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</si>
  <si>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</si>
  <si>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</si>
  <si>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</si>
  <si>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</si>
  <si>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</si>
  <si>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</si>
  <si>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</si>
  <si>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Not Applicable</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</si>
  <si>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</si>
  <si>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</si>
  <si>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</si>
  <si>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</si>
  <si>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</si>
  <si>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</si>
  <si>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</si>
  <si>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</si>
  <si>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</si>
  <si>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</si>
  <si>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</si>
  <si>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</si>
  <si>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</si>
  <si>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</si>
  <si>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</si>
  <si>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</si>
  <si>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</si>
  <si>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</si>
  <si>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</si>
  <si>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</si>
  <si>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</si>
  <si>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</si>
  <si>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</si>
  <si>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</si>
  <si>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</si>
  <si>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</si>
  <si>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</si>
  <si>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</si>
  <si>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</si>
  <si>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</si>
  <si>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</si>
  <si>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</si>
  <si>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</si>
  <si>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</si>
  <si>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</si>
  <si>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</si>
  <si>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</si>
  <si>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</si>
  <si>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</si>
  <si>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</si>
  <si>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</si>
  <si>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</si>
  <si>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</si>
  <si>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</si>
  <si>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</si>
  <si>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</si>
  <si>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</si>
  <si>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</si>
  <si>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</si>
  <si>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</si>
  <si>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</si>
  <si>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</si>
  <si>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</si>
  <si>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</si>
  <si>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</si>
  <si>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</si>
  <si>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</si>
  <si>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</si>
  <si>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</si>
  <si>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</si>
  <si>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(u)=(q)+(r)</t>
  </si>
  <si>
    <t>(q) = (m)+(n)-(o)-(p)</t>
  </si>
  <si>
    <t>(m) = (i)+(j)-(k)-(l)</t>
  </si>
  <si>
    <t>Form 5.1 (N): Assets &amp; Depreciation - New Schemes  (not covered under Existing Assets)</t>
  </si>
  <si>
    <t xml:space="preserve">Form 5= Form 5.1 (E) + Form 5.1 (N) : Total Assets &amp; Depreciation for assets </t>
  </si>
  <si>
    <t>(ac)</t>
  </si>
  <si>
    <t>(ad)</t>
  </si>
  <si>
    <t>(ae)</t>
  </si>
  <si>
    <t>(af)</t>
  </si>
  <si>
    <t>(ag) = (ac)+(ad)-(ae)-(af)</t>
  </si>
  <si>
    <t>Admin building Rent (Treatment is different as per IND AS)</t>
  </si>
  <si>
    <t>Calorific Value (As Fired) imported</t>
  </si>
  <si>
    <t xml:space="preserve">Supplementary bill </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</si>
  <si>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</si>
  <si>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</si>
  <si>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</si>
  <si>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</si>
  <si>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</si>
  <si>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</si>
  <si>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</si>
  <si>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</si>
  <si>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</si>
  <si>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</si>
  <si>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</si>
  <si>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</si>
  <si>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</si>
  <si>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</si>
  <si>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</si>
  <si>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</si>
  <si>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</si>
  <si>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</si>
  <si>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</si>
  <si>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</si>
  <si>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</si>
  <si>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</si>
  <si>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</si>
  <si>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</si>
  <si>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</si>
  <si>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</si>
  <si>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</si>
  <si>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</si>
  <si>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</si>
  <si>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</si>
  <si>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</si>
  <si>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</si>
  <si>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</si>
  <si>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</si>
  <si>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</si>
  <si>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</si>
  <si>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</si>
  <si>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</si>
  <si>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</si>
  <si>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</si>
  <si>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</si>
  <si>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</si>
  <si>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</si>
  <si>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</si>
  <si>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</si>
  <si>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</si>
  <si>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</si>
  <si>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</si>
  <si>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</si>
  <si>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</si>
  <si>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</si>
  <si>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</si>
  <si>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</si>
  <si>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</si>
  <si>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</si>
  <si>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</si>
  <si>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</si>
  <si>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</si>
  <si>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</si>
  <si>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</si>
  <si>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</si>
  <si>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</si>
  <si>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</si>
  <si>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</si>
  <si>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</si>
  <si>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</si>
  <si>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</si>
  <si>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</si>
  <si>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</si>
  <si>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</si>
  <si>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</si>
  <si>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</si>
  <si>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</si>
  <si>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</si>
  <si>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</si>
  <si>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Interest on Loan Capital - HO Assets</t>
  </si>
  <si>
    <t>Add: Return on Equity Capital - HO Assets</t>
  </si>
  <si>
    <t>Ammonia Consumption and Cost of SCR system</t>
  </si>
  <si>
    <t>Sp. Ammonia Req. (g/kWh)</t>
  </si>
  <si>
    <t>Total Ammonia Req. (T)</t>
  </si>
  <si>
    <t>Ammonia Cost per Ton</t>
  </si>
  <si>
    <t>Total Ammonia Cost (Rs.Cr)</t>
  </si>
  <si>
    <t>Total Variable Cost - ECS</t>
  </si>
  <si>
    <t>Parli Unit 6-7</t>
  </si>
  <si>
    <t>MSEDCL - H1</t>
  </si>
  <si>
    <t>MSEDCL - H2</t>
  </si>
  <si>
    <t>Calorific Value (As Fired) Raw+Washed</t>
  </si>
  <si>
    <t>Actual stacking loss (wt. Average)</t>
  </si>
  <si>
    <t>MTR Order*</t>
  </si>
  <si>
    <t>(c )</t>
  </si>
  <si>
    <t>(d) = (c) - (b)</t>
  </si>
  <si>
    <t>(h) = (g) - (f)</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</si>
  <si>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</si>
  <si>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</si>
  <si>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</si>
  <si>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MSPGCL: Parli 6-7</t>
  </si>
  <si>
    <t>Partially Capitalized</t>
  </si>
  <si>
    <t>Actual Capex till FY 2021-22</t>
  </si>
  <si>
    <t xml:space="preserve"> Actual </t>
  </si>
  <si>
    <t xml:space="preserve"> Revised Projected </t>
  </si>
  <si>
    <t>Actual Progress till FY 2021-22</t>
  </si>
  <si>
    <t>Actual Capitalization till FY 2021-22</t>
  </si>
  <si>
    <t>DPR Schemes</t>
  </si>
  <si>
    <t>(i) Submitted to MERC</t>
  </si>
  <si>
    <t>Arrangement for permanent water supply scheme for Parli TPS from Majalgaon Dam through Majalgaon Lift Irrigation scheme (Loni / Savangi)</t>
  </si>
  <si>
    <t>MERC/TECH 1/CAPEX/20122013/00500</t>
  </si>
  <si>
    <t>Rs. 142 Cr deposited to WRD against Rs. 199.86 Cr.
About 55% Work completed, but the scheme is temporarily stopped by WRD as per MoM of Hon'ble Water Supply Minister, GoM dtd. 22.09.2015</t>
  </si>
  <si>
    <t>Procurement of 250 MW spare HPT Module, IPT Module &amp; LPT Rotor of New Parli TPS</t>
  </si>
  <si>
    <t>MERC/TECH 1/CAPEX/20142015/00362</t>
  </si>
  <si>
    <t>HP Module</t>
  </si>
  <si>
    <t>1. Reduction in Generation Loss as the spare module can be readily installed &amp; machine can be made available for generation in a comparatively very short duration.
2. Reduction in down time at site for replacement of the turbine module (From 67 months to about 1 month)
3. Faster availability of units due to availability of spare turbine module as a “common Pool” spare for TPS, Parli &amp; TPS, Paras.  
4. Improvement in heat rate
Improvement in PLF</t>
  </si>
  <si>
    <t>Material received</t>
  </si>
  <si>
    <t>IP Module</t>
  </si>
  <si>
    <t>LP Rotor</t>
  </si>
  <si>
    <t xml:space="preserve">Procurement of 315 MVA Spare GTR for 250 MW sets at New Parli &amp; New Paras TPS </t>
  </si>
  <si>
    <t>MERC/TECH 1/CAPEX/20142015/001</t>
  </si>
  <si>
    <t>Procurement of 250 MVA Spare GTR</t>
  </si>
  <si>
    <t>1.Reduction in down time for replacement
2.Reduction in Generation Loss .</t>
  </si>
  <si>
    <t>Construction of Concrete Roads &amp; Spare Generator Transformer Foundation at Parli TPS</t>
  </si>
  <si>
    <t>MERC/CAPEX/20162017/01172</t>
  </si>
  <si>
    <t>Construction of concrete road from Gangakhed road to entrance of unit no.6,7 at NPTPS Parli V.</t>
  </si>
  <si>
    <t>31.08.2019/
12.02.2018</t>
  </si>
  <si>
    <t>Work completed</t>
  </si>
  <si>
    <t>Construction of internal concrete roads within premises of Unit 6 and 7.</t>
  </si>
  <si>
    <t>30.04.2019/
31.01.2020/
31.12.2020</t>
  </si>
  <si>
    <t>Construction of spare generator transformer foundation of Unit No. 6,7 at NPTPS Parli-V &amp; Paras TPS</t>
  </si>
  <si>
    <t>Installation of spare GTR will help for improvement in smooth running of plant without loss of generation  in case of outage of existing GTR. Repairing down time also reduced</t>
  </si>
  <si>
    <t>Procurement of battery breakers and weigh bridge for Parli Unit 6 &amp; 7</t>
  </si>
  <si>
    <t>MERC/CAPEX/20172018/4711</t>
  </si>
  <si>
    <t>Replacement of 220V station batteries, 360V UPS batteries, 24V DCS batteries , 360V UPS AHP batteries at U6 &amp; U7 NPTPS</t>
  </si>
  <si>
    <t>26.07.2018/
01.08.2018</t>
  </si>
  <si>
    <t>The old battery set completed its useful life and performance is detoriated. The battery set is important for smooth working of DC drives and various control systems and protection systems.also Portects the important auxiliries for heavy damage in case of AC failure to the unit/sation</t>
  </si>
  <si>
    <t>Material received, Work completed</t>
  </si>
  <si>
    <t>Installation of Pit less weighbridge of 100 MT capacity.</t>
  </si>
  <si>
    <t>For proper weighment of Ash &amp; to Increase Revenue, the above scheme is required</t>
  </si>
  <si>
    <t>Procurement of SF 6 Generator Circuit Breaker Type- FKG1X</t>
  </si>
  <si>
    <t>The overall reliability of power plant will increase. GCB availability will increase</t>
  </si>
  <si>
    <t>PR sent to CPA for approval in Jan 2019, PR approval pending due to RR, All compliance sent to HO</t>
  </si>
  <si>
    <t>Procurement of spare VCB’s trolleys.</t>
  </si>
  <si>
    <t xml:space="preserve"> 100% availability of incomer feeders, tie feeders , motor feeders and transformer feeders.                 The overall reliability of power plant will increase.</t>
  </si>
  <si>
    <t>First raising of ash bund from 426 Mtr. To 432 Mtr. Of Dautpur Ash Bund No. 2 for Unit No. 4, 6, 7 &amp; 8 at Parli TPS.</t>
  </si>
  <si>
    <t>MERC/CAPEX/20172018/4703</t>
  </si>
  <si>
    <t>Increase storage capacity of ash bund., minimize air and land pollution and help recovery of water from bund for re utilization.</t>
  </si>
  <si>
    <t>Approved cost including additional cost PO No.4370001423 Date: 27/09/2019</t>
  </si>
  <si>
    <t>Renovation works of colony at Parli TPS</t>
  </si>
  <si>
    <t>MERC/CAPEX/2018-2019/065</t>
  </si>
  <si>
    <t>Colony Renovation / Garden and relation works</t>
  </si>
  <si>
    <t xml:space="preserve">Recreation of colony residents </t>
  </si>
  <si>
    <t>Colony Road work</t>
  </si>
  <si>
    <t xml:space="preserve">Satety of colony residents  </t>
  </si>
  <si>
    <t>Work completed.</t>
  </si>
  <si>
    <t>Colony Water supply, Sanitary and drinage line work</t>
  </si>
  <si>
    <t>Providing hygenic and healthy enviroment to colony residents</t>
  </si>
  <si>
    <t>Mangal Karyalaya and Community Hall work</t>
  </si>
  <si>
    <t>Scheme canceled</t>
  </si>
  <si>
    <t xml:space="preserve">Scheme canceled by MERC </t>
  </si>
  <si>
    <t>Other Civil  works</t>
  </si>
  <si>
    <t>Various Civil Schemes at Parli TPS</t>
  </si>
  <si>
    <t>MERC/CAPEX/20182019/020</t>
  </si>
  <si>
    <t>Repair work of Khadka road from Sangam T point TPS compound wall to Khadka pump house by providing and laying GSB and bituminous macadam surface on existing road at TPS Parli V</t>
  </si>
  <si>
    <t>1)Provide safe &amp; easy access to khadka pump house to the staff who works daily &amp; also to the people whose reside near khadka road.        2)Easy maintenance of water pipe line from Khadka to TPS.                                                        3)Avoid damages to material within the store due to severe weather conditions</t>
  </si>
  <si>
    <t xml:space="preserve">Replacement of old  A.C. / G.I. Sheets by new C.G.I. Sheets  at Unit 4 and 5  TPS Parli Vaijnath                         </t>
  </si>
  <si>
    <t xml:space="preserve">Water supply pipe line  from Way bridge to chummery gate at Old Power House premises TPS Parli   Vaijnath   </t>
  </si>
  <si>
    <t>PO yet not received form Civil-III</t>
  </si>
  <si>
    <t>Providing and fixing colour coated sheets for roofing and cladding of Major Store godowns (3 Nos.) at NPTPS Parli Vaijnath.</t>
  </si>
  <si>
    <t xml:space="preserve">Development of Major store unloading yard by providing RCC grade slab in unit 6 &amp; 7 premises at NPTPS Parli     V.                   </t>
  </si>
  <si>
    <t xml:space="preserve">Work of painting to service building, Main plant building and various Auxillarey buildings of unit No. 6&amp;7 at New Parli Thermal Power Station.         </t>
  </si>
  <si>
    <t>Construction of RCC cabins at various locations in unit No.6&amp;7 premises at NPTPS Parli - V.</t>
  </si>
  <si>
    <t>Procurement &amp; replacement of complete set of Economizer and LTSH upper &amp; lower coils of Unit No. 6 &amp; 7 at Parli TPS</t>
  </si>
  <si>
    <t>MERC/CAPEX/2019-2020/419</t>
  </si>
  <si>
    <t xml:space="preserve">Procurement &amp; replacement of complete set of economizer upper &amp; lower bank coils of Unit No. 6 </t>
  </si>
  <si>
    <t>1)Reduction in boiler tube leakage.                                           2)Reduction in gereration loss                                                        3)Reduction in maintenance cost.                                           4)Improvement in heat absorption by newly installed coils resulting in boiler efficiency.                                                          5)Improvement in heat rate, plant load factor &amp; overall efficiency                                                                      6)To improve overall realability of plant.</t>
  </si>
  <si>
    <t>Procurement &amp; replacement of complete set of LTSH upper &amp; lower bank coils for Parli TPS unit-7</t>
  </si>
  <si>
    <t>Schemes related to enhance the performance of Coal Handling Plant (2 x 250 MW) at Parli TPS</t>
  </si>
  <si>
    <t>MERC/CAPEX/2019-2020/451</t>
  </si>
  <si>
    <t xml:space="preserve">Procurement of 02 Nos. of BD155 Bulldozers for Parli TPS    </t>
  </si>
  <si>
    <t>1)Burning of stacked coal is avoided.
2)Proper formation of coal heaps for stacking.
3)Dozing of coal for bunkering through link conveyor in emergency.</t>
  </si>
  <si>
    <t xml:space="preserve">Procurement of 02 Nos. of Locomotives(800 HP) for Parli TPS    </t>
  </si>
  <si>
    <t>14.12.2021/
24.01.2022</t>
  </si>
  <si>
    <t>1.Availability of coal handling plant will be improved. 
2.Proper coal blending / mixing will be achieved, also the uninterrupted coal flow / bunkering will be maintenance in case of no rake outages and hence savings oil consumption and improvement in generation. 
3.Reduction in demurrage charges on account of excessive detention of coal Rakes
4Maximize the utilization and availability of the CHP.
Reduction in overall maintenance cost.</t>
  </si>
  <si>
    <t>Procurement of Energy Efficient Cartridges of boiler Feed Pumps at Unit # 6 &amp; 7, Girth Gear, Pinion for BBD-4772 Coal Mills &amp; Procurement, Installation, Commissioning of Variable Frequency Drive for Gravimetric Coal Feeders (2X250MW) at Parli TPS</t>
  </si>
  <si>
    <t>MERC/CAPEX/2019-2020/476,
MERC/CAPEX/2019-2020/858</t>
  </si>
  <si>
    <t>01-08-2019,
10-10-2019</t>
  </si>
  <si>
    <t>Procurement &amp; replacement of complete BFP Cartridge for advance class pump model FK-3B-40.</t>
  </si>
  <si>
    <t>06.11.2020/
06.11.2020</t>
  </si>
  <si>
    <r>
      <rPr>
        <sz val="12"/>
        <rFont val="Times New Roman"/>
        <family val="1"/>
      </rPr>
      <t xml:space="preserve">1. Unit No. U#6 - BFP 6A,U#7- BFP7A  (Total 02 Nos) of BFP Cartridges are replaced.                                 </t>
    </r>
    <r>
      <rPr>
        <b/>
        <sz val="12"/>
        <rFont val="Times New Roman"/>
        <family val="1"/>
      </rPr>
      <t>For BFP 6A:</t>
    </r>
    <r>
      <rPr>
        <sz val="12"/>
        <rFont val="Times New Roman"/>
        <family val="1"/>
      </rPr>
      <t xml:space="preserve"> Current is reduced upto 64 Amp. APC is reduced upto 636 kwh. Total annual saving is Rs.1.95 Crs.                                                                   </t>
    </r>
    <r>
      <rPr>
        <b/>
        <sz val="12"/>
        <rFont val="Times New Roman"/>
        <family val="1"/>
      </rPr>
      <t xml:space="preserve">For BFP 7A: </t>
    </r>
    <r>
      <rPr>
        <sz val="12"/>
        <rFont val="Times New Roman"/>
        <family val="1"/>
      </rPr>
      <t>Current is reduced upto 51 Amp. APC is reduced upto 507 kwh. Total annual saving is Rs.1.55 Crs.                                                   2.Increase in BFP loading capacity.
3.Increase in pump efficiency.
4.Increase in availability of BFP.</t>
    </r>
  </si>
  <si>
    <t>Material received in FY 2020-21</t>
  </si>
  <si>
    <t>Procurement of girth gear pinion for BBD-4772 coal mill at Parli TPS &amp; Work Cost for replacement of girth gear, pinion shaft bearing.</t>
  </si>
  <si>
    <t>Not Approved</t>
  </si>
  <si>
    <t>Not approved</t>
  </si>
  <si>
    <t>1.Availability of coal mill.
2.No generation loss due to coal mill non availability.
3.Regular preventive maintenance of all three mill of unit.
Reduce oil consumption.</t>
  </si>
  <si>
    <t>Procurement of VFD up-grade kit for replacement of existing Eddy current clutch drive system.</t>
  </si>
  <si>
    <t>20.01.2023</t>
  </si>
  <si>
    <t>1. After VFD installation work, Total 622 Units saving per day for U#6&amp;7.Previously, Current was 11 A for each feeder but after VFD installation, Current is reduced to 6 Amp. Coal Feeder Dynodrive is removed hence Electrical maintenance problems are reduced by 50% which in turn reduced man handling hours.
2.Increase in coal feeder motor efficiency.
3.Improve stability of plant.
4.Increase in availability of Coal feeder.
5.Availability and reliability of unit increase.</t>
  </si>
  <si>
    <t>Supervision of Installation, erection and commissioning for DT-9 &amp; VFD Upgrade system inclusive of travel charges Boarding and lodging.</t>
  </si>
  <si>
    <t>HMI up-gradation of DCS U-6 &amp; U-7 and Procurement of Assemblies for Reducer Gear box SZN-630 &amp; SBN-630 for BBD-4772 (2 x 250 MW) coal mills at Parli TPS</t>
  </si>
  <si>
    <t>MERC/CAPEX/2019-2020/854</t>
  </si>
  <si>
    <t>Up gradation of MaxDNA DCS system (HMI Up gradation).</t>
  </si>
  <si>
    <t>_</t>
  </si>
  <si>
    <t>1. Emergency due to sudden shutdown/hanging of operating workstations &amp; engineering workstations has reduced due to hardware upgradation of DCS system which in turn has empowered the plant operators and engineers with better control on critical data.
2. Generation loss has been minimized as unnecessary trappings has been avoided due to HMI upgradation.
3. Catastrophic failure of system has minimized, which has increased the plant availability.
4. Advance version of software like report generation, event logger Historian has come with newly upgraded system has greater flexibility for plant optimization. This is helping to represent the plant parameters in proper formats to calculate efficiency &amp; for other critical decision making.
5. Speed of operation/controlling has increased as HMI software is user-friendly. Also, DPU uploading &amp; storian backup activities has become faster due to advance options available than older version.
6. New system is more stable than old one for bug removal.</t>
  </si>
  <si>
    <t xml:space="preserve">Procurement of Spares for Reducer Gear box SZN-630 for BBD-4772 Coal mills of 250MW at Unit 6 </t>
  </si>
  <si>
    <t>24.09.2022</t>
  </si>
  <si>
    <t>1.Availability of coal mill.
2.No generation loss due to coal mill non availability.
3.Regular preventive maintenance of all three mill of unit.
4.Reduce oil consumption.</t>
  </si>
  <si>
    <t>Unit 06 gear box: PO No.4385000216: PO placed material received</t>
  </si>
  <si>
    <t xml:space="preserve">Procurement of Spares for Reducer Gear box SBN-630 for BBD-4772 Coal mills of 250MW at Unit 7 </t>
  </si>
  <si>
    <t>20.08.2022</t>
  </si>
  <si>
    <t xml:space="preserve">Unit 07 Gear box PO.NO.4385000526:                                            PO placed 30/03/22 material received, scheme capitalized     </t>
  </si>
  <si>
    <t>Flue Gas Desulphurization (FGD) System at Unit 6 &amp; 7 Parli TPS</t>
  </si>
  <si>
    <t>MERC/CAPEX/2021-2022/0284</t>
  </si>
  <si>
    <t xml:space="preserve">Flue Gas Desulphurization (FGD) System at Unit 6 &amp; 7 Parli TPS                    </t>
  </si>
  <si>
    <t>HO P &amp; P</t>
  </si>
  <si>
    <t xml:space="preserve">Government of India has been taking necessary action to control environmental pollution from various sources including thermal power plants through regulations framed by the CPCB. Norms for control of emissions from thermal power plants were first notified by Ministry of Environment, recommends an action plan for phased implementation of FGD in all coal based TPPs across the country.  </t>
  </si>
  <si>
    <t xml:space="preserve">Scheme initiated by P&amp;P HO, </t>
  </si>
  <si>
    <t>HO
DPR-5a</t>
  </si>
  <si>
    <t>Parli: Procurement of HT Motors (CHP-I Phase and CEP/CW/ACW-II Phase)for NPTPS U-6&amp;7</t>
  </si>
  <si>
    <t>27.08.2020/
07.09.2021/
22.10.2021</t>
  </si>
  <si>
    <t>To ensure availability of critical auxiliaries &amp; reduction in down time of auxillaries</t>
  </si>
  <si>
    <t xml:space="preserve">PO Placed .                                                                                                             1) CEP, ACW, Conveyor &amp; CW motor received.                                                                                                                  </t>
  </si>
  <si>
    <t>HO
DPR-6</t>
  </si>
  <si>
    <t>HO
DPR-6a</t>
  </si>
  <si>
    <t>NEW PARLI (U-6 &amp; 7)</t>
  </si>
  <si>
    <t>Material received, work completed.</t>
  </si>
  <si>
    <t>HO
DPR 7a</t>
  </si>
  <si>
    <t xml:space="preserve">HO  </t>
  </si>
  <si>
    <t xml:space="preserve">Scheme initiated by HO, </t>
  </si>
  <si>
    <t>HO
DPR 8</t>
  </si>
  <si>
    <t>Replacement of Fire Tenders at Various Power Stations of Mahagenco</t>
  </si>
  <si>
    <t>MERC/CAPEX/20172018/4653</t>
  </si>
  <si>
    <t>HO
DPR 8.1</t>
  </si>
  <si>
    <t>Advance Multipurpose Fire Tender for Parli 6-7</t>
  </si>
  <si>
    <t>As per safety norms</t>
  </si>
  <si>
    <t>Material received.</t>
  </si>
  <si>
    <t>HO
DPR 8.2</t>
  </si>
  <si>
    <t>Normal Multipurpose Fire Tender Parli 6-7</t>
  </si>
  <si>
    <t>HO
DPR 10</t>
  </si>
  <si>
    <t>Implementation of IB recommendations- Civil works at various TPS of Mahagenco</t>
  </si>
  <si>
    <t>MERC/CAPEX/20172018/0177</t>
  </si>
  <si>
    <t>HO
DPR 10a</t>
  </si>
  <si>
    <t>31.08.2019/
04.07.2020/
15.10.2020</t>
  </si>
  <si>
    <t>IB recommendations</t>
  </si>
  <si>
    <t>4370001579/4370001580</t>
  </si>
  <si>
    <t>HO
DPR 15</t>
  </si>
  <si>
    <t>Procurement &amp; Replacement of Complete Sets of Air Pre-heater Baskets at Nashik, Parli &amp; Chandrapur TPS of Mahagenco</t>
  </si>
  <si>
    <t>MERC/CAPEX/2019-2020/643</t>
  </si>
  <si>
    <t>HO
DPR 15a</t>
  </si>
  <si>
    <t>Procurement and Replacement of Complete sets of assembly of baskets for air preheater of type tri-sector APH 27 VI(T) 74” in NTPS unit no. 4 &amp; 5 (210MW). (2 Sets Per Unit)</t>
  </si>
  <si>
    <t>1.Improvement in flue gas temperature &amp; pressure.                                                                         2. Reduction in flue gas outlet temperature by appro. 10^o C will lead to improvement in boiler efficiency by optimizing fuel combustion in boiler and thereby improving heat rate by 6-10 kcal/kwh</t>
  </si>
  <si>
    <t>HO
DPR 16</t>
  </si>
  <si>
    <t>Construction of new Administrative Building for Mahagenco at Vidyut Bhawan, Katol Road, Nagpur</t>
  </si>
  <si>
    <t>MERC/CAPEX/2021-2022/MSPGCL/063</t>
  </si>
  <si>
    <t>HO
DPR 16.1</t>
  </si>
  <si>
    <t>HO
DPR 17</t>
  </si>
  <si>
    <t>Centralized Monitoring Solution</t>
  </si>
  <si>
    <t>MERC/CAPEX/MSPGCL/2023-24/0576</t>
  </si>
  <si>
    <t>HO
DPR 17.1</t>
  </si>
  <si>
    <t>Coal Handling Plant Environment Improvement Schemes at U-6&amp;7 CHP (2X250MW) Parli TPS</t>
  </si>
  <si>
    <t>Yet to be approve</t>
  </si>
  <si>
    <r>
      <t>Scheme-1</t>
    </r>
    <r>
      <rPr>
        <sz val="11"/>
        <color rgb="FF000000"/>
        <rFont val="Calibri"/>
        <family val="2"/>
        <scheme val="minor"/>
      </rPr>
      <t>: Design, Engineering, Manufacturing, Supply, Installation and Commissioning of Dedusting System ( Dust Extraction System) for Crusher House and Bunker House at  Unit -6 &amp; 7 at CHP Parli  TPS.</t>
    </r>
  </si>
  <si>
    <t>1. Reduction in dust emission at crusher house will create healthy working environment for operation &amp; maintenance of CHP auxiliaries.
2. Reduction in dust emission at Bunker House which will keep healthy working environment for coal bunkering. 
3. Reduction in fugitive dust emission.
4. Reduction in coal loss.
5. It will prevent the dust ingress in various parts of auxiliaries like bearings, gearbox etc. Hence reducing the breakdown and thereby system outage.
6. Improvement in  availability of  Coal Handling Plant .
7. Minimum air pollution by reduction in dust emission and better  Ambiance Improvement.
8. It will help to maintain dust emission as per MPCB Norms</t>
  </si>
  <si>
    <r>
      <t>Scheme-2</t>
    </r>
    <r>
      <rPr>
        <sz val="11"/>
        <color rgb="FF000000"/>
        <rFont val="Calibri"/>
        <family val="2"/>
        <scheme val="minor"/>
      </rPr>
      <t>: Supply, Installation, Erection &amp; Commissioning of medium velocity water spray dust suppression system at CHP U-6/7 coal yard Crusher house &amp; Link Conveyor at Parli TPS.</t>
    </r>
  </si>
  <si>
    <t>1. Reduction in dust emission at coal stack yard and will create healthy working environment for operation &amp; maintenance of CHP auxiliaries.
2. Reduction in fugitive dust emission.
3. Reduction in coal loss.
4. It will prevent the dust ingress in various parts of auxiliaries like bearings, gearbox etc. Hence reducing the breakdown and thereby system outage of Stacker Reclaimer.
5. Minimum air pollution by reduction in dust emission and better  Ambiance Improvement.
6. It will help to maintain dust emission as per MPCB Norms
7. Better management of Coal stack yard.</t>
  </si>
  <si>
    <r>
      <t>Scheme-3</t>
    </r>
    <r>
      <rPr>
        <sz val="11"/>
        <color rgb="FF000000"/>
        <rFont val="Calibri"/>
        <family val="2"/>
        <scheme val="minor"/>
      </rPr>
      <t>: Supply, Installation, Commissioning of Fire Hydrant &amp; Spray line above ground around  stacker yard and crusher house, wagon tippler through conveyor belt with DV &amp; DV Shed at CHP U-6/7.</t>
    </r>
  </si>
  <si>
    <t xml:space="preserve">1. Water wastages should be avoided due to frequent leakages of under ground fire fighting lines. 
2. Reduction in dust smoke emission due to coal fire at coal stack yard and will create healthy working environment for operation &amp; maintenance of CHP auxiliaries.
3. Adequate fire fighting line pressure will be maintained. 24 X 7 hours availability of fire fighting lines. 
4. Ease of maintenance by replacement of under ground lines with above ground lines.
5. Better management of Coal stack yard.
6. Better house keeping at Coal stack yard.
7. It will prevent rusting of various structures due to continoues leakages of under ground lines. </t>
  </si>
  <si>
    <r>
      <t>Scheme-4</t>
    </r>
    <r>
      <rPr>
        <sz val="11"/>
        <color rgb="FF000000"/>
        <rFont val="Calibri"/>
        <family val="2"/>
        <scheme val="minor"/>
      </rPr>
      <t>: Design, Manufacturing, Supply, Erection and Commissioning of DRY FOG Dust Suppression system at Wagon Tippler, Conveyor Belt Transfer point at U-6/7 CHP Parli TPS.</t>
    </r>
  </si>
  <si>
    <t>1. Reduction in dust emission at wagon tippler, crusher house, various conveyor points and bunker house  and will create healthy working environment for operation &amp; maintenance of CHP auxiliaries.
2. Reduction in fugitive dust emission.
3. Reduction in coal loss.
4. It will prevent the dust ingress in various parts of auxiliaries like bearings, gearbox etc. Hence reducing the breakdown and thereby system outage of Stacker Reclaimer.
5. Minimum air pollution by reduction in dust emission and better  Ambiance Improvement.
6. It will help to maintain dust emission as per MPCB Norms</t>
  </si>
  <si>
    <t>Coal Mill Performance Improvement Schemes at U-6 &amp; 7 (2 x 250 MW) Parli TPS</t>
  </si>
  <si>
    <r>
      <t>Scheme-1</t>
    </r>
    <r>
      <rPr>
        <sz val="11"/>
        <color rgb="FF000000"/>
        <rFont val="Calibri"/>
        <family val="2"/>
        <scheme val="minor"/>
      </rPr>
      <t>: Procurement And Replacement Of Internals For Reducer Gear Box Szn-630 &amp; Sbn-630 for Bbd-4772 Coal Mills Of 250mw At Unit 6,7  Parli</t>
    </r>
    <r>
      <rPr>
        <b/>
        <sz val="11"/>
        <color rgb="FF000000"/>
        <rFont val="Calibri"/>
        <family val="2"/>
        <scheme val="minor"/>
      </rPr>
      <t xml:space="preserve"> </t>
    </r>
  </si>
  <si>
    <t>1. Availability of coal mill.
2. No generation loss due to coal mill non availability.
3. Regular preventive maintenance of all three mill of unit.
4. Reduce oil consumption.</t>
  </si>
  <si>
    <t>Board resolution received on dtd.27.02.2024. 
MERC denied the in-priciple Approval.
PR No. 1100157262 &amp; 1100157263 is in process.</t>
  </si>
  <si>
    <r>
      <t>Scheme-2</t>
    </r>
    <r>
      <rPr>
        <sz val="11"/>
        <color rgb="FF000000"/>
        <rFont val="Calibri"/>
        <family val="2"/>
        <scheme val="minor"/>
      </rPr>
      <t>: Supply, Replacement, Erection And Installation Of Foundation Deck Springs Assembly (Vibration Isolation System) For Bbd-4772 Coal Mill Of For 250mw Unit-6&amp;7 At Parli Tps..</t>
    </r>
  </si>
  <si>
    <t>1. Reduction in generation loss on account of coal mill
2. Reduction in Auxiliary down time.
3. Availability &amp; Reliability of coal mill get Increased.
4. Reduction in oil consumption</t>
  </si>
  <si>
    <t xml:space="preserve">Board resolution received on dtd.27.02.2024. 
MERC denied the in-priciple Approval.
PR No.1100157280 is in process. </t>
  </si>
  <si>
    <r>
      <t>Scheme-3</t>
    </r>
    <r>
      <rPr>
        <sz val="11"/>
        <color rgb="FF000000"/>
        <rFont val="Calibri"/>
        <family val="2"/>
        <scheme val="minor"/>
      </rPr>
      <t>: Procurement And Installation of Girth Gear And Pinion Of Coal Mill Bbd-4772 For Unit-6,7 At Parli TPS.</t>
    </r>
  </si>
  <si>
    <t xml:space="preserve">Board resolution received on dtd.27.02.2024. 
MERC denied the in-priciple Approval.
PR initiation is in process. </t>
  </si>
  <si>
    <r>
      <t>Scheme-4</t>
    </r>
    <r>
      <rPr>
        <sz val="11"/>
        <color rgb="FF000000"/>
        <rFont val="Calibri"/>
        <family val="2"/>
        <scheme val="minor"/>
      </rPr>
      <t xml:space="preserve">: Procurement And Installation of Drive Shaft Assembly Of Coal Mill BBD-4772 For Unit-6 ,7 At Parli TPS. </t>
    </r>
  </si>
  <si>
    <t>1. Reduction in generation loss on account of coal mill
2. Increase in Coal mill loadability
3. Reduction in Auxiliary down time.
4. Availability &amp; Reliability of coal mill get Increased.
5. Reduction in oil consumption</t>
  </si>
  <si>
    <t xml:space="preserve">Board resolution received on dtd.27.02.2024. 
MERC denied the in-priciple Approval.
PR no.1100157282 is in process. </t>
  </si>
  <si>
    <r>
      <t>Scheme-5</t>
    </r>
    <r>
      <rPr>
        <sz val="11"/>
        <color rgb="FF000000"/>
        <rFont val="Calibri"/>
        <family val="2"/>
        <scheme val="minor"/>
      </rPr>
      <t>: Procurement And Replacement of  Bearing Shell Liner For Bbd-4772 Coal Mills Of 250mw At Unit 6,7  Parli TPS.</t>
    </r>
  </si>
  <si>
    <t>1. Reduction in generation loss on account of Coal mill
2.Reduction in Auxiliary down time.
3.Availability &amp; Reliability of Coal mill get Increased.
4. Reduction in oil consumption</t>
  </si>
  <si>
    <t xml:space="preserve">Board resolution received on dtd.27.02.2024. 
MERC denied the in-priciple Approval.
PR 1100157264 is in process. </t>
  </si>
  <si>
    <t>Administrative building</t>
  </si>
  <si>
    <t>Yet to be approved</t>
  </si>
  <si>
    <t>DPR at MERC for approval</t>
  </si>
  <si>
    <t>Board resolution received DPR sent to MERC for approval, MERC APPROVAL AWAITED</t>
  </si>
  <si>
    <t>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t>
  </si>
  <si>
    <t>1. DPR sent to HO for administrative approval on dtd.25/03/22, Board approval received. DPR sent to MERC for in-priciple approval</t>
  </si>
  <si>
    <t>Refurbishment of spare HPT module (Common pool item) at TM U#6,7 Parli TPS</t>
  </si>
  <si>
    <t>1. Improvement in TG Cycle Heat-rate and Improved HP Turbine efficiency.                                                 2. Force outages will be reduced</t>
  </si>
  <si>
    <t xml:space="preserve"> Design, Erection, Testing &amp; Commissioning of Energy Efficient Air Washer (cooling) System  at Unit 6&amp;7 NPTPS, Parli-V.</t>
  </si>
  <si>
    <t>1. Reduction in overall maintenance cost.
2. Enhance performance of Air Washer (cooling) Plant.
3.Energy efficient system.
4. Temperature is controlled &amp; maintained at 27 deg in all required area.
5. Life of compressor components will improve.
6. Quality &amp; Accuracy of SWAS Lab Samples will improve.
7. Improve Condensate Polishing Unit plant availability.
8. Temperature &amp; Ambience of Battery Room will improve.
9. Reduction in breakdown of HT Motors
10. Reduction in maintenance cost
11. Maximum plant availability
12. Less power consumption.
13. Unnecessary tripping due rise in temperature at ESP LT room will decrease.</t>
  </si>
  <si>
    <t>Upgradation of reciprocating compressor into screw compressor  at U#6</t>
  </si>
  <si>
    <t>1. Required air flow/pressure will be maintained at rated power consumption. 
2. Outage time of compressor after unforeseen failure will be reduced. 
3. Tripping of unit due to unavailability of standby compressor may be avoided, which avoids generation loss and financial loss.</t>
  </si>
  <si>
    <t>Upgradation of existing chiller AC plant for PCR,Service Building,VFD area at NPTPS Parli -V</t>
  </si>
  <si>
    <t>1. New chiller unit fitted with screw compressor will reduce power consumption.
2. This Chiller unit are supplied with ECO-Friendly refrigerant gas R134a.
3. Existing Air Handling unit will be replaced by new Energy efficient air handling units.
4. New chiller unit will reduce operational and maintenance cost.
5. New chiller unit will improve performance.
6. Availability of chiller unit will increase.
7. Improved availability of chiller units will help in avoiding emergency situation and unit tripping and hence generation and financial losses.</t>
  </si>
  <si>
    <t>Covid Related Work</t>
  </si>
  <si>
    <t>U#6,7 Medical02 Oxygen Gr&amp;Cyl Ozonization Plant501</t>
  </si>
  <si>
    <t>17.11.2021</t>
  </si>
  <si>
    <t>Asset received from Project of 6-7</t>
  </si>
  <si>
    <t>16.11.2021</t>
  </si>
  <si>
    <t>Enhanced Land Compensation LAR No-127/2003</t>
  </si>
  <si>
    <t>31.03.2022</t>
  </si>
  <si>
    <t>Assets rec. from Project Boiler Plant and Equipments</t>
  </si>
  <si>
    <t>31.10.2007</t>
  </si>
  <si>
    <t>Assets rec. from Project &amp; CivilBoiler Plant and Equipments</t>
  </si>
  <si>
    <t>31.07.2010</t>
  </si>
  <si>
    <t>Received from project 2010-11 - mechanical works o f Boiler Plant and Equipments</t>
  </si>
  <si>
    <t>Assets Received from project 2010-11 - Ash handling plant</t>
  </si>
  <si>
    <t>31.03.2021</t>
  </si>
  <si>
    <t>Bolero Jeep MH 19 AE 6941</t>
  </si>
  <si>
    <t>31.03.2020</t>
  </si>
  <si>
    <t>Land owned under full title</t>
  </si>
  <si>
    <t>Received from Project 2010-11 - Crane   Hoising Equipment</t>
  </si>
  <si>
    <t>Enhancd Land CompnstnLarNo134/2003 Srvy No3Jlalp</t>
  </si>
  <si>
    <t>03.07.1979</t>
  </si>
  <si>
    <t>Enhancd Land CompnstnLarNo273/2010Sangam Gat24,54,</t>
  </si>
  <si>
    <t>19.12.2003</t>
  </si>
  <si>
    <t>Received from project 2010-11 - mechanical works of Boiler Plant and Equipments</t>
  </si>
  <si>
    <t>Yet to be submitted to MERC</t>
  </si>
  <si>
    <t>Upgradation of PCAL to PADO upgradation Charger, UPS &amp; upgradation of fast bus transfer scheme, Installation, Erection and Commissioning of Mill Fire Detection System at U#6,7, HT motors procurement &amp; PLC upgradation.</t>
  </si>
  <si>
    <t xml:space="preserve">As per MERC regulation tariff wise DPR sen to HO 21.07.2024, Data gaps received 29/08/24; </t>
  </si>
  <si>
    <t>Sent to HO for BR</t>
  </si>
  <si>
    <t xml:space="preserve">Supply, Erection &amp; Commissioning of 24 V,4500 AH Battery Charger at Unit 6&amp;7,220 V,2500 AH Battery Charger at U-6&amp;7, And110 V,400 AH Battery Charger at Khadka, Naikota Pump House, Parli Vaijnath. </t>
  </si>
  <si>
    <t>1. System improvement and reliability of critical 220V DC &amp; 24V DC supply schemes.
2. Drastic reduction in Battery maintenance.
3. Comprehensive Battery System monitoring. 
4. Prolonged Battery life and improved performance.</t>
  </si>
  <si>
    <t xml:space="preserve">Supply, Erection &amp; Commissioning of 80 KVA UPS at U-6&amp;7, Parli Vaijnath. </t>
  </si>
  <si>
    <t>1. Improvement in Operational Performance.
2. Improvement in Process Performance.
3. Improvement in System reliability.</t>
  </si>
  <si>
    <t>Up-gradation of BTS system at Unit 6 &amp; 7 , Parli-Vaijnath.</t>
  </si>
  <si>
    <t>1. Improvement in Operational Performance.
2. Improvement in Process Performance.
3. Improvement in System reliability.
4. Improvement in monitoring of continuous Breaker Trip &amp; Close circuits.
5. The system has standard communication Protocol.
6. The system has advanced Software tools for virtual testing, transfer event upload &amp; SOE facility.</t>
  </si>
  <si>
    <t>Supply Installation, erection, and commissioning of Mill fire detection system at U# 6,7 NPTPS, Parli- V</t>
  </si>
  <si>
    <t>1. Empower the plant operators, chemist engineers with critical data for better control.
2. Reduce repair and maintenance cost by avoiding secondary damages.
3. Increased reliability and stability of process.
4. Procurement of the system will reduce the rate of occurrence of explosion.</t>
  </si>
  <si>
    <t>Upgradation of Existing PCal System with Plant Performance Analysis Diagnostic and   Optimization System (PADO) at Unit - 6,7 New Parli TPS, Parli-V.</t>
  </si>
  <si>
    <t>Replacing PCAL with PADO -Performance, analysis diagnostics&amp; optimization(PADO)IS SUCH AN ONLINE computer sytem which models the power plant by means of balance as well as simulation procedures to a systematic improvement of the plant economy.</t>
  </si>
  <si>
    <t>Upgradation of expired and vulnerable SCADA, Operating System, and Hardware to improve life and communication system of DM Plant and Condenser Polishing Plant Unit 6&amp;7 250 MW at NPTPS Parli V".</t>
  </si>
  <si>
    <t>1. This new system will be more stable than the existing one for bug removal.
2. The possibilities of catastrophic failures are minimum.
3. Microsoft will support for operating system for maximum life cycle.
4. Emergency can be avoided by smooth operation of operating stations by upgradation.
5. Report generation and event logger will come in new format as software’s of upgraded PLC system is newly designed, this will help to represent the plant parameters in proper format to calculate efficiency.</t>
  </si>
  <si>
    <t>Procurement of Energy efficient HT motors at U#6,7, TPS Parli-V</t>
  </si>
  <si>
    <t xml:space="preserve">1.The existing motors have completed fair service life and have been repaired / rewound several times during this period. The motors are in dilapidated condition with increased internal losses, mechanical deterioration etc. Replacement of such motors will definitely result in to reduced failures and ready availability of spare motors for replacement.
	The availability of spare motors will enable periodical overhaul of motors irrespective of unit overhauls as the spare motors can be kept overhauled and replaced even in short outage of units.
	For example, in case of failure of any HT motor of 250 MW unit, the common pool motor is to be brought from other power station which involved transportation. Thus, for restoration of normalcy considerable period is required. If such motor is readily available, the work involved would only be removal and replacement of failed motor. Early restoration of normalcy will add to generation as the unit is brought on bars earlier than what used to be without spare motor.
	Reduced failures will reduce the yearly expenditure on maintenance and rewinding.
	The present-day motors are of energy efficient construction.
	Increased efficiency will result in reduced loading on the old cables and help avoid cable failures/replacements.
	Reduced noise level and vibrations around the running motor.
	Considerable generation loss on account of failure of Coal mill HT motors will be avoided.
	There is considerable saving in auxiliary consumption due to energy efficient HT Motor.
</t>
  </si>
  <si>
    <t>DPR on Supply, Installation, and commissioning of complete Governing rack assembly at Unit -06 &amp; 07 TPS Parli-V &amp; Procurement of LPT inner-inner casing at Unit 07 TPS Parli-V.</t>
  </si>
  <si>
    <t>DPR under preparation</t>
  </si>
  <si>
    <t>Supply, Installation and Commissioning of complete governing rack assembly at Unit-06 TPS ,PARLI-V</t>
  </si>
  <si>
    <t>1. Exact load-frequency droop with high sensitivity.
2. Avoids over speeding of turbine during load throw offs.
3. Adjustment of droop in fine steps, even during on-load operation.
4. Reduces time required for rolling and synchronizing.
5. Reduction in operational and maintenance cost.
6. Fine, smooth, Accurate and safe control of turbine.
7. Improved availability of all turbine controllers to improve generation.
8. Replacement of the old governing rack with new one will provide improved turbine control.
9. Less maintenance resulting in reduced inventory of spares.
10. Improved availability of unit will help in avoiding emergency situation and unit tripping and hence generation and financial losses.
11. Improved PLF.
12. Force outages will be reduced.</t>
  </si>
  <si>
    <t>Procurement of LPT inner-inner casing at Unit- 7 TPS, Parli-V</t>
  </si>
  <si>
    <t>1. Exact load-frequency droop with high sensitivity.
2. Avoids over speeding of turbine during load throw offs.
3. Adjustment of droop in fine steps, even during on-load operation.
4. Reduces time required for rolling and synchronizing.
5. Reduction in operational and maintenance cost.
6. Fine, smooth, Accurate and safe control of turbine.
7. Improved availability of all turbine controllers to improve generation.
8. The replacement of the old governing rack with new one will provide improved turbine control.
9. Less maintenance resulting in reduced inventory of spares.
10. Improved availability of unit will help in avoiding emergency situation and unit tripping and hence generation and financial losses.
11. Improved PLF.
	Force outages will be reduced.</t>
  </si>
  <si>
    <t>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t>
  </si>
  <si>
    <t>Procurement of Energy Efficient Cartridges of Boiler Feed Pumps at Unit #6&amp;7 Parli TPS and BFP booster pumps at Unit 6,7 Parli Vaijnath.</t>
  </si>
  <si>
    <t>1.	Reduction in down time.
2.	Increase in pump efficiency.
3.	Reduction in auxiliary consumption. 
4.	Increase in availability of BFP.
5.	Increase in BFP loading capacity.</t>
  </si>
  <si>
    <t>Refurbishment of existing M/s Jindal make H2 gas Dryer at Unit #6&amp;7 Parli TPS</t>
  </si>
  <si>
    <t>1.	A refurbished H2 Dryer will reduce operational and maintenance costs.
2.	Refurbishment of H2 Dryer will improve performance.
3.	The availability of H2 Dryers will increase.
4.	Life of Dryer components will improve.
5.	Improved availability of H2 Dryers will help in avoiding emergency situations by increasing moisture in H2 and unit tripping and hence generation and financial losses.
6.	Maximum plant availability.</t>
  </si>
  <si>
    <t>Refurbishment of existing M/s Donaldson make Instrument Air Dryer at Unit#6 Parli TPS</t>
  </si>
  <si>
    <t>1.	Replacement of New Dryer will reduce operational and maintenance cost.
2.	Replacement of the old Dryer with new one will reduce auxiliary power consumption.
3.	The availability of dryers will increase.
4.	Improved availability of air dryers will help in avoiding emergency situation and unit tripping and thereby reduce generation and financial losses.
5.	Less maintenance resulting in reduced inventory of spares.  
6.	Material consumption required due to damage caused by moisture to pneumatic systems will be reduced.
7.	Malfunction of pneumatic systems will save tripping of units.</t>
  </si>
  <si>
    <t xml:space="preserve"> Repair and refurbishment of flowmore make ACW pump v.t model 24h/2 stage drawing no. csd/96502082k5(A)&amp; HSC booster pump model fig 5821 size 350 x 300 drawing no. csd/96502082k5(b) at unit#6,7.</t>
  </si>
  <si>
    <t>1.	Refurbished ACW and HSC booster pump will reduce operational and maintenance cost.
2.	Refurbishment of ACW and HSC booster pump will improve performance.
3.	The availability of pumps will increase.
4.	Reduction in auxiliary consumption.
5.	Improved availability of ACW and HSC booster pump will help in avoiding emergency situation and unit tripping and hence generation and financial losses.</t>
  </si>
  <si>
    <t>Bolier Improvement schemes at  U#6,7 Parli TPS</t>
  </si>
  <si>
    <t>Procurment &amp; replacement of Four complete set of APH basket ay U#6 &amp; 7</t>
  </si>
  <si>
    <t>PROCUREMENT &amp; REPLACEMENT OF COAL COMPARATMENT ASSEMBLIES FOR 250 MW UNIT-6 &amp; 7 AT PARLI TPS</t>
  </si>
  <si>
    <t>1. Better combustion due to healthy burner arrangement.
2. Net effect on unit heat rate will be improvement of 5.0 Kcal/kwh. 
3. Availability and Reliability of unit will be increased. 
4. Reduction in generation loss and fuel consumption.
5. Improvement in boiler efficiency.
6. Reduction in BTL due to coal particle erosion.</t>
  </si>
  <si>
    <t>Procurement &amp; replacement  of complete set of Reheater coils for U- 6 &amp; 7</t>
  </si>
  <si>
    <t>Procurement &amp; replacement  of complete set of Platen SH coil for U- 6 &amp; 7</t>
  </si>
  <si>
    <t>Procurement &amp; replacement of  shell liner for U-6&amp;7</t>
  </si>
  <si>
    <t>Procurement &amp; replacement of  FD fan assembly with blade set at U#6,7</t>
  </si>
  <si>
    <t>Bolier plant performance Improvement schemes at  U#6,7 Parli TPS</t>
  </si>
  <si>
    <t xml:space="preserve"> PROCUREMENT &amp; REPLACEMENT OF COAL COMPARATMENT ASSEMBLIES FOR 250 MW UNIT-6 &amp; 7 AT PARLI TPS</t>
  </si>
  <si>
    <t>Procurement &amp; replacement of water wall Z panel &amp; water wall soot blower panel at U#6,7</t>
  </si>
  <si>
    <t>Procurement &amp; Replacement of Two complete set of APH Baskets at 250 MW Unit-7, Parli TPS.</t>
  </si>
  <si>
    <t>ESP Upgradation at U#6,7</t>
  </si>
  <si>
    <t xml:space="preserve"> Procurement &amp; replacement of all emitting coils &amp; collecting plates of ESP &amp; Procurement &amp; replacement of ESP internals at U#6,7 Parli TPS &amp; Replacement of thermal insulation of boiler, ducts &amp; steam piping along with supply</t>
  </si>
  <si>
    <t xml:space="preserve"> Replacement of thermal insulation of boiler, ducts &amp; steam piping along with supply</t>
  </si>
  <si>
    <t>Augmentation of Dautpur &amp; Sandawa premises water recovery system</t>
  </si>
  <si>
    <t>Supply, erection &amp; commissioning of VT pumps for waste water recovery at TM-NPTPS, Parli-V</t>
  </si>
  <si>
    <t>1. The raw water requirement of 3 x 250 MW &amp; colony is @ 72000 M3 per day. Hence by     implementing the proposed scheme raw water consumption will be reduced. 
2. The additional recovered water can be utilized for various Civil purposes. Also, this can be utilized in CHP area for dust suppression system. Presently, the raw water is being utilized for this purpose through Fire Fighting system. This will result in a reduction in consumption of raw water &amp; auxiliary consumption of Fire Fighting system. 
	As ash management will work more efficiently the power generation will considerably enhance.</t>
  </si>
  <si>
    <t>RENOVATION OF ASH WATER RECOVERY SUPPLY SYSTEM INCLUDING ERECTION &amp; COMMISSIONING LT BOARD 11KV/415V SUBSTATION WITH 11KV OH LINE AT SANDWA &amp; DAUTPUR PUMP HOUSE</t>
  </si>
  <si>
    <t>Construction of New Sandwa recovery pump house at NPTPS Parli Vaijnath.</t>
  </si>
  <si>
    <t>DPR on Modification of governing system from low pressure to high pressure at Unit-06 TPS, PARLI-V and Procurement of  CW pumps at Unit 6,7 Parli Vaijnath.</t>
  </si>
  <si>
    <t>Modification of governing system from low pressure to high pressure at Unit-06 TPS, PARLI-V</t>
  </si>
  <si>
    <t>Procurement of  CW pumps at Unit 6,7 Parli Vaijnath</t>
  </si>
  <si>
    <t>DPR on Procurement of  HP, IP and LP Turbine  bladesat Unit 6,7 Parli Vaijnath.</t>
  </si>
  <si>
    <t>Procurement of  HP, IP and LP Turbine  blade set Unit 6,7 Parli Vaijnath.</t>
  </si>
  <si>
    <t>DPR on Procurement of  CEP pumps</t>
  </si>
  <si>
    <t>Procurement of  CEP pumps</t>
  </si>
  <si>
    <t xml:space="preserve">DPR on Retrofitting of NDCT at Unit 6,7 Parli Vaijnath. and Upgradation of existing chiller AC plant for at Unit 7 Parli Vaijnath. </t>
  </si>
  <si>
    <t>Retrofitting of NDCT at Unit 6,7 Parli Vaijnath.</t>
  </si>
  <si>
    <t>Upgradation of existing chiller AC plant for at Unit 7 Parli Vaijnath.</t>
  </si>
  <si>
    <t>DPR on various types of coolers at TPS Parli-Vaijnath</t>
  </si>
  <si>
    <t>Procurement of H2 cooler, BFP coolers, generator exciter cooler, seal oil coolers at Unit 6,7 Parli Vaijnath.</t>
  </si>
  <si>
    <t>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t>
  </si>
  <si>
    <t>Upgradation of screw type compressor at U#7 Parli Vaijnath.</t>
  </si>
  <si>
    <t>Supply, erection &amp; commissioning of Fire Fighting pressure system (pneumatic) at unit 6,7 and 8 at PTPS, Parli-V</t>
  </si>
  <si>
    <t>Procurement of BFP discharge valve, BFP recirculation valve and gland steam inlet / outlet valves at Unit 6,7 Parli Vaijnath.</t>
  </si>
  <si>
    <t>COAL HANDLING PLANT PERFORMANCE IMPROVEMENT BY SYSTEM UPGRADATION  AT Unit 6 ,7 CHP ( 2X 250MW), Parli TPS.</t>
  </si>
  <si>
    <t>Refurbishment of single stream conveyor drives : Procurement of Various types of Gearbox for single stream conveyor drives of 2X 250 MW CHP U6&amp;7 Parli TPS.</t>
  </si>
  <si>
    <t>1. Maximum Coal Handling Plant availability
2. Faster coal wagon Unloading
3. Reduction in maintenance and operational cost.
4. Release of spare time to maintain other auxiliaries.
5. Utilization of rated capacity of conveyor belts
6. Reduction in auxiliary consumption
7. Reduction in breakdown time</t>
  </si>
  <si>
    <t>Refurbishment of single stream conveyor drives : Procurement of Various types of fluid couplings for single stream conveyor drives of 2X 250 MW CHP U6&amp;7 Parli TPS.</t>
  </si>
  <si>
    <t xml:space="preserve">Refurbishment of single stream conveyor drives : Procurement of ENERGY EFFICIENT HT MOTORS for single stream conveyor drives of 2X 250 MW CHP U6&amp;7 Parli TPS.      </t>
  </si>
  <si>
    <t>Refurbishment of single stream conveyor drives :  Procurement of HT vacuum circuit breakers for single stream conveyor drives of 2X 250 MW CHP U6&amp;7 Parli TPS.</t>
  </si>
  <si>
    <t xml:space="preserve">Supply, Erection &amp; Commissioning of street light from U6/7 railway gate to loco shed of CHP U6/7 NPTPS Parli-V </t>
  </si>
  <si>
    <t>1. Smooth movement of loaded and empty coal rakes
2. Safety to manpower 
3. Reduction in load distribution time
4. Help to improve coal unloading rate 
5. Improvement in safe working atmosphere.</t>
  </si>
  <si>
    <t>Strengthening of U-6 Bunkers at CHP NPTPS</t>
  </si>
  <si>
    <t>1. Reduction in Operational and Maintenance cost of Coal feeders.
2. Increase in availability of Coal feeders. 
3. No Generations loss on account of feeder failures due to liner plates.
4. Improvement in smooth coal flow to coal feeders in rainy season.
5. Increase in PLF of Plant.
6. Increase in availability of Plant.</t>
  </si>
  <si>
    <t>Supply and commissioning of Suspended Magnets for U-6,7 CHP NPTPS</t>
  </si>
  <si>
    <t>1. Smooth and uninterrupted operation of CHP. 
2. Maximize the utilization and availability of the CHP. 
3. Reduction in maintenance and belt failure cost of conveyors. Increase in coal wagon unloading rate.
4. Improved coal mill availability.
5. Improved conveyor belt availability.</t>
  </si>
  <si>
    <t>Modification of 60 KG rail track with laying crossover turnout at NMVP sliding CHP NPTPS</t>
  </si>
  <si>
    <t>1. Minimum time for wagon shifting from one wagon Tippler to other Tippler
2. Faster coal unloading rate
3. Reduction in locomotive fuel cost
4. Decrease in demurrage chares
5. Reduction in Rake detention time
6. Spare time for maintenance of other rail lines</t>
  </si>
  <si>
    <t>DPR for normalization and stabilization of coal handling plant performance at Parli TPS</t>
  </si>
  <si>
    <t>Procurement of U-6,7 W/T Major spares</t>
  </si>
  <si>
    <t>U-6/7 Wagon Tipplers are commissioned in the year 2006-07. Since commissioning these Wagon Tipplers are incontinoues service. Major spares like planatory gearbox, Wagon Tippler / Side Arm Charger racks and pinion, clamps, motors etc parts are  detoriated hence replacement is essential to avoid major breakdown and non avaiability of Wagon Tippler / SAC.</t>
  </si>
  <si>
    <t>Supply of impact crusher major spares for CHP U-6/7</t>
  </si>
  <si>
    <t>U-6/7 Impact crushers are commissioned in the year 2006-07. Since commissioning these crushers are incontinoues service. Major spares like Grinding wall carrier assembly, drive unit and other parts are  detoriated hence replacement is essential to avoid major breakdown and non avaiability of Impact crusher</t>
  </si>
  <si>
    <t>Provision of Soft starter / VFD for Various conveyor</t>
  </si>
  <si>
    <t>1. Maximum Coal Handling Plant availability
2. Faster coal wagon Unloading
3. Reduction in maintenance and operational cost.
4. Utilization of rated capacity of conveyor belts
5. Reduction in auxiliary consumption
6. Reduction in breakdown time</t>
  </si>
  <si>
    <t>Upgradation of siemens make PLC at U-6/7.</t>
  </si>
  <si>
    <t>Presently installed Simens Make STEP-7 PLC is inservice from 2006-07 which is old version and difficult to maintain due to non avability of spares. Siemens has upgraded PLC with new version and recommended to replace for better and smooth performance to cope of with new technologies hence uprgrdation of PLC is essential to maintain avability of CHP.</t>
  </si>
  <si>
    <t>Procurement of U-6/7 Stacker reclaimer major spares</t>
  </si>
  <si>
    <t xml:space="preserve"> 1. Maximum Coal Handling Plant availability
2. Faster coal wagon Unloading
3. Reduction in maintenance and operational cost.
4. Utilization of rated capacity of conveyor belts
5. Reduction in auxiliary consumption
6. Reduction in breakdown time</t>
  </si>
  <si>
    <t>Design, supply and commissioning of solar operated lighting system in CHP  U-6,7</t>
  </si>
  <si>
    <t>1. Use of renewable energy and reduction in auxilary consumption. 
2. Reduction in Carbon emission.
3. Ambience improvement by providing sufficient lighting during night hours.</t>
  </si>
  <si>
    <t>Installation of CCTV survillance system alongwith all conveyors.</t>
  </si>
  <si>
    <t>1. Proper survillence of man and machine.
2. Survillence will reduce downtime of auxilaries.
3. As a safety and security will improve.</t>
  </si>
  <si>
    <t xml:space="preserve"> Upgradation / Retrofication of Bunker Lifts of Unit-6 &amp; Unit-7 at CHP TPS Parli-V.</t>
  </si>
  <si>
    <t xml:space="preserve">1. Safety (Exit Passage) will improve for bunker and RSC floor manpower. 
2. Easy shifting man and heavy machine parts to bunker floor.
3. Reduction in maintenance time.
</t>
  </si>
  <si>
    <t>DPR for maximiation of Coal Handling Plant efficiency.</t>
  </si>
  <si>
    <t>W/T control room &amp; bunker house battery &amp; UPS upgradation</t>
  </si>
  <si>
    <t>1. Maximum Coal Handling Plant availability
2. Faster coal wagon Unloading
3. Reduction in maintenance and operational cost.
4. Utilization of rated capacity of conveyor belts
5. Reduction in auxiliary consumption
6. Reduction in breakdown time
7. Avaialbility of PLC supply will improved.</t>
  </si>
  <si>
    <t>Structure Strengthening of Conveyor NO. 3 and Stacker Reclaimer Rail at U-6/7 CHP</t>
  </si>
  <si>
    <t>1. Availability of Stacker Reclaimer will improve.
2.  Heavy/fatal accident due to S/R rail level problem will be reduced.
3. Faster coal unloading.</t>
  </si>
  <si>
    <t>Modernization/modification of Conveyor HT/LT cables at U-6/7 CHP.</t>
  </si>
  <si>
    <t>1.Break down due to cable fault will reduce.
2. Maximum coal unloading.
3. Availability of auxliaries will improve.</t>
  </si>
  <si>
    <t>Modernization of EOT cranes and Hoist at various junction tower and various location of CHP U-6/7</t>
  </si>
  <si>
    <t>1.Break down due to nonavailability of EOT cranes.
2. Maximum coal unloading.
3. Availability of auxliaries will improve.
4. Reduction in maintenance time at various crane locations.</t>
  </si>
  <si>
    <t>Renovation / retrofitting of shuttle conveyor at CHP U-6/7.</t>
  </si>
  <si>
    <t>HT auxiliaries having frequent ON/OFF operations hence existing VM12 HT breakers spare consumption rate is on higher side. So retrofitting of  SF6 contactor in existing breaker having 100 times more effective  with arck quenching technology is proposed to keep healthiness of 6.6 KV HT breakers for smooth operations of CHP.</t>
  </si>
  <si>
    <t>Upgradation/renovation of bunker lift at RSC-6 &amp; 7 of CHP U-6/7</t>
  </si>
  <si>
    <t>DPR on life enhancement of Coal Handling Plant</t>
  </si>
  <si>
    <t>Renovation, upgradation  &amp; capacity enhancement of LT switch gear panels at W/T, S/R and CHP control Switch board at CHP U-6/7.</t>
  </si>
  <si>
    <t>1. Maximum Coal Handling Plant availability
2. Faster coal wagon Unloading
3. Reduction in maintenance and operational cost.
4. Utilization of rated capacity of conveyor belts
5. Reduction in auxiliary consumption
6. Reduction in breakdown time
7. Spare cost on account of LT switch gear panel will reduce.
8. Break down due to belt snapping will reduce.
9. Conveyor availability will improve by strengthening gravity take insfrastructure work.
10. Faster unloading due to replacement of VF-1</t>
  </si>
  <si>
    <t>Procurement &amp; installation of Belt tear detection system</t>
  </si>
  <si>
    <t>Conveyor gravity takeup infrastructure strengthening work</t>
  </si>
  <si>
    <t>Replacement of vibrating feeder-I with Apron Feeder at CHP U-6/7.</t>
  </si>
  <si>
    <t>DPR for stabiliazation of Coal Handling Performance.</t>
  </si>
  <si>
    <t>Drive modification of Stacker Reclaimer slewing system.</t>
  </si>
  <si>
    <t>1. Maximum Coal Handling Plant availability
2. Faster coal wagon Unloading
3. Reduction in maintenance and operational cost.
4. Utilization of rated capacity of conveyor belts
5. Reduction in auxiliary consumption
6. Reduction in breakdown time
7. Availability of slewing drive and S/R will improve.
8. Availability of SAC will improve.
9. Reduction in demurrage cost.
10. Availability of Wagon Tippler and Apron feeder due to refurbishment.
11. Faster unloading due to open wagon tippler.</t>
  </si>
  <si>
    <t>Retrofitting of Side Arm Charger-I &amp; II at CHP U-6,7</t>
  </si>
  <si>
    <t>Provision of open Wagon Tippler at CHP U-6/7</t>
  </si>
  <si>
    <t>Refurbishment of Apron Feeder at CHP U-6,7</t>
  </si>
  <si>
    <t>Procurement &amp; Replacement of 220V station batteries, 360V UPS batteries, 24V DCS batteries , 360V UPS AHP batteries at U6 &amp; U7 NPTPS</t>
  </si>
  <si>
    <t>DPR on Various electricle maintenance schemes at Unit 6,7 NPTPS Parli-V</t>
  </si>
  <si>
    <t>Rennovation of Khadka &amp; Naikota switchyard including replacement of Transformer and 33 KV outdoor type VCBs</t>
  </si>
  <si>
    <t>Replacement of Khadka ,naikota 6.6 KV HT Breaker Panel , breaker trolleys and control cabinet</t>
  </si>
  <si>
    <t>Replacement of LT breakers &amp; modules at Unit 7</t>
  </si>
  <si>
    <t>Rennovation/Replacement  of Boiler &amp; Turbine side lighting by energy efficient LED lighting at unit 6&amp;7, NPTPS, Parli vaijnath</t>
  </si>
  <si>
    <t>nstallation of VFD for CEP, FD Fan, Seal Air Fan &amp; HFO pump motors at unit 6&amp;7, NPTPS, Parli Vaijnath</t>
  </si>
  <si>
    <t>Renovation of Colony Electrical supply system &amp; also replacement of wiring of all Types of buildings ,street light,highmast etc</t>
  </si>
  <si>
    <t xml:space="preserve"> UPGRADATION OF EXPIRED AND VULNERABLE Scada, operating system and hardware to improve life and communication system of IAC,OHP &amp; PTP plant UNIT 6&amp;7 250MW at NPTPS PARLI V" &amp; Emission Monitoring &amp; Water Quality Analysers system Upgradation Schemes</t>
  </si>
  <si>
    <t>UPGRADATION OF EXPIRED AND VULNERABLE Scada, operating system and hardware to improve life and communication system of IAC,OHP &amp; PTP plant UNIT 6&amp;7 250MW at NPTPS PARLI V".</t>
  </si>
  <si>
    <t>1.	Empower the plant operators and engineers with critical data for better control.   
2.	To avoid generation loss due to emergencies caused due to malfunctioned of SCADA.  
3.	Reduce repair &amp; maintenance costs.
4.	Increased reliability &amp; stability of process.    
5.	SCADA Upgradation will ensure safe and better response of Process operation.</t>
  </si>
  <si>
    <t>Up gradation of SWAS system at U 7,NPTPS</t>
  </si>
  <si>
    <t>1. The faulty analyzers not in service will be available for replacement with new upgraded versions.
2. Due to complete measurement availability, water chemistry will be maintained. 
3. All the new analyzers are open chemistry type wherein our chemist staff can make solutions and reagents at lab itself reducing dependency on OEM.
4. All the SWAS system analyzers will be in service resulting in complete monitoring of the system enabling less damage to boiler, turbine and BFPs.                                                                                                   5.	Boiler, Turbine, BFP and condenser healthiness will be maintained reducing the outages of the Unit thus saving generation loss.
6.	Damage to boiler tubes and Turbine blades will be the minimum cost of purchasing equipment.
7.	BFP cartridge and condenser tubes damage will be minimum thus saving cost of purchasing equipment                                                                                                                                                                              8.	All the latest technology analyzers will be installed. Reliability and accuracy will be improved.
9.	All parameters will be monitored online and this will help to maintain limits by immediate corrective actions by operator and chemist staff.                                                                                                       10.	After the implementation of the scheme, SWAS parameters will be available online.
11.	With the scheme implementation, generation loss can be avoided by maintaining the water chemistry.
12.	Hardware Upgradation empowers the plant operator and engineers to make informed decisions and thereby improve and reliable operation of the plant.
13.	The data will be provided in proper format to analyze the problem or any emergency or to improve the effectiveness of process.</t>
  </si>
  <si>
    <t>Oxygen measurement  APH and at ID outlet</t>
  </si>
  <si>
    <t>1.	Increases boiler efficiency
2.	Reduced fuel consumption inside boiler
3.	Improves heat rate
4.	Reduction in CO &amp; unburnt coal                                                                                                                         5. 	It is essential for improving the boiler performance                                                                                      6. 	Increased reliability &amp; stability of process.</t>
  </si>
  <si>
    <t>Up gradation of  Drum level measurement system at Unit – 6 &amp;7 New Parli TPS, Parli-V</t>
  </si>
  <si>
    <t xml:space="preserve">1. The damaged and faulty electrodes not in service will be available for replacement with new.
2.	Due to complete replacement of the system and availability of the system, boiler drum level can be monitored properly. 
3.	All the new EDLI (Electronic Drum Level Indicator) have dual power supply with 100% redundancy and power supply failure indication.
4.	All the EWLI system will be in service resulting in complete monitoring of the drum level.
5..	 Simple &amp; compact user-friendly Electronic Unit with lesser components &amp; hardware.                      6.	As the new system will be installed. Reliability and availability will be improved.
7.	All EDLI will be monitored locally and remotely and this will help to maintain limits by immediate corrective actions by operator.                                                                                                                    8.Existing Water Column with clamp type probes tend to leak at the joints &amp; damage the column probe joints very badly &amp; needs water column replacement within 5 years. Whereas after replacement of system compression type probe water column it is not less than10-15 years.
9.	The expected life of Compression fitting type electrodes is 6-7 years.
10.	In existing system expected life of electronics cards are not more than 6-7 years. It contains multiple components which may lead to failure of cards. Whereas new replaced EDLI system has only few components housed inside a compact box . Expected life -10-15 Years.
11.	The cables being used at existing EWLI system from electrode to electronics card is general purpose &amp; expected life is just 5 years. Whereas new replaced EDLI system special cables lasts for not less than 15 years.    
</t>
  </si>
  <si>
    <t>OLCC SYSTEM UPGRADATION U6 &amp; U7</t>
  </si>
  <si>
    <t xml:space="preserve">1. Eliminates foulant residue deposits and bulid up without harmful chemicals inside condenser tubes.                                                                                                                                                                                         2.This environment friedly system is the key to energy saving cost effective tube cleaning.                                    3.It is essential for improving condenser vaccume. Cleaner tubes allow for better heat transfer which increases the plant's  overall efficiency.                                                                                                                4. 	Increased reliability &amp; stability of process.                                                            </t>
  </si>
  <si>
    <t>Up gradation of  Boiler tubes leakage detection system &amp; Furnace flame mapping with video camera at Unit – 6 &amp;7 New Parli TPS, Parli-V</t>
  </si>
  <si>
    <t xml:space="preserve">1. Empower the plant operators and engineers with early detection of tube leakage which helps to reduce maintennace and labour costs.                                                                                                                        2. Early detection of tube leakage helps to reduce secondary damage.                                                                       3. Improves plant availability.
4. Early detection of tube leakage can reduce added risks associated with complete boiler system failure.          </t>
  </si>
  <si>
    <t>Unit7 LVS system SCADA/HMI  upgradation</t>
  </si>
  <si>
    <t>1.	Empower the plant operators and engineers with critical data for better control through LED based LVS system.   
2.	To avoid generation loss due to emergency caused due to malfunctioned in HMI.  
3.	Reduce repair &amp; maintenance cost.
4.	Increased reliability &amp; stability of process.    
5.	Hardware Upgradation will ensure safe and better response of LVS System.</t>
  </si>
  <si>
    <t>Upgradation of Instrumentation &amp; control lab</t>
  </si>
  <si>
    <t xml:space="preserve">Empower the I&amp;C techinician and engineers staff with availability of required sources for calibration,overhauling, testing of I&amp;C instruments. Which saves the downtime of critical auxiliaries.  </t>
  </si>
  <si>
    <t>Control and monitoring system upgradation at U6&amp;7 NPTPS &amp; Various Instrumentation schemes at Unit 6,7, NPTPS Parli-V</t>
  </si>
  <si>
    <t>Upgradation of level, flow &amp; pressure measurement system</t>
  </si>
  <si>
    <t>1.	Empower the plant operators, and engineers with critical data for better control.   
2.	Reduce repair &amp; maintenance cost.
3.	Increased reliability &amp; stability of process . 
4.	Improves plant availability.</t>
  </si>
  <si>
    <t>Up gradation of  Vibration Monitoring System(VMS) at Unit – 6 &amp;7 Parli TPS, Parli-V</t>
  </si>
  <si>
    <t>1.	Empower the plant operators, and engineers with critical data for better control.   
2.	Reduce repair &amp; maintenance cost.
3.	Increased reliability &amp; stability of turbine . 
4.	Reduces damage to the turbine.</t>
  </si>
  <si>
    <t>Upgradation of feedstation valve contol instruments.</t>
  </si>
  <si>
    <t>Supply of various instuments like H2 Dew point measurement system spares, Hydrogen analyzer, H2 leak detection system spares etc.Critical/Non-Critical Spares sub-assembly for performance improvement</t>
  </si>
  <si>
    <t>Online Water flow Monitoring System at Khadka</t>
  </si>
  <si>
    <t>1.	Online system will helps to provide updated status required for analysys of water consumption pattern.                                                                                                                                                                          2. Heavy penalties from WRD department can be minimized.
2.	Reduce repair &amp; maintenance cost.
3.	Increased reliability &amp; stability of process . 
4.	Improves plant availability.</t>
  </si>
  <si>
    <t xml:space="preserve"> Upgradation of CO analyser at APH  inlete and SOX NOX gas analyser installed at ID discharge along with remote calibration facility and connectivity to CPCB and MPCB as per latest CPCB Guidelines </t>
  </si>
  <si>
    <t>1.	Empower the plant operators, and engineers with critical data for better control.   
2.	Reduce repair &amp; maintenance cost.
3.	Increased reliability &amp; stability of process . 
4.	Reduces environmental losses.                                                                                                                                        5. Improves Connectivity  with CPCB and MPCB as per latest CPCB Guidelines.</t>
  </si>
  <si>
    <t>Supply, Erection and Commissioning of Effluent Analyser for the parameters like COD, BOD, TSS &amp; PH installed at ETP &amp; STP outlet of the NPTPS, Parli.       complying CPCB / MPCB Guidelines.</t>
  </si>
  <si>
    <t>1.	Changes in environmental regulations may require modification to ensure that the  Effluent Analyser meets updated std. and discharge limits.                                                                                                            2.Empower the plant operators, and engineers with critical data for better control.   
3.	Reduce repair &amp; maintenance cost.
4.	Increased reliability &amp; stability of process . 
5.	Reduces environmental losses.</t>
  </si>
  <si>
    <t>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t>
  </si>
  <si>
    <t>Work of replacement of damaged/leaky underground Fire Water Pipelines and Static Fire water Pumps at Plant (Unit-6, 7 &amp; 8) and ODP area of Parli TPS including required material viz. MSERW Pipes/Steel, etc.</t>
  </si>
  <si>
    <t>1. Reliability &amp; sustainability of the Fire Protection System will increase.
2. The Fire Water network will be maintained with sufficient pressure throughout the plant.
3. Outage of the fire protection system will be reduced. 
4. Fire-Safety of plant will improve.
5. Automation of the Fire Water Pumping System can be restored after replacement of the Pipelines.However, since any of the major fire incidences in a Thermal Power plant results in catastrophic loss of resources, manpower and equipment life; even if one such fire incidence is averted, the cost of the scheme shall be recovered. Hence, the scheme offers significant intangible benefits in the long run.</t>
  </si>
  <si>
    <t>Restoration of Deluge Valve system along with work of repairing/reconstruction (with relocation for safe operation) of damaged Deluge Valve Houses at Plant &amp; ODP area of Parli TPS Unit#6, 7 &amp; 8.</t>
  </si>
  <si>
    <t>1. Reliability &amp; sustainability of the Fire Protection System will increase.
2. The Fire Water Spray System will provide desired performance, which will help to extinguish the fire in minimum time. 
3. Fire-Safety of plant will improve.</t>
  </si>
  <si>
    <t>Supply, Rectification and Installation of addressable fire alarm system and Fire suppression system at unit 6 &amp; 7,Parli TPS.</t>
  </si>
  <si>
    <t>ASH  EVACUATION  IMPROVEMENT  AND  PERFORMANCE &amp; EFFICIENCY OF ASH HANDLING SYSTEM At NPTPS Parli-V AT TPS PARLI-V.</t>
  </si>
  <si>
    <t>DESIGN , SUPPLY &amp; REPLCEMENT OF  ASH DISPOSAL SLURRY PUMP  COMPLTE ASSEMBLY ALONG WITH GEAR BOX, MOTORS U-6</t>
  </si>
  <si>
    <t>Availability of auxiliaries will  improve which finally avoid emergency &amp; generation loss.</t>
  </si>
  <si>
    <t>DESIGN , SUPPLY &amp; REPLCEMENT OF  HP WATER PUMP COMPLTE ASSEMBLY ALONG WITH GEAR BOX, MOTORS U-6</t>
  </si>
  <si>
    <t>Upgradation of reciprocating  Conveying Air compressor into screw compressor  at U#6</t>
  </si>
  <si>
    <t>Upgradation of reciprocating  Instrument  Air compressor into screw compressor  at U#6</t>
  </si>
  <si>
    <t>Procurement &amp; replacement of 300 NB,200NB Cash Basalt Pipelines with the existing MSERW pipe of ash disposal system of Unit #6&amp;  7 at Parli TPS, Parli V .</t>
  </si>
  <si>
    <t>DESIGN , SUPPLY &amp; REPLCEMENT  VACUUM PUMP U6</t>
  </si>
  <si>
    <t>Work of Repairing &amp; Reconditioning of Single Roll Clinker Grinder assembly from OEM on as and when required basis at AHP(2X250),Unit-6&amp;7 Parli TPS,Parli-V.</t>
  </si>
  <si>
    <t>Work of complete Reconditioning and refurbishment of various spares in Unit 6&amp;7, Parli TPS, Parli-V</t>
  </si>
  <si>
    <t>Transmission drive system &amp; Fluid coupling replacements.</t>
  </si>
  <si>
    <t>DESIGN , SUPPLY &amp; REPLCEMENT OF ASH INLET VALVE COMPLETE ASSEBLY U6</t>
  </si>
  <si>
    <t>UPGRADATION OF EXPIRED AND VULNERABLE Scada, operating system and hardware to improve life and communication system of Ash handling plant UNIT 6&amp;7 250MW at NPTPS PARLI V".</t>
  </si>
  <si>
    <t>Upgradation of reciprocating  Conveying Air compressor into screw compressor  at U#7</t>
  </si>
  <si>
    <t>Upgradation of reciprocating  Instrument  Air compressor into screw compressor  at U#7</t>
  </si>
  <si>
    <t>DESIGN , SUPPLY &amp; REPLCEMENT OF  ASH DISPOSAL SLURRY PUMP  COMPLTE ASSEMBLY ALONG WITH GEAR BOX, MOTORS U-7</t>
  </si>
  <si>
    <t>DESIGN , SUPPLY &amp; REPLCEMENT OF  HP WATER PUMP COMPLTE ASSEMBLY ALONG WITH GEAR BOX, MOTORS U-7</t>
  </si>
  <si>
    <t>DESIGN , SUPPLY &amp; REPLCEMENT  VACUUM PUMP U7.</t>
  </si>
  <si>
    <t>DESIGN , SUPPLY &amp; REPLCEMENT BRANCH SEGEGATION COMPLETE VALVE ASSEBLY U7</t>
  </si>
  <si>
    <t>DESIGN , SUPPLY &amp; REPLCEMENT BRANCH VALVE &amp; ASH INLET VALVE U7</t>
  </si>
  <si>
    <t>Procurement of MOTORS, RELAY ,BREAKERS &amp; RETROFITTING   for pumps , IAC/CAC to improve availability &amp; performance of Bottom ash,  Coarse Ash &amp;  fly ash system of AHP, unit -7</t>
  </si>
  <si>
    <t>Procurement of Replcement Water valve, AUDCO valve</t>
  </si>
  <si>
    <t>Procurement &amp; replacement of Bottom ash clinker grinder</t>
  </si>
  <si>
    <t>UPGRADATION OF EXPIRED AND VULNERABLE Scada, operating system and hardware to improve life and communication system of HCSD Ash handling plant UNIT 6&amp;7 250MW at NPTPS PARLI V"</t>
  </si>
  <si>
    <t>GEHO pump critical assemblies replacement.</t>
  </si>
  <si>
    <t xml:space="preserve">DESIGN , SUPPLY &amp; REPLCEMENT OF  HP WATER PUMP COMPLTE ASSEMBLY ALONG WITH GEAR BOX, MOTORS </t>
  </si>
  <si>
    <t>Upgradation of BA clinker grinder  at U#6/7</t>
  </si>
  <si>
    <t>Scheme 4: Spares for premium make ash mixer gear box H1-160 5.06/1, P2 O No.160106, Sr No.2RF 12629 &amp; H1-180 1.35/1</t>
  </si>
  <si>
    <t>Spares for premium make ash mixer gear box  VB2SA-225 17.1/1p1</t>
  </si>
  <si>
    <t xml:space="preserve">DESIGN , SUPPLY &amp; REPLCEMENT  VACUUM PUMP  </t>
  </si>
  <si>
    <t>Procurement of MOTORS, RELAY ,BREAKERS &amp; RETROFITTING   for pumps , IAC/CAC to improve availability &amp; performance of Bottom ash,  Coarse Ash &amp;  fly ash system of AHP, unit 6</t>
  </si>
  <si>
    <t>DESIGN , SUPPLY &amp; REPLCEMENT  VACUUM PUMP U#6</t>
  </si>
  <si>
    <t>DESIGN , SUPPLY &amp; REPLCEMENT  VACUUM PUMP</t>
  </si>
  <si>
    <t>DESIGN , SUPPLY &amp; REPLCEMENT OF  ASH DISPOSAL SLURRY PUMP  COMPLTE ASSEMBLY ALONG WITH GEAR BOX, MOTORS U-6&amp; 7</t>
  </si>
  <si>
    <t>DESIGN , SUPPLY &amp; REPLCEMENT OF  HP WATER PUMP COMPLTE ASSEMBLY ALONG WITH GEAR BOX, MOTORS U-6&amp; 7</t>
  </si>
  <si>
    <t xml:space="preserve"> Procurement of MOTORS, RELAY ,BREAKERS &amp; RETROFITTING   for HCSD  to improve availability &amp; performance of Bottom ash,  Coarse Ash &amp;  fly ash system of AHP, unit 6</t>
  </si>
  <si>
    <t xml:space="preserve">Upgradation of reciprocating  Instrument  Air compressor into screw compressor  at U#6  </t>
  </si>
  <si>
    <t xml:space="preserve">Construction of VIP guest house building at TPS Parli Vaijnath  </t>
  </si>
  <si>
    <t xml:space="preserve"> Permanent water supply scheme for parli TPS by lifting water from Dead storage of Majalgaon dam and supplying through enclosed pipe line at New TPS Parli Vaijnath.</t>
  </si>
  <si>
    <t>Providing drinking water supply to GSR Tank of Shaktikunj Vasahat from Unit 6,7 and 8 premises new TPS Parli Vaijnath</t>
  </si>
  <si>
    <t>DPR on Raw water leackage arresting</t>
  </si>
  <si>
    <t xml:space="preserve">Raw water leackage arresting </t>
  </si>
  <si>
    <t>NDCT structural strenthing and leackage arresting througth  basin and CW channel of Unit 6,7</t>
  </si>
  <si>
    <t xml:space="preserve">NDCT basin of unit 6&amp; 7 leackage arresing work </t>
  </si>
  <si>
    <t xml:space="preserve">Plant improvement </t>
  </si>
  <si>
    <t>CW channel leackage arresting of  Unit 6 &amp;7</t>
  </si>
  <si>
    <t>NDCT structural strenthing of intermadiate racker coloumn of Unit 6&amp;7</t>
  </si>
  <si>
    <t>Construction of Store shed's at Major store in Unit No.6,7 NPTPS Parli V</t>
  </si>
  <si>
    <t>Safety of material</t>
  </si>
  <si>
    <t>DPR on road work &amp;   rennovation work of colony buildings Parli -V at TPS Parli -V</t>
  </si>
  <si>
    <t xml:space="preserve">contruction of roads of few roads in clusters and main road repairs ,carpet laying,seal coats, strips on road &amp; indicators on roads with rumbble strips at TPS colony Parli V </t>
  </si>
  <si>
    <t xml:space="preserve"> In ABC colony ( Putty work,plastic emulsion paint,oil paint plaster etc) ,In DEF &amp; New colony ( internal &amp; external paint  ,oil paint etc) at TPS colony Parli-V.</t>
  </si>
  <si>
    <t xml:space="preserve"> In ABC,DEF &amp; New colony ( chember ,300 m dia rcc pipe,150mm  rcc pipe etc)at tps colony Parli V </t>
  </si>
  <si>
    <t>Plinth protection along the building and providing and placing rcc bench infront of all buildings etc at tps colony Parli v</t>
  </si>
  <si>
    <t xml:space="preserve">changing all internal qtrs pipeline from gi pipeline to Upvc pipeline and replacing existing damaged gi pipe by new one and also providing water tank  over single qtrs and buildings at ABC, DEF, &amp; New colony TPS Parli v </t>
  </si>
  <si>
    <t>Carpentary works  at ABC,DEF &amp; New colony TPS  , Parli -V</t>
  </si>
  <si>
    <t>Flooring work  at ABC,DEF &amp; New colony TPS  , Parli -V</t>
  </si>
  <si>
    <t>construction of new ESR and GSR  at ABC,DEF &amp; New colony TPS  , Parli -V</t>
  </si>
  <si>
    <t>refurbishment of qtrs by strenthening structurein ABC ,DEF &amp; New colony tps parli v</t>
  </si>
  <si>
    <t>Devolpment of garden and providing child friendly equiment in ABC ,DEF &amp; New colony tps parli v</t>
  </si>
  <si>
    <t xml:space="preserve">CHP improvement schemes at 2 x 250 MW Unit </t>
  </si>
  <si>
    <t>Flexible Operation work at U#6,7</t>
  </si>
  <si>
    <t>The benefits expected by implementation of above schemes under this Non DPR
Scheme are as below:
 To prepare the Unit operation for CEA flexible operation statutory norms of 
achieving 40% Technical Minimum Loading as below; 
 Ramp up and down rate at 3% / minute (within 70% to 100% TMCR operating 
range) with operator intervention for mills cut in/out (Minimum 5 min 
duration in one ramp).
 Ramp up and down rate at 2% / minute (within 55% to 70% TMCR operating 
range) with operator intervention for mills cut in/out (Minimum 5 min 
duration in one ramp).
 Ramp up and down rate at 1% / minute (within 40% to 55% TMCR operating 
range) with operator intervention for mills cut in/out (Minimum 5 min 
duration in one ramp).
 Minimize the DSM charges</t>
  </si>
  <si>
    <t>Non-DPR Schemes</t>
  </si>
  <si>
    <t>SWAS Upgradation at U#6 NPTPS Parli-V</t>
  </si>
  <si>
    <t>19.02.2021</t>
  </si>
  <si>
    <t>30.03.2022</t>
  </si>
  <si>
    <t>SWAS system analyzers are old and it’s spares are not available and system found upgraded,hence for best water chemistry analysis and on line availability of SWAS parameters ,systems at U#6 of NPTPS Parli-V needs upgradation.</t>
  </si>
  <si>
    <t xml:space="preserve">Procurement of electro-machanical vibrating feeder at CHP NPTPS 6,7
</t>
  </si>
  <si>
    <t>28.12.2020</t>
  </si>
  <si>
    <t>Increase in  Reliability and availability of  conveyors.  
Reduction in maintenance cost.
Reduction in demurrages charges.</t>
  </si>
  <si>
    <t xml:space="preserve">erection, commissioning of 6.6kv/33kv switch yard &amp; shifting of 2x7.5 MVA 6.6/33KV transformer from 210 MW to proposed switch yard for 33KV supply feeder to Khadka naikota at NPTPS Parli-V. </t>
  </si>
  <si>
    <t>02.03.2021</t>
  </si>
  <si>
    <t>11.03.2021</t>
  </si>
  <si>
    <t xml:space="preserve">The 33 kv feeder to River water is through unit 3, 210 MW Station Transformer feeder.Now the old 210 MW units are auctioned and needs to be shifted from NPTPS unit 6,7 &amp; 8.   </t>
  </si>
  <si>
    <t xml:space="preserve"> Non-DPR scheme "Design, Supply, Installation &amp; Commissioning of High performance Energy Chain System for Stacker reclaimer, Shuttle Conveyors at U-6/7 CHP NPTPS – PARLI-Vaijnath.”</t>
  </si>
  <si>
    <t>04.05.2021</t>
  </si>
  <si>
    <t>Increase in  Reliability and availability of  Plant.  
Reduction in maintenance cost.
Reduction in demurrages charges.</t>
  </si>
  <si>
    <t>Refurbishment of Existing M/s Atlas Copco Make Air Compressors at Unit 7 Parli TPS</t>
  </si>
  <si>
    <t>01.03.2023</t>
  </si>
  <si>
    <t>31.03.2023</t>
  </si>
  <si>
    <t>Availability of coal mill.
No generation loss due to coal mill non availability.
Regular preventive maintenance of all three mill of unit.
Reduce oil consumption.</t>
  </si>
  <si>
    <t>Procurement of Fire Extinguisher</t>
  </si>
  <si>
    <t>WCR done in FY 24-25</t>
  </si>
  <si>
    <t>Non DPR For Supply, Erection &amp; Commissioning, Testing of Coal Flow Management system for Coal Bunker at CHP NPTPS U-6.</t>
  </si>
  <si>
    <t>26.04.2024</t>
  </si>
  <si>
    <t>31.03.2025</t>
  </si>
  <si>
    <t>1. Reduction in operational and maintenance cost.
2. Reduction in Coal Handling Plant downtime.
3. Reduction in wear&amp;tear of bunker liners.
4. Reduction in downtime of coal feeders.
5. Improvement in coal flow in rainy season. 
6. Maximum utilization coal Bunkers.</t>
  </si>
  <si>
    <t>Administrative approval received 26/04/24. PR no.1100159283 Initiated &amp; at pre-audit stage</t>
  </si>
  <si>
    <t xml:space="preserve">Non DPR for Supply &amp; Installation of Coal Handling Plant critical equipment Major Spares like Wagon Tippler and Conveyors at CHP U6/7 ,T.P.S.Parli. </t>
  </si>
  <si>
    <t>Maximum Coal Handling Plant availability
Faster coal wagon Unloading
Reliability will be improved.
System outages will be reduced.
Unloading outages will be reduced.
Reduction in auxiliary consumption
Reduction in breakdown time
Electrical accidents due to short circuits and flashover will reduce.</t>
  </si>
  <si>
    <t>Administrative approval received 26/04/24. PR No.1100158591, 1100158592 initiated &amp; at scrutiny.</t>
  </si>
  <si>
    <t>Design,Manufacture ,Supply &amp; Installation of Banana pattern and Modular chutes for various Conveyor discharge areas at CHP U 6/7,TPS Parli.</t>
  </si>
  <si>
    <t>27.06.2024</t>
  </si>
  <si>
    <t>Reduction in conveyor stream outages.
Reduction in maintenance cost.
Reduction in cleaning problems.
Improvement in performance of unloading &amp; reduction in generation loss.
Maximum Coal Handling Plant availability
 Demurrage charges will be reduced.</t>
  </si>
  <si>
    <t>Administrative approval received 27/06/2024. PR at Scrutiny</t>
  </si>
  <si>
    <t>General Asset</t>
  </si>
  <si>
    <t>Reconciliation Items in Mar 2019 WIP</t>
  </si>
  <si>
    <t>chloronation plant</t>
  </si>
  <si>
    <t>Coal mill CMRHS for stageii in 2011-12</t>
  </si>
  <si>
    <t>Repl. of BFP Cartridge</t>
  </si>
  <si>
    <t>REPLACEMENT OF ECONOMISER COIL</t>
  </si>
  <si>
    <t>REPLACEMENT OF LTSH COIL</t>
  </si>
  <si>
    <t>Work of Admin building</t>
  </si>
  <si>
    <t>Capitalization</t>
  </si>
  <si>
    <t>Allowable Capitalisation</t>
  </si>
  <si>
    <t>Probable Disallowance</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</si>
  <si>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</si>
  <si>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</si>
  <si>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</si>
  <si>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</si>
  <si>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</si>
  <si>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</si>
  <si>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</si>
  <si>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</si>
  <si>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</si>
  <si>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</si>
  <si>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</si>
  <si>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</si>
  <si>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Working of reagent cost</t>
  </si>
  <si>
    <t>LP/SBC Purity (%)</t>
  </si>
  <si>
    <t>Material received,                                                                                                                      Cost Overrun justification:Parli TPS has initiated the PR for procurement of vacuum circuit breaker from DPR  PR NO.1100084196with amount of Rs.38.7848 Lakhs(based on budgetry offer from M/s  BHEL Dtd.08.12.2017) M/s BHEL submitted the enquiry, quoting higher price i.e. 42.8568 Lkahs. since the rates are high, it is further requested to M/s BHEL for discount and rate justification , M/s BHEL submitted rate justification with no change in quoted rates. Hence cost overrun occured.</t>
  </si>
  <si>
    <t>90% Work completed</t>
  </si>
  <si>
    <t xml:space="preserve"> Work completed in AOH of aU#6 (Aug-24)                                                                                          Cost Overrun justification:  Parli NPTPS has placed the PO for Replacement of Economizer Bank in unit 7 (P0 No.4385000742) with amount of Rs.1.4680 Crs. &amp; Replacement of LTSH Bank in unit 7 (P0 No.4385000743) with amount of Rs.2.2416 Crs. (including tax). 
As per MERC In principle clearance, approved budget for replacement of complete set of Economizer &amp; LTSH is Rs.2.36 Crs.(including tax) for single unit. PO placed for Replacement of Economizer Bank &amp; LTSH in Unit 07 is Rs. 3.7096 Crs.(including tax) which is based on lowest Budgetary offer from M/s Rishu Kichu Indus.PVT.LTD. &amp; Last PO No.4385000634 &amp; 4385000635. While approved estimate was based on budgetary offer received from M/s Sunil hi-tech Engineers limited dtd.07.09.2017 at time of DPR preparation. Over the period of five years, the estimated rates seems to be reasonable. </t>
  </si>
  <si>
    <t xml:space="preserve"> 1. PO No. 4370002567 :  Material received                                                                                                  2. PO No. 4370002563:  Material received. Replacement work completed.                                                                                                                                          Cost Overrun justification:  Parli NPTPS has placed the PO for Replacement of Economizer Bank in unit 7 (P0 No.4385000634) with amount of Rs.1.4114 Crs. &amp; Replacement of LTSH Bank in unit 7 (P0 No.4385000635) with amount of Rs.2.135 Crs. (including tax). 
As per MERC In principle clearance, approved budget for replacement of complete set of Economizer &amp; LTSH is Rs.2.36 Crs.(including tax) for single unit. PO placed for Replacement of Economizer Bank &amp; LTSH in Unit 07 is Rs. 3.5465 Crs.(including tax) which is based on lowest Budgetary offer from M/s Rishu Kichu Indus.PVT.LTD. &amp; Last PO No.455013782 Dtd.25.03.2022. While approved estimate was based on budgetary offer received from M/s Sunil hi-tech Engineers limited dtd.07.09.2017 at time of DPR preparation. Over the period of five years, the estimated rates seems to be reasonable. </t>
  </si>
  <si>
    <t>IDC amount upto March-24</t>
  </si>
  <si>
    <t>Material received  in FY 2020-21                                                                                                                                        Cost Overrun justification: The P.O. 4370002535 is placed on dtd. 14.08.2020, Nationwide Lockdown due to Covid -19, the received tares against P.O. are seems higher due to increase in input cost material, Manufacture of fabrication and labour cost. 
The basis of estimation of DPR is as per PO No. KTPS/4370000746 dated 27.05.2016.
Considering the escalation in cost of raw material, the rates received are seems to be justified and reasonable.</t>
  </si>
  <si>
    <t>Material received  in FY 2021-22                                                                         Cost Overrun justification: As per GOI, Ministry of Finance (Dept. of Revenue) Notification No. 8/2021-Central Tax (Rate) dtd. 30th Sept 2021- GST rates enhanced from 12% to 18%.</t>
  </si>
  <si>
    <t>Unit 07 upgradation work completed &amp; for U#6 WORK completed in AOH of Unit 06( Aug-24)</t>
  </si>
  <si>
    <t>Material received, Work completed                                             Cost Overrun justification:It is to inform that CPA has placed PO Np.4370002306 dated 27/12/2019 for procurement of APH Baskets in capex budget for Parli TPS. The Procurement was approved vide BR No.2018/2843 circulated vide MSPGCL/CS/BM/186/186.9 dated 24/12/2018. MERC approval was received vide letter no. MERC/Capex/2019-20/643 dated 26/08/2019. The PO was placed after almost one year from the date of DPR approval as such rise in procurement cost is due to rise in electricity charges, Fuel cost i.e. transportation charges, labour charges etc. Taking into consideration the date of approval of DPR, the rise in overhead charges over a period from April-2018 i.e. estimation of DPR cost to the placement of PO is as given below. (Source- Office of the Economic Advisor, GoI and Labour Bureau, GoI).  From the above, it can be seen that the rise in procurement cost is mainly due to rise in electricity charges, Fuel cost i.e. transportation charges, labour charges etc.  The whole price index as well as labour index are enclosed herewith for reference.</t>
  </si>
  <si>
    <t xml:space="preserve">HO initiated DPR, </t>
  </si>
  <si>
    <t xml:space="preserve">MERC In-principle clearance received on dtd.07.08.2024.                                                              PR No. 1100156243/1100156248 sent to HO for approval on dtd.07.05.2024. Tender at scrutiny at HO </t>
  </si>
  <si>
    <t xml:space="preserve">Board resolution received on dtd.18.12.2023. MERC In-principle clearance received on dtd.07.08.2024.                                                                   PR no. 1100156669 sent to HO for approval on dtd.25.07.2024. </t>
  </si>
  <si>
    <t>Board resolution received on dtd.18.12.2023.  MERC In-principle clearance received on dtd.07.08.2024.                                                                  PR No.1100156670 sent to HO for approval on dtd.25.07.2024. Data gaps sen to HO 09.09.24</t>
  </si>
  <si>
    <t>Board resolution received on dtd.18.12.2023.  MERC In-principle clearance received on dtd.07.08.2024.                                                                  Prno.1100155653 sent to HO for approval 20/09</t>
  </si>
  <si>
    <t>1. Board approval received. DPR sent to MERC for in-priciple approval PR initiated  and sent to HO for approval 29/10/24</t>
  </si>
  <si>
    <t>1. Board approval received. DPR sent to MERC for in-priciple approval PR initiated  and sent to HO for approval 04/11/24</t>
  </si>
  <si>
    <t>1. Board approval received. DPR sent to MERC for in-priciple approval PR initiated  and sent to HO for approval 13/11/24</t>
  </si>
  <si>
    <t>1. Board approval received. DPR sent to MERC for in-priciple approval PR initiated</t>
  </si>
  <si>
    <t>Compnsn payment agst land acquired</t>
  </si>
  <si>
    <t>DPR sent to HO for administrative approval on dtd.20.10.2024</t>
  </si>
  <si>
    <t>Refrigeration Compressed Air Dryer at TM &amp; AHP, U#6,7 Parli TPS</t>
  </si>
  <si>
    <t>	The air dryer removes the moisture, preventing damage to the sensitive instruments and ensuring reliable operation 
	The air dryer helps to maintain the desired dew point, which is the temperature at which water vapor in the air starts to condense, ensuring that the air is sufficiently dry.
	Dry, clean air improves the reliability and efficiency of the pneumatic instruments and controls in the thermal power plant.
	The air dryer safeguards these components by providing a reliable supply of dry, clean air, extending their lifespan and preventing premature failures.
	The air dryer contributes to the overall stability and accuracy of the plant's control systems, ensuring better process control and optimization.
	This, in turn, leads to increased plant availability, reduced downtime, and improved overall operational efficiency.</t>
  </si>
  <si>
    <t>Non-DPR at HO for approval.</t>
  </si>
  <si>
    <t>-</t>
  </si>
  <si>
    <t>Scheme-1: Design, Engineering, Manufacturing, Supply, Installation and Commissioning of Dedusting System ( Dust Extraction System) for Crusher House and Bunker House at  Unit -6 &amp; 7 at CHP Parli  TPS.</t>
  </si>
  <si>
    <t>Scheme-2: Supply, Installation, Erection &amp; Commissioning of medium velocity water spray dust suppression system at CHP U-6/7 coal yard Crusher house &amp; Link Conveyor at Parli TPS.</t>
  </si>
  <si>
    <t>Scheme-3: Supply, Installation, Commissioning of Fire Hydrant &amp; Spray line above ground around  stacker yard and crusher house, wagon tippler through conveyor belt with DV &amp; DV Shed at CHP U-6/7.</t>
  </si>
  <si>
    <t>Scheme-4: Design, Manufacturing, Supply, Erection and Commissioning of DRY FOG Dust Suppression system at Wagon Tippler, Conveyor Belt Transfer point at U-6/7 CHP Parli TPS.</t>
  </si>
  <si>
    <t xml:space="preserve">Scheme-1: Procurement And Replacement Of Internals For Reducer Gear Box Szn-630 &amp; Sbn-630 for Bbd-4772 Coal Mills Of 250mw At Unit 6,7  Parli </t>
  </si>
  <si>
    <t>Scheme-2: Supply, Replacement, Erection And Installation Of Foundation Deck Springs Assembly (Vibration Isolation System) For Bbd-4772 Coal Mill Of For 250mw Unit-6&amp;7 At Parli Tps..</t>
  </si>
  <si>
    <t>Scheme-3: Procurement And Installation of Girth Gear And Pinion Of Coal Mill Bbd-4772 For Unit-6,7 At Parli TPS.</t>
  </si>
  <si>
    <t xml:space="preserve">Scheme-4: Procurement And Installation of Drive Shaft Assembly Of Coal Mill BBD-4772 For Unit-6 ,7 At Parli TPS. </t>
  </si>
  <si>
    <t>Scheme-5: Procurement And Replacement of  Bearing Shell Liner For Bbd-4772 Coal Mills Of 250mw At Unit 6,7  Parli TPS.</t>
  </si>
  <si>
    <t>SBC</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</si>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</sst>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0"/>
    <numFmt numFmtId="185" formatCode="0.000000000000000%"/>
    <numFmt numFmtId="186" formatCode="_ * #,##0.00000_ ;_ * \-#,##0.00000_ ;_ * &quot;-&quot;??_ ;_ @_ "/>
    <numFmt numFmtId="187" formatCode="[$-14009]dd/mm/yy;@"/>
    <numFmt numFmtId="188" formatCode="0.00_);[Red]\(0.00\)"/>
    <numFmt numFmtId="189" formatCode="0.00_ "/>
    <numFmt numFmtId="190" formatCode="_(* #,##0.0000_);_(* \(#,##0.0000\);_(* &quot;-&quot;??_);_(@_)"/>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sz val="11"/>
      <color theme="1"/>
      <name val="Calibri"/>
      <family val="2"/>
      <scheme val="minor"/>
    </font>
    <font>
      <sz val="11"/>
      <color rgb="FFFF0000"/>
      <name val="Calibri"/>
      <family val="2"/>
      <scheme val="minor"/>
    </font>
    <font>
      <b/>
      <vertAlign val="superscript"/>
      <sz val="11"/>
      <color theme="1"/>
      <name val="Times New Roman"/>
      <family val="1"/>
    </font>
    <font>
      <vertAlign val="superscript"/>
      <sz val="12"/>
      <name val="Times New Roman"/>
      <family val="1"/>
    </font>
    <font>
      <b/>
      <sz val="12"/>
      <color theme="1"/>
      <name val="Cambria"/>
      <family val="2"/>
      <scheme val="major"/>
    </font>
    <font>
      <sz val="12"/>
      <color theme="1"/>
      <name val="Cambria"/>
      <family val="2"/>
      <scheme val="major"/>
    </font>
    <font>
      <b/>
      <sz val="11"/>
      <color indexed="8"/>
      <name val="Calibri"/>
      <family val="2"/>
      <scheme val="minor"/>
    </font>
    <font>
      <sz val="11"/>
      <color indexed="13"/>
      <name val="Calibri"/>
      <family val="2"/>
      <scheme val="minor"/>
    </font>
    <font>
      <b/>
      <u/>
      <sz val="11"/>
      <color rgb="FFFF0000"/>
      <name val="Calibri"/>
      <family val="2"/>
      <scheme val="minor"/>
    </font>
    <font>
      <b/>
      <sz val="11"/>
      <color indexed="36"/>
      <name val="Calibri"/>
      <family val="2"/>
      <scheme val="minor"/>
    </font>
    <font>
      <sz val="11"/>
      <color indexed="8"/>
      <name val="Calibri"/>
      <family val="2"/>
      <scheme val="minor"/>
    </font>
    <font>
      <b/>
      <sz val="12"/>
      <color indexed="36"/>
      <name val="Calibri"/>
      <family val="2"/>
    </font>
    <font>
      <b/>
      <sz val="12"/>
      <color indexed="36"/>
      <name val="Calibri"/>
      <family val="2"/>
      <scheme val="minor"/>
    </font>
    <font>
      <sz val="12"/>
      <color indexed="8"/>
      <name val="Calibri"/>
      <family val="2"/>
    </font>
    <font>
      <sz val="12"/>
      <name val="Calibri"/>
      <family val="2"/>
      <scheme val="minor"/>
    </font>
    <font>
      <b/>
      <sz val="11"/>
      <color rgb="FF800080"/>
      <name val="Calibri"/>
      <family val="2"/>
    </font>
    <font>
      <b/>
      <sz val="11"/>
      <color rgb="FF800080"/>
      <name val="Calibri"/>
      <family val="2"/>
      <scheme val="minor"/>
    </font>
    <font>
      <sz val="11"/>
      <color theme="1"/>
      <name val="Book Antiqua"/>
      <family val="1"/>
    </font>
    <font>
      <b/>
      <sz val="14"/>
      <name val="Calibri"/>
      <family val="2"/>
      <scheme val="minor"/>
    </font>
    <font>
      <sz val="11"/>
      <name val="Calibri"/>
      <family val="2"/>
    </font>
    <font>
      <sz val="18"/>
      <color rgb="FFFF0000"/>
      <name val="Calibri"/>
      <family val="2"/>
      <scheme val="minor"/>
    </font>
    <font>
      <sz val="18"/>
      <color rgb="FFFF0000"/>
      <name val="Calibri"/>
      <family val="2"/>
    </font>
    <font>
      <sz val="12"/>
      <color theme="1"/>
      <name val="Calibri"/>
      <family val="2"/>
      <scheme val="minor"/>
    </font>
    <font>
      <sz val="11"/>
      <color rgb="FF000000"/>
      <name val="Calibri"/>
      <family val="2"/>
    </font>
    <font>
      <sz val="11"/>
      <color rgb="FF000000"/>
      <name val="Calibri"/>
      <family val="2"/>
      <scheme val="minor"/>
    </font>
    <font>
      <b/>
      <sz val="11"/>
      <color rgb="FF000000"/>
      <name val="Calibri"/>
      <family val="2"/>
      <scheme val="minor"/>
    </font>
    <font>
      <sz val="11"/>
      <name val="Book Antiqua"/>
      <family val="1"/>
    </font>
    <font>
      <sz val="12"/>
      <color theme="1"/>
      <name val="Bookman Old Style"/>
      <family val="1"/>
    </font>
    <font>
      <b/>
      <sz val="14"/>
      <color indexed="36"/>
      <name val="Calibri"/>
      <family val="2"/>
      <scheme val="minor"/>
    </font>
    <font>
      <b/>
      <sz val="12"/>
      <color rgb="FF800080"/>
      <name val="Calibri"/>
      <family val="2"/>
      <scheme val="minor"/>
    </font>
    <font>
      <sz val="12"/>
      <color theme="1"/>
      <name val="Cambria"/>
      <family val="1"/>
    </font>
    <font>
      <b/>
      <sz val="12"/>
      <color rgb="FF800080"/>
      <name val="Calibri"/>
      <family val="2"/>
    </font>
    <font>
      <sz val="12"/>
      <color indexed="8"/>
      <name val="Calibri"/>
      <family val="2"/>
      <scheme val="minor"/>
    </font>
    <font>
      <b/>
      <sz val="9"/>
      <name val="Tahoma"/>
      <family val="2"/>
    </font>
    <font>
      <sz val="9"/>
      <name val="Tahoma"/>
      <family val="2"/>
    </font>
    <font>
      <u/>
      <sz val="11"/>
      <name val="Calibri"/>
      <family val="2"/>
      <scheme val="minor"/>
    </font>
    <font>
      <sz val="11"/>
      <color rgb="FF000000"/>
      <name val="Times New Roman"/>
      <family val="1"/>
    </font>
    <font>
      <b/>
      <sz val="11"/>
      <color rgb="FF000000"/>
      <name val="Times New Roman"/>
      <family val="1"/>
    </font>
    <font>
      <b/>
      <u/>
      <sz val="12"/>
      <name val="Times New Roman"/>
      <family val="1"/>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tint="0.39991454817346722"/>
        <bgColor indexed="64"/>
      </patternFill>
    </fill>
    <fill>
      <patternFill patternType="solid">
        <fgColor theme="0" tint="-0.34998626667073579"/>
        <bgColor rgb="FF000000"/>
      </patternFill>
    </fill>
    <fill>
      <patternFill patternType="solid">
        <fgColor theme="0"/>
        <bgColor rgb="FF000000"/>
      </patternFill>
    </fill>
    <fill>
      <patternFill patternType="solid">
        <fgColor rgb="FFA6A6A6"/>
        <bgColor rgb="FF000000"/>
      </patternFill>
    </fill>
    <fill>
      <patternFill patternType="solid">
        <fgColor theme="7" tint="0.79998168889431442"/>
        <bgColor indexed="64"/>
      </patternFill>
    </fill>
    <fill>
      <patternFill patternType="solid">
        <fgColor theme="7" tint="0.79995117038483843"/>
        <bgColor indexed="64"/>
      </patternFill>
    </fill>
    <fill>
      <patternFill patternType="solid">
        <fgColor rgb="FFFFFFFF"/>
        <bgColor rgb="FF000000"/>
      </patternFill>
    </fill>
    <fill>
      <patternFill patternType="solid">
        <fgColor theme="0" tint="-4.9989318521683403E-2"/>
        <bgColor indexed="64"/>
      </patternFill>
    </fill>
    <fill>
      <patternFill patternType="solid">
        <fgColor rgb="FF00B050"/>
        <bgColor indexed="64"/>
      </patternFill>
    </fill>
  </fills>
  <borders count="29">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s>
  <cellStyleXfs count="95">
    <xf numFmtId="0" fontId="0" fillId="0" borderId="0"/>
    <xf numFmtId="0" fontId="19" fillId="0" borderId="0" applyNumberFormat="0" applyFill="0" applyBorder="0" applyAlignment="0" applyProtection="0"/>
    <xf numFmtId="0" fontId="20" fillId="0" borderId="1"/>
    <xf numFmtId="0" fontId="20" fillId="0" borderId="1"/>
    <xf numFmtId="38" fontId="21" fillId="2" borderId="0" applyNumberFormat="0" applyBorder="0" applyAlignment="0" applyProtection="0"/>
    <xf numFmtId="0" fontId="22" fillId="0" borderId="2" applyNumberFormat="0" applyAlignment="0" applyProtection="0">
      <alignment horizontal="left" vertical="center"/>
    </xf>
    <xf numFmtId="0" fontId="22" fillId="0" borderId="3">
      <alignment horizontal="left" vertical="center"/>
    </xf>
    <xf numFmtId="10" fontId="21" fillId="3" borderId="4" applyNumberFormat="0" applyBorder="0" applyAlignment="0" applyProtection="0"/>
    <xf numFmtId="37" fontId="23" fillId="0" borderId="0"/>
    <xf numFmtId="166" fontId="24" fillId="0" borderId="0"/>
    <xf numFmtId="0" fontId="18" fillId="0" borderId="0"/>
    <xf numFmtId="0" fontId="18" fillId="0" borderId="0"/>
    <xf numFmtId="0" fontId="10" fillId="0" borderId="0"/>
    <xf numFmtId="0" fontId="10" fillId="0" borderId="0"/>
    <xf numFmtId="0" fontId="18" fillId="0" borderId="0">
      <alignment vertical="center"/>
    </xf>
    <xf numFmtId="0" fontId="18" fillId="0" borderId="0">
      <alignment vertical="center"/>
    </xf>
    <xf numFmtId="167" fontId="18" fillId="0" borderId="0" applyFont="0" applyFill="0" applyBorder="0" applyAlignment="0" applyProtection="0"/>
    <xf numFmtId="10" fontId="18" fillId="0" borderId="0" applyFont="0" applyFill="0" applyBorder="0" applyAlignment="0" applyProtection="0"/>
    <xf numFmtId="0" fontId="18" fillId="0" borderId="0"/>
    <xf numFmtId="0" fontId="29" fillId="0" borderId="0"/>
    <xf numFmtId="164" fontId="29" fillId="0" borderId="0" applyFont="0" applyFill="0" applyBorder="0" applyAlignment="0" applyProtection="0"/>
    <xf numFmtId="9" fontId="29" fillId="0" borderId="0" applyFont="0" applyFill="0" applyBorder="0" applyAlignment="0" applyProtection="0"/>
    <xf numFmtId="165" fontId="32" fillId="0" borderId="0" applyFont="0" applyFill="0" applyBorder="0" applyAlignment="0" applyProtection="0"/>
    <xf numFmtId="0" fontId="33" fillId="0" borderId="0"/>
    <xf numFmtId="9"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8" fillId="0" borderId="0" applyFont="0" applyFill="0" applyBorder="0" applyAlignment="0" applyProtection="0"/>
    <xf numFmtId="164"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9" fillId="0" borderId="0"/>
    <xf numFmtId="0" fontId="32" fillId="0" borderId="0"/>
    <xf numFmtId="0" fontId="32" fillId="0" borderId="0"/>
    <xf numFmtId="0" fontId="29"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164" fontId="3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18" fillId="0" borderId="0"/>
    <xf numFmtId="0" fontId="10" fillId="0" borderId="0"/>
    <xf numFmtId="0" fontId="18" fillId="0" borderId="0" applyBorder="0" applyProtection="0"/>
    <xf numFmtId="167" fontId="32"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7" fillId="0" borderId="0"/>
    <xf numFmtId="164" fontId="7" fillId="0" borderId="0" applyFont="0" applyFill="0" applyBorder="0" applyAlignment="0" applyProtection="0"/>
    <xf numFmtId="165"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8" fillId="0" borderId="0">
      <alignment vertical="center"/>
    </xf>
    <xf numFmtId="164" fontId="42" fillId="0" borderId="0" applyFont="0" applyFill="0" applyBorder="0" applyAlignment="0" applyProtection="0"/>
    <xf numFmtId="9" fontId="42" fillId="0" borderId="0" applyFont="0" applyFill="0" applyBorder="0" applyAlignment="0" applyProtection="0"/>
    <xf numFmtId="0" fontId="18" fillId="0" borderId="0"/>
    <xf numFmtId="164" fontId="6"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16" fillId="0" borderId="0"/>
    <xf numFmtId="164" fontId="18" fillId="0" borderId="0" applyFont="0" applyFill="0" applyBorder="0" applyAlignment="0" applyProtection="0"/>
    <xf numFmtId="0" fontId="18" fillId="0" borderId="0">
      <alignment vertical="center"/>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18"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79" fillId="0" borderId="0"/>
    <xf numFmtId="9" fontId="3" fillId="0" borderId="0" applyFont="0" applyFill="0" applyBorder="0" applyAlignment="0" applyProtection="0"/>
    <xf numFmtId="164"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cellStyleXfs>
  <cellXfs count="2051">
    <xf numFmtId="0" fontId="0" fillId="0" borderId="0" xfId="0"/>
    <xf numFmtId="0" fontId="8" fillId="0" borderId="0" xfId="10" applyFont="1"/>
    <xf numFmtId="0" fontId="8" fillId="0" borderId="0" xfId="10" applyFont="1" applyFill="1"/>
    <xf numFmtId="0" fontId="8" fillId="0" borderId="4" xfId="10" applyFont="1" applyFill="1" applyBorder="1"/>
    <xf numFmtId="0" fontId="9" fillId="0" borderId="4" xfId="10" applyFont="1" applyFill="1" applyBorder="1"/>
    <xf numFmtId="0" fontId="8" fillId="0" borderId="0" xfId="10" applyFont="1" applyBorder="1"/>
    <xf numFmtId="0" fontId="9" fillId="0" borderId="0" xfId="10" applyFont="1" applyBorder="1"/>
    <xf numFmtId="0" fontId="8" fillId="5" borderId="0" xfId="10" applyFont="1" applyFill="1" applyBorder="1"/>
    <xf numFmtId="0" fontId="9" fillId="0" borderId="0" xfId="10" applyFont="1" applyAlignment="1">
      <alignment horizontal="centerContinuous"/>
    </xf>
    <xf numFmtId="0" fontId="8" fillId="0" borderId="4" xfId="10" applyFont="1" applyBorder="1"/>
    <xf numFmtId="0" fontId="8" fillId="5" borderId="4" xfId="10" applyFont="1" applyFill="1" applyBorder="1"/>
    <xf numFmtId="0" fontId="8" fillId="0" borderId="0" xfId="10" applyFont="1" applyFill="1" applyBorder="1"/>
    <xf numFmtId="0" fontId="9" fillId="0" borderId="0" xfId="14" applyFont="1" applyFill="1" applyBorder="1" applyAlignment="1">
      <alignment horizontal="center" vertical="center" wrapText="1"/>
    </xf>
    <xf numFmtId="0" fontId="9" fillId="4" borderId="4" xfId="10" applyFont="1" applyFill="1" applyBorder="1"/>
    <xf numFmtId="0" fontId="8" fillId="0" borderId="0" xfId="14" applyFont="1">
      <alignment vertical="center"/>
    </xf>
    <xf numFmtId="0" fontId="9" fillId="0" borderId="0" xfId="14" applyFont="1" applyAlignment="1">
      <alignment horizontal="centerContinuous" vertical="center"/>
    </xf>
    <xf numFmtId="0" fontId="8" fillId="0" borderId="0" xfId="14" applyFont="1" applyAlignment="1">
      <alignment horizontal="centerContinuous" vertical="center"/>
    </xf>
    <xf numFmtId="0" fontId="9" fillId="0" borderId="0" xfId="10" applyFont="1" applyBorder="1" applyAlignment="1">
      <alignment horizontal="centerContinuous" vertical="top"/>
    </xf>
    <xf numFmtId="0" fontId="8" fillId="0" borderId="0" xfId="10" applyFont="1" applyBorder="1" applyAlignment="1">
      <alignment horizontal="centerContinuous"/>
    </xf>
    <xf numFmtId="0" fontId="9" fillId="0" borderId="0" xfId="10" applyFont="1" applyBorder="1" applyAlignment="1">
      <alignment horizontal="centerContinuous"/>
    </xf>
    <xf numFmtId="0" fontId="8" fillId="6" borderId="0" xfId="10" applyFont="1" applyFill="1" applyBorder="1" applyAlignment="1">
      <alignment horizontal="centerContinuous"/>
    </xf>
    <xf numFmtId="0" fontId="9" fillId="0" borderId="0" xfId="14" applyFont="1" applyAlignment="1">
      <alignment horizontal="right" vertical="center"/>
    </xf>
    <xf numFmtId="0" fontId="9" fillId="0" borderId="0" xfId="14" applyFont="1">
      <alignment vertical="center"/>
    </xf>
    <xf numFmtId="0" fontId="8" fillId="6" borderId="0" xfId="14" applyFont="1" applyFill="1" applyBorder="1">
      <alignment vertical="center"/>
    </xf>
    <xf numFmtId="0" fontId="8" fillId="0" borderId="4" xfId="14" applyFont="1" applyBorder="1">
      <alignment vertical="center"/>
    </xf>
    <xf numFmtId="0" fontId="9" fillId="5" borderId="4" xfId="10" applyFont="1" applyFill="1" applyBorder="1" applyAlignment="1" applyProtection="1">
      <alignment horizontal="left"/>
    </xf>
    <xf numFmtId="0" fontId="8" fillId="5" borderId="4" xfId="10" applyFont="1" applyFill="1" applyBorder="1" applyAlignment="1" applyProtection="1">
      <alignment horizontal="left"/>
    </xf>
    <xf numFmtId="0" fontId="9" fillId="0" borderId="4" xfId="14" applyFont="1" applyBorder="1">
      <alignment vertical="center"/>
    </xf>
    <xf numFmtId="0" fontId="8" fillId="5" borderId="4" xfId="10" quotePrefix="1" applyFont="1" applyFill="1" applyBorder="1" applyAlignment="1">
      <alignment horizontal="left" vertical="top" wrapText="1"/>
    </xf>
    <xf numFmtId="0" fontId="8" fillId="5" borderId="4" xfId="10" applyFont="1" applyFill="1" applyBorder="1" applyAlignment="1" applyProtection="1">
      <alignment horizontal="left" wrapText="1"/>
    </xf>
    <xf numFmtId="0" fontId="16" fillId="0" borderId="0" xfId="10" applyFont="1" applyAlignment="1">
      <alignment horizontal="center" vertical="center"/>
    </xf>
    <xf numFmtId="0" fontId="17" fillId="0" borderId="0" xfId="14" applyFont="1">
      <alignment vertical="center"/>
    </xf>
    <xf numFmtId="0" fontId="13" fillId="0" borderId="0" xfId="14" applyFont="1" applyAlignment="1">
      <alignment horizontal="right" vertical="center"/>
    </xf>
    <xf numFmtId="0" fontId="8" fillId="0" borderId="0" xfId="14" applyFont="1" applyAlignment="1">
      <alignment vertical="center"/>
    </xf>
    <xf numFmtId="0" fontId="8" fillId="0" borderId="0" xfId="10" applyFont="1" applyBorder="1" applyAlignment="1">
      <alignment horizontal="center" vertical="top"/>
    </xf>
    <xf numFmtId="0" fontId="8" fillId="0" borderId="0" xfId="10" applyFont="1" applyBorder="1" applyAlignment="1"/>
    <xf numFmtId="0" fontId="8" fillId="0" borderId="0" xfId="10" applyFont="1" applyBorder="1" applyAlignment="1">
      <alignment vertical="top"/>
    </xf>
    <xf numFmtId="0" fontId="8" fillId="0" borderId="4" xfId="10" applyFont="1" applyBorder="1" applyAlignment="1">
      <alignment vertical="top"/>
    </xf>
    <xf numFmtId="0" fontId="8" fillId="0" borderId="4" xfId="10" applyFont="1" applyBorder="1" applyAlignment="1"/>
    <xf numFmtId="0" fontId="9" fillId="5" borderId="4" xfId="14" applyFont="1" applyFill="1" applyBorder="1" applyAlignment="1">
      <alignment horizontal="center" vertical="center" wrapText="1"/>
    </xf>
    <xf numFmtId="0" fontId="9" fillId="0" borderId="4" xfId="10" applyFont="1" applyBorder="1"/>
    <xf numFmtId="0" fontId="25" fillId="0" borderId="0" xfId="10" applyFont="1" applyFill="1" applyBorder="1" applyProtection="1"/>
    <xf numFmtId="0" fontId="8" fillId="0" borderId="0" xfId="10" applyFont="1" applyFill="1" applyBorder="1" applyProtection="1"/>
    <xf numFmtId="166" fontId="8" fillId="0" borderId="0" xfId="10" applyNumberFormat="1" applyFont="1" applyFill="1" applyBorder="1" applyAlignment="1" applyProtection="1">
      <alignment horizontal="center"/>
    </xf>
    <xf numFmtId="0" fontId="9" fillId="0" borderId="0" xfId="10" applyFont="1"/>
    <xf numFmtId="0" fontId="25" fillId="0" borderId="0" xfId="10" applyFont="1" applyBorder="1" applyAlignment="1">
      <alignment horizontal="left"/>
    </xf>
    <xf numFmtId="0" fontId="25" fillId="0" borderId="0" xfId="10" applyFont="1" applyBorder="1" applyAlignment="1">
      <alignment horizontal="center"/>
    </xf>
    <xf numFmtId="0" fontId="8" fillId="0" borderId="0" xfId="10" applyFont="1" applyBorder="1" applyAlignment="1">
      <alignment horizontal="left"/>
    </xf>
    <xf numFmtId="166" fontId="8" fillId="0" borderId="0" xfId="10" applyNumberFormat="1" applyFont="1" applyFill="1" applyBorder="1" applyProtection="1"/>
    <xf numFmtId="0" fontId="8" fillId="0" borderId="0" xfId="10" applyFont="1" applyBorder="1" applyAlignment="1">
      <alignment horizontal="center" vertical="top" wrapText="1"/>
    </xf>
    <xf numFmtId="0" fontId="8" fillId="0" borderId="0" xfId="10" applyFont="1" applyBorder="1" applyAlignment="1">
      <alignment horizontal="center"/>
    </xf>
    <xf numFmtId="0" fontId="8" fillId="0" borderId="0" xfId="10" applyFont="1" applyBorder="1" applyAlignment="1">
      <alignment horizontal="justify" vertical="top" wrapText="1"/>
    </xf>
    <xf numFmtId="0" fontId="9" fillId="0" borderId="0" xfId="10" applyFont="1" applyFill="1" applyBorder="1" applyAlignment="1">
      <alignment horizontal="left" vertical="top"/>
    </xf>
    <xf numFmtId="0" fontId="9" fillId="0" borderId="0" xfId="10" applyFont="1" applyBorder="1" applyAlignment="1">
      <alignment horizontal="left"/>
    </xf>
    <xf numFmtId="0" fontId="9" fillId="5" borderId="0" xfId="10" applyFont="1" applyFill="1" applyBorder="1"/>
    <xf numFmtId="0" fontId="26" fillId="0" borderId="0" xfId="10" applyFont="1" applyBorder="1" applyAlignment="1">
      <alignment vertical="top" wrapText="1"/>
    </xf>
    <xf numFmtId="0" fontId="8" fillId="5" borderId="0" xfId="10" applyFont="1" applyFill="1" applyBorder="1" applyAlignment="1">
      <alignment wrapText="1"/>
    </xf>
    <xf numFmtId="0" fontId="9" fillId="0" borderId="0" xfId="14" applyFont="1" applyFill="1" applyBorder="1" applyAlignment="1">
      <alignment vertical="center" wrapText="1"/>
    </xf>
    <xf numFmtId="0" fontId="9" fillId="0" borderId="4" xfId="10" applyFont="1" applyFill="1" applyBorder="1" applyProtection="1"/>
    <xf numFmtId="0" fontId="8" fillId="0" borderId="4" xfId="10" applyFont="1" applyFill="1" applyBorder="1" applyAlignment="1" applyProtection="1">
      <alignment horizontal="left"/>
    </xf>
    <xf numFmtId="0" fontId="8" fillId="5" borderId="4" xfId="10" applyFont="1" applyFill="1" applyBorder="1" applyAlignment="1" applyProtection="1">
      <alignment vertical="top" wrapText="1"/>
    </xf>
    <xf numFmtId="0" fontId="9" fillId="5" borderId="4" xfId="10" applyFont="1" applyFill="1" applyBorder="1" applyAlignment="1" applyProtection="1">
      <alignment vertical="top" wrapText="1"/>
    </xf>
    <xf numFmtId="0" fontId="9" fillId="5" borderId="4" xfId="10" applyFont="1" applyFill="1" applyBorder="1" applyAlignment="1">
      <alignment horizontal="left" vertical="top" wrapText="1"/>
    </xf>
    <xf numFmtId="0" fontId="9" fillId="0" borderId="0" xfId="10" applyFont="1" applyBorder="1" applyAlignment="1">
      <alignment horizontal="right"/>
    </xf>
    <xf numFmtId="0" fontId="8" fillId="0" borderId="0" xfId="14" applyFont="1" applyFill="1" applyBorder="1">
      <alignment vertical="center"/>
    </xf>
    <xf numFmtId="0" fontId="9" fillId="0" borderId="0" xfId="10" applyFont="1" applyBorder="1" applyAlignment="1">
      <alignment vertical="center"/>
    </xf>
    <xf numFmtId="0" fontId="8" fillId="0" borderId="0" xfId="10" applyFont="1" applyFill="1" applyBorder="1" applyAlignment="1">
      <alignment horizontal="centerContinuous"/>
    </xf>
    <xf numFmtId="0" fontId="9" fillId="0" borderId="0" xfId="10" applyFont="1" applyFill="1" applyBorder="1" applyAlignment="1">
      <alignment horizontal="centerContinuous"/>
    </xf>
    <xf numFmtId="0" fontId="9" fillId="0" borderId="0" xfId="10" applyFont="1" applyBorder="1" applyAlignment="1">
      <alignment horizontal="left" vertical="top"/>
    </xf>
    <xf numFmtId="0" fontId="8" fillId="0" borderId="0" xfId="10" applyFont="1" applyAlignment="1"/>
    <xf numFmtId="0" fontId="8" fillId="0" borderId="0" xfId="10" applyFont="1" applyBorder="1" applyAlignment="1">
      <alignment horizontal="centerContinuous" vertical="top"/>
    </xf>
    <xf numFmtId="0" fontId="28" fillId="0" borderId="0" xfId="10" applyFont="1" applyFill="1" applyBorder="1"/>
    <xf numFmtId="0" fontId="9" fillId="0" borderId="0" xfId="10" applyFont="1" applyBorder="1" applyAlignment="1">
      <alignment horizontal="center"/>
    </xf>
    <xf numFmtId="0" fontId="9" fillId="0" borderId="4" xfId="10" applyFont="1" applyBorder="1" applyAlignment="1">
      <alignment vertical="top"/>
    </xf>
    <xf numFmtId="0" fontId="10" fillId="0" borderId="0" xfId="14" applyFont="1">
      <alignment vertical="center"/>
    </xf>
    <xf numFmtId="0" fontId="11" fillId="0" borderId="0" xfId="14" applyFont="1">
      <alignment vertical="center"/>
    </xf>
    <xf numFmtId="0" fontId="10" fillId="0" borderId="0" xfId="14" applyFont="1" applyFill="1">
      <alignment vertical="center"/>
    </xf>
    <xf numFmtId="0" fontId="11" fillId="0" borderId="0" xfId="14" applyFont="1" applyFill="1" applyBorder="1">
      <alignment vertical="center"/>
    </xf>
    <xf numFmtId="0" fontId="10" fillId="0" borderId="0" xfId="14" applyFont="1" applyFill="1" applyBorder="1">
      <alignment vertical="center"/>
    </xf>
    <xf numFmtId="0" fontId="8" fillId="6" borderId="0" xfId="10" applyFont="1" applyFill="1" applyBorder="1"/>
    <xf numFmtId="0" fontId="28" fillId="0" borderId="0" xfId="14" applyFont="1" applyFill="1">
      <alignment vertical="center"/>
    </xf>
    <xf numFmtId="0" fontId="9" fillId="0" borderId="0" xfId="10" applyFont="1" applyBorder="1" applyAlignment="1"/>
    <xf numFmtId="0" fontId="9" fillId="0" borderId="0" xfId="14" applyFont="1" applyFill="1" applyBorder="1" applyAlignment="1">
      <alignment horizontal="left" vertical="center"/>
    </xf>
    <xf numFmtId="0" fontId="25" fillId="0" borderId="4" xfId="10" applyFont="1" applyBorder="1" applyAlignment="1">
      <alignment horizontal="left"/>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0" borderId="0" xfId="10" applyFont="1" applyBorder="1" applyAlignment="1">
      <alignment horizontal="center" vertical="top"/>
    </xf>
    <xf numFmtId="0" fontId="11" fillId="0" borderId="0" xfId="10" applyFont="1" applyBorder="1" applyAlignment="1">
      <alignment horizontal="center" vertical="center"/>
    </xf>
    <xf numFmtId="0" fontId="8" fillId="0" borderId="0" xfId="10" applyFont="1" applyBorder="1" applyAlignment="1">
      <alignment vertical="center"/>
    </xf>
    <xf numFmtId="0" fontId="8" fillId="0" borderId="4" xfId="10" applyFont="1" applyFill="1" applyBorder="1" applyAlignment="1" applyProtection="1">
      <alignment horizontal="left" vertical="center"/>
    </xf>
    <xf numFmtId="0" fontId="8" fillId="0" borderId="0" xfId="10" applyFont="1" applyFill="1" applyBorder="1" applyAlignment="1">
      <alignment vertical="center"/>
    </xf>
    <xf numFmtId="0" fontId="9" fillId="0" borderId="0" xfId="10" applyFont="1" applyBorder="1" applyAlignment="1">
      <alignment horizontal="center" vertical="center"/>
    </xf>
    <xf numFmtId="0" fontId="10" fillId="0" borderId="0" xfId="10" applyFont="1"/>
    <xf numFmtId="0" fontId="8" fillId="0" borderId="4" xfId="10" applyFont="1" applyBorder="1" applyAlignment="1">
      <alignment horizontal="center" vertical="top"/>
    </xf>
    <xf numFmtId="0" fontId="8" fillId="0" borderId="0" xfId="10" applyFont="1" applyAlignment="1">
      <alignment vertical="center"/>
    </xf>
    <xf numFmtId="0" fontId="9" fillId="0" borderId="4" xfId="10" applyFont="1" applyBorder="1" applyAlignment="1">
      <alignment horizontal="left" vertical="top"/>
    </xf>
    <xf numFmtId="0" fontId="8" fillId="0" borderId="0" xfId="14" applyFont="1" applyAlignment="1">
      <alignment horizontal="center"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14" fillId="0" borderId="0" xfId="14" applyFont="1" applyAlignment="1">
      <alignment horizontal="left" vertical="center"/>
    </xf>
    <xf numFmtId="0" fontId="8" fillId="0" borderId="4" xfId="14" applyFont="1" applyBorder="1" applyAlignment="1">
      <alignment vertical="top" wrapText="1"/>
    </xf>
    <xf numFmtId="0" fontId="8" fillId="0" borderId="4" xfId="14" applyFont="1" applyBorder="1" applyAlignment="1">
      <alignment horizontal="center" vertical="top" wrapText="1"/>
    </xf>
    <xf numFmtId="0" fontId="9" fillId="0" borderId="4" xfId="14" applyFont="1" applyBorder="1" applyAlignment="1">
      <alignment vertical="top" wrapText="1"/>
    </xf>
    <xf numFmtId="0" fontId="9" fillId="4" borderId="4" xfId="10" applyFont="1" applyFill="1" applyBorder="1" applyAlignment="1">
      <alignment vertical="top" wrapText="1"/>
    </xf>
    <xf numFmtId="16" fontId="9" fillId="4" borderId="4" xfId="10" applyNumberFormat="1" applyFont="1" applyFill="1" applyBorder="1" applyAlignment="1">
      <alignment horizontal="center" vertical="center" wrapText="1"/>
    </xf>
    <xf numFmtId="0" fontId="9" fillId="0" borderId="4" xfId="10" applyFont="1" applyFill="1" applyBorder="1" applyAlignment="1" applyProtection="1">
      <alignment vertical="top" wrapText="1"/>
    </xf>
    <xf numFmtId="0" fontId="18" fillId="4" borderId="4" xfId="10" applyFill="1" applyBorder="1" applyAlignment="1">
      <alignment horizontal="center" vertical="center" wrapText="1"/>
    </xf>
    <xf numFmtId="0" fontId="9" fillId="0" borderId="4" xfId="10" applyFont="1" applyBorder="1" applyAlignment="1"/>
    <xf numFmtId="0" fontId="10" fillId="0" borderId="4" xfId="14" applyFont="1" applyFill="1" applyBorder="1" applyAlignment="1">
      <alignment horizontal="center" vertical="center"/>
    </xf>
    <xf numFmtId="0" fontId="11" fillId="0" borderId="4" xfId="10" applyFont="1" applyFill="1" applyBorder="1" applyAlignment="1">
      <alignment horizontal="center" vertical="center" wrapText="1"/>
    </xf>
    <xf numFmtId="0" fontId="11" fillId="0" borderId="4" xfId="10" applyFont="1" applyFill="1" applyBorder="1" applyAlignment="1">
      <alignment horizontal="center" vertical="center"/>
    </xf>
    <xf numFmtId="0" fontId="10" fillId="0" borderId="4" xfId="14" applyFont="1" applyBorder="1">
      <alignment vertical="center"/>
    </xf>
    <xf numFmtId="0" fontId="10" fillId="0" borderId="0" xfId="14" applyFont="1" applyAlignment="1">
      <alignment horizontal="center" vertical="center"/>
    </xf>
    <xf numFmtId="0" fontId="11" fillId="0" borderId="0" xfId="10" applyFont="1"/>
    <xf numFmtId="0" fontId="10" fillId="0" borderId="0" xfId="10" applyFont="1" applyAlignment="1">
      <alignment vertical="center"/>
    </xf>
    <xf numFmtId="0" fontId="18" fillId="0" borderId="0" xfId="10" applyAlignment="1">
      <alignment vertical="center"/>
    </xf>
    <xf numFmtId="0" fontId="9" fillId="0" borderId="4" xfId="14" applyFont="1" applyBorder="1" applyAlignment="1">
      <alignment horizontal="center" vertical="top" wrapText="1"/>
    </xf>
    <xf numFmtId="0" fontId="8" fillId="0" borderId="4" xfId="14" applyFont="1" applyFill="1" applyBorder="1">
      <alignment vertical="center"/>
    </xf>
    <xf numFmtId="0" fontId="8" fillId="0" borderId="4" xfId="14" applyFont="1" applyFill="1" applyBorder="1" applyAlignment="1">
      <alignment vertical="top" wrapText="1"/>
    </xf>
    <xf numFmtId="0" fontId="17" fillId="0" borderId="4" xfId="14" applyFont="1" applyBorder="1">
      <alignment vertical="center"/>
    </xf>
    <xf numFmtId="0" fontId="17" fillId="0" borderId="4" xfId="14" applyFont="1" applyBorder="1" applyAlignment="1">
      <alignment horizontal="center" vertical="center"/>
    </xf>
    <xf numFmtId="0" fontId="17" fillId="0" borderId="4" xfId="14" applyFont="1" applyBorder="1" applyAlignment="1">
      <alignment vertical="top" wrapText="1"/>
    </xf>
    <xf numFmtId="0" fontId="31" fillId="0" borderId="4" xfId="19" applyFont="1" applyBorder="1" applyAlignment="1">
      <alignment vertical="center"/>
    </xf>
    <xf numFmtId="0" fontId="31" fillId="0" borderId="4" xfId="19" applyFont="1" applyBorder="1" applyAlignment="1">
      <alignment horizontal="center" vertical="center"/>
    </xf>
    <xf numFmtId="0" fontId="30" fillId="0" borderId="4" xfId="19" applyFont="1" applyBorder="1" applyAlignment="1">
      <alignment vertical="center"/>
    </xf>
    <xf numFmtId="0" fontId="8" fillId="0" borderId="4" xfId="14" applyFont="1" applyBorder="1" applyAlignment="1">
      <alignment horizontal="left" vertical="center"/>
    </xf>
    <xf numFmtId="0" fontId="8" fillId="0" borderId="4" xfId="14" applyFont="1" applyFill="1" applyBorder="1" applyAlignment="1">
      <alignment horizontal="left" vertical="center"/>
    </xf>
    <xf numFmtId="0" fontId="8" fillId="0" borderId="0" xfId="10" applyFont="1" applyAlignment="1">
      <alignment vertical="top"/>
    </xf>
    <xf numFmtId="0" fontId="9" fillId="0" borderId="0" xfId="10" applyFont="1" applyAlignment="1">
      <alignment horizontal="center"/>
    </xf>
    <xf numFmtId="0" fontId="9" fillId="0" borderId="4" xfId="10" applyFont="1" applyBorder="1" applyAlignment="1">
      <alignment horizontal="center" vertical="center"/>
    </xf>
    <xf numFmtId="0" fontId="8" fillId="0" borderId="4" xfId="10" applyFont="1" applyBorder="1" applyAlignment="1">
      <alignment horizontal="center"/>
    </xf>
    <xf numFmtId="0" fontId="18" fillId="0" borderId="0" xfId="10" applyAlignment="1">
      <alignment horizontal="center" vertical="center"/>
    </xf>
    <xf numFmtId="0" fontId="9" fillId="0" borderId="0" xfId="14" applyFont="1" applyAlignment="1">
      <alignment horizontal="center" vertical="center"/>
    </xf>
    <xf numFmtId="0" fontId="9" fillId="4" borderId="4"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8" fillId="5" borderId="4" xfId="10" applyFont="1" applyFill="1" applyBorder="1" applyAlignment="1">
      <alignment horizontal="center" vertical="top"/>
    </xf>
    <xf numFmtId="0" fontId="8" fillId="5" borderId="4" xfId="14" applyFont="1" applyFill="1" applyBorder="1">
      <alignment vertical="center"/>
    </xf>
    <xf numFmtId="0" fontId="9" fillId="5" borderId="4" xfId="10" applyFont="1" applyFill="1" applyBorder="1" applyAlignment="1" applyProtection="1">
      <alignment horizontal="left" vertical="top" wrapText="1"/>
    </xf>
    <xf numFmtId="0" fontId="8" fillId="5" borderId="4" xfId="10" applyFont="1" applyFill="1" applyBorder="1" applyAlignment="1">
      <alignment horizontal="center"/>
    </xf>
    <xf numFmtId="0" fontId="9" fillId="5" borderId="4" xfId="10" applyFont="1" applyFill="1" applyBorder="1" applyAlignment="1">
      <alignment horizontal="center"/>
    </xf>
    <xf numFmtId="0" fontId="9" fillId="5" borderId="4" xfId="14" applyFont="1" applyFill="1" applyBorder="1" applyAlignment="1">
      <alignment horizontal="left" vertical="center" wrapText="1"/>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center" vertical="center" wrapText="1"/>
    </xf>
    <xf numFmtId="0" fontId="8" fillId="6" borderId="4" xfId="14" applyFont="1" applyFill="1" applyBorder="1" applyAlignment="1">
      <alignment horizontal="left" vertical="center" wrapText="1"/>
    </xf>
    <xf numFmtId="0" fontId="8" fillId="5" borderId="4" xfId="14" applyFont="1" applyFill="1" applyBorder="1" applyAlignment="1">
      <alignment horizontal="left" vertical="center" wrapText="1"/>
    </xf>
    <xf numFmtId="0" fontId="9" fillId="0" borderId="4" xfId="10" applyFont="1" applyBorder="1" applyAlignment="1">
      <alignment vertical="top" wrapText="1"/>
    </xf>
    <xf numFmtId="0" fontId="8" fillId="0" borderId="4" xfId="10" applyFont="1" applyFill="1" applyBorder="1" applyProtection="1"/>
    <xf numFmtId="0" fontId="9" fillId="5" borderId="4" xfId="10" applyFont="1" applyFill="1" applyBorder="1" applyAlignment="1">
      <alignment horizontal="center" vertical="center"/>
    </xf>
    <xf numFmtId="0" fontId="9" fillId="5" borderId="4" xfId="10" applyFont="1" applyFill="1" applyBorder="1" applyAlignment="1">
      <alignment horizontal="center" vertical="top"/>
    </xf>
    <xf numFmtId="0" fontId="8" fillId="5" borderId="4" xfId="14" applyFont="1" applyFill="1" applyBorder="1" applyAlignment="1">
      <alignment vertical="center" wrapText="1"/>
    </xf>
    <xf numFmtId="0" fontId="8" fillId="0" borderId="4" xfId="14" applyFont="1" applyFill="1" applyBorder="1" applyAlignment="1">
      <alignment vertical="center" wrapText="1"/>
    </xf>
    <xf numFmtId="0" fontId="9" fillId="5" borderId="4" xfId="10" quotePrefix="1" applyFont="1" applyFill="1" applyBorder="1" applyAlignment="1">
      <alignment horizontal="center" vertical="top" wrapText="1"/>
    </xf>
    <xf numFmtId="0" fontId="9" fillId="0" borderId="0" xfId="10" applyFont="1" applyBorder="1" applyAlignment="1">
      <alignment horizontal="left" vertical="center"/>
    </xf>
    <xf numFmtId="0" fontId="9" fillId="0" borderId="0" xfId="10" applyFont="1" applyBorder="1" applyAlignment="1">
      <alignment horizontal="centerContinuous" vertical="center"/>
    </xf>
    <xf numFmtId="0" fontId="8" fillId="0" borderId="0" xfId="10" applyFont="1" applyBorder="1" applyAlignment="1">
      <alignment horizontal="centerContinuous" vertical="center"/>
    </xf>
    <xf numFmtId="0" fontId="8" fillId="5" borderId="4" xfId="10" applyFont="1" applyFill="1" applyBorder="1" applyAlignment="1">
      <alignment horizontal="center" vertical="center"/>
    </xf>
    <xf numFmtId="0" fontId="8" fillId="5" borderId="4" xfId="10" applyFont="1" applyFill="1" applyBorder="1" applyAlignment="1" applyProtection="1">
      <alignment vertical="center" wrapText="1"/>
    </xf>
    <xf numFmtId="0" fontId="9" fillId="5" borderId="4" xfId="10" applyFont="1" applyFill="1" applyBorder="1" applyAlignment="1" applyProtection="1">
      <alignment horizontal="left" vertical="center" wrapText="1"/>
    </xf>
    <xf numFmtId="0" fontId="8" fillId="0" borderId="4" xfId="10" applyFont="1" applyBorder="1" applyAlignment="1">
      <alignment vertical="center"/>
    </xf>
    <xf numFmtId="0" fontId="8" fillId="5" borderId="0" xfId="10" applyFont="1" applyFill="1" applyBorder="1" applyAlignment="1">
      <alignment vertical="center"/>
    </xf>
    <xf numFmtId="0" fontId="8" fillId="0" borderId="0" xfId="10" applyFont="1" applyBorder="1" applyAlignment="1">
      <alignment horizontal="left" vertical="center"/>
    </xf>
    <xf numFmtId="0" fontId="25" fillId="0" borderId="0" xfId="10" applyFont="1" applyBorder="1" applyAlignment="1">
      <alignment horizontal="left" vertical="center"/>
    </xf>
    <xf numFmtId="166" fontId="8" fillId="0" borderId="0" xfId="10" applyNumberFormat="1" applyFont="1" applyFill="1" applyBorder="1" applyAlignment="1" applyProtection="1">
      <alignment vertical="center"/>
    </xf>
    <xf numFmtId="0" fontId="8" fillId="0" borderId="4" xfId="10" applyFont="1" applyBorder="1" applyAlignment="1">
      <alignment horizontal="center" vertical="center"/>
    </xf>
    <xf numFmtId="0" fontId="9" fillId="5" borderId="4" xfId="10" applyFont="1" applyFill="1" applyBorder="1" applyAlignment="1" applyProtection="1">
      <alignment vertical="center" wrapText="1"/>
    </xf>
    <xf numFmtId="0" fontId="31" fillId="6" borderId="9" xfId="10" applyFont="1" applyFill="1" applyBorder="1"/>
    <xf numFmtId="0" fontId="31" fillId="6" borderId="11" xfId="10" applyFont="1" applyFill="1" applyBorder="1"/>
    <xf numFmtId="0" fontId="31" fillId="6" borderId="0" xfId="10" applyFont="1" applyFill="1" applyBorder="1"/>
    <xf numFmtId="0" fontId="31" fillId="6" borderId="0" xfId="10" applyFont="1" applyFill="1"/>
    <xf numFmtId="0" fontId="31" fillId="6" borderId="12" xfId="10" applyFont="1" applyFill="1" applyBorder="1"/>
    <xf numFmtId="0" fontId="30" fillId="6" borderId="0" xfId="10" applyFont="1" applyFill="1" applyBorder="1" applyAlignment="1">
      <alignment horizontal="left" vertical="top"/>
    </xf>
    <xf numFmtId="0" fontId="9" fillId="5" borderId="0" xfId="10" applyFont="1" applyFill="1" applyBorder="1" applyAlignment="1">
      <alignment vertical="center"/>
    </xf>
    <xf numFmtId="0" fontId="8" fillId="0" borderId="4" xfId="10" applyFont="1" applyFill="1" applyBorder="1" applyAlignment="1" applyProtection="1">
      <alignment horizontal="center" vertical="center"/>
    </xf>
    <xf numFmtId="0" fontId="26" fillId="0" borderId="4" xfId="14" applyFont="1" applyFill="1" applyBorder="1" applyAlignment="1">
      <alignment horizontal="center" vertical="center"/>
    </xf>
    <xf numFmtId="0" fontId="9" fillId="0" borderId="4" xfId="10" applyFont="1" applyFill="1" applyBorder="1" applyAlignment="1" applyProtection="1">
      <alignment horizontal="left" vertical="center" wrapText="1"/>
    </xf>
    <xf numFmtId="0" fontId="9" fillId="0" borderId="4" xfId="10" applyFont="1" applyFill="1" applyBorder="1" applyAlignment="1" applyProtection="1">
      <alignment horizontal="center" vertical="center" wrapText="1"/>
    </xf>
    <xf numFmtId="0" fontId="9" fillId="0" borderId="4" xfId="10" applyFont="1" applyFill="1" applyBorder="1" applyAlignment="1" applyProtection="1">
      <alignment horizontal="left" vertical="center"/>
    </xf>
    <xf numFmtId="0" fontId="8" fillId="0" borderId="4" xfId="10" applyFont="1" applyBorder="1" applyAlignment="1">
      <alignment vertical="top" wrapText="1"/>
    </xf>
    <xf numFmtId="0" fontId="9" fillId="0" borderId="4" xfId="10" applyFont="1" applyBorder="1" applyAlignment="1">
      <alignment horizontal="center" vertical="top"/>
    </xf>
    <xf numFmtId="0" fontId="8" fillId="4" borderId="4" xfId="10" applyFont="1" applyFill="1" applyBorder="1" applyAlignment="1">
      <alignment horizontal="center"/>
    </xf>
    <xf numFmtId="0" fontId="8" fillId="6" borderId="4" xfId="10" applyFont="1" applyFill="1" applyBorder="1" applyAlignment="1" applyProtection="1">
      <alignment horizontal="left"/>
    </xf>
    <xf numFmtId="0" fontId="9" fillId="4" borderId="7" xfId="14" applyFont="1" applyFill="1" applyBorder="1" applyAlignment="1">
      <alignment vertical="center" wrapText="1"/>
    </xf>
    <xf numFmtId="0" fontId="9" fillId="4" borderId="7" xfId="14" applyFont="1" applyFill="1" applyBorder="1" applyAlignment="1">
      <alignment vertical="center"/>
    </xf>
    <xf numFmtId="0" fontId="9" fillId="0" borderId="0" xfId="14" applyFont="1" applyAlignment="1">
      <alignment vertical="center"/>
    </xf>
    <xf numFmtId="0" fontId="9" fillId="4" borderId="4" xfId="14" applyFont="1" applyFill="1" applyBorder="1" applyAlignment="1">
      <alignment horizontal="center" vertical="center" wrapText="1"/>
    </xf>
    <xf numFmtId="0" fontId="15" fillId="0" borderId="0" xfId="10" applyFont="1" applyFill="1" applyBorder="1"/>
    <xf numFmtId="0" fontId="10" fillId="0" borderId="0" xfId="10" applyFont="1" applyFill="1" applyBorder="1"/>
    <xf numFmtId="0" fontId="10" fillId="0" borderId="0" xfId="10" applyFont="1" applyFill="1" applyBorder="1" applyAlignment="1">
      <alignment horizontal="centerContinuous"/>
    </xf>
    <xf numFmtId="0" fontId="10" fillId="0" borderId="0" xfId="10" applyFont="1" applyFill="1" applyBorder="1" applyAlignment="1">
      <alignment horizontal="centerContinuous" vertical="top"/>
    </xf>
    <xf numFmtId="0" fontId="11" fillId="0" borderId="0" xfId="10" applyFont="1" applyFill="1" applyBorder="1" applyAlignment="1">
      <alignment horizontal="centerContinuous"/>
    </xf>
    <xf numFmtId="0" fontId="11" fillId="7" borderId="7" xfId="0" applyFont="1" applyFill="1" applyBorder="1" applyAlignment="1">
      <alignment horizontal="center" vertical="center" wrapText="1"/>
    </xf>
    <xf numFmtId="0" fontId="11" fillId="7" borderId="7"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7" xfId="0" applyFont="1" applyFill="1" applyBorder="1" applyAlignment="1">
      <alignment vertical="center" wrapText="1"/>
    </xf>
    <xf numFmtId="0" fontId="10" fillId="0" borderId="4" xfId="0" applyFont="1" applyFill="1" applyBorder="1" applyAlignment="1">
      <alignment vertical="center" wrapText="1"/>
    </xf>
    <xf numFmtId="0" fontId="11" fillId="0" borderId="8" xfId="0" applyFont="1" applyFill="1" applyBorder="1" applyAlignment="1">
      <alignment vertical="center" wrapText="1"/>
    </xf>
    <xf numFmtId="0" fontId="11" fillId="0" borderId="4" xfId="0" applyFont="1" applyFill="1" applyBorder="1" applyAlignment="1">
      <alignment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vertical="center"/>
    </xf>
    <xf numFmtId="0" fontId="10" fillId="0" borderId="0" xfId="10" applyFont="1" applyFill="1" applyBorder="1" applyAlignment="1">
      <alignment horizontal="center"/>
    </xf>
    <xf numFmtId="0" fontId="10" fillId="0" borderId="0" xfId="10" applyFont="1" applyFill="1" applyBorder="1" applyAlignment="1">
      <alignment horizontal="center" vertical="top"/>
    </xf>
    <xf numFmtId="0" fontId="11" fillId="0" borderId="0" xfId="10" applyFont="1" applyFill="1" applyBorder="1" applyAlignment="1">
      <alignment horizontal="center"/>
    </xf>
    <xf numFmtId="0" fontId="11" fillId="0" borderId="0" xfId="14" applyFont="1" applyFill="1">
      <alignment vertical="center"/>
    </xf>
    <xf numFmtId="0" fontId="9" fillId="4" borderId="4" xfId="14" applyFont="1" applyFill="1" applyBorder="1" applyAlignment="1">
      <alignment horizontal="center" vertical="center" wrapText="1"/>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5" borderId="0" xfId="10" applyFont="1" applyFill="1" applyBorder="1" applyAlignment="1">
      <alignment horizontal="center" vertical="center"/>
    </xf>
    <xf numFmtId="0" fontId="8" fillId="5" borderId="0" xfId="14" applyFont="1" applyFill="1" applyBorder="1">
      <alignment vertical="center"/>
    </xf>
    <xf numFmtId="0" fontId="8" fillId="9" borderId="4" xfId="14" applyFont="1" applyFill="1" applyBorder="1">
      <alignment vertical="center"/>
    </xf>
    <xf numFmtId="0" fontId="8" fillId="0" borderId="0" xfId="14" applyFont="1" applyBorder="1">
      <alignment vertical="center"/>
    </xf>
    <xf numFmtId="0" fontId="10" fillId="0" borderId="0" xfId="10" applyFont="1" applyAlignment="1">
      <alignment vertical="center" wrapText="1"/>
    </xf>
    <xf numFmtId="0" fontId="18" fillId="0" borderId="0" xfId="10" applyAlignment="1">
      <alignment horizontal="center" vertical="center"/>
    </xf>
    <xf numFmtId="0" fontId="9" fillId="0" borderId="0" xfId="10" applyFont="1" applyBorder="1" applyAlignment="1">
      <alignment horizontal="center" vertical="center"/>
    </xf>
    <xf numFmtId="0" fontId="9" fillId="0" borderId="0" xfId="14" applyFont="1" applyBorder="1">
      <alignment vertical="center"/>
    </xf>
    <xf numFmtId="0" fontId="17" fillId="0" borderId="4" xfId="14" applyFont="1" applyBorder="1" applyAlignment="1">
      <alignment vertical="top"/>
    </xf>
    <xf numFmtId="0" fontId="9" fillId="4" borderId="4" xfId="14" applyFont="1" applyFill="1" applyBorder="1" applyAlignment="1">
      <alignment horizontal="center" vertical="center" wrapText="1"/>
    </xf>
    <xf numFmtId="0" fontId="31" fillId="6" borderId="0" xfId="10" applyFont="1" applyFill="1" applyAlignment="1">
      <alignment vertical="center"/>
    </xf>
    <xf numFmtId="0" fontId="9" fillId="0" borderId="0" xfId="10" applyFont="1" applyBorder="1" applyAlignment="1">
      <alignment vertical="top"/>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0" borderId="0" xfId="10" applyFont="1" applyBorder="1" applyAlignment="1">
      <alignment horizontal="center" vertical="top"/>
    </xf>
    <xf numFmtId="0" fontId="12" fillId="0" borderId="0" xfId="10" applyFont="1" applyFill="1" applyBorder="1"/>
    <xf numFmtId="0" fontId="27" fillId="0" borderId="0" xfId="10" applyFont="1" applyFill="1" applyBorder="1"/>
    <xf numFmtId="0" fontId="9" fillId="0" borderId="0" xfId="10" applyFont="1" applyFill="1" applyBorder="1" applyAlignment="1" applyProtection="1">
      <alignment vertical="top" wrapText="1"/>
    </xf>
    <xf numFmtId="0" fontId="26" fillId="0" borderId="0" xfId="10" applyFont="1"/>
    <xf numFmtId="0" fontId="38" fillId="0" borderId="0" xfId="10" applyFont="1"/>
    <xf numFmtId="0" fontId="8" fillId="0" borderId="4" xfId="14" applyFont="1" applyFill="1" applyBorder="1" applyAlignment="1">
      <alignment horizontal="center" vertical="center"/>
    </xf>
    <xf numFmtId="0" fontId="9" fillId="0" borderId="4" xfId="10" applyFont="1" applyFill="1" applyBorder="1" applyAlignment="1">
      <alignment horizontal="center" vertical="center" wrapText="1"/>
    </xf>
    <xf numFmtId="0" fontId="9" fillId="0" borderId="4" xfId="10" applyFont="1" applyFill="1" applyBorder="1" applyAlignment="1">
      <alignment horizontal="center" vertical="center"/>
    </xf>
    <xf numFmtId="0" fontId="9" fillId="0" borderId="4" xfId="14" applyFont="1" applyFill="1" applyBorder="1">
      <alignment vertical="center"/>
    </xf>
    <xf numFmtId="0" fontId="26" fillId="0" borderId="0" xfId="10" applyFont="1" applyAlignment="1">
      <alignment vertical="center"/>
    </xf>
    <xf numFmtId="0" fontId="9" fillId="0" borderId="0" xfId="14" applyFont="1" applyBorder="1" applyAlignment="1">
      <alignment horizontal="center" vertical="top" wrapText="1"/>
    </xf>
    <xf numFmtId="0" fontId="9" fillId="0" borderId="0" xfId="14" applyFont="1" applyBorder="1" applyAlignment="1">
      <alignment vertical="top" wrapText="1"/>
    </xf>
    <xf numFmtId="170" fontId="37" fillId="0" borderId="4" xfId="64" applyNumberFormat="1" applyFont="1" applyBorder="1"/>
    <xf numFmtId="170" fontId="39" fillId="10" borderId="4" xfId="64" applyNumberFormat="1" applyFont="1" applyFill="1" applyBorder="1"/>
    <xf numFmtId="170" fontId="37" fillId="13" borderId="4" xfId="64" applyNumberFormat="1" applyFont="1" applyFill="1" applyBorder="1"/>
    <xf numFmtId="165" fontId="39" fillId="10" borderId="4" xfId="64" applyFont="1" applyFill="1" applyBorder="1"/>
    <xf numFmtId="0" fontId="8" fillId="0" borderId="4" xfId="14" applyFont="1" applyBorder="1" applyAlignment="1">
      <alignment horizontal="center" vertical="center" wrapText="1"/>
    </xf>
    <xf numFmtId="0" fontId="8" fillId="0" borderId="0" xfId="14" applyFont="1" applyAlignment="1">
      <alignment horizontal="left" vertical="center"/>
    </xf>
    <xf numFmtId="0" fontId="8" fillId="0" borderId="0" xfId="0" applyFont="1"/>
    <xf numFmtId="0" fontId="40" fillId="0" borderId="0" xfId="14" applyFont="1" applyAlignment="1">
      <alignment horizontal="left"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170" fontId="37" fillId="6" borderId="4" xfId="64" applyNumberFormat="1" applyFont="1" applyFill="1" applyBorder="1"/>
    <xf numFmtId="170" fontId="37" fillId="8" borderId="4" xfId="64" applyNumberFormat="1" applyFont="1" applyFill="1" applyBorder="1"/>
    <xf numFmtId="0" fontId="12" fillId="0" borderId="0" xfId="10" applyFont="1" applyAlignment="1">
      <alignment horizontal="left"/>
    </xf>
    <xf numFmtId="0" fontId="9" fillId="0" borderId="0" xfId="10" applyFont="1" applyAlignment="1">
      <alignment horizontal="right"/>
    </xf>
    <xf numFmtId="0" fontId="9" fillId="4" borderId="4" xfId="68" applyFont="1" applyFill="1" applyBorder="1" applyAlignment="1">
      <alignment horizontal="center" vertical="center" wrapText="1"/>
    </xf>
    <xf numFmtId="0" fontId="8" fillId="6" borderId="0" xfId="68" applyFont="1" applyFill="1">
      <alignment vertical="center"/>
    </xf>
    <xf numFmtId="0" fontId="25" fillId="0" borderId="0" xfId="10" applyFont="1" applyAlignment="1">
      <alignment horizontal="left"/>
    </xf>
    <xf numFmtId="0" fontId="9" fillId="4" borderId="4" xfId="31" quotePrefix="1" applyFont="1" applyFill="1" applyBorder="1" applyAlignment="1">
      <alignment horizontal="center" vertical="center" wrapText="1"/>
    </xf>
    <xf numFmtId="0" fontId="9" fillId="0" borderId="0" xfId="10" applyFont="1" applyAlignment="1">
      <alignment horizontal="left" vertical="top"/>
    </xf>
    <xf numFmtId="0" fontId="9" fillId="6" borderId="0" xfId="31" applyFont="1" applyFill="1" applyAlignment="1">
      <alignment horizontal="left" vertical="top"/>
    </xf>
    <xf numFmtId="0" fontId="9" fillId="6" borderId="0" xfId="10" applyFont="1" applyFill="1" applyAlignment="1">
      <alignment horizontal="left" vertical="top"/>
    </xf>
    <xf numFmtId="0" fontId="25" fillId="6" borderId="0" xfId="10" applyFont="1" applyFill="1" applyAlignment="1">
      <alignment horizontal="left"/>
    </xf>
    <xf numFmtId="0" fontId="8" fillId="6" borderId="0" xfId="14" applyFont="1" applyFill="1">
      <alignment vertical="center"/>
    </xf>
    <xf numFmtId="0" fontId="8" fillId="6" borderId="4" xfId="10" applyFont="1" applyFill="1" applyBorder="1"/>
    <xf numFmtId="0" fontId="8" fillId="0" borderId="0" xfId="68" applyFont="1">
      <alignment vertical="center"/>
    </xf>
    <xf numFmtId="0" fontId="8" fillId="0" borderId="4" xfId="68" applyFont="1" applyBorder="1">
      <alignment vertical="center"/>
    </xf>
    <xf numFmtId="0" fontId="8" fillId="0" borderId="4" xfId="68" applyFont="1" applyBorder="1" applyAlignment="1">
      <alignment horizontal="center" vertical="center"/>
    </xf>
    <xf numFmtId="0" fontId="9" fillId="0" borderId="4" xfId="68" applyFont="1" applyBorder="1">
      <alignment vertical="center"/>
    </xf>
    <xf numFmtId="0" fontId="9" fillId="0" borderId="0" xfId="68" applyFont="1">
      <alignment vertical="center"/>
    </xf>
    <xf numFmtId="0" fontId="9" fillId="0" borderId="4" xfId="31" applyFont="1" applyBorder="1" applyAlignment="1">
      <alignment horizontal="center" vertical="center" wrapText="1"/>
    </xf>
    <xf numFmtId="0" fontId="9" fillId="0" borderId="7" xfId="31" applyFont="1" applyBorder="1" applyAlignment="1">
      <alignment horizontal="center" vertical="center" wrapText="1"/>
    </xf>
    <xf numFmtId="0" fontId="9" fillId="0" borderId="6" xfId="68" applyFont="1" applyBorder="1" applyAlignment="1">
      <alignment horizontal="center" vertical="center"/>
    </xf>
    <xf numFmtId="0" fontId="9" fillId="7" borderId="4" xfId="31" applyFont="1" applyFill="1" applyBorder="1" applyAlignment="1">
      <alignment horizontal="center" vertical="center" wrapText="1"/>
    </xf>
    <xf numFmtId="0" fontId="9" fillId="7" borderId="7" xfId="31" applyFont="1" applyFill="1" applyBorder="1" applyAlignment="1">
      <alignment horizontal="center" vertical="center" wrapText="1"/>
    </xf>
    <xf numFmtId="0" fontId="8" fillId="0" borderId="0" xfId="68" applyFont="1" applyAlignment="1">
      <alignment horizontal="center" vertical="center"/>
    </xf>
    <xf numFmtId="0" fontId="9" fillId="0" borderId="0" xfId="68" applyFont="1" applyAlignment="1">
      <alignment horizontal="left" vertical="center"/>
    </xf>
    <xf numFmtId="0" fontId="9" fillId="0" borderId="0" xfId="10" applyFont="1" applyAlignment="1">
      <alignment vertical="top"/>
    </xf>
    <xf numFmtId="0" fontId="17" fillId="6" borderId="4" xfId="14" applyFont="1" applyFill="1" applyBorder="1">
      <alignment vertical="center"/>
    </xf>
    <xf numFmtId="0" fontId="17" fillId="6" borderId="4" xfId="14" applyFont="1" applyFill="1" applyBorder="1" applyAlignment="1">
      <alignment horizontal="left" vertical="center"/>
    </xf>
    <xf numFmtId="0" fontId="10" fillId="6" borderId="0" xfId="14" applyFont="1" applyFill="1">
      <alignment vertical="center"/>
    </xf>
    <xf numFmtId="0" fontId="11" fillId="6" borderId="0" xfId="14" applyFont="1" applyFill="1">
      <alignment vertical="center"/>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34" fillId="6" borderId="0" xfId="10" applyFont="1" applyFill="1" applyBorder="1" applyAlignment="1">
      <alignment horizontal="left" vertical="center" wrapText="1"/>
    </xf>
    <xf numFmtId="0" fontId="31" fillId="6" borderId="0" xfId="10" applyFont="1" applyFill="1" applyAlignment="1">
      <alignment vertical="center"/>
    </xf>
    <xf numFmtId="0" fontId="9" fillId="7" borderId="4" xfId="14" applyFont="1" applyFill="1" applyBorder="1" applyAlignment="1">
      <alignment horizontal="center" vertical="center" wrapText="1"/>
    </xf>
    <xf numFmtId="0" fontId="34" fillId="6" borderId="0" xfId="10" applyFont="1" applyFill="1" applyBorder="1" applyAlignment="1">
      <alignment horizontal="left" vertical="center"/>
    </xf>
    <xf numFmtId="0" fontId="30" fillId="7" borderId="4" xfId="10" applyFont="1" applyFill="1" applyBorder="1" applyAlignment="1">
      <alignment horizontal="center" vertical="center"/>
    </xf>
    <xf numFmtId="0" fontId="9" fillId="0" borderId="0" xfId="10" applyFont="1" applyAlignment="1">
      <alignment horizontal="left"/>
    </xf>
    <xf numFmtId="0" fontId="40" fillId="0" borderId="0" xfId="14" applyFont="1" applyAlignment="1">
      <alignment horizontal="left" vertical="center"/>
    </xf>
    <xf numFmtId="0" fontId="9" fillId="7" borderId="4" xfId="14" applyFont="1" applyFill="1" applyBorder="1" applyAlignment="1">
      <alignment horizontal="center" vertical="center"/>
    </xf>
    <xf numFmtId="0" fontId="8" fillId="6" borderId="0" xfId="10" applyFont="1" applyFill="1" applyBorder="1" applyAlignment="1">
      <alignment horizontal="center"/>
    </xf>
    <xf numFmtId="0" fontId="40" fillId="0" borderId="0" xfId="14" applyFont="1">
      <alignment vertical="center"/>
    </xf>
    <xf numFmtId="0" fontId="8" fillId="5" borderId="4" xfId="10" applyFont="1" applyFill="1" applyBorder="1" applyAlignment="1" applyProtection="1">
      <alignment horizont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0" fontId="9" fillId="4" borderId="4" xfId="14" applyFont="1" applyFill="1" applyBorder="1" applyAlignment="1">
      <alignment horizontal="center" vertical="center" wrapText="1"/>
    </xf>
    <xf numFmtId="164" fontId="8" fillId="0" borderId="4" xfId="69" applyFont="1" applyBorder="1" applyAlignment="1">
      <alignment vertical="center"/>
    </xf>
    <xf numFmtId="164" fontId="8" fillId="6" borderId="4" xfId="69" applyFont="1" applyFill="1" applyBorder="1" applyAlignment="1">
      <alignment vertical="center"/>
    </xf>
    <xf numFmtId="0" fontId="9" fillId="0" borderId="4" xfId="10" applyFont="1" applyFill="1" applyBorder="1" applyAlignment="1" applyProtection="1">
      <alignment horizontal="left"/>
    </xf>
    <xf numFmtId="164" fontId="9" fillId="5" borderId="4" xfId="69" applyFont="1" applyFill="1" applyBorder="1" applyAlignment="1" applyProtection="1">
      <alignment horizontal="left"/>
    </xf>
    <xf numFmtId="9" fontId="10" fillId="0" borderId="0" xfId="14" applyNumberFormat="1" applyFont="1" applyFill="1">
      <alignment vertical="center"/>
    </xf>
    <xf numFmtId="1" fontId="10" fillId="0" borderId="0" xfId="14" applyNumberFormat="1" applyFont="1" applyFill="1">
      <alignment vertical="center"/>
    </xf>
    <xf numFmtId="164" fontId="9" fillId="0" borderId="4" xfId="14" applyNumberFormat="1" applyFont="1" applyBorder="1">
      <alignment vertical="center"/>
    </xf>
    <xf numFmtId="0" fontId="9" fillId="0" borderId="4" xfId="14" applyFont="1" applyFill="1" applyBorder="1" applyAlignment="1">
      <alignment horizontal="center" vertical="center"/>
    </xf>
    <xf numFmtId="0" fontId="8" fillId="0" borderId="0" xfId="14" applyFont="1" applyFill="1">
      <alignment vertical="center"/>
    </xf>
    <xf numFmtId="0" fontId="9" fillId="7" borderId="4" xfId="14" applyFont="1" applyFill="1" applyBorder="1" applyAlignment="1">
      <alignment horizontal="center" vertical="center" wrapText="1"/>
    </xf>
    <xf numFmtId="164" fontId="9" fillId="0" borderId="4" xfId="69" applyFont="1" applyBorder="1"/>
    <xf numFmtId="164" fontId="8" fillId="5" borderId="4" xfId="69" applyFont="1" applyFill="1" applyBorder="1" applyAlignment="1" applyProtection="1">
      <alignment horizontal="left"/>
    </xf>
    <xf numFmtId="164" fontId="8" fillId="0" borderId="4" xfId="69" applyFont="1" applyFill="1" applyBorder="1" applyAlignment="1">
      <alignment vertical="center"/>
    </xf>
    <xf numFmtId="164" fontId="18" fillId="0" borderId="4" xfId="69" applyFont="1" applyFill="1" applyBorder="1" applyAlignment="1">
      <alignment horizontal="center" vertical="center" wrapText="1"/>
    </xf>
    <xf numFmtId="164" fontId="8" fillId="0" borderId="0" xfId="69" applyFont="1" applyBorder="1" applyAlignment="1">
      <alignment vertical="center"/>
    </xf>
    <xf numFmtId="164" fontId="8" fillId="0" borderId="4" xfId="69" applyFont="1" applyFill="1" applyBorder="1" applyAlignment="1" applyProtection="1">
      <alignment horizontal="left" vertical="center"/>
    </xf>
    <xf numFmtId="164" fontId="26" fillId="0" borderId="4" xfId="69" applyFont="1" applyFill="1" applyBorder="1" applyAlignment="1">
      <alignment vertical="center"/>
    </xf>
    <xf numFmtId="164" fontId="8" fillId="0" borderId="0" xfId="69" applyFont="1" applyFill="1" applyBorder="1" applyAlignment="1">
      <alignment vertical="center"/>
    </xf>
    <xf numFmtId="164" fontId="9" fillId="0" borderId="4" xfId="69" applyFont="1" applyBorder="1" applyAlignment="1">
      <alignment vertical="center"/>
    </xf>
    <xf numFmtId="164" fontId="8" fillId="0" borderId="0" xfId="69" applyFont="1" applyAlignment="1">
      <alignment vertical="center"/>
    </xf>
    <xf numFmtId="164" fontId="8" fillId="0" borderId="4" xfId="69" applyFont="1" applyBorder="1" applyAlignment="1">
      <alignment vertical="top" wrapText="1"/>
    </xf>
    <xf numFmtId="9" fontId="8" fillId="0" borderId="4" xfId="14" applyNumberFormat="1" applyFont="1" applyBorder="1">
      <alignment vertical="center"/>
    </xf>
    <xf numFmtId="9" fontId="8" fillId="0" borderId="4" xfId="70" applyFont="1" applyBorder="1" applyAlignment="1">
      <alignment vertical="center"/>
    </xf>
    <xf numFmtId="164" fontId="10" fillId="0" borderId="4" xfId="69" applyFont="1" applyBorder="1" applyAlignment="1">
      <alignment vertical="center"/>
    </xf>
    <xf numFmtId="2" fontId="10" fillId="0" borderId="4" xfId="14" applyNumberFormat="1" applyFont="1" applyBorder="1">
      <alignment vertical="center"/>
    </xf>
    <xf numFmtId="164" fontId="10" fillId="0" borderId="4" xfId="14" applyNumberFormat="1" applyFont="1" applyBorder="1">
      <alignment vertical="center"/>
    </xf>
    <xf numFmtId="164" fontId="10" fillId="0" borderId="4" xfId="69" applyFont="1" applyFill="1" applyBorder="1" applyAlignment="1">
      <alignment vertical="center"/>
    </xf>
    <xf numFmtId="164" fontId="10" fillId="0" borderId="0" xfId="69" applyFont="1"/>
    <xf numFmtId="0" fontId="9" fillId="7" borderId="4" xfId="14" applyFont="1" applyFill="1" applyBorder="1" applyAlignment="1">
      <alignment horizontal="center" vertical="center" wrapText="1"/>
    </xf>
    <xf numFmtId="0" fontId="8" fillId="0" borderId="0" xfId="14" applyFont="1" applyFill="1" applyBorder="1" applyAlignment="1">
      <alignment horizontal="centerContinuous" vertical="center"/>
    </xf>
    <xf numFmtId="0" fontId="8" fillId="0" borderId="0" xfId="10" applyFont="1" applyFill="1" applyBorder="1" applyAlignment="1">
      <alignment horizontal="center"/>
    </xf>
    <xf numFmtId="164" fontId="8" fillId="0" borderId="4" xfId="14" applyNumberFormat="1" applyFont="1" applyFill="1" applyBorder="1">
      <alignment vertical="center"/>
    </xf>
    <xf numFmtId="0" fontId="9" fillId="0" borderId="0" xfId="14" applyFont="1" applyAlignment="1">
      <alignment horizontal="center" vertical="center"/>
    </xf>
    <xf numFmtId="0" fontId="13" fillId="0" borderId="4" xfId="10" applyFont="1" applyBorder="1" applyAlignment="1">
      <alignment horizontal="center" vertical="center" wrapText="1"/>
    </xf>
    <xf numFmtId="0" fontId="13" fillId="0" borderId="4" xfId="10" applyFont="1" applyBorder="1" applyAlignment="1">
      <alignment horizontal="left" vertical="center"/>
    </xf>
    <xf numFmtId="166" fontId="8" fillId="0" borderId="4" xfId="10" applyNumberFormat="1" applyFont="1" applyFill="1" applyBorder="1" applyProtection="1"/>
    <xf numFmtId="0" fontId="13" fillId="5" borderId="4" xfId="10" applyFont="1" applyFill="1" applyBorder="1" applyAlignment="1">
      <alignment horizontal="center" vertical="top"/>
    </xf>
    <xf numFmtId="0" fontId="13" fillId="0" borderId="4" xfId="10" applyFont="1" applyFill="1" applyBorder="1" applyAlignment="1" applyProtection="1">
      <alignment horizontal="left"/>
    </xf>
    <xf numFmtId="0" fontId="17" fillId="5" borderId="4" xfId="10" applyFont="1" applyFill="1" applyBorder="1" applyAlignment="1">
      <alignment horizontal="center" vertical="top"/>
    </xf>
    <xf numFmtId="164" fontId="8" fillId="0" borderId="4" xfId="69" applyFont="1" applyBorder="1"/>
    <xf numFmtId="2" fontId="8" fillId="5" borderId="0" xfId="10" applyNumberFormat="1" applyFont="1" applyFill="1" applyBorder="1"/>
    <xf numFmtId="164" fontId="9" fillId="0" borderId="4" xfId="69" applyFont="1" applyBorder="1" applyAlignment="1">
      <alignment horizontal="left" vertical="top"/>
    </xf>
    <xf numFmtId="164" fontId="8" fillId="0" borderId="4" xfId="69" applyFont="1" applyBorder="1" applyAlignment="1">
      <alignment horizontal="left" vertical="top"/>
    </xf>
    <xf numFmtId="164" fontId="8" fillId="6" borderId="4" xfId="69" applyFont="1" applyFill="1" applyBorder="1" applyAlignment="1">
      <alignment horizontal="left" vertical="top"/>
    </xf>
    <xf numFmtId="164" fontId="8" fillId="6" borderId="4" xfId="69" applyFont="1" applyFill="1" applyBorder="1" applyAlignment="1">
      <alignment horizontal="left" vertical="top" wrapText="1"/>
    </xf>
    <xf numFmtId="164" fontId="8" fillId="0" borderId="4" xfId="69" applyFont="1" applyFill="1" applyBorder="1" applyAlignment="1" applyProtection="1">
      <alignment horizontal="left"/>
    </xf>
    <xf numFmtId="164" fontId="11" fillId="0" borderId="4" xfId="69" applyFont="1" applyFill="1" applyBorder="1" applyAlignment="1">
      <alignment vertical="center"/>
    </xf>
    <xf numFmtId="164" fontId="11" fillId="0" borderId="4" xfId="69" applyFont="1" applyFill="1" applyBorder="1" applyAlignment="1">
      <alignment horizontal="center" vertical="center" wrapText="1"/>
    </xf>
    <xf numFmtId="164" fontId="11" fillId="0" borderId="4" xfId="69" applyFont="1" applyFill="1" applyBorder="1" applyAlignment="1">
      <alignment horizontal="center" vertical="center"/>
    </xf>
    <xf numFmtId="164" fontId="9" fillId="0" borderId="4" xfId="69" applyFont="1" applyBorder="1" applyAlignment="1">
      <alignment vertical="top" wrapText="1"/>
    </xf>
    <xf numFmtId="0" fontId="8" fillId="0" borderId="0" xfId="10" applyFont="1" applyFill="1" applyAlignment="1">
      <alignment vertical="center"/>
    </xf>
    <xf numFmtId="0" fontId="8" fillId="0" borderId="0" xfId="10" applyFont="1" applyFill="1" applyAlignment="1">
      <alignment vertical="top"/>
    </xf>
    <xf numFmtId="0" fontId="17" fillId="5" borderId="4" xfId="14" applyFont="1" applyFill="1" applyBorder="1" applyAlignment="1">
      <alignment horizontal="center" vertical="center" wrapText="1"/>
    </xf>
    <xf numFmtId="10" fontId="8" fillId="0" borderId="4" xfId="70" applyNumberFormat="1" applyFont="1" applyFill="1" applyBorder="1" applyAlignment="1">
      <alignment vertical="center"/>
    </xf>
    <xf numFmtId="164" fontId="8" fillId="0" borderId="4" xfId="69" applyFont="1" applyFill="1" applyBorder="1" applyAlignment="1">
      <alignment vertical="top" wrapText="1"/>
    </xf>
    <xf numFmtId="164" fontId="9" fillId="0" borderId="4" xfId="69" applyFont="1" applyFill="1" applyBorder="1" applyAlignment="1">
      <alignment vertical="center"/>
    </xf>
    <xf numFmtId="164" fontId="8" fillId="0" borderId="0" xfId="14" applyNumberFormat="1" applyFont="1">
      <alignment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13" fillId="5" borderId="4" xfId="14" applyFont="1" applyFill="1" applyBorder="1" applyAlignment="1">
      <alignment horizontal="center" wrapText="1"/>
    </xf>
    <xf numFmtId="0" fontId="13" fillId="5" borderId="4" xfId="14" applyFont="1" applyFill="1" applyBorder="1" applyAlignment="1">
      <alignment horizontal="left" vertical="center" wrapText="1"/>
    </xf>
    <xf numFmtId="0" fontId="17" fillId="5" borderId="4" xfId="14" quotePrefix="1" applyFont="1" applyFill="1" applyBorder="1" applyAlignment="1">
      <alignment horizontal="center" vertical="center" wrapText="1"/>
    </xf>
    <xf numFmtId="0" fontId="17" fillId="5" borderId="4" xfId="14" applyFont="1" applyFill="1" applyBorder="1" applyAlignment="1">
      <alignment horizontal="center" wrapText="1"/>
    </xf>
    <xf numFmtId="0" fontId="17" fillId="6" borderId="4" xfId="14" applyFont="1" applyFill="1" applyBorder="1" applyAlignment="1">
      <alignment horizontal="left" vertical="center" wrapText="1"/>
    </xf>
    <xf numFmtId="0" fontId="17" fillId="6" borderId="4" xfId="14" applyFont="1" applyFill="1" applyBorder="1" applyAlignment="1">
      <alignment horizontal="left" vertical="center" wrapText="1" indent="1"/>
    </xf>
    <xf numFmtId="0" fontId="17" fillId="6" borderId="4" xfId="14" applyFont="1" applyFill="1" applyBorder="1" applyAlignment="1">
      <alignment horizontal="left" vertical="center" wrapText="1" indent="2"/>
    </xf>
    <xf numFmtId="0" fontId="17" fillId="0" borderId="4" xfId="14" applyFont="1" applyFill="1" applyBorder="1" applyAlignment="1">
      <alignment horizontal="left" vertical="center" wrapText="1"/>
    </xf>
    <xf numFmtId="0" fontId="17" fillId="6" borderId="4" xfId="14" applyFont="1" applyFill="1" applyBorder="1" applyAlignment="1">
      <alignment vertical="center" wrapText="1"/>
    </xf>
    <xf numFmtId="168" fontId="17" fillId="5" borderId="4" xfId="14" applyNumberFormat="1" applyFont="1" applyFill="1" applyBorder="1" applyAlignment="1">
      <alignment horizontal="center" wrapText="1"/>
    </xf>
    <xf numFmtId="2" fontId="17" fillId="5" borderId="4" xfId="14" applyNumberFormat="1" applyFont="1" applyFill="1" applyBorder="1" applyAlignment="1">
      <alignment horizontal="center" vertical="center" wrapText="1"/>
    </xf>
    <xf numFmtId="2" fontId="17" fillId="5" borderId="4" xfId="14" applyNumberFormat="1" applyFont="1" applyFill="1" applyBorder="1" applyAlignment="1">
      <alignment horizontal="center" wrapText="1"/>
    </xf>
    <xf numFmtId="0" fontId="13" fillId="0" borderId="4" xfId="10" applyFont="1" applyBorder="1" applyAlignment="1">
      <alignment horizontal="center"/>
    </xf>
    <xf numFmtId="0" fontId="13" fillId="6" borderId="4" xfId="10" applyFont="1" applyFill="1" applyBorder="1" applyAlignment="1">
      <alignment vertical="top"/>
    </xf>
    <xf numFmtId="0" fontId="17" fillId="0" borderId="4" xfId="10" applyFont="1" applyBorder="1" applyAlignment="1">
      <alignment horizontal="center"/>
    </xf>
    <xf numFmtId="0" fontId="17" fillId="0" borderId="4" xfId="10" applyFont="1" applyBorder="1" applyAlignment="1">
      <alignment vertical="top"/>
    </xf>
    <xf numFmtId="9" fontId="17" fillId="5" borderId="4" xfId="70" applyFont="1" applyFill="1" applyBorder="1" applyAlignment="1">
      <alignment horizontal="center" vertical="center" wrapText="1"/>
    </xf>
    <xf numFmtId="0" fontId="13" fillId="5" borderId="4" xfId="14" applyFont="1" applyFill="1" applyBorder="1" applyAlignment="1">
      <alignment horizontal="center" vertical="center" wrapText="1"/>
    </xf>
    <xf numFmtId="0" fontId="17" fillId="0" borderId="4"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7" fillId="0" borderId="4" xfId="10" applyFont="1" applyFill="1" applyBorder="1" applyAlignment="1">
      <alignment vertical="top"/>
    </xf>
    <xf numFmtId="10" fontId="17" fillId="5" borderId="4" xfId="70" applyNumberFormat="1" applyFont="1" applyFill="1" applyBorder="1" applyAlignment="1">
      <alignment horizontal="center" vertical="center" wrapText="1"/>
    </xf>
    <xf numFmtId="0" fontId="13" fillId="0" borderId="4" xfId="10" applyFont="1" applyBorder="1"/>
    <xf numFmtId="0" fontId="13" fillId="6" borderId="4" xfId="14" applyFont="1" applyFill="1" applyBorder="1" applyAlignment="1">
      <alignment horizontal="left" vertical="center" wrapText="1"/>
    </xf>
    <xf numFmtId="9" fontId="17" fillId="6" borderId="4" xfId="70" applyFont="1" applyFill="1" applyBorder="1" applyAlignment="1">
      <alignment horizontal="left" vertical="center" wrapText="1"/>
    </xf>
    <xf numFmtId="175" fontId="17" fillId="5" borderId="4" xfId="69" applyNumberFormat="1" applyFont="1" applyFill="1" applyBorder="1" applyAlignment="1">
      <alignment horizontal="center" vertical="center" wrapText="1"/>
    </xf>
    <xf numFmtId="0" fontId="13" fillId="6" borderId="4" xfId="14" applyFont="1" applyFill="1" applyBorder="1" applyAlignment="1">
      <alignment vertical="center" wrapText="1"/>
    </xf>
    <xf numFmtId="0" fontId="16" fillId="5" borderId="4" xfId="10" applyFont="1" applyFill="1" applyBorder="1" applyAlignment="1">
      <alignment horizontal="center" vertical="center"/>
    </xf>
    <xf numFmtId="0" fontId="17" fillId="0" borderId="4" xfId="10" applyFont="1" applyFill="1" applyBorder="1" applyProtection="1"/>
    <xf numFmtId="0" fontId="17" fillId="0" borderId="4" xfId="10" applyFont="1" applyFill="1" applyBorder="1" applyAlignment="1" applyProtection="1">
      <alignment horizontal="left"/>
    </xf>
    <xf numFmtId="164" fontId="13" fillId="0" borderId="4" xfId="69" applyFont="1" applyBorder="1"/>
    <xf numFmtId="0" fontId="13" fillId="5" borderId="4" xfId="10" applyFont="1" applyFill="1" applyBorder="1" applyAlignment="1" applyProtection="1">
      <alignment vertical="top" wrapText="1"/>
    </xf>
    <xf numFmtId="164" fontId="13" fillId="0" borderId="4" xfId="69" applyFont="1" applyFill="1" applyBorder="1"/>
    <xf numFmtId="0" fontId="13" fillId="0" borderId="4" xfId="10" applyFont="1" applyFill="1" applyBorder="1"/>
    <xf numFmtId="0" fontId="13" fillId="5" borderId="4" xfId="10" applyFont="1" applyFill="1" applyBorder="1" applyAlignment="1">
      <alignment horizontal="center" vertical="center"/>
    </xf>
    <xf numFmtId="0" fontId="17" fillId="5" borderId="4" xfId="10" applyFont="1" applyFill="1" applyBorder="1" applyAlignment="1">
      <alignment horizontal="center" vertical="center"/>
    </xf>
    <xf numFmtId="0" fontId="13" fillId="5" borderId="4" xfId="10" applyFont="1" applyFill="1" applyBorder="1" applyAlignment="1">
      <alignment horizontal="center"/>
    </xf>
    <xf numFmtId="0" fontId="13" fillId="5" borderId="4" xfId="10" applyFont="1" applyFill="1" applyBorder="1"/>
    <xf numFmtId="0" fontId="17" fillId="5" borderId="4" xfId="10" applyFont="1" applyFill="1" applyBorder="1"/>
    <xf numFmtId="0" fontId="9" fillId="7" borderId="4" xfId="14" applyFont="1" applyFill="1" applyBorder="1" applyAlignment="1">
      <alignment horizontal="center" vertical="center" wrapText="1"/>
    </xf>
    <xf numFmtId="0" fontId="8" fillId="0" borderId="4" xfId="14" applyFont="1" applyBorder="1" applyAlignment="1">
      <alignment vertical="center"/>
    </xf>
    <xf numFmtId="0" fontId="8" fillId="0" borderId="4" xfId="14" applyFont="1" applyFill="1" applyBorder="1" applyAlignment="1">
      <alignment vertical="center"/>
    </xf>
    <xf numFmtId="0" fontId="8" fillId="6" borderId="4" xfId="14" applyFont="1" applyFill="1" applyBorder="1" applyAlignment="1">
      <alignment vertical="center"/>
    </xf>
    <xf numFmtId="0" fontId="8" fillId="0" borderId="4" xfId="10" applyFont="1" applyFill="1" applyBorder="1" applyAlignment="1" applyProtection="1">
      <alignment vertical="center"/>
    </xf>
    <xf numFmtId="0" fontId="9" fillId="0" borderId="4" xfId="10" applyFont="1" applyFill="1" applyBorder="1" applyAlignment="1" applyProtection="1">
      <alignment vertical="center" wrapText="1"/>
    </xf>
    <xf numFmtId="0" fontId="8" fillId="0" borderId="4" xfId="10" applyFont="1" applyFill="1" applyBorder="1" applyAlignment="1" applyProtection="1">
      <alignment vertical="center" wrapText="1"/>
    </xf>
    <xf numFmtId="0" fontId="17" fillId="0" borderId="4" xfId="14" applyFont="1" applyFill="1" applyBorder="1" applyAlignment="1">
      <alignment vertical="center" wrapText="1"/>
    </xf>
    <xf numFmtId="0" fontId="17" fillId="0" borderId="4" xfId="10" applyFont="1" applyFill="1" applyBorder="1" applyAlignment="1">
      <alignment horizontal="center" vertical="top"/>
    </xf>
    <xf numFmtId="164" fontId="13" fillId="0" borderId="4" xfId="69" applyFont="1" applyFill="1" applyBorder="1" applyAlignment="1">
      <alignment horizontal="center" vertical="center" wrapText="1"/>
    </xf>
    <xf numFmtId="0" fontId="9" fillId="0" borderId="0" xfId="10" applyFont="1" applyFill="1" applyBorder="1"/>
    <xf numFmtId="0" fontId="13" fillId="0" borderId="4" xfId="10" applyFont="1" applyFill="1" applyBorder="1" applyAlignment="1" applyProtection="1">
      <alignment vertical="top" wrapText="1"/>
    </xf>
    <xf numFmtId="0" fontId="17" fillId="0" borderId="4" xfId="10" applyFont="1" applyFill="1" applyBorder="1" applyAlignment="1" applyProtection="1">
      <alignment vertical="top" wrapText="1"/>
    </xf>
    <xf numFmtId="0" fontId="13" fillId="0" borderId="4" xfId="10" applyFont="1" applyFill="1" applyBorder="1" applyAlignment="1">
      <alignment horizontal="center" vertical="center"/>
    </xf>
    <xf numFmtId="0" fontId="8" fillId="0" borderId="4" xfId="10" applyFont="1" applyFill="1" applyBorder="1" applyAlignment="1">
      <alignment horizontal="center" vertical="center"/>
    </xf>
    <xf numFmtId="0" fontId="8" fillId="0" borderId="0" xfId="10" applyFont="1" applyFill="1" applyBorder="1" applyAlignment="1"/>
    <xf numFmtId="0" fontId="9" fillId="0" borderId="4" xfId="10" applyFont="1" applyFill="1" applyBorder="1" applyAlignment="1" applyProtection="1">
      <alignment vertical="center"/>
    </xf>
    <xf numFmtId="176" fontId="8" fillId="0" borderId="4" xfId="69" applyNumberFormat="1" applyFont="1" applyFill="1" applyBorder="1" applyAlignment="1" applyProtection="1">
      <alignment vertical="center" wrapText="1"/>
    </xf>
    <xf numFmtId="176" fontId="8" fillId="0" borderId="0" xfId="69" applyNumberFormat="1" applyFont="1" applyAlignment="1">
      <alignment vertical="center"/>
    </xf>
    <xf numFmtId="0" fontId="8" fillId="5" borderId="4" xfId="10" applyFont="1" applyFill="1" applyBorder="1" applyAlignment="1">
      <alignment horizontal="left"/>
    </xf>
    <xf numFmtId="176" fontId="8" fillId="5" borderId="4" xfId="69" applyNumberFormat="1" applyFont="1" applyFill="1" applyBorder="1" applyAlignment="1" applyProtection="1">
      <alignment horizontal="left"/>
    </xf>
    <xf numFmtId="176" fontId="9" fillId="5" borderId="4" xfId="69" applyNumberFormat="1" applyFont="1" applyFill="1" applyBorder="1" applyAlignment="1" applyProtection="1">
      <alignment horizontal="left"/>
    </xf>
    <xf numFmtId="176" fontId="8" fillId="0" borderId="4" xfId="69" applyNumberFormat="1" applyFont="1" applyBorder="1"/>
    <xf numFmtId="176" fontId="9" fillId="0" borderId="4" xfId="69" applyNumberFormat="1" applyFont="1" applyFill="1" applyBorder="1" applyAlignment="1">
      <alignment vertical="center"/>
    </xf>
    <xf numFmtId="176" fontId="8" fillId="5" borderId="4" xfId="69" quotePrefix="1" applyNumberFormat="1" applyFont="1" applyFill="1" applyBorder="1" applyAlignment="1">
      <alignment horizontal="left" vertical="top" wrapText="1"/>
    </xf>
    <xf numFmtId="176" fontId="8" fillId="5" borderId="0" xfId="69" quotePrefix="1" applyNumberFormat="1" applyFont="1" applyFill="1" applyBorder="1" applyAlignment="1">
      <alignment horizontal="left" vertical="top" wrapText="1"/>
    </xf>
    <xf numFmtId="176" fontId="8" fillId="0" borderId="0" xfId="69" applyNumberFormat="1" applyFont="1" applyBorder="1" applyAlignment="1">
      <alignment vertical="center"/>
    </xf>
    <xf numFmtId="176" fontId="14" fillId="0" borderId="0" xfId="69" applyNumberFormat="1" applyFont="1" applyAlignment="1">
      <alignment horizontal="left" vertical="center"/>
    </xf>
    <xf numFmtId="176" fontId="9" fillId="7" borderId="4" xfId="69" applyNumberFormat="1" applyFont="1" applyFill="1" applyBorder="1" applyAlignment="1">
      <alignment horizontal="center" vertical="center"/>
    </xf>
    <xf numFmtId="176" fontId="9" fillId="7" borderId="4" xfId="69" applyNumberFormat="1" applyFont="1" applyFill="1" applyBorder="1" applyAlignment="1">
      <alignment horizontal="center" vertical="center" wrapText="1"/>
    </xf>
    <xf numFmtId="176" fontId="8" fillId="9" borderId="4" xfId="69" applyNumberFormat="1" applyFont="1" applyFill="1" applyBorder="1" applyAlignment="1">
      <alignment vertical="center"/>
    </xf>
    <xf numFmtId="176" fontId="8" fillId="0" borderId="4" xfId="69" applyNumberFormat="1" applyFont="1" applyBorder="1" applyAlignment="1">
      <alignment vertical="center"/>
    </xf>
    <xf numFmtId="176" fontId="9" fillId="0" borderId="4" xfId="69" applyNumberFormat="1" applyFont="1" applyFill="1" applyBorder="1" applyAlignment="1" applyProtection="1">
      <alignment vertical="center" wrapText="1"/>
    </xf>
    <xf numFmtId="176" fontId="9" fillId="0" borderId="4" xfId="69" applyNumberFormat="1" applyFont="1" applyBorder="1" applyAlignment="1">
      <alignment vertical="center"/>
    </xf>
    <xf numFmtId="164" fontId="8" fillId="0" borderId="4" xfId="69" applyFont="1" applyFill="1" applyBorder="1"/>
    <xf numFmtId="164" fontId="9" fillId="0" borderId="4" xfId="69" applyFont="1" applyFill="1" applyBorder="1"/>
    <xf numFmtId="0" fontId="8" fillId="0" borderId="4" xfId="10" quotePrefix="1" applyFont="1" applyFill="1" applyBorder="1" applyAlignment="1">
      <alignment horizontal="left" vertical="top" wrapText="1"/>
    </xf>
    <xf numFmtId="0" fontId="8" fillId="0" borderId="4" xfId="10" applyFont="1" applyFill="1" applyBorder="1" applyAlignment="1">
      <alignment horizontal="left" vertical="top" wrapText="1"/>
    </xf>
    <xf numFmtId="0" fontId="31" fillId="0" borderId="4" xfId="0" applyFont="1" applyBorder="1"/>
    <xf numFmtId="0" fontId="8" fillId="0" borderId="4" xfId="10" applyFont="1" applyBorder="1" applyAlignment="1">
      <alignment horizontal="left"/>
    </xf>
    <xf numFmtId="0" fontId="9" fillId="4" borderId="4" xfId="14" applyFont="1" applyFill="1" applyBorder="1" applyAlignment="1">
      <alignment horizontal="center" vertical="center" wrapText="1"/>
    </xf>
    <xf numFmtId="10" fontId="17" fillId="0" borderId="4" xfId="70" applyNumberFormat="1" applyFont="1" applyFill="1" applyBorder="1" applyAlignment="1">
      <alignment vertical="center"/>
    </xf>
    <xf numFmtId="0" fontId="8" fillId="0" borderId="4" xfId="14" applyFont="1" applyFill="1" applyBorder="1" applyAlignment="1">
      <alignment horizontal="center" vertical="top" wrapText="1"/>
    </xf>
    <xf numFmtId="164" fontId="9" fillId="0" borderId="4" xfId="69" applyFont="1" applyFill="1" applyBorder="1" applyAlignment="1">
      <alignment vertical="top" wrapText="1"/>
    </xf>
    <xf numFmtId="164" fontId="17" fillId="5" borderId="4" xfId="69" applyFont="1" applyFill="1" applyBorder="1" applyAlignment="1">
      <alignment horizontal="center" vertical="center" wrapText="1"/>
    </xf>
    <xf numFmtId="10" fontId="8" fillId="0" borderId="4" xfId="40" applyNumberFormat="1" applyFont="1" applyFill="1" applyBorder="1" applyAlignment="1">
      <alignment horizontal="center" vertical="center"/>
    </xf>
    <xf numFmtId="164" fontId="9" fillId="0" borderId="4" xfId="69" applyFont="1" applyFill="1" applyBorder="1" applyAlignment="1">
      <alignment horizontal="center" vertical="center"/>
    </xf>
    <xf numFmtId="9" fontId="10" fillId="0" borderId="4" xfId="14" applyNumberFormat="1" applyFont="1" applyBorder="1">
      <alignment vertical="center"/>
    </xf>
    <xf numFmtId="10" fontId="8" fillId="14" borderId="0" xfId="70" applyNumberFormat="1" applyFont="1" applyFill="1" applyBorder="1"/>
    <xf numFmtId="10" fontId="8" fillId="0" borderId="0" xfId="70" applyNumberFormat="1" applyFont="1" applyBorder="1"/>
    <xf numFmtId="0" fontId="13" fillId="0" borderId="4" xfId="14" applyFont="1" applyFill="1" applyBorder="1" applyAlignment="1">
      <alignment horizontal="left" vertical="center" wrapText="1"/>
    </xf>
    <xf numFmtId="0" fontId="13" fillId="0" borderId="4" xfId="14" applyFont="1" applyFill="1" applyBorder="1" applyAlignment="1">
      <alignment horizontal="center" wrapText="1"/>
    </xf>
    <xf numFmtId="0" fontId="17" fillId="0" borderId="4" xfId="14" quotePrefix="1" applyFont="1" applyFill="1" applyBorder="1" applyAlignment="1">
      <alignment horizontal="center" vertical="center" wrapText="1"/>
    </xf>
    <xf numFmtId="0" fontId="13" fillId="0" borderId="4" xfId="10" applyFont="1" applyFill="1" applyBorder="1" applyAlignment="1">
      <alignment horizontal="center"/>
    </xf>
    <xf numFmtId="0" fontId="13" fillId="0" borderId="4" xfId="10" applyFont="1" applyFill="1" applyBorder="1" applyAlignment="1">
      <alignment vertical="top"/>
    </xf>
    <xf numFmtId="0" fontId="8" fillId="0" borderId="4" xfId="10" applyFont="1" applyFill="1" applyBorder="1" applyAlignment="1">
      <alignment horizontal="center"/>
    </xf>
    <xf numFmtId="0" fontId="8" fillId="0" borderId="4" xfId="10" applyFont="1" applyFill="1" applyBorder="1" applyAlignment="1">
      <alignment horizontal="center" vertical="top"/>
    </xf>
    <xf numFmtId="0" fontId="9" fillId="0" borderId="0" xfId="10" applyFont="1" applyFill="1"/>
    <xf numFmtId="0" fontId="31" fillId="0" borderId="4" xfId="0" applyFont="1" applyFill="1" applyBorder="1"/>
    <xf numFmtId="164" fontId="8" fillId="0" borderId="4" xfId="69" applyFont="1" applyFill="1" applyBorder="1" applyAlignment="1">
      <alignment horizontal="left" vertical="top"/>
    </xf>
    <xf numFmtId="164" fontId="8" fillId="0" borderId="4" xfId="69" applyFont="1" applyFill="1" applyBorder="1" applyAlignment="1">
      <alignment horizontal="left" vertical="top" wrapText="1"/>
    </xf>
    <xf numFmtId="43" fontId="10" fillId="0" borderId="0" xfId="14" applyNumberFormat="1" applyFont="1" applyFill="1">
      <alignment vertical="center"/>
    </xf>
    <xf numFmtId="175" fontId="17" fillId="0" borderId="4" xfId="69" applyNumberFormat="1" applyFont="1" applyFill="1" applyBorder="1" applyAlignment="1">
      <alignment horizontal="center" vertical="center" wrapText="1"/>
    </xf>
    <xf numFmtId="9" fontId="17" fillId="0" borderId="4" xfId="70" applyFont="1" applyFill="1" applyBorder="1" applyAlignment="1">
      <alignment horizontal="left" vertical="center" wrapText="1"/>
    </xf>
    <xf numFmtId="9" fontId="17" fillId="0" borderId="4" xfId="70" applyFont="1" applyFill="1" applyBorder="1" applyAlignment="1">
      <alignment horizontal="center" vertical="center" wrapText="1"/>
    </xf>
    <xf numFmtId="9" fontId="17" fillId="0" borderId="4" xfId="70" applyFont="1" applyFill="1" applyBorder="1" applyAlignment="1">
      <alignment vertical="top"/>
    </xf>
    <xf numFmtId="0" fontId="17" fillId="0" borderId="4" xfId="14" applyFont="1" applyFill="1" applyBorder="1" applyAlignment="1">
      <alignment horizontal="center" wrapText="1"/>
    </xf>
    <xf numFmtId="0" fontId="13" fillId="0" borderId="4" xfId="10" applyFont="1" applyFill="1" applyBorder="1" applyAlignment="1">
      <alignment horizontal="center" vertical="top"/>
    </xf>
    <xf numFmtId="177" fontId="8" fillId="0" borderId="4" xfId="69" applyNumberFormat="1" applyFont="1" applyFill="1" applyBorder="1" applyAlignment="1">
      <alignment horizontal="center" vertical="center"/>
    </xf>
    <xf numFmtId="177" fontId="9" fillId="0" borderId="4" xfId="69" applyNumberFormat="1" applyFont="1" applyFill="1" applyBorder="1" applyAlignment="1">
      <alignment horizontal="center" vertical="center"/>
    </xf>
    <xf numFmtId="164" fontId="9" fillId="0" borderId="0" xfId="69" applyFont="1" applyAlignment="1">
      <alignment horizontal="left" vertical="top"/>
    </xf>
    <xf numFmtId="164" fontId="9" fillId="14" borderId="0" xfId="69" applyFont="1" applyFill="1" applyAlignment="1">
      <alignment horizontal="center" vertical="top"/>
    </xf>
    <xf numFmtId="164" fontId="25" fillId="0" borderId="0" xfId="69" applyFont="1" applyAlignment="1">
      <alignment horizontal="left"/>
    </xf>
    <xf numFmtId="164" fontId="8" fillId="0" borderId="4" xfId="69" applyFont="1" applyFill="1" applyBorder="1" applyAlignment="1" applyProtection="1">
      <alignment vertical="center" wrapText="1"/>
    </xf>
    <xf numFmtId="164" fontId="8" fillId="0" borderId="4" xfId="69" applyFont="1" applyBorder="1" applyAlignment="1">
      <alignment vertical="center" wrapText="1"/>
    </xf>
    <xf numFmtId="164" fontId="8" fillId="0" borderId="4" xfId="69" applyFont="1" applyFill="1" applyBorder="1" applyAlignment="1" applyProtection="1">
      <alignment vertical="center"/>
    </xf>
    <xf numFmtId="164" fontId="9" fillId="0" borderId="4" xfId="69" applyFont="1" applyFill="1" applyBorder="1" applyAlignment="1" applyProtection="1">
      <alignment vertical="center"/>
    </xf>
    <xf numFmtId="0" fontId="13" fillId="0" borderId="4" xfId="14" applyFont="1" applyFill="1" applyBorder="1" applyAlignment="1">
      <alignment horizontal="left" vertical="center"/>
    </xf>
    <xf numFmtId="164" fontId="10" fillId="0" borderId="4" xfId="69" applyFont="1" applyFill="1" applyBorder="1" applyAlignment="1">
      <alignment horizontal="center" vertical="center"/>
    </xf>
    <xf numFmtId="0" fontId="10" fillId="0" borderId="4" xfId="71" applyFont="1" applyFill="1" applyBorder="1" applyAlignment="1">
      <alignment vertical="center" wrapText="1"/>
    </xf>
    <xf numFmtId="0" fontId="10" fillId="0" borderId="4" xfId="71" applyFont="1" applyFill="1" applyBorder="1" applyAlignment="1">
      <alignment horizontal="center" vertical="center" wrapText="1"/>
    </xf>
    <xf numFmtId="0" fontId="8" fillId="0" borderId="4" xfId="10" applyFont="1" applyFill="1" applyBorder="1" applyAlignment="1">
      <alignment vertical="center"/>
    </xf>
    <xf numFmtId="164" fontId="8" fillId="0" borderId="4" xfId="29" applyFont="1" applyFill="1" applyBorder="1" applyAlignment="1">
      <alignment vertical="center"/>
    </xf>
    <xf numFmtId="0" fontId="8" fillId="0" borderId="0" xfId="10" applyFont="1" applyFill="1" applyAlignment="1">
      <alignment horizontal="center" vertical="center"/>
    </xf>
    <xf numFmtId="164" fontId="8" fillId="0" borderId="0" xfId="29" applyFont="1" applyFill="1" applyAlignment="1">
      <alignment horizontal="center" vertical="center"/>
    </xf>
    <xf numFmtId="0" fontId="8" fillId="0" borderId="0" xfId="10" applyFont="1" applyAlignment="1">
      <alignment vertical="center" wrapText="1"/>
    </xf>
    <xf numFmtId="176" fontId="13" fillId="0" borderId="4" xfId="29" applyNumberFormat="1" applyFont="1" applyFill="1" applyBorder="1"/>
    <xf numFmtId="176" fontId="13" fillId="0" borderId="4" xfId="29" applyNumberFormat="1" applyFont="1" applyFill="1" applyBorder="1" applyAlignment="1">
      <alignment horizontal="center"/>
    </xf>
    <xf numFmtId="164" fontId="9" fillId="0" borderId="4" xfId="14" applyNumberFormat="1" applyFont="1" applyFill="1" applyBorder="1">
      <alignment vertical="center"/>
    </xf>
    <xf numFmtId="164" fontId="9" fillId="0" borderId="4" xfId="29" applyFont="1" applyFill="1" applyBorder="1" applyAlignment="1">
      <alignment vertical="center"/>
    </xf>
    <xf numFmtId="2" fontId="8" fillId="0" borderId="4" xfId="14" applyNumberFormat="1" applyFont="1" applyFill="1" applyBorder="1">
      <alignment vertical="center"/>
    </xf>
    <xf numFmtId="0" fontId="9" fillId="0" borderId="4" xfId="14" applyFont="1" applyFill="1" applyBorder="1" applyAlignment="1">
      <alignment horizontal="center" vertical="top" wrapText="1"/>
    </xf>
    <xf numFmtId="0" fontId="9" fillId="0" borderId="4" xfId="14" applyFont="1" applyFill="1" applyBorder="1" applyAlignment="1">
      <alignment vertical="top" wrapText="1"/>
    </xf>
    <xf numFmtId="0" fontId="8" fillId="0" borderId="4" xfId="14" applyFont="1" applyFill="1" applyBorder="1" applyAlignment="1">
      <alignment vertical="top"/>
    </xf>
    <xf numFmtId="43" fontId="8" fillId="0" borderId="0" xfId="14" applyNumberFormat="1" applyFont="1">
      <alignment vertical="center"/>
    </xf>
    <xf numFmtId="10" fontId="35" fillId="0" borderId="4" xfId="70" applyNumberFormat="1" applyFont="1" applyFill="1" applyBorder="1"/>
    <xf numFmtId="164" fontId="17" fillId="0" borderId="4" xfId="69" applyFont="1" applyFill="1" applyBorder="1" applyAlignment="1">
      <alignment horizontal="center" vertical="center" wrapText="1"/>
    </xf>
    <xf numFmtId="164" fontId="8" fillId="0" borderId="4" xfId="69" applyFont="1" applyFill="1" applyBorder="1" applyAlignment="1">
      <alignment horizontal="center" vertical="center" wrapText="1"/>
    </xf>
    <xf numFmtId="164" fontId="17" fillId="0" borderId="4" xfId="69" applyFont="1" applyFill="1" applyBorder="1" applyAlignment="1">
      <alignment vertical="top"/>
    </xf>
    <xf numFmtId="164" fontId="17" fillId="0" borderId="4" xfId="69" quotePrefix="1" applyFont="1" applyFill="1" applyBorder="1" applyAlignment="1">
      <alignment horizontal="center" vertical="center" wrapText="1"/>
    </xf>
    <xf numFmtId="164" fontId="13" fillId="0" borderId="4" xfId="69" applyFont="1" applyFill="1" applyBorder="1" applyAlignment="1">
      <alignment vertical="top"/>
    </xf>
    <xf numFmtId="10" fontId="8" fillId="0" borderId="4" xfId="70" applyNumberFormat="1" applyFont="1" applyFill="1" applyBorder="1" applyAlignment="1">
      <alignment horizontal="center" vertical="center"/>
    </xf>
    <xf numFmtId="0" fontId="17" fillId="0" borderId="4" xfId="10" applyFont="1" applyFill="1" applyBorder="1" applyAlignment="1">
      <alignment horizontal="center"/>
    </xf>
    <xf numFmtId="0" fontId="17" fillId="0" borderId="4" xfId="10" applyFont="1" applyFill="1" applyBorder="1"/>
    <xf numFmtId="169" fontId="17" fillId="0" borderId="4" xfId="69" applyNumberFormat="1" applyFont="1" applyFill="1" applyBorder="1" applyAlignment="1">
      <alignment vertical="top"/>
    </xf>
    <xf numFmtId="0" fontId="51" fillId="0" borderId="0" xfId="0" applyFont="1"/>
    <xf numFmtId="0" fontId="51" fillId="0" borderId="0" xfId="0" applyFont="1" applyAlignment="1">
      <alignment horizontal="left"/>
    </xf>
    <xf numFmtId="0" fontId="53" fillId="0" borderId="4" xfId="0" applyFont="1" applyFill="1" applyBorder="1" applyAlignment="1">
      <alignment horizontal="left" vertical="center"/>
    </xf>
    <xf numFmtId="0" fontId="53" fillId="0" borderId="4" xfId="0" applyFont="1" applyFill="1" applyBorder="1" applyAlignment="1">
      <alignment horizontal="left" vertical="center" wrapText="1"/>
    </xf>
    <xf numFmtId="0" fontId="51" fillId="0" borderId="4" xfId="0" applyFont="1" applyBorder="1" applyAlignment="1">
      <alignment horizontal="center"/>
    </xf>
    <xf numFmtId="0" fontId="54" fillId="0" borderId="4" xfId="0" applyFont="1" applyFill="1" applyBorder="1" applyAlignment="1">
      <alignment horizontal="left" vertical="center" wrapText="1"/>
    </xf>
    <xf numFmtId="0" fontId="52" fillId="0" borderId="0" xfId="0" applyFont="1" applyAlignment="1">
      <alignment horizontal="left"/>
    </xf>
    <xf numFmtId="0" fontId="9" fillId="0" borderId="5" xfId="14" applyFont="1" applyFill="1" applyBorder="1">
      <alignment vertical="center"/>
    </xf>
    <xf numFmtId="0" fontId="9" fillId="0" borderId="4" xfId="14" applyFont="1" applyFill="1" applyBorder="1" applyAlignment="1">
      <alignment horizontal="left" vertical="center"/>
    </xf>
    <xf numFmtId="164" fontId="17" fillId="0" borderId="4" xfId="69" applyFont="1" applyFill="1" applyBorder="1" applyAlignment="1">
      <alignment vertical="center"/>
    </xf>
    <xf numFmtId="0" fontId="31" fillId="6" borderId="0" xfId="10" applyFont="1" applyFill="1" applyAlignment="1">
      <alignment vertical="center"/>
    </xf>
    <xf numFmtId="164" fontId="8" fillId="0" borderId="4" xfId="69" quotePrefix="1" applyFont="1" applyFill="1" applyBorder="1" applyAlignment="1">
      <alignment horizontal="center" vertical="center"/>
    </xf>
    <xf numFmtId="0" fontId="9" fillId="6" borderId="0" xfId="14" applyFont="1" applyFill="1" applyBorder="1" applyAlignment="1">
      <alignment vertical="center"/>
    </xf>
    <xf numFmtId="0" fontId="9" fillId="6" borderId="0" xfId="10" applyFont="1" applyFill="1" applyBorder="1" applyAlignment="1">
      <alignment vertical="center"/>
    </xf>
    <xf numFmtId="10" fontId="9" fillId="0" borderId="4" xfId="70" applyNumberFormat="1" applyFont="1" applyFill="1" applyBorder="1" applyAlignment="1">
      <alignment vertical="center"/>
    </xf>
    <xf numFmtId="10" fontId="8" fillId="0" borderId="4" xfId="70" applyNumberFormat="1" applyFont="1" applyFill="1" applyBorder="1" applyAlignment="1">
      <alignment horizontal="center" vertical="center" wrapText="1"/>
    </xf>
    <xf numFmtId="10" fontId="17" fillId="0" borderId="4" xfId="70" applyNumberFormat="1" applyFont="1" applyFill="1" applyBorder="1" applyAlignment="1">
      <alignment horizontal="center" vertical="center" wrapText="1"/>
    </xf>
    <xf numFmtId="164" fontId="47" fillId="0" borderId="4" xfId="69" applyFont="1" applyFill="1" applyBorder="1" applyAlignment="1">
      <alignment horizontal="center" vertical="center" wrapText="1"/>
    </xf>
    <xf numFmtId="175" fontId="17" fillId="0" borderId="4" xfId="70" applyNumberFormat="1" applyFont="1" applyFill="1" applyBorder="1" applyAlignment="1">
      <alignment horizontal="center" vertical="center" wrapText="1"/>
    </xf>
    <xf numFmtId="10" fontId="17" fillId="0" borderId="4" xfId="70" applyNumberFormat="1" applyFont="1" applyFill="1" applyBorder="1" applyAlignment="1">
      <alignment vertical="center" wrapText="1"/>
    </xf>
    <xf numFmtId="10" fontId="17" fillId="0" borderId="4" xfId="70" applyNumberFormat="1" applyFont="1" applyFill="1" applyBorder="1" applyAlignment="1">
      <alignment vertical="top"/>
    </xf>
    <xf numFmtId="2" fontId="17" fillId="0" borderId="4" xfId="14" applyNumberFormat="1" applyFont="1" applyFill="1" applyBorder="1" applyAlignment="1">
      <alignment horizontal="center" vertical="center" wrapText="1"/>
    </xf>
    <xf numFmtId="10" fontId="17" fillId="0" borderId="4" xfId="70" applyNumberFormat="1" applyFont="1" applyFill="1" applyBorder="1" applyAlignment="1"/>
    <xf numFmtId="10" fontId="17" fillId="0" borderId="4" xfId="70" applyNumberFormat="1" applyFont="1" applyFill="1" applyBorder="1" applyAlignment="1">
      <alignment wrapText="1"/>
    </xf>
    <xf numFmtId="10" fontId="49" fillId="0" borderId="4" xfId="70" applyNumberFormat="1" applyFont="1" applyFill="1" applyBorder="1" applyAlignment="1">
      <alignment wrapText="1"/>
    </xf>
    <xf numFmtId="164" fontId="17" fillId="0" borderId="4" xfId="69" applyFont="1" applyFill="1" applyBorder="1" applyAlignment="1">
      <alignment horizontal="right" vertical="center" wrapText="1"/>
    </xf>
    <xf numFmtId="10" fontId="17" fillId="0" borderId="4" xfId="70" applyNumberFormat="1" applyFont="1" applyFill="1" applyBorder="1" applyAlignment="1">
      <alignment horizontal="right" vertical="center" wrapText="1"/>
    </xf>
    <xf numFmtId="10" fontId="17" fillId="0" borderId="4" xfId="70" applyNumberFormat="1" applyFont="1" applyFill="1" applyBorder="1" applyAlignment="1">
      <alignment horizontal="right" vertical="center"/>
    </xf>
    <xf numFmtId="164" fontId="17" fillId="0" borderId="4" xfId="69" applyFont="1" applyFill="1" applyBorder="1" applyAlignment="1">
      <alignment horizontal="right" vertical="center"/>
    </xf>
    <xf numFmtId="164" fontId="17" fillId="0" borderId="4" xfId="69" quotePrefix="1" applyFont="1" applyFill="1" applyBorder="1" applyAlignment="1">
      <alignment horizontal="right" vertical="center" wrapText="1"/>
    </xf>
    <xf numFmtId="176" fontId="8" fillId="0" borderId="4" xfId="69" applyNumberFormat="1"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9" fillId="5" borderId="0" xfId="10" applyFont="1" applyFill="1" applyBorder="1" applyAlignment="1" applyProtection="1">
      <alignment horizontal="left" vertical="center" wrapText="1"/>
    </xf>
    <xf numFmtId="0" fontId="8" fillId="5" borderId="0" xfId="10" applyFont="1" applyFill="1" applyBorder="1" applyAlignment="1">
      <alignment horizontal="left" vertical="center"/>
    </xf>
    <xf numFmtId="0" fontId="8" fillId="0" borderId="0" xfId="10" applyFont="1" applyFill="1" applyBorder="1" applyAlignment="1" applyProtection="1">
      <alignment horizontal="left" vertical="center"/>
    </xf>
    <xf numFmtId="0" fontId="8" fillId="0" borderId="4" xfId="14" applyFont="1" applyFill="1" applyBorder="1" applyAlignment="1">
      <alignment horizontal="left" vertical="center" wrapText="1"/>
    </xf>
    <xf numFmtId="0" fontId="8" fillId="0" borderId="4" xfId="10" applyFont="1" applyFill="1" applyBorder="1" applyAlignment="1">
      <alignment horizontal="left" vertical="center"/>
    </xf>
    <xf numFmtId="0" fontId="9" fillId="0" borderId="0" xfId="10" applyFont="1" applyFill="1" applyBorder="1" applyAlignment="1">
      <alignment vertical="center"/>
    </xf>
    <xf numFmtId="0" fontId="8" fillId="0" borderId="11" xfId="10" applyFont="1" applyBorder="1"/>
    <xf numFmtId="0" fontId="8" fillId="0" borderId="4" xfId="10" applyFont="1" applyFill="1" applyBorder="1" applyAlignment="1">
      <alignment horizontal="left" vertical="center" wrapText="1"/>
    </xf>
    <xf numFmtId="0" fontId="8" fillId="0" borderId="0" xfId="10" applyFont="1" applyAlignment="1">
      <alignment horizontal="center" vertical="center" wrapText="1"/>
    </xf>
    <xf numFmtId="14" fontId="8" fillId="0" borderId="0" xfId="10" applyNumberFormat="1" applyFont="1" applyAlignment="1">
      <alignment horizontal="center" vertical="center" wrapText="1"/>
    </xf>
    <xf numFmtId="10" fontId="8" fillId="0" borderId="0" xfId="10" applyNumberFormat="1" applyFont="1" applyFill="1" applyAlignment="1">
      <alignment horizontal="center" vertical="center"/>
    </xf>
    <xf numFmtId="43" fontId="9" fillId="0" borderId="4" xfId="29" applyNumberFormat="1" applyFont="1" applyFill="1" applyBorder="1" applyAlignment="1">
      <alignment vertical="center"/>
    </xf>
    <xf numFmtId="164" fontId="8" fillId="0" borderId="4" xfId="29" applyFont="1" applyFill="1" applyBorder="1" applyAlignment="1">
      <alignment horizontal="center" vertical="center" wrapText="1"/>
    </xf>
    <xf numFmtId="10" fontId="49" fillId="5" borderId="4" xfId="70" applyNumberFormat="1" applyFont="1" applyFill="1" applyBorder="1" applyAlignment="1">
      <alignment horizontal="center" vertical="center" wrapText="1"/>
    </xf>
    <xf numFmtId="10" fontId="49" fillId="0" borderId="4" xfId="70" applyNumberFormat="1" applyFont="1" applyFill="1" applyBorder="1" applyAlignment="1">
      <alignment horizontal="center" vertical="center" wrapText="1"/>
    </xf>
    <xf numFmtId="164" fontId="49" fillId="0" borderId="4" xfId="69" applyFont="1" applyFill="1" applyBorder="1" applyAlignment="1">
      <alignment horizontal="center" vertical="center" wrapText="1"/>
    </xf>
    <xf numFmtId="164" fontId="8" fillId="0" borderId="4" xfId="29" applyFont="1" applyFill="1" applyBorder="1" applyAlignment="1">
      <alignment horizontal="center" vertical="center"/>
    </xf>
    <xf numFmtId="0" fontId="8" fillId="0" borderId="0" xfId="10" applyFont="1" applyFill="1" applyBorder="1" applyAlignment="1">
      <alignment horizontal="left"/>
    </xf>
    <xf numFmtId="43" fontId="8" fillId="0" borderId="0" xfId="14" applyNumberFormat="1" applyFont="1" applyFill="1">
      <alignment vertical="center"/>
    </xf>
    <xf numFmtId="10" fontId="35" fillId="0" borderId="4" xfId="69" applyNumberFormat="1" applyFont="1" applyFill="1" applyBorder="1"/>
    <xf numFmtId="10" fontId="8" fillId="0" borderId="4" xfId="14" applyNumberFormat="1" applyFont="1" applyFill="1" applyBorder="1">
      <alignment vertical="center"/>
    </xf>
    <xf numFmtId="0" fontId="9" fillId="0" borderId="0" xfId="14" applyFont="1" applyFill="1">
      <alignment vertical="center"/>
    </xf>
    <xf numFmtId="2" fontId="8" fillId="0" borderId="4" xfId="14" applyNumberFormat="1" applyFont="1" applyBorder="1">
      <alignment vertical="center"/>
    </xf>
    <xf numFmtId="10" fontId="8" fillId="0" borderId="4" xfId="70" applyNumberFormat="1" applyFont="1" applyBorder="1" applyAlignment="1">
      <alignment vertical="center"/>
    </xf>
    <xf numFmtId="179" fontId="10" fillId="0" borderId="4" xfId="70" applyNumberFormat="1" applyFont="1" applyFill="1" applyBorder="1" applyAlignment="1">
      <alignment horizontal="center" vertical="center"/>
    </xf>
    <xf numFmtId="179" fontId="10" fillId="0" borderId="4" xfId="70" applyNumberFormat="1" applyFont="1" applyBorder="1" applyAlignment="1">
      <alignment horizontal="center" vertical="center"/>
    </xf>
    <xf numFmtId="10" fontId="8" fillId="0" borderId="4" xfId="70" applyNumberFormat="1" applyFont="1" applyFill="1" applyBorder="1" applyAlignment="1" applyProtection="1">
      <alignment vertical="center" wrapText="1"/>
    </xf>
    <xf numFmtId="10" fontId="8" fillId="0" borderId="4" xfId="70" applyNumberFormat="1" applyFont="1" applyBorder="1" applyAlignment="1">
      <alignment vertical="center" wrapText="1"/>
    </xf>
    <xf numFmtId="10" fontId="8" fillId="0" borderId="4" xfId="70" applyNumberFormat="1" applyFont="1" applyFill="1" applyBorder="1" applyAlignment="1" applyProtection="1">
      <alignment vertical="center"/>
    </xf>
    <xf numFmtId="10" fontId="8" fillId="0" borderId="0" xfId="70" applyNumberFormat="1" applyFont="1" applyAlignment="1">
      <alignment vertical="center"/>
    </xf>
    <xf numFmtId="0" fontId="8" fillId="0" borderId="0" xfId="14" applyNumberFormat="1" applyFont="1" applyAlignment="1">
      <alignment horizontal="center" vertical="center"/>
    </xf>
    <xf numFmtId="0" fontId="8" fillId="0" borderId="0" xfId="10" applyNumberFormat="1" applyFont="1" applyBorder="1" applyAlignment="1">
      <alignment horizontal="center"/>
    </xf>
    <xf numFmtId="0" fontId="9" fillId="4" borderId="4" xfId="14" applyNumberFormat="1" applyFont="1" applyFill="1" applyBorder="1" applyAlignment="1">
      <alignment horizontal="center" vertical="center" wrapText="1"/>
    </xf>
    <xf numFmtId="0" fontId="8" fillId="0" borderId="4" xfId="14"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9" fillId="0" borderId="4" xfId="14" applyNumberFormat="1" applyFont="1" applyBorder="1" applyAlignment="1">
      <alignment horizontal="center" vertical="center"/>
    </xf>
    <xf numFmtId="0" fontId="8" fillId="9" borderId="4" xfId="14" applyNumberFormat="1" applyFont="1" applyFill="1" applyBorder="1" applyAlignment="1">
      <alignment horizontal="center" vertical="center"/>
    </xf>
    <xf numFmtId="0" fontId="8" fillId="0" borderId="4" xfId="70" applyNumberFormat="1" applyFont="1" applyBorder="1" applyAlignment="1">
      <alignment horizontal="center" vertical="center"/>
    </xf>
    <xf numFmtId="0" fontId="9" fillId="0" borderId="4" xfId="14" applyNumberFormat="1" applyFont="1" applyFill="1" applyBorder="1" applyAlignment="1">
      <alignment horizontal="center" vertical="center"/>
    </xf>
    <xf numFmtId="0" fontId="8" fillId="0" borderId="0" xfId="14" applyNumberFormat="1" applyFont="1" applyBorder="1" applyAlignment="1">
      <alignment horizontal="center" vertical="center"/>
    </xf>
    <xf numFmtId="0" fontId="8" fillId="0" borderId="0" xfId="14" applyNumberFormat="1" applyFont="1">
      <alignment vertical="center"/>
    </xf>
    <xf numFmtId="43" fontId="8" fillId="0" borderId="0" xfId="10" applyNumberFormat="1" applyFont="1"/>
    <xf numFmtId="2" fontId="8" fillId="0" borderId="0" xfId="14" applyNumberFormat="1" applyFont="1">
      <alignment vertical="center"/>
    </xf>
    <xf numFmtId="43" fontId="10" fillId="0" borderId="0" xfId="14" applyNumberFormat="1" applyFont="1">
      <alignment vertical="center"/>
    </xf>
    <xf numFmtId="43" fontId="8" fillId="0" borderId="0" xfId="10" applyNumberFormat="1" applyFont="1" applyBorder="1"/>
    <xf numFmtId="164" fontId="8" fillId="0" borderId="0" xfId="69" applyFont="1" applyFill="1" applyAlignment="1">
      <alignment vertical="center"/>
    </xf>
    <xf numFmtId="0" fontId="31" fillId="0" borderId="4" xfId="10" applyFont="1" applyFill="1" applyBorder="1" applyAlignment="1">
      <alignment horizontal="center"/>
    </xf>
    <xf numFmtId="0" fontId="30" fillId="0" borderId="4" xfId="10" applyFont="1" applyFill="1" applyBorder="1" applyAlignment="1">
      <alignment horizontal="center"/>
    </xf>
    <xf numFmtId="0" fontId="31" fillId="0" borderId="4" xfId="10" applyFont="1" applyFill="1" applyBorder="1" applyAlignment="1"/>
    <xf numFmtId="0" fontId="30" fillId="7" borderId="4" xfId="10" applyFont="1" applyFill="1" applyBorder="1" applyAlignment="1">
      <alignment horizontal="center" vertical="center" wrapText="1"/>
    </xf>
    <xf numFmtId="164" fontId="8" fillId="0" borderId="0" xfId="69" applyFont="1" applyFill="1"/>
    <xf numFmtId="43" fontId="8" fillId="0" borderId="0" xfId="10" applyNumberFormat="1" applyFont="1" applyFill="1"/>
    <xf numFmtId="0" fontId="9" fillId="0" borderId="7" xfId="14" applyFont="1" applyFill="1" applyBorder="1" applyAlignment="1">
      <alignment horizontal="center" vertical="center"/>
    </xf>
    <xf numFmtId="0" fontId="8" fillId="0" borderId="4" xfId="10" applyFont="1" applyFill="1" applyBorder="1" applyAlignment="1"/>
    <xf numFmtId="164" fontId="51" fillId="0" borderId="4" xfId="69" applyFont="1" applyFill="1" applyBorder="1"/>
    <xf numFmtId="10" fontId="51" fillId="0" borderId="4" xfId="0" applyNumberFormat="1" applyFont="1" applyFill="1" applyBorder="1"/>
    <xf numFmtId="0" fontId="9" fillId="0" borderId="4" xfId="10" applyFont="1" applyFill="1" applyBorder="1" applyAlignment="1"/>
    <xf numFmtId="9" fontId="8" fillId="0" borderId="4" xfId="14" applyNumberFormat="1" applyFont="1" applyFill="1" applyBorder="1">
      <alignment vertical="center"/>
    </xf>
    <xf numFmtId="0" fontId="9" fillId="4" borderId="4" xfId="14" applyFont="1" applyFill="1" applyBorder="1" applyAlignment="1">
      <alignment horizontal="center" vertical="center" wrapText="1"/>
    </xf>
    <xf numFmtId="0" fontId="9" fillId="0" borderId="0" xfId="10" applyFont="1" applyBorder="1" applyAlignment="1">
      <alignment horizontal="center" vertical="center"/>
    </xf>
    <xf numFmtId="0" fontId="9" fillId="0" borderId="0" xfId="14" applyFont="1" applyAlignment="1">
      <alignment horizontal="center" vertical="center"/>
    </xf>
    <xf numFmtId="0" fontId="9" fillId="0" borderId="0" xfId="10" applyFont="1" applyFill="1" applyBorder="1" applyAlignment="1">
      <alignment horizontal="center" vertical="center"/>
    </xf>
    <xf numFmtId="0" fontId="9" fillId="0" borderId="0" xfId="10" applyFont="1" applyAlignment="1">
      <alignment horizontal="left"/>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164" fontId="8" fillId="0" borderId="4" xfId="69" applyFont="1" applyFill="1" applyBorder="1" applyAlignment="1">
      <alignment horizontal="center" vertical="center"/>
    </xf>
    <xf numFmtId="180" fontId="17" fillId="0" borderId="4" xfId="70" applyNumberFormat="1" applyFont="1" applyFill="1" applyBorder="1" applyAlignment="1"/>
    <xf numFmtId="10" fontId="17" fillId="0" borderId="4" xfId="70" applyNumberFormat="1" applyFont="1" applyBorder="1" applyAlignment="1">
      <alignment vertical="top"/>
    </xf>
    <xf numFmtId="180" fontId="17" fillId="0" borderId="4" xfId="70" applyNumberFormat="1" applyFont="1" applyFill="1" applyBorder="1" applyAlignment="1">
      <alignment wrapText="1"/>
    </xf>
    <xf numFmtId="180" fontId="49" fillId="0" borderId="4" xfId="70" applyNumberFormat="1" applyFont="1" applyFill="1" applyBorder="1" applyAlignment="1">
      <alignment wrapText="1"/>
    </xf>
    <xf numFmtId="180" fontId="17" fillId="0" borderId="4" xfId="70" applyNumberFormat="1" applyFont="1" applyFill="1" applyBorder="1" applyAlignment="1">
      <alignment vertical="top"/>
    </xf>
    <xf numFmtId="10" fontId="17" fillId="0" borderId="4" xfId="40" applyNumberFormat="1" applyFont="1" applyFill="1" applyBorder="1" applyAlignment="1"/>
    <xf numFmtId="9" fontId="17" fillId="0" borderId="4" xfId="40" applyNumberFormat="1" applyFont="1" applyFill="1" applyBorder="1" applyAlignment="1">
      <alignment horizontal="center"/>
    </xf>
    <xf numFmtId="164" fontId="17" fillId="0" borderId="4" xfId="29" applyFont="1" applyFill="1" applyBorder="1" applyAlignment="1">
      <alignment horizontal="right" vertical="center"/>
    </xf>
    <xf numFmtId="10" fontId="17" fillId="0" borderId="4" xfId="40" applyNumberFormat="1" applyFont="1" applyFill="1" applyBorder="1" applyAlignment="1">
      <alignment horizontal="right" vertical="center"/>
    </xf>
    <xf numFmtId="164" fontId="8" fillId="0" borderId="4" xfId="29" quotePrefix="1" applyFont="1" applyFill="1" applyBorder="1" applyAlignment="1">
      <alignment horizontal="center" vertical="center"/>
    </xf>
    <xf numFmtId="164" fontId="17" fillId="0" borderId="4" xfId="29" quotePrefix="1" applyFont="1" applyFill="1" applyBorder="1" applyAlignment="1">
      <alignment horizontal="right" vertical="center"/>
    </xf>
    <xf numFmtId="164" fontId="17" fillId="0" borderId="4" xfId="29" applyFont="1" applyFill="1" applyBorder="1" applyAlignment="1">
      <alignment horizontal="center" vertical="center"/>
    </xf>
    <xf numFmtId="164" fontId="17" fillId="0" borderId="4" xfId="29" quotePrefix="1" applyFont="1" applyFill="1" applyBorder="1" applyAlignment="1">
      <alignment horizontal="center" vertical="center"/>
    </xf>
    <xf numFmtId="164" fontId="13" fillId="0" borderId="4" xfId="29" applyFont="1" applyFill="1" applyBorder="1" applyAlignment="1">
      <alignment horizontal="center" vertical="center"/>
    </xf>
    <xf numFmtId="10" fontId="17" fillId="0" borderId="4" xfId="40" applyNumberFormat="1" applyFont="1" applyFill="1" applyBorder="1" applyAlignment="1">
      <alignment horizontal="center" vertical="center"/>
    </xf>
    <xf numFmtId="169" fontId="17" fillId="0" borderId="4" xfId="29" quotePrefix="1" applyNumberFormat="1" applyFont="1" applyFill="1" applyBorder="1" applyAlignment="1">
      <alignment vertical="center"/>
    </xf>
    <xf numFmtId="169" fontId="17" fillId="0" borderId="4" xfId="29" applyNumberFormat="1" applyFont="1" applyFill="1" applyBorder="1" applyAlignment="1">
      <alignment horizontal="right" vertical="center"/>
    </xf>
    <xf numFmtId="164" fontId="17" fillId="0" borderId="4" xfId="29" applyFont="1" applyFill="1" applyBorder="1" applyAlignment="1">
      <alignment vertical="center"/>
    </xf>
    <xf numFmtId="164" fontId="8" fillId="0" borderId="4" xfId="69" applyFont="1" applyFill="1" applyBorder="1" applyAlignment="1">
      <alignment horizontal="left" vertical="center"/>
    </xf>
    <xf numFmtId="164" fontId="8" fillId="0" borderId="4" xfId="14" applyNumberFormat="1" applyFont="1" applyFill="1" applyBorder="1" applyAlignment="1">
      <alignment horizontal="left" vertical="center"/>
    </xf>
    <xf numFmtId="0" fontId="46" fillId="0" borderId="0" xfId="14" applyFont="1" applyFill="1">
      <alignment vertical="center"/>
    </xf>
    <xf numFmtId="43" fontId="46" fillId="0" borderId="0" xfId="14" applyNumberFormat="1" applyFont="1" applyFill="1">
      <alignment vertical="center"/>
    </xf>
    <xf numFmtId="164" fontId="46" fillId="0" borderId="0" xfId="14" applyNumberFormat="1" applyFont="1" applyFill="1">
      <alignment vertical="center"/>
    </xf>
    <xf numFmtId="0" fontId="30" fillId="0" borderId="4" xfId="10" applyFont="1" applyFill="1" applyBorder="1" applyAlignment="1">
      <alignment horizontal="center" vertical="center"/>
    </xf>
    <xf numFmtId="0" fontId="30" fillId="0" borderId="4" xfId="10" applyFont="1" applyFill="1" applyBorder="1" applyAlignment="1">
      <alignment vertical="center"/>
    </xf>
    <xf numFmtId="164" fontId="30" fillId="0" borderId="4" xfId="69" applyFont="1" applyFill="1" applyBorder="1" applyAlignment="1">
      <alignment vertical="center"/>
    </xf>
    <xf numFmtId="164" fontId="30" fillId="0" borderId="4" xfId="10" applyNumberFormat="1" applyFont="1" applyFill="1" applyBorder="1" applyAlignment="1">
      <alignment horizontal="center"/>
    </xf>
    <xf numFmtId="164" fontId="31" fillId="0" borderId="4" xfId="10" applyNumberFormat="1" applyFont="1" applyFill="1" applyBorder="1" applyAlignment="1">
      <alignment horizontal="center"/>
    </xf>
    <xf numFmtId="0" fontId="31" fillId="0" borderId="4" xfId="10" applyFont="1" applyFill="1" applyBorder="1" applyAlignment="1">
      <alignment vertical="center"/>
    </xf>
    <xf numFmtId="0" fontId="31" fillId="0" borderId="0" xfId="10" applyFont="1" applyFill="1" applyAlignment="1">
      <alignment vertical="center"/>
    </xf>
    <xf numFmtId="0" fontId="31" fillId="0" borderId="4" xfId="10" applyFont="1" applyFill="1" applyBorder="1" applyAlignment="1">
      <alignment horizontal="center" vertical="center"/>
    </xf>
    <xf numFmtId="0" fontId="8" fillId="0" borderId="4" xfId="14" applyFont="1" applyFill="1" applyBorder="1" applyAlignment="1">
      <alignment horizontal="center"/>
    </xf>
    <xf numFmtId="0" fontId="30" fillId="0" borderId="4" xfId="10" applyFont="1" applyFill="1" applyBorder="1" applyAlignment="1"/>
    <xf numFmtId="164" fontId="30" fillId="0" borderId="4" xfId="69" applyFont="1" applyFill="1" applyBorder="1" applyAlignment="1"/>
    <xf numFmtId="174" fontId="8" fillId="0" borderId="4" xfId="14" applyNumberFormat="1" applyFont="1" applyFill="1" applyBorder="1" applyAlignment="1">
      <alignment horizontal="center"/>
    </xf>
    <xf numFmtId="177" fontId="8" fillId="0" borderId="4" xfId="69" applyNumberFormat="1" applyFont="1" applyFill="1" applyBorder="1" applyAlignment="1">
      <alignment horizontal="center"/>
    </xf>
    <xf numFmtId="0" fontId="31" fillId="0" borderId="0" xfId="10" applyFont="1" applyFill="1" applyAlignment="1"/>
    <xf numFmtId="0" fontId="31" fillId="0" borderId="0" xfId="10" applyFont="1" applyFill="1"/>
    <xf numFmtId="164" fontId="8" fillId="0" borderId="4" xfId="69" applyFont="1" applyFill="1" applyBorder="1" applyAlignment="1">
      <alignment horizontal="center" vertical="center"/>
    </xf>
    <xf numFmtId="0" fontId="51" fillId="0" borderId="4" xfId="71" applyFont="1" applyBorder="1" applyAlignment="1">
      <alignment horizontal="center"/>
    </xf>
    <xf numFmtId="164" fontId="51" fillId="0" borderId="4" xfId="29" applyFont="1" applyBorder="1"/>
    <xf numFmtId="0" fontId="52" fillId="0" borderId="4" xfId="71" applyFont="1" applyBorder="1" applyAlignment="1">
      <alignment horizontal="center"/>
    </xf>
    <xf numFmtId="164" fontId="52" fillId="0" borderId="4" xfId="29" applyFont="1" applyBorder="1"/>
    <xf numFmtId="10" fontId="51" fillId="0" borderId="4" xfId="70" applyNumberFormat="1" applyFont="1" applyBorder="1"/>
    <xf numFmtId="0" fontId="58" fillId="0" borderId="0" xfId="14" applyFont="1" applyFill="1">
      <alignment vertical="center"/>
    </xf>
    <xf numFmtId="0" fontId="8" fillId="0" borderId="4" xfId="0" applyFont="1" applyFill="1" applyBorder="1" applyAlignment="1">
      <alignment vertical="top"/>
    </xf>
    <xf numFmtId="10" fontId="8" fillId="14" borderId="0" xfId="40" applyNumberFormat="1" applyFont="1" applyFill="1" applyBorder="1"/>
    <xf numFmtId="164" fontId="8" fillId="0" borderId="4" xfId="29" applyFont="1" applyBorder="1" applyAlignment="1">
      <alignment horizontal="left" vertical="top"/>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0" fillId="7" borderId="6" xfId="10" applyFont="1" applyFill="1" applyBorder="1" applyAlignment="1">
      <alignment horizontal="center" vertical="center"/>
    </xf>
    <xf numFmtId="0" fontId="30" fillId="7" borderId="6" xfId="10" applyFont="1" applyFill="1" applyBorder="1" applyAlignment="1">
      <alignment horizontal="center" vertical="center" wrapText="1"/>
    </xf>
    <xf numFmtId="0" fontId="9" fillId="4" borderId="4" xfId="10" applyFont="1" applyFill="1" applyBorder="1" applyAlignment="1">
      <alignment horizontal="center" vertical="center" wrapText="1"/>
    </xf>
    <xf numFmtId="0" fontId="18" fillId="0" borderId="0" xfId="10" applyAlignment="1">
      <alignment horizontal="center" vertical="center"/>
    </xf>
    <xf numFmtId="0" fontId="9" fillId="0" borderId="0" xfId="14" applyFont="1" applyFill="1" applyBorder="1" applyAlignment="1">
      <alignment horizontal="center" vertical="center" wrapText="1"/>
    </xf>
    <xf numFmtId="0" fontId="9" fillId="0" borderId="0" xfId="10" applyFont="1" applyFill="1" applyBorder="1" applyAlignment="1">
      <alignment horizontal="center" vertical="center" wrapText="1"/>
    </xf>
    <xf numFmtId="164" fontId="8" fillId="0" borderId="4" xfId="69" applyFont="1" applyFill="1" applyBorder="1" applyAlignment="1">
      <alignment horizontal="center" vertical="center"/>
    </xf>
    <xf numFmtId="0" fontId="9" fillId="0" borderId="0" xfId="14" applyFont="1" applyFill="1" applyBorder="1" applyAlignment="1">
      <alignment horizontal="center" vertical="center"/>
    </xf>
    <xf numFmtId="0" fontId="9" fillId="4" borderId="4" xfId="31" applyFont="1" applyFill="1" applyBorder="1" applyAlignment="1">
      <alignment horizontal="center" vertical="center" wrapText="1"/>
    </xf>
    <xf numFmtId="0" fontId="13" fillId="4" borderId="4" xfId="14" applyFont="1" applyFill="1" applyBorder="1" applyAlignment="1">
      <alignment horizontal="center" vertical="center" wrapText="1"/>
    </xf>
    <xf numFmtId="0" fontId="8" fillId="0" borderId="4" xfId="69" applyNumberFormat="1" applyFont="1" applyFill="1" applyBorder="1" applyAlignment="1">
      <alignment vertical="center"/>
    </xf>
    <xf numFmtId="164" fontId="8" fillId="0" borderId="0" xfId="69" applyFont="1" applyFill="1" applyBorder="1"/>
    <xf numFmtId="164" fontId="8" fillId="0" borderId="0" xfId="69" applyFont="1" applyFill="1" applyBorder="1" applyAlignment="1">
      <alignment horizontal="left" vertical="top"/>
    </xf>
    <xf numFmtId="0" fontId="9" fillId="0" borderId="0" xfId="68" applyFont="1" applyFill="1" applyBorder="1" applyAlignment="1">
      <alignment horizontal="center" vertical="center" wrapText="1"/>
    </xf>
    <xf numFmtId="164" fontId="9" fillId="0" borderId="0" xfId="69" applyFont="1" applyFill="1" applyBorder="1" applyAlignment="1">
      <alignment horizontal="left" vertical="top"/>
    </xf>
    <xf numFmtId="0" fontId="9" fillId="0" borderId="0" xfId="31" applyFont="1" applyFill="1" applyBorder="1" applyAlignment="1">
      <alignment horizontal="center" vertical="center" wrapText="1"/>
    </xf>
    <xf numFmtId="0" fontId="9" fillId="0" borderId="0" xfId="31" quotePrefix="1" applyFont="1" applyFill="1" applyBorder="1" applyAlignment="1">
      <alignment horizontal="center" vertical="center" wrapText="1"/>
    </xf>
    <xf numFmtId="0" fontId="8" fillId="19" borderId="4" xfId="10" applyFont="1" applyFill="1" applyBorder="1" applyAlignment="1" applyProtection="1">
      <alignment horizontal="left"/>
    </xf>
    <xf numFmtId="164" fontId="8" fillId="19" borderId="4" xfId="69" applyFont="1" applyFill="1" applyBorder="1" applyAlignment="1" applyProtection="1">
      <alignment horizontal="left"/>
    </xf>
    <xf numFmtId="164" fontId="8" fillId="19" borderId="4" xfId="69" applyFont="1" applyFill="1" applyBorder="1" applyAlignment="1">
      <alignment vertical="center"/>
    </xf>
    <xf numFmtId="164" fontId="35" fillId="19" borderId="4" xfId="69" applyFont="1" applyFill="1" applyBorder="1"/>
    <xf numFmtId="176" fontId="14" fillId="14" borderId="0" xfId="69" applyNumberFormat="1" applyFont="1" applyFill="1" applyAlignment="1">
      <alignment horizontal="left" vertical="center"/>
    </xf>
    <xf numFmtId="164" fontId="58" fillId="0" borderId="4" xfId="69" applyFont="1" applyBorder="1" applyAlignment="1">
      <alignment vertical="top" wrapText="1"/>
    </xf>
    <xf numFmtId="0" fontId="9" fillId="4" borderId="5" xfId="14" applyFont="1" applyFill="1" applyBorder="1" applyAlignment="1">
      <alignment vertical="center" wrapText="1"/>
    </xf>
    <xf numFmtId="0" fontId="58" fillId="0" borderId="4" xfId="69" applyNumberFormat="1" applyFont="1" applyBorder="1" applyAlignment="1">
      <alignment vertical="center"/>
    </xf>
    <xf numFmtId="0" fontId="8" fillId="0" borderId="0" xfId="14" applyFont="1" applyFill="1" applyBorder="1" applyAlignment="1">
      <alignment horizontal="center" vertical="center"/>
    </xf>
    <xf numFmtId="164" fontId="9" fillId="0" borderId="0" xfId="29" applyFont="1" applyFill="1" applyBorder="1" applyAlignment="1">
      <alignment vertical="center"/>
    </xf>
    <xf numFmtId="2" fontId="8" fillId="0" borderId="0" xfId="14" applyNumberFormat="1" applyFont="1" applyFill="1" applyBorder="1">
      <alignment vertical="center"/>
    </xf>
    <xf numFmtId="0" fontId="9" fillId="0" borderId="0" xfId="14" applyFont="1" applyFill="1" applyBorder="1">
      <alignment vertical="center"/>
    </xf>
    <xf numFmtId="164" fontId="8" fillId="0" borderId="0" xfId="29" applyFont="1" applyFill="1" applyBorder="1" applyAlignment="1">
      <alignment vertical="center"/>
    </xf>
    <xf numFmtId="0" fontId="8" fillId="0" borderId="0" xfId="14" applyFont="1" applyFill="1" applyBorder="1" applyAlignment="1">
      <alignment vertical="top" wrapText="1"/>
    </xf>
    <xf numFmtId="164" fontId="9" fillId="0" borderId="0" xfId="69" applyFont="1" applyFill="1" applyBorder="1" applyAlignment="1">
      <alignment vertical="center"/>
    </xf>
    <xf numFmtId="0" fontId="9" fillId="0" borderId="0" xfId="14" applyFont="1" applyFill="1" applyBorder="1" applyAlignment="1">
      <alignment horizontal="center" vertical="top" wrapText="1"/>
    </xf>
    <xf numFmtId="0" fontId="9" fillId="0" borderId="0" xfId="14" applyFont="1" applyFill="1" applyBorder="1" applyAlignment="1">
      <alignment vertical="top" wrapText="1"/>
    </xf>
    <xf numFmtId="0" fontId="8" fillId="0" borderId="0" xfId="14" applyFont="1" applyFill="1" applyBorder="1" applyAlignment="1">
      <alignment horizontal="center" vertical="top" wrapText="1"/>
    </xf>
    <xf numFmtId="164" fontId="8" fillId="0" borderId="0" xfId="14" applyNumberFormat="1" applyFont="1" applyFill="1" applyBorder="1">
      <alignment vertical="center"/>
    </xf>
    <xf numFmtId="164" fontId="9" fillId="0" borderId="0" xfId="14" applyNumberFormat="1" applyFont="1" applyFill="1" applyBorder="1">
      <alignment vertical="center"/>
    </xf>
    <xf numFmtId="0" fontId="9" fillId="0" borderId="0" xfId="14" applyFont="1" applyFill="1" applyBorder="1" applyAlignment="1">
      <alignment horizontal="right" vertical="center"/>
    </xf>
    <xf numFmtId="0" fontId="9" fillId="0" borderId="0" xfId="14" applyFont="1" applyFill="1" applyBorder="1" applyAlignment="1">
      <alignment vertical="center"/>
    </xf>
    <xf numFmtId="0" fontId="8" fillId="0" borderId="0" xfId="15" applyFont="1" applyFill="1" applyBorder="1" applyAlignment="1">
      <alignment vertical="center"/>
    </xf>
    <xf numFmtId="0" fontId="8" fillId="0" borderId="0" xfId="14" applyFont="1" applyFill="1" applyBorder="1" applyAlignment="1">
      <alignment vertical="center" wrapText="1"/>
    </xf>
    <xf numFmtId="0" fontId="13" fillId="0" borderId="4" xfId="69"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xf>
    <xf numFmtId="164" fontId="9" fillId="0" borderId="0" xfId="69" applyFont="1" applyFill="1" applyBorder="1"/>
    <xf numFmtId="10" fontId="8" fillId="0" borderId="0" xfId="70" applyNumberFormat="1" applyFont="1" applyFill="1" applyBorder="1" applyAlignment="1">
      <alignment vertical="center"/>
    </xf>
    <xf numFmtId="10" fontId="8" fillId="0" borderId="0" xfId="70" applyNumberFormat="1" applyFont="1" applyFill="1" applyBorder="1"/>
    <xf numFmtId="0" fontId="9" fillId="4" borderId="4" xfId="14" applyFont="1" applyFill="1" applyBorder="1" applyAlignment="1">
      <alignment vertical="center" wrapText="1"/>
    </xf>
    <xf numFmtId="0" fontId="9" fillId="0" borderId="4" xfId="69" applyNumberFormat="1" applyFont="1" applyFill="1" applyBorder="1" applyAlignment="1">
      <alignment horizontal="center" vertical="center"/>
    </xf>
    <xf numFmtId="0" fontId="13" fillId="0" borderId="4" xfId="29" applyNumberFormat="1" applyFont="1" applyFill="1" applyBorder="1" applyAlignment="1">
      <alignment horizontal="center"/>
    </xf>
    <xf numFmtId="2" fontId="8" fillId="0" borderId="4" xfId="14" applyNumberFormat="1" applyFont="1" applyFill="1" applyBorder="1" applyAlignment="1">
      <alignment horizontal="center" vertical="center" wrapText="1"/>
    </xf>
    <xf numFmtId="0" fontId="17" fillId="0" borderId="4" xfId="69" applyNumberFormat="1" applyFont="1" applyFill="1" applyBorder="1" applyAlignment="1">
      <alignment horizontal="right" vertical="center" wrapText="1"/>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5"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164" fontId="8" fillId="0" borderId="4" xfId="69" applyFont="1" applyFill="1" applyBorder="1" applyAlignment="1">
      <alignment horizontal="center" vertical="center"/>
    </xf>
    <xf numFmtId="0" fontId="40" fillId="0" borderId="0" xfId="14" applyFont="1" applyAlignment="1">
      <alignment horizontal="left" vertical="center"/>
    </xf>
    <xf numFmtId="164" fontId="17" fillId="0" borderId="4" xfId="29" quotePrefix="1" applyFont="1" applyFill="1" applyBorder="1" applyAlignment="1">
      <alignment horizontal="right" vertical="center" wrapText="1"/>
    </xf>
    <xf numFmtId="0" fontId="17" fillId="0" borderId="4" xfId="69" quotePrefix="1" applyNumberFormat="1" applyFont="1" applyFill="1" applyBorder="1" applyAlignment="1">
      <alignment horizontal="right" vertical="center" wrapText="1"/>
    </xf>
    <xf numFmtId="164" fontId="17" fillId="0" borderId="4" xfId="69" applyFont="1" applyFill="1" applyBorder="1" applyAlignment="1">
      <alignment horizontal="center" vertical="center"/>
    </xf>
    <xf numFmtId="178" fontId="8" fillId="0" borderId="4" xfId="69" applyNumberFormat="1" applyFont="1" applyFill="1" applyBorder="1" applyAlignment="1">
      <alignment horizontal="center" vertical="center"/>
    </xf>
    <xf numFmtId="0" fontId="17" fillId="0" borderId="4" xfId="14" applyFont="1" applyFill="1" applyBorder="1">
      <alignment vertical="center"/>
    </xf>
    <xf numFmtId="10" fontId="17" fillId="10" borderId="4" xfId="70" applyNumberFormat="1" applyFont="1" applyFill="1" applyBorder="1" applyAlignment="1">
      <alignment horizontal="right" vertical="center" wrapText="1"/>
    </xf>
    <xf numFmtId="164" fontId="17" fillId="10" borderId="4" xfId="69" applyFont="1" applyFill="1" applyBorder="1" applyAlignment="1">
      <alignment horizontal="right" vertical="center" wrapText="1"/>
    </xf>
    <xf numFmtId="43" fontId="17" fillId="0" borderId="4" xfId="69" applyNumberFormat="1" applyFont="1" applyFill="1" applyBorder="1" applyAlignment="1">
      <alignment horizontal="right" vertical="center" wrapText="1"/>
    </xf>
    <xf numFmtId="181" fontId="17" fillId="0" borderId="4" xfId="69" applyNumberFormat="1" applyFont="1" applyFill="1" applyBorder="1" applyAlignment="1">
      <alignment horizontal="right" vertical="center" wrapText="1"/>
    </xf>
    <xf numFmtId="0" fontId="26" fillId="0" borderId="0" xfId="10" applyFont="1" applyFill="1" applyBorder="1" applyAlignment="1">
      <alignment vertical="top" wrapText="1"/>
    </xf>
    <xf numFmtId="10" fontId="9" fillId="0" borderId="4" xfId="70" applyNumberFormat="1" applyFont="1" applyFill="1" applyBorder="1" applyAlignment="1">
      <alignment vertical="center" wrapText="1"/>
    </xf>
    <xf numFmtId="164" fontId="9" fillId="0" borderId="4" xfId="69" applyFont="1" applyFill="1" applyBorder="1" applyAlignment="1">
      <alignment vertical="center" wrapText="1"/>
    </xf>
    <xf numFmtId="0" fontId="58" fillId="0" borderId="4" xfId="14" applyFont="1" applyFill="1" applyBorder="1" applyAlignment="1">
      <alignment horizontal="left" vertical="center" wrapText="1"/>
    </xf>
    <xf numFmtId="0" fontId="10" fillId="0" borderId="0" xfId="0" applyFont="1" applyFill="1" applyBorder="1" applyAlignment="1">
      <alignment horizontal="center" vertical="center" wrapText="1"/>
    </xf>
    <xf numFmtId="0" fontId="11" fillId="0" borderId="0" xfId="0" applyFont="1" applyFill="1" applyBorder="1" applyAlignment="1">
      <alignment vertical="center"/>
    </xf>
    <xf numFmtId="164" fontId="10" fillId="0" borderId="0" xfId="69" applyFont="1" applyFill="1" applyBorder="1" applyAlignment="1">
      <alignment horizontal="center" vertical="center"/>
    </xf>
    <xf numFmtId="164" fontId="11" fillId="0" borderId="0" xfId="69" applyFont="1" applyFill="1" applyBorder="1" applyAlignment="1">
      <alignment horizontal="center" vertical="center"/>
    </xf>
    <xf numFmtId="164" fontId="9" fillId="0" borderId="4" xfId="29" applyFont="1" applyFill="1" applyBorder="1"/>
    <xf numFmtId="43" fontId="9" fillId="0" borderId="4" xfId="29" applyNumberFormat="1" applyFont="1" applyFill="1" applyBorder="1"/>
    <xf numFmtId="164" fontId="8" fillId="10" borderId="4" xfId="69" applyFont="1" applyFill="1" applyBorder="1" applyAlignment="1">
      <alignment vertical="center"/>
    </xf>
    <xf numFmtId="0" fontId="8" fillId="0" borderId="0" xfId="10" applyFont="1" applyFill="1" applyBorder="1" applyAlignment="1">
      <alignment horizontal="left" vertical="center"/>
    </xf>
    <xf numFmtId="0" fontId="9" fillId="0" borderId="0" xfId="14" applyFont="1" applyFill="1" applyAlignment="1">
      <alignment horizontal="right" vertical="center"/>
    </xf>
    <xf numFmtId="0" fontId="9" fillId="0" borderId="0" xfId="10" applyFont="1" applyFill="1" applyAlignment="1">
      <alignment horizontal="left"/>
    </xf>
    <xf numFmtId="0" fontId="8" fillId="0" borderId="0" xfId="10" applyFont="1" applyFill="1" applyAlignment="1">
      <alignment horizontal="center"/>
    </xf>
    <xf numFmtId="10" fontId="8" fillId="14" borderId="0" xfId="40" applyNumberFormat="1" applyFont="1" applyFill="1" applyAlignment="1">
      <alignment horizontal="center" vertical="center"/>
    </xf>
    <xf numFmtId="10" fontId="8" fillId="14" borderId="0" xfId="10" applyNumberFormat="1" applyFont="1" applyFill="1" applyAlignment="1">
      <alignment horizontal="center" vertical="center"/>
    </xf>
    <xf numFmtId="0" fontId="8" fillId="0" borderId="4" xfId="14" applyNumberFormat="1" applyFont="1" applyFill="1" applyBorder="1">
      <alignment vertical="center"/>
    </xf>
    <xf numFmtId="0" fontId="9" fillId="0" borderId="0" xfId="10" applyFont="1" applyFill="1" applyBorder="1" applyAlignment="1">
      <alignment horizontal="left"/>
    </xf>
    <xf numFmtId="10" fontId="8" fillId="14" borderId="0" xfId="10" applyNumberFormat="1" applyFont="1" applyFill="1" applyAlignment="1">
      <alignment horizontal="center" vertical="top"/>
    </xf>
    <xf numFmtId="10" fontId="8" fillId="0" borderId="4" xfId="14" applyNumberFormat="1" applyFont="1" applyFill="1" applyBorder="1" applyAlignment="1">
      <alignment vertical="center"/>
    </xf>
    <xf numFmtId="177" fontId="8" fillId="0" borderId="4" xfId="29" applyNumberFormat="1" applyFont="1" applyFill="1" applyBorder="1" applyAlignment="1">
      <alignment vertical="center"/>
    </xf>
    <xf numFmtId="164" fontId="50" fillId="0" borderId="4" xfId="72" applyFont="1" applyFill="1" applyBorder="1" applyAlignment="1">
      <alignment vertical="center"/>
    </xf>
    <xf numFmtId="0" fontId="9" fillId="20" borderId="4" xfId="14" applyFont="1" applyFill="1" applyBorder="1">
      <alignment vertical="center"/>
    </xf>
    <xf numFmtId="0" fontId="9" fillId="20" borderId="4" xfId="14" applyFont="1" applyFill="1" applyBorder="1" applyAlignment="1">
      <alignment vertical="center" wrapText="1"/>
    </xf>
    <xf numFmtId="0" fontId="53" fillId="0" borderId="4" xfId="71" applyFont="1" applyBorder="1" applyAlignment="1">
      <alignment horizontal="left" vertical="center"/>
    </xf>
    <xf numFmtId="0" fontId="59" fillId="0" borderId="0" xfId="0" applyFont="1" applyAlignment="1">
      <alignment horizontal="left"/>
    </xf>
    <xf numFmtId="0" fontId="53" fillId="0" borderId="4" xfId="71" applyFont="1" applyBorder="1" applyAlignment="1">
      <alignment horizontal="left" vertical="center" wrapText="1"/>
    </xf>
    <xf numFmtId="0" fontId="60" fillId="0" borderId="4" xfId="71" applyFont="1" applyBorder="1" applyAlignment="1">
      <alignment horizontal="left" vertical="center" wrapText="1"/>
    </xf>
    <xf numFmtId="0" fontId="54" fillId="0" borderId="4" xfId="71" applyFont="1" applyBorder="1" applyAlignment="1">
      <alignment horizontal="left" vertical="center" wrapText="1"/>
    </xf>
    <xf numFmtId="0" fontId="51" fillId="0" borderId="4" xfId="29" applyNumberFormat="1" applyFont="1" applyBorder="1" applyAlignment="1">
      <alignment vertical="center"/>
    </xf>
    <xf numFmtId="0" fontId="51" fillId="0" borderId="4" xfId="29" applyNumberFormat="1" applyFont="1" applyBorder="1"/>
    <xf numFmtId="0" fontId="52" fillId="0" borderId="4" xfId="0" applyFont="1" applyFill="1" applyBorder="1" applyAlignment="1">
      <alignment horizontal="center"/>
    </xf>
    <xf numFmtId="0" fontId="51" fillId="0" borderId="0" xfId="0" applyFont="1" applyFill="1"/>
    <xf numFmtId="0" fontId="51" fillId="0" borderId="4" xfId="0" applyFont="1" applyFill="1" applyBorder="1" applyAlignment="1">
      <alignment horizontal="center"/>
    </xf>
    <xf numFmtId="164" fontId="52" fillId="0" borderId="4" xfId="69" applyFont="1" applyFill="1" applyBorder="1"/>
    <xf numFmtId="0" fontId="51" fillId="0" borderId="0" xfId="0" applyFont="1" applyFill="1" applyAlignment="1">
      <alignment horizontal="left"/>
    </xf>
    <xf numFmtId="0" fontId="52" fillId="12" borderId="4" xfId="0" applyFont="1" applyFill="1" applyBorder="1" applyAlignment="1">
      <alignment horizontal="left"/>
    </xf>
    <xf numFmtId="0" fontId="52" fillId="12" borderId="4" xfId="0" applyFont="1" applyFill="1" applyBorder="1" applyAlignment="1">
      <alignment horizont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10" fontId="17" fillId="5" borderId="4" xfId="14" applyNumberFormat="1" applyFont="1" applyFill="1" applyBorder="1" applyAlignment="1">
      <alignment horizontal="center" vertical="center" wrapText="1"/>
    </xf>
    <xf numFmtId="10" fontId="17" fillId="0" borderId="4" xfId="40" applyNumberFormat="1" applyFont="1" applyFill="1" applyBorder="1" applyAlignment="1">
      <alignment horizontal="center"/>
    </xf>
    <xf numFmtId="164" fontId="8" fillId="21" borderId="4" xfId="69" applyFont="1" applyFill="1" applyBorder="1"/>
    <xf numFmtId="0" fontId="8" fillId="0" borderId="4" xfId="70" applyNumberFormat="1" applyFont="1" applyFill="1" applyBorder="1" applyAlignment="1">
      <alignment vertical="center"/>
    </xf>
    <xf numFmtId="0" fontId="9" fillId="4" borderId="4" xfId="10" applyFont="1" applyFill="1" applyBorder="1" applyAlignment="1">
      <alignment horizontal="center" vertical="center" wrapText="1"/>
    </xf>
    <xf numFmtId="10" fontId="10" fillId="0" borderId="4" xfId="70" applyNumberFormat="1" applyFont="1" applyFill="1" applyBorder="1" applyAlignment="1">
      <alignment horizontal="center" vertical="center"/>
    </xf>
    <xf numFmtId="4" fontId="8" fillId="0" borderId="4" xfId="14" applyNumberFormat="1" applyFont="1" applyFill="1" applyBorder="1">
      <alignment vertical="center"/>
    </xf>
    <xf numFmtId="0" fontId="8" fillId="0" borderId="4" xfId="69" applyNumberFormat="1" applyFont="1" applyBorder="1" applyAlignment="1">
      <alignment horizontal="left" vertical="top"/>
    </xf>
    <xf numFmtId="43" fontId="51" fillId="0" borderId="4" xfId="69" applyNumberFormat="1" applyFont="1" applyFill="1" applyBorder="1"/>
    <xf numFmtId="43" fontId="51" fillId="0" borderId="4" xfId="29" applyNumberFormat="1" applyFont="1" applyBorder="1" applyAlignment="1">
      <alignment vertical="center"/>
    </xf>
    <xf numFmtId="43" fontId="51" fillId="0" borderId="4" xfId="29" applyNumberFormat="1" applyFont="1" applyBorder="1"/>
    <xf numFmtId="43" fontId="13" fillId="0" borderId="4" xfId="69" applyNumberFormat="1" applyFont="1" applyFill="1" applyBorder="1" applyAlignment="1">
      <alignment horizontal="center" vertical="center" wrapText="1"/>
    </xf>
    <xf numFmtId="182" fontId="8" fillId="0" borderId="4" xfId="69" applyNumberFormat="1" applyFont="1" applyFill="1" applyBorder="1" applyAlignment="1">
      <alignment horizontal="left" vertical="top"/>
    </xf>
    <xf numFmtId="43" fontId="31" fillId="0" borderId="4" xfId="73" applyFont="1" applyBorder="1"/>
    <xf numFmtId="164" fontId="17" fillId="0" borderId="4" xfId="29" applyFont="1" applyFill="1" applyBorder="1" applyAlignment="1">
      <alignment horizontal="right" vertical="center" wrapText="1"/>
    </xf>
    <xf numFmtId="10" fontId="50" fillId="0" borderId="4" xfId="70" applyNumberFormat="1" applyFont="1" applyBorder="1" applyAlignment="1">
      <alignment horizontal="center" vertical="center"/>
    </xf>
    <xf numFmtId="2" fontId="50" fillId="0" borderId="4" xfId="0" applyNumberFormat="1" applyFont="1" applyBorder="1" applyAlignment="1">
      <alignment horizontal="right" vertical="center"/>
    </xf>
    <xf numFmtId="169" fontId="17" fillId="0" borderId="4" xfId="29" quotePrefix="1" applyNumberFormat="1" applyFont="1" applyFill="1" applyBorder="1" applyAlignment="1">
      <alignment horizontal="right" vertical="center" wrapText="1"/>
    </xf>
    <xf numFmtId="43" fontId="17" fillId="0" borderId="4" xfId="29" quotePrefix="1" applyNumberFormat="1" applyFont="1" applyFill="1" applyBorder="1" applyAlignment="1">
      <alignment horizontal="right" vertical="center" wrapText="1"/>
    </xf>
    <xf numFmtId="43" fontId="17" fillId="0" borderId="4" xfId="29" applyNumberFormat="1" applyFont="1" applyFill="1" applyBorder="1" applyAlignment="1">
      <alignment horizontal="right" vertical="center" wrapText="1"/>
    </xf>
    <xf numFmtId="9" fontId="9" fillId="0" borderId="4" xfId="69" applyNumberFormat="1" applyFont="1" applyFill="1" applyBorder="1" applyAlignment="1">
      <alignment vertical="center"/>
    </xf>
    <xf numFmtId="0" fontId="0" fillId="0" borderId="5" xfId="0" applyBorder="1"/>
    <xf numFmtId="0" fontId="0" fillId="0" borderId="4" xfId="0" applyBorder="1"/>
    <xf numFmtId="164" fontId="8" fillId="0" borderId="8" xfId="69" applyFont="1" applyFill="1" applyBorder="1" applyAlignment="1">
      <alignment vertical="top" wrapText="1"/>
    </xf>
    <xf numFmtId="0" fontId="8" fillId="0" borderId="7" xfId="14" applyFont="1" applyFill="1" applyBorder="1" applyAlignment="1">
      <alignment vertical="top" wrapText="1"/>
    </xf>
    <xf numFmtId="164" fontId="8" fillId="0" borderId="4" xfId="69" applyFont="1" applyFill="1" applyBorder="1" applyAlignment="1">
      <alignment horizontal="center" vertical="center"/>
    </xf>
    <xf numFmtId="0" fontId="8" fillId="0" borderId="4" xfId="10" applyFont="1" applyFill="1" applyBorder="1" applyAlignment="1">
      <alignment vertical="top" wrapText="1"/>
    </xf>
    <xf numFmtId="0" fontId="8" fillId="0" borderId="4" xfId="10" applyFont="1" applyFill="1" applyBorder="1" applyAlignment="1" applyProtection="1">
      <alignment vertical="top" wrapText="1"/>
    </xf>
    <xf numFmtId="0" fontId="8" fillId="0" borderId="4" xfId="10" applyFont="1" applyFill="1" applyBorder="1" applyAlignment="1" applyProtection="1">
      <alignment horizontal="left" vertical="top" wrapText="1"/>
    </xf>
    <xf numFmtId="0" fontId="8" fillId="0" borderId="4" xfId="10" applyFont="1" applyFill="1" applyBorder="1" applyAlignment="1">
      <alignment vertical="top"/>
    </xf>
    <xf numFmtId="164" fontId="52" fillId="0" borderId="4" xfId="69" applyNumberFormat="1" applyFont="1" applyFill="1" applyBorder="1"/>
    <xf numFmtId="43" fontId="51" fillId="0" borderId="4" xfId="29" applyNumberFormat="1" applyFont="1" applyFill="1" applyBorder="1"/>
    <xf numFmtId="2" fontId="8" fillId="14" borderId="0" xfId="14" applyNumberFormat="1" applyFont="1" applyFill="1">
      <alignment vertical="center"/>
    </xf>
    <xf numFmtId="4" fontId="8" fillId="0" borderId="4" xfId="29" applyNumberFormat="1" applyFont="1" applyFill="1" applyBorder="1" applyAlignment="1">
      <alignment vertical="center"/>
    </xf>
    <xf numFmtId="0" fontId="50" fillId="0" borderId="4" xfId="0" applyFont="1" applyBorder="1" applyAlignment="1">
      <alignment vertical="center"/>
    </xf>
    <xf numFmtId="0" fontId="61" fillId="0" borderId="4" xfId="0" applyFont="1" applyBorder="1" applyAlignment="1">
      <alignment vertical="center"/>
    </xf>
    <xf numFmtId="2" fontId="8" fillId="0" borderId="4" xfId="14" applyNumberFormat="1" applyFont="1" applyFill="1" applyBorder="1" applyAlignment="1">
      <alignment horizontal="right" vertical="center"/>
    </xf>
    <xf numFmtId="164" fontId="8" fillId="0" borderId="4" xfId="69" applyFont="1" applyFill="1" applyBorder="1" applyAlignment="1">
      <alignment horizontal="center" vertical="center"/>
    </xf>
    <xf numFmtId="10" fontId="17" fillId="5" borderId="4" xfId="40" applyNumberFormat="1" applyFont="1" applyFill="1" applyBorder="1" applyAlignment="1">
      <alignment horizontal="center" vertical="center" wrapText="1"/>
    </xf>
    <xf numFmtId="10" fontId="17" fillId="0" borderId="4" xfId="40" applyNumberFormat="1" applyFont="1" applyFill="1" applyBorder="1" applyAlignment="1">
      <alignment vertical="center"/>
    </xf>
    <xf numFmtId="10" fontId="17" fillId="0" borderId="4" xfId="40" applyNumberFormat="1" applyFont="1" applyFill="1" applyBorder="1" applyAlignment="1">
      <alignment horizontal="center" vertical="center" wrapText="1"/>
    </xf>
    <xf numFmtId="164" fontId="17" fillId="0" borderId="4" xfId="29" applyFont="1" applyFill="1" applyBorder="1" applyAlignment="1">
      <alignment horizontal="center" vertical="center" wrapText="1"/>
    </xf>
    <xf numFmtId="10" fontId="49" fillId="5" borderId="4" xfId="40" applyNumberFormat="1" applyFont="1" applyFill="1" applyBorder="1" applyAlignment="1">
      <alignment horizontal="center" vertical="center" wrapText="1"/>
    </xf>
    <xf numFmtId="10" fontId="49" fillId="0" borderId="4" xfId="40" applyNumberFormat="1" applyFont="1" applyFill="1" applyBorder="1" applyAlignment="1">
      <alignment horizontal="center" vertical="center" wrapText="1"/>
    </xf>
    <xf numFmtId="164" fontId="13" fillId="0" borderId="4" xfId="29" applyFont="1" applyFill="1" applyBorder="1" applyAlignment="1">
      <alignment horizontal="center" vertical="center" wrapText="1"/>
    </xf>
    <xf numFmtId="10" fontId="17" fillId="0" borderId="4" xfId="40" applyNumberFormat="1" applyFont="1" applyFill="1" applyBorder="1" applyAlignment="1">
      <alignment horizontal="right" vertical="center" wrapText="1"/>
    </xf>
    <xf numFmtId="10" fontId="17" fillId="10" borderId="4" xfId="40" applyNumberFormat="1" applyFont="1" applyFill="1" applyBorder="1" applyAlignment="1">
      <alignment horizontal="right" vertical="center" wrapText="1"/>
    </xf>
    <xf numFmtId="9" fontId="9" fillId="0" borderId="4" xfId="29" applyNumberFormat="1" applyFont="1" applyFill="1" applyBorder="1" applyAlignment="1">
      <alignment vertical="center"/>
    </xf>
    <xf numFmtId="164" fontId="8" fillId="0" borderId="4" xfId="29" applyFont="1" applyFill="1" applyBorder="1"/>
    <xf numFmtId="164" fontId="8" fillId="0" borderId="4" xfId="29" applyFont="1" applyFill="1" applyBorder="1" applyAlignment="1" applyProtection="1">
      <alignment horizontal="left" vertical="center"/>
    </xf>
    <xf numFmtId="164" fontId="8" fillId="0" borderId="4" xfId="29" applyFont="1" applyBorder="1" applyAlignment="1">
      <alignment vertical="center"/>
    </xf>
    <xf numFmtId="164" fontId="26" fillId="0" borderId="4" xfId="29" applyFont="1" applyFill="1" applyBorder="1" applyAlignment="1">
      <alignment vertical="center"/>
    </xf>
    <xf numFmtId="10" fontId="35" fillId="0" borderId="4" xfId="40" applyNumberFormat="1" applyFont="1" applyFill="1" applyBorder="1"/>
    <xf numFmtId="10" fontId="35" fillId="0" borderId="4" xfId="29" applyNumberFormat="1" applyFont="1" applyFill="1" applyBorder="1"/>
    <xf numFmtId="164" fontId="8" fillId="5" borderId="4" xfId="29" applyFont="1" applyFill="1" applyBorder="1" applyAlignment="1" applyProtection="1">
      <alignment horizontal="left"/>
    </xf>
    <xf numFmtId="9" fontId="8" fillId="0" borderId="4" xfId="40" applyFont="1" applyBorder="1" applyAlignment="1">
      <alignment vertical="center"/>
    </xf>
    <xf numFmtId="164" fontId="9" fillId="0" borderId="4" xfId="29" applyFont="1" applyFill="1" applyBorder="1" applyAlignment="1">
      <alignment vertical="top" wrapText="1"/>
    </xf>
    <xf numFmtId="164" fontId="9" fillId="0" borderId="4" xfId="29" applyFont="1" applyBorder="1" applyAlignment="1">
      <alignment vertical="center"/>
    </xf>
    <xf numFmtId="164" fontId="8" fillId="0" borderId="4" xfId="69" applyFont="1" applyFill="1" applyBorder="1" applyAlignment="1">
      <alignment horizontal="center" vertical="center"/>
    </xf>
    <xf numFmtId="169" fontId="8" fillId="0" borderId="4" xfId="69" applyNumberFormat="1" applyFont="1" applyBorder="1" applyAlignment="1">
      <alignment vertical="top" wrapText="1"/>
    </xf>
    <xf numFmtId="169" fontId="9" fillId="4" borderId="4" xfId="69" applyNumberFormat="1" applyFont="1" applyFill="1" applyBorder="1"/>
    <xf numFmtId="164" fontId="9" fillId="0" borderId="4" xfId="69" applyFont="1" applyFill="1" applyBorder="1" applyAlignment="1" applyProtection="1">
      <alignment horizontal="left"/>
    </xf>
    <xf numFmtId="0" fontId="8" fillId="0" borderId="4" xfId="10" applyFont="1" applyFill="1" applyBorder="1" applyAlignment="1" applyProtection="1">
      <alignment horizontal="left" wrapText="1"/>
    </xf>
    <xf numFmtId="176" fontId="8" fillId="0" borderId="4" xfId="69" applyNumberFormat="1" applyFont="1" applyFill="1" applyBorder="1" applyAlignment="1" applyProtection="1">
      <alignment horizontal="left"/>
    </xf>
    <xf numFmtId="10" fontId="8" fillId="0" borderId="4" xfId="70" applyNumberFormat="1" applyFont="1" applyFill="1" applyBorder="1" applyAlignment="1" applyProtection="1">
      <alignment horizontal="left"/>
    </xf>
    <xf numFmtId="176" fontId="9" fillId="0" borderId="4" xfId="69" applyNumberFormat="1" applyFont="1" applyFill="1" applyBorder="1" applyAlignment="1" applyProtection="1">
      <alignment horizontal="left"/>
    </xf>
    <xf numFmtId="176" fontId="8" fillId="0" borderId="4" xfId="69" applyNumberFormat="1" applyFont="1" applyFill="1" applyBorder="1"/>
    <xf numFmtId="0" fontId="9" fillId="4" borderId="4"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9" fillId="0" borderId="0" xfId="14" applyFont="1" applyAlignment="1">
      <alignment horizontal="center" vertical="center"/>
    </xf>
    <xf numFmtId="0" fontId="9" fillId="4" borderId="4" xfId="14" quotePrefix="1" applyFont="1" applyFill="1" applyBorder="1" applyAlignment="1">
      <alignment horizontal="center" vertical="center" wrapText="1"/>
    </xf>
    <xf numFmtId="0" fontId="9" fillId="0" borderId="0" xfId="10" applyFont="1" applyAlignment="1">
      <alignment horizontal="left"/>
    </xf>
    <xf numFmtId="0" fontId="9" fillId="4" borderId="4" xfId="10" applyFont="1" applyFill="1" applyBorder="1" applyAlignment="1">
      <alignment horizontal="center"/>
    </xf>
    <xf numFmtId="0" fontId="9" fillId="4" borderId="4" xfId="10" applyFont="1" applyFill="1" applyBorder="1" applyAlignment="1">
      <alignment horizontal="center" vertical="top" wrapText="1"/>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17" fillId="0" borderId="4" xfId="14" applyFont="1" applyBorder="1" applyAlignment="1">
      <alignment horizontal="left" vertical="center"/>
    </xf>
    <xf numFmtId="0" fontId="17" fillId="0" borderId="4" xfId="14" applyFont="1" applyBorder="1" applyAlignment="1">
      <alignment vertical="center" wrapText="1"/>
    </xf>
    <xf numFmtId="0" fontId="17" fillId="10" borderId="4" xfId="14" applyFont="1" applyFill="1" applyBorder="1" applyAlignment="1">
      <alignment horizontal="center" vertical="center"/>
    </xf>
    <xf numFmtId="0" fontId="13" fillId="10" borderId="4" xfId="14" applyFont="1" applyFill="1" applyBorder="1">
      <alignment vertical="center"/>
    </xf>
    <xf numFmtId="0" fontId="17" fillId="10" borderId="4" xfId="14" applyFont="1" applyFill="1" applyBorder="1" applyAlignment="1">
      <alignment horizontal="left" vertical="center"/>
    </xf>
    <xf numFmtId="0" fontId="17" fillId="0" borderId="7" xfId="14" applyFont="1" applyBorder="1" applyAlignment="1">
      <alignment horizontal="center" vertical="center"/>
    </xf>
    <xf numFmtId="0" fontId="17" fillId="6" borderId="7" xfId="14" applyFont="1" applyFill="1" applyBorder="1">
      <alignment vertical="center"/>
    </xf>
    <xf numFmtId="0" fontId="17" fillId="6" borderId="7" xfId="14" applyFont="1" applyFill="1" applyBorder="1" applyAlignment="1">
      <alignment horizontal="left" vertical="center"/>
    </xf>
    <xf numFmtId="0" fontId="8" fillId="0" borderId="0" xfId="71" applyFont="1"/>
    <xf numFmtId="0" fontId="8" fillId="0" borderId="11" xfId="71" applyFont="1" applyBorder="1"/>
    <xf numFmtId="0" fontId="9" fillId="0" borderId="0" xfId="10" applyFont="1" applyAlignment="1">
      <alignment horizontal="center" vertical="center"/>
    </xf>
    <xf numFmtId="0" fontId="8" fillId="0" borderId="16" xfId="71" applyFont="1" applyBorder="1"/>
    <xf numFmtId="0" fontId="9" fillId="4" borderId="4" xfId="71" applyFont="1" applyFill="1" applyBorder="1" applyAlignment="1">
      <alignment horizontal="center" vertical="top" wrapText="1"/>
    </xf>
    <xf numFmtId="0" fontId="8" fillId="0" borderId="0" xfId="71" applyFont="1" applyAlignment="1">
      <alignment vertical="top" wrapText="1"/>
    </xf>
    <xf numFmtId="0" fontId="8" fillId="0" borderId="4" xfId="10" applyFont="1" applyBorder="1" applyAlignment="1">
      <alignment vertical="center" wrapText="1"/>
    </xf>
    <xf numFmtId="0" fontId="8" fillId="0" borderId="0" xfId="10" applyFont="1" applyAlignment="1">
      <alignment horizontal="left" vertical="center" wrapText="1"/>
    </xf>
    <xf numFmtId="2" fontId="8" fillId="0" borderId="0" xfId="10" applyNumberFormat="1" applyFont="1" applyAlignment="1">
      <alignment horizontal="center" vertical="center" wrapText="1"/>
    </xf>
    <xf numFmtId="14" fontId="8" fillId="0" borderId="0" xfId="71" applyNumberFormat="1" applyFont="1"/>
    <xf numFmtId="2" fontId="8" fillId="0" borderId="0" xfId="71" applyNumberFormat="1" applyFont="1"/>
    <xf numFmtId="0" fontId="8" fillId="0" borderId="0" xfId="71" applyFont="1" applyAlignment="1">
      <alignment vertical="top"/>
    </xf>
    <xf numFmtId="0" fontId="8" fillId="0" borderId="0" xfId="71" applyFont="1" applyAlignment="1">
      <alignment vertical="center" wrapText="1"/>
    </xf>
    <xf numFmtId="0" fontId="9" fillId="0" borderId="0" xfId="71" applyFont="1" applyAlignment="1">
      <alignment vertical="top"/>
    </xf>
    <xf numFmtId="0" fontId="9" fillId="4" borderId="4" xfId="71" applyFont="1" applyFill="1" applyBorder="1" applyAlignment="1">
      <alignment horizontal="center" vertical="center"/>
    </xf>
    <xf numFmtId="0" fontId="9" fillId="4" borderId="4" xfId="71" applyFont="1" applyFill="1" applyBorder="1" applyAlignment="1">
      <alignment horizontal="center" vertical="center" wrapText="1"/>
    </xf>
    <xf numFmtId="0" fontId="9" fillId="4" borderId="4" xfId="71" applyFont="1" applyFill="1" applyBorder="1" applyAlignment="1">
      <alignment horizontal="left" vertical="center" wrapText="1"/>
    </xf>
    <xf numFmtId="0" fontId="8" fillId="0" borderId="0" xfId="71" applyFont="1" applyAlignment="1">
      <alignment horizontal="center" vertical="center"/>
    </xf>
    <xf numFmtId="0" fontId="9" fillId="0" borderId="4" xfId="71" applyFont="1" applyBorder="1" applyAlignment="1">
      <alignment horizontal="justify" vertical="top"/>
    </xf>
    <xf numFmtId="0" fontId="8" fillId="0" borderId="4" xfId="71" applyFont="1" applyBorder="1" applyAlignment="1">
      <alignment vertical="center"/>
    </xf>
    <xf numFmtId="0" fontId="8" fillId="0" borderId="4" xfId="71" applyFont="1" applyBorder="1" applyAlignment="1">
      <alignment horizontal="justify" vertical="top"/>
    </xf>
    <xf numFmtId="0" fontId="8" fillId="0" borderId="0" xfId="35" applyFont="1" applyAlignment="1">
      <alignment vertical="center"/>
    </xf>
    <xf numFmtId="0" fontId="8" fillId="0" borderId="11" xfId="35" applyFont="1" applyBorder="1" applyAlignment="1">
      <alignment vertical="center" wrapText="1"/>
    </xf>
    <xf numFmtId="0" fontId="8" fillId="0" borderId="11" xfId="35" applyFont="1" applyBorder="1"/>
    <xf numFmtId="0" fontId="8" fillId="0" borderId="0" xfId="35" applyFont="1"/>
    <xf numFmtId="2" fontId="8" fillId="0" borderId="0" xfId="35" applyNumberFormat="1" applyFont="1"/>
    <xf numFmtId="0" fontId="8" fillId="0" borderId="0" xfId="35" applyFont="1" applyAlignment="1">
      <alignment wrapText="1"/>
    </xf>
    <xf numFmtId="0" fontId="8" fillId="0" borderId="0" xfId="71" applyFont="1" applyAlignment="1">
      <alignment vertical="center"/>
    </xf>
    <xf numFmtId="0" fontId="9" fillId="0" borderId="0" xfId="71" applyFont="1" applyAlignment="1">
      <alignment vertical="center"/>
    </xf>
    <xf numFmtId="0" fontId="8" fillId="0" borderId="0" xfId="35" applyFont="1" applyAlignment="1">
      <alignment vertical="center" wrapText="1"/>
    </xf>
    <xf numFmtId="0" fontId="9" fillId="0" borderId="0" xfId="35" applyFont="1" applyAlignment="1">
      <alignment horizontal="right" wrapText="1"/>
    </xf>
    <xf numFmtId="0" fontId="8" fillId="0" borderId="0" xfId="35" applyFont="1" applyAlignment="1">
      <alignment horizontal="center"/>
    </xf>
    <xf numFmtId="0" fontId="8" fillId="0" borderId="0" xfId="35" applyFont="1" applyAlignment="1">
      <alignment horizontal="center" vertical="center"/>
    </xf>
    <xf numFmtId="0" fontId="9" fillId="4" borderId="4" xfId="35" applyFont="1" applyFill="1" applyBorder="1" applyAlignment="1">
      <alignment horizontal="center" vertical="center" wrapText="1"/>
    </xf>
    <xf numFmtId="0" fontId="8" fillId="0" borderId="0" xfId="35" applyFont="1" applyAlignment="1">
      <alignment horizontal="center" vertical="center" wrapText="1"/>
    </xf>
    <xf numFmtId="2" fontId="9" fillId="4" borderId="4" xfId="35" applyNumberFormat="1" applyFont="1" applyFill="1" applyBorder="1" applyAlignment="1">
      <alignment horizontal="center" vertical="center" wrapText="1"/>
    </xf>
    <xf numFmtId="168" fontId="9" fillId="0" borderId="4" xfId="35" quotePrefix="1" applyNumberFormat="1" applyFont="1" applyBorder="1" applyAlignment="1">
      <alignment horizontal="center" vertical="center" wrapText="1"/>
    </xf>
    <xf numFmtId="0" fontId="9" fillId="0" borderId="4" xfId="35" applyFont="1" applyBorder="1" applyAlignment="1">
      <alignment horizontal="justify" vertical="center" wrapText="1"/>
    </xf>
    <xf numFmtId="0" fontId="9" fillId="0" borderId="4" xfId="35" applyFont="1" applyBorder="1" applyAlignment="1">
      <alignment vertical="top"/>
    </xf>
    <xf numFmtId="0" fontId="9" fillId="0" borderId="0" xfId="35" applyFont="1"/>
    <xf numFmtId="168" fontId="8" fillId="0" borderId="4" xfId="35" applyNumberFormat="1" applyFont="1" applyBorder="1" applyAlignment="1">
      <alignment horizontal="center" vertical="center"/>
    </xf>
    <xf numFmtId="0" fontId="8" fillId="0" borderId="4" xfId="35" applyFont="1" applyBorder="1" applyAlignment="1">
      <alignment vertical="center" wrapText="1"/>
    </xf>
    <xf numFmtId="0" fontId="8" fillId="0" borderId="4" xfId="76" applyFont="1" applyBorder="1" applyAlignment="1">
      <alignment vertical="center" wrapText="1"/>
    </xf>
    <xf numFmtId="0" fontId="8" fillId="0" borderId="4" xfId="35" applyFont="1" applyBorder="1" applyAlignment="1">
      <alignment horizontal="center" vertical="center"/>
    </xf>
    <xf numFmtId="168" fontId="9" fillId="0" borderId="4" xfId="35" applyNumberFormat="1" applyFont="1" applyBorder="1" applyAlignment="1">
      <alignment horizontal="center" vertical="center"/>
    </xf>
    <xf numFmtId="0" fontId="9" fillId="0" borderId="4" xfId="76" applyFont="1" applyBorder="1" applyAlignment="1">
      <alignment vertical="center" wrapText="1"/>
    </xf>
    <xf numFmtId="168" fontId="9" fillId="0" borderId="4" xfId="71" applyNumberFormat="1" applyFont="1" applyBorder="1" applyAlignment="1">
      <alignment horizontal="center" vertical="center"/>
    </xf>
    <xf numFmtId="168" fontId="8" fillId="0" borderId="4" xfId="71" applyNumberFormat="1" applyFont="1" applyBorder="1" applyAlignment="1">
      <alignment horizontal="center" vertical="center"/>
    </xf>
    <xf numFmtId="0" fontId="8" fillId="0" borderId="4" xfId="71" applyFont="1" applyBorder="1" applyAlignment="1">
      <alignment vertical="center" wrapText="1"/>
    </xf>
    <xf numFmtId="10" fontId="9" fillId="0" borderId="0" xfId="40" applyNumberFormat="1" applyFont="1" applyFill="1" applyBorder="1"/>
    <xf numFmtId="10" fontId="8" fillId="0" borderId="0" xfId="40" applyNumberFormat="1" applyFont="1" applyFill="1" applyBorder="1"/>
    <xf numFmtId="0" fontId="9" fillId="0" borderId="4" xfId="71" applyFont="1" applyBorder="1" applyAlignment="1">
      <alignment vertical="center" wrapText="1"/>
    </xf>
    <xf numFmtId="0" fontId="8" fillId="0" borderId="4" xfId="71" applyFont="1" applyBorder="1" applyAlignment="1">
      <alignment horizontal="center" vertical="center"/>
    </xf>
    <xf numFmtId="0" fontId="9" fillId="0" borderId="4" xfId="76" applyFont="1" applyBorder="1" applyAlignment="1">
      <alignment horizontal="justify" vertical="center" wrapText="1"/>
    </xf>
    <xf numFmtId="0" fontId="9" fillId="0" borderId="4" xfId="35" applyFont="1" applyBorder="1" applyAlignment="1">
      <alignment wrapText="1"/>
    </xf>
    <xf numFmtId="2" fontId="8" fillId="0" borderId="4" xfId="71" applyNumberFormat="1" applyFont="1" applyBorder="1" applyAlignment="1">
      <alignment horizontal="center" vertical="center"/>
    </xf>
    <xf numFmtId="2" fontId="9" fillId="0" borderId="4" xfId="71" applyNumberFormat="1" applyFont="1" applyBorder="1" applyAlignment="1">
      <alignment horizontal="center" vertical="center"/>
    </xf>
    <xf numFmtId="164" fontId="8" fillId="0" borderId="0" xfId="35" applyNumberFormat="1" applyFont="1"/>
    <xf numFmtId="0" fontId="8" fillId="0" borderId="0" xfId="34" applyFont="1" applyAlignment="1">
      <alignment wrapText="1"/>
    </xf>
    <xf numFmtId="0" fontId="8" fillId="0" borderId="11" xfId="34" applyFont="1" applyBorder="1" applyAlignment="1">
      <alignment wrapText="1"/>
    </xf>
    <xf numFmtId="0" fontId="8" fillId="0" borderId="0" xfId="34" applyFont="1" applyAlignment="1">
      <alignment horizontal="center" wrapText="1"/>
    </xf>
    <xf numFmtId="0" fontId="9" fillId="0" borderId="0" xfId="71" applyFont="1" applyAlignment="1">
      <alignment horizontal="center" vertical="center"/>
    </xf>
    <xf numFmtId="0" fontId="9" fillId="7" borderId="4" xfId="71" applyFont="1" applyFill="1" applyBorder="1" applyAlignment="1">
      <alignment horizontal="center" vertical="center" wrapText="1"/>
    </xf>
    <xf numFmtId="1" fontId="9" fillId="7" borderId="4" xfId="71" applyNumberFormat="1" applyFont="1" applyFill="1" applyBorder="1" applyAlignment="1">
      <alignment horizontal="center" vertical="center" wrapText="1"/>
    </xf>
    <xf numFmtId="0" fontId="8" fillId="0" borderId="20" xfId="71" applyFont="1" applyBorder="1" applyAlignment="1">
      <alignment horizontal="center" vertical="center"/>
    </xf>
    <xf numFmtId="0" fontId="9" fillId="0" borderId="0" xfId="34" applyFont="1" applyAlignment="1">
      <alignment wrapText="1"/>
    </xf>
    <xf numFmtId="0" fontId="8" fillId="0" borderId="21" xfId="71" applyFont="1" applyBorder="1" applyAlignment="1">
      <alignment vertical="center"/>
    </xf>
    <xf numFmtId="0" fontId="8" fillId="0" borderId="0" xfId="34" applyFont="1" applyAlignment="1">
      <alignment vertical="center" wrapText="1"/>
    </xf>
    <xf numFmtId="2" fontId="8" fillId="0" borderId="0" xfId="34" applyNumberFormat="1" applyFont="1" applyAlignment="1">
      <alignment wrapText="1"/>
    </xf>
    <xf numFmtId="183" fontId="8" fillId="0" borderId="0" xfId="34" applyNumberFormat="1" applyFont="1" applyAlignment="1">
      <alignment horizontal="center" wrapText="1"/>
    </xf>
    <xf numFmtId="2" fontId="8" fillId="0" borderId="0" xfId="34" applyNumberFormat="1" applyFont="1" applyAlignment="1">
      <alignment horizontal="center" wrapText="1"/>
    </xf>
    <xf numFmtId="183" fontId="8" fillId="0" borderId="0" xfId="34" applyNumberFormat="1" applyFont="1" applyAlignment="1">
      <alignment wrapText="1"/>
    </xf>
    <xf numFmtId="184" fontId="9" fillId="0" borderId="0" xfId="76" applyNumberFormat="1" applyFont="1" applyAlignment="1">
      <alignment horizontal="center" wrapText="1"/>
    </xf>
    <xf numFmtId="184" fontId="8" fillId="0" borderId="0" xfId="34" applyNumberFormat="1" applyFont="1" applyAlignment="1">
      <alignment horizontal="center" wrapText="1"/>
    </xf>
    <xf numFmtId="0" fontId="9" fillId="4" borderId="4" xfId="10" quotePrefix="1" applyFont="1" applyFill="1" applyBorder="1" applyAlignment="1">
      <alignment horizontal="center" vertical="top" wrapText="1"/>
    </xf>
    <xf numFmtId="0" fontId="9" fillId="0" borderId="4" xfId="10" applyFont="1" applyBorder="1" applyAlignment="1">
      <alignment horizontal="left" vertical="top" wrapText="1"/>
    </xf>
    <xf numFmtId="0" fontId="9" fillId="0" borderId="4" xfId="10" applyFont="1" applyBorder="1" applyAlignment="1">
      <alignment vertical="center" wrapText="1"/>
    </xf>
    <xf numFmtId="2" fontId="8" fillId="0" borderId="0" xfId="10" applyNumberFormat="1" applyFont="1"/>
    <xf numFmtId="9" fontId="8" fillId="0" borderId="0" xfId="40" applyFont="1" applyBorder="1"/>
    <xf numFmtId="10" fontId="8" fillId="0" borderId="0" xfId="40" applyNumberFormat="1" applyFont="1" applyBorder="1"/>
    <xf numFmtId="0" fontId="8" fillId="0" borderId="4" xfId="10" applyFont="1" applyBorder="1" applyAlignment="1">
      <alignment horizontal="right"/>
    </xf>
    <xf numFmtId="0" fontId="8" fillId="6" borderId="4" xfId="10" applyFont="1" applyFill="1" applyBorder="1" applyAlignment="1">
      <alignment horizontal="right"/>
    </xf>
    <xf numFmtId="185" fontId="8" fillId="0" borderId="0" xfId="40" applyNumberFormat="1" applyFont="1" applyBorder="1"/>
    <xf numFmtId="183" fontId="8" fillId="0" borderId="0" xfId="10" applyNumberFormat="1" applyFont="1"/>
    <xf numFmtId="2" fontId="9" fillId="0" borderId="0" xfId="10" applyNumberFormat="1" applyFont="1"/>
    <xf numFmtId="0" fontId="9" fillId="0" borderId="4" xfId="10" applyFont="1" applyBorder="1" applyAlignment="1">
      <alignment wrapText="1"/>
    </xf>
    <xf numFmtId="0" fontId="8" fillId="0" borderId="0" xfId="10" applyFont="1" applyAlignment="1">
      <alignment horizontal="left" vertical="top"/>
    </xf>
    <xf numFmtId="46" fontId="9" fillId="0" borderId="0" xfId="10" applyNumberFormat="1" applyFont="1" applyAlignment="1">
      <alignment horizontal="left"/>
    </xf>
    <xf numFmtId="164" fontId="9" fillId="0" borderId="0" xfId="10" applyNumberFormat="1" applyFont="1" applyAlignment="1">
      <alignment horizontal="center"/>
    </xf>
    <xf numFmtId="9" fontId="9" fillId="0" borderId="0" xfId="40" quotePrefix="1" applyFont="1" applyFill="1" applyBorder="1" applyAlignment="1">
      <alignment horizontal="right"/>
    </xf>
    <xf numFmtId="164" fontId="9" fillId="0" borderId="0" xfId="77" applyFont="1" applyFill="1" applyBorder="1" applyAlignment="1">
      <alignment horizontal="center"/>
    </xf>
    <xf numFmtId="164" fontId="9" fillId="0" borderId="0" xfId="77" quotePrefix="1" applyFont="1" applyFill="1" applyBorder="1" applyAlignment="1">
      <alignment horizontal="right"/>
    </xf>
    <xf numFmtId="2" fontId="9" fillId="0" borderId="0" xfId="10" applyNumberFormat="1" applyFont="1" applyAlignment="1">
      <alignment horizontal="center"/>
    </xf>
    <xf numFmtId="164" fontId="8" fillId="0" borderId="0" xfId="77" applyFont="1" applyFill="1" applyBorder="1"/>
    <xf numFmtId="174" fontId="8" fillId="0" borderId="0" xfId="10" applyNumberFormat="1" applyFont="1"/>
    <xf numFmtId="0" fontId="9" fillId="0" borderId="0" xfId="10" applyFont="1" applyAlignment="1">
      <alignment horizontal="center" vertical="center"/>
    </xf>
    <xf numFmtId="0" fontId="9" fillId="0" borderId="4" xfId="10" quotePrefix="1" applyFont="1" applyBorder="1" applyAlignment="1">
      <alignment horizontal="center"/>
    </xf>
    <xf numFmtId="0" fontId="9" fillId="0" borderId="4" xfId="10" quotePrefix="1" applyFont="1" applyBorder="1" applyAlignment="1">
      <alignment vertical="center"/>
    </xf>
    <xf numFmtId="0" fontId="8" fillId="0" borderId="4" xfId="10" applyFont="1" applyBorder="1" applyAlignment="1">
      <alignment wrapText="1"/>
    </xf>
    <xf numFmtId="0" fontId="8" fillId="0" borderId="0" xfId="10" applyFont="1" applyAlignment="1">
      <alignment horizontal="left" wrapText="1"/>
    </xf>
    <xf numFmtId="0" fontId="9" fillId="0" borderId="0" xfId="35" applyFont="1" applyAlignment="1">
      <alignment vertical="top"/>
    </xf>
    <xf numFmtId="0" fontId="9" fillId="0" borderId="0" xfId="35" applyFont="1" applyAlignment="1">
      <alignment horizontal="center" vertical="top"/>
    </xf>
    <xf numFmtId="0" fontId="9" fillId="4" borderId="4" xfId="35" applyFont="1" applyFill="1" applyBorder="1" applyAlignment="1">
      <alignment horizontal="center" vertical="top" wrapText="1"/>
    </xf>
    <xf numFmtId="0" fontId="8" fillId="0" borderId="4" xfId="35" applyFont="1" applyBorder="1"/>
    <xf numFmtId="0" fontId="8" fillId="0" borderId="4" xfId="35" applyFont="1" applyBorder="1" applyAlignment="1">
      <alignment vertical="center"/>
    </xf>
    <xf numFmtId="0" fontId="9" fillId="0" borderId="4" xfId="35" applyFont="1" applyBorder="1" applyAlignment="1">
      <alignment horizontal="center" vertical="top" wrapText="1"/>
    </xf>
    <xf numFmtId="0" fontId="9" fillId="0" borderId="4" xfId="35" applyFont="1" applyBorder="1" applyAlignment="1">
      <alignment horizontal="left" vertical="top"/>
    </xf>
    <xf numFmtId="0" fontId="9" fillId="0" borderId="22" xfId="35" applyFont="1" applyBorder="1" applyAlignment="1">
      <alignment horizontal="center" vertical="top" wrapText="1"/>
    </xf>
    <xf numFmtId="0" fontId="9" fillId="0" borderId="7" xfId="35" applyFont="1" applyBorder="1" applyAlignment="1">
      <alignment horizontal="left" vertical="top"/>
    </xf>
    <xf numFmtId="0" fontId="9" fillId="0" borderId="21" xfId="35" applyFont="1" applyBorder="1" applyAlignment="1">
      <alignment horizontal="center" vertical="top" wrapText="1"/>
    </xf>
    <xf numFmtId="2" fontId="9" fillId="0" borderId="23" xfId="10" quotePrefix="1" applyNumberFormat="1" applyFont="1" applyBorder="1" applyAlignment="1">
      <alignment horizontal="center" vertical="center" wrapText="1"/>
    </xf>
    <xf numFmtId="164" fontId="8" fillId="0" borderId="0" xfId="25" applyFont="1" applyBorder="1"/>
    <xf numFmtId="0" fontId="9" fillId="0" borderId="0" xfId="71" applyFont="1" applyAlignment="1">
      <alignment horizontal="right"/>
    </xf>
    <xf numFmtId="0" fontId="8" fillId="0" borderId="0" xfId="71" applyFont="1" applyAlignment="1">
      <alignment horizontal="center"/>
    </xf>
    <xf numFmtId="0" fontId="8" fillId="0" borderId="4" xfId="71" applyFont="1" applyBorder="1"/>
    <xf numFmtId="0" fontId="8" fillId="0" borderId="4" xfId="71" applyFont="1" applyBorder="1" applyAlignment="1">
      <alignment horizontal="left" vertical="top" wrapText="1"/>
    </xf>
    <xf numFmtId="0" fontId="8" fillId="0" borderId="4" xfId="71" applyFont="1" applyBorder="1" applyAlignment="1">
      <alignment horizontal="left"/>
    </xf>
    <xf numFmtId="0" fontId="9" fillId="0" borderId="4" xfId="71" applyFont="1" applyBorder="1"/>
    <xf numFmtId="0" fontId="9" fillId="0" borderId="4" xfId="71" applyFont="1" applyBorder="1" applyAlignment="1">
      <alignment horizontal="left" vertical="top" wrapText="1"/>
    </xf>
    <xf numFmtId="164" fontId="8" fillId="0" borderId="0" xfId="71" applyNumberFormat="1" applyFont="1"/>
    <xf numFmtId="0" fontId="8" fillId="6" borderId="11" xfId="71" applyFont="1" applyFill="1" applyBorder="1"/>
    <xf numFmtId="0" fontId="8" fillId="6" borderId="0" xfId="71" applyFont="1" applyFill="1"/>
    <xf numFmtId="0" fontId="9" fillId="6" borderId="0" xfId="78" applyFont="1" applyFill="1">
      <alignment vertical="center"/>
    </xf>
    <xf numFmtId="0" fontId="8" fillId="6" borderId="0" xfId="71" applyFont="1" applyFill="1" applyAlignment="1">
      <alignment vertical="center"/>
    </xf>
    <xf numFmtId="0" fontId="9" fillId="6" borderId="0" xfId="71" applyFont="1" applyFill="1" applyAlignment="1">
      <alignment vertical="center"/>
    </xf>
    <xf numFmtId="0" fontId="8" fillId="6" borderId="0" xfId="71" applyFont="1" applyFill="1" applyAlignment="1">
      <alignment horizontal="center" vertical="center"/>
    </xf>
    <xf numFmtId="0" fontId="9" fillId="6" borderId="0" xfId="10" applyFont="1" applyFill="1" applyAlignment="1">
      <alignment horizontal="center" vertical="center"/>
    </xf>
    <xf numFmtId="0" fontId="9" fillId="6" borderId="0" xfId="35" applyFont="1" applyFill="1" applyAlignment="1">
      <alignment horizontal="center" vertical="top"/>
    </xf>
    <xf numFmtId="0" fontId="9" fillId="6" borderId="0" xfId="78" applyFont="1" applyFill="1" applyAlignment="1">
      <alignment horizontal="center" vertical="center"/>
    </xf>
    <xf numFmtId="0" fontId="9" fillId="7" borderId="4" xfId="71" applyFont="1" applyFill="1" applyBorder="1"/>
    <xf numFmtId="0" fontId="8" fillId="7" borderId="4" xfId="71" applyFont="1" applyFill="1" applyBorder="1"/>
    <xf numFmtId="0" fontId="9" fillId="7" borderId="4" xfId="71" applyFont="1" applyFill="1" applyBorder="1" applyAlignment="1">
      <alignment vertical="top" wrapText="1"/>
    </xf>
    <xf numFmtId="0" fontId="9" fillId="7" borderId="4" xfId="71" applyFont="1" applyFill="1" applyBorder="1" applyAlignment="1">
      <alignment horizontal="center" vertical="top" wrapText="1"/>
    </xf>
    <xf numFmtId="0" fontId="8" fillId="6" borderId="4" xfId="71" applyFont="1" applyFill="1" applyBorder="1"/>
    <xf numFmtId="0" fontId="8" fillId="6" borderId="4" xfId="71" applyFont="1" applyFill="1" applyBorder="1" applyAlignment="1">
      <alignment horizontal="right"/>
    </xf>
    <xf numFmtId="0" fontId="9" fillId="6" borderId="4" xfId="71" applyFont="1" applyFill="1" applyBorder="1"/>
    <xf numFmtId="2" fontId="8" fillId="6" borderId="4" xfId="71" applyNumberFormat="1" applyFont="1" applyFill="1" applyBorder="1"/>
    <xf numFmtId="164" fontId="8" fillId="6" borderId="4" xfId="77" applyFont="1" applyFill="1" applyBorder="1"/>
    <xf numFmtId="2" fontId="8" fillId="0" borderId="4" xfId="10" applyNumberFormat="1" applyFont="1" applyBorder="1"/>
    <xf numFmtId="164" fontId="8" fillId="0" borderId="4" xfId="77" applyFont="1" applyFill="1" applyBorder="1"/>
    <xf numFmtId="2" fontId="8" fillId="6" borderId="0" xfId="71" applyNumberFormat="1" applyFont="1" applyFill="1"/>
    <xf numFmtId="2" fontId="9" fillId="6" borderId="4" xfId="71" applyNumberFormat="1" applyFont="1" applyFill="1" applyBorder="1"/>
    <xf numFmtId="164" fontId="9" fillId="6" borderId="4" xfId="77" applyFont="1" applyFill="1" applyBorder="1"/>
    <xf numFmtId="0" fontId="9" fillId="6" borderId="0" xfId="71" applyFont="1" applyFill="1"/>
    <xf numFmtId="164" fontId="8" fillId="0" borderId="4" xfId="77" applyFont="1" applyBorder="1"/>
    <xf numFmtId="0" fontId="8" fillId="6" borderId="4" xfId="71" applyFont="1" applyFill="1" applyBorder="1" applyAlignment="1">
      <alignment vertical="center" wrapText="1"/>
    </xf>
    <xf numFmtId="164" fontId="8" fillId="6" borderId="4" xfId="77" applyFont="1" applyFill="1" applyBorder="1" applyAlignment="1">
      <alignment horizontal="right"/>
    </xf>
    <xf numFmtId="0" fontId="9" fillId="6" borderId="4" xfId="10" applyFont="1" applyFill="1" applyBorder="1"/>
    <xf numFmtId="0" fontId="37" fillId="0" borderId="0" xfId="79" applyFont="1"/>
    <xf numFmtId="0" fontId="39" fillId="11" borderId="0" xfId="79" applyFont="1" applyFill="1" applyAlignment="1">
      <alignment horizontal="left"/>
    </xf>
    <xf numFmtId="0" fontId="39" fillId="0" borderId="0" xfId="79" applyFont="1"/>
    <xf numFmtId="0" fontId="39" fillId="12" borderId="4" xfId="79" applyFont="1" applyFill="1" applyBorder="1" applyAlignment="1">
      <alignment vertical="center"/>
    </xf>
    <xf numFmtId="0" fontId="39" fillId="12" borderId="4" xfId="79" applyFont="1" applyFill="1" applyBorder="1" applyAlignment="1">
      <alignment horizontal="center" vertical="center" wrapText="1"/>
    </xf>
    <xf numFmtId="0" fontId="39" fillId="12" borderId="4" xfId="79" applyFont="1" applyFill="1" applyBorder="1" applyAlignment="1">
      <alignment horizontal="center" vertical="center"/>
    </xf>
    <xf numFmtId="0" fontId="37" fillId="0" borderId="4" xfId="79" applyFont="1" applyBorder="1"/>
    <xf numFmtId="0" fontId="37" fillId="0" borderId="4" xfId="79" applyFont="1" applyBorder="1" applyAlignment="1">
      <alignment horizontal="left"/>
    </xf>
    <xf numFmtId="169" fontId="37" fillId="0" borderId="4" xfId="80" applyNumberFormat="1" applyFont="1" applyBorder="1"/>
    <xf numFmtId="170" fontId="37" fillId="0" borderId="4" xfId="64" applyNumberFormat="1" applyFont="1" applyBorder="1" applyAlignment="1">
      <alignment vertical="center" wrapText="1"/>
    </xf>
    <xf numFmtId="0" fontId="39" fillId="10" borderId="4" xfId="79" applyFont="1" applyFill="1" applyBorder="1"/>
    <xf numFmtId="0" fontId="39" fillId="10" borderId="4" xfId="79" applyFont="1" applyFill="1" applyBorder="1" applyAlignment="1">
      <alignment horizontal="left"/>
    </xf>
    <xf numFmtId="170" fontId="37" fillId="0" borderId="0" xfId="79" applyNumberFormat="1" applyFont="1"/>
    <xf numFmtId="0" fontId="37" fillId="0" borderId="0" xfId="79" applyFont="1" applyAlignment="1">
      <alignment vertical="center" wrapText="1"/>
    </xf>
    <xf numFmtId="0" fontId="39" fillId="0" borderId="0" xfId="79" applyFont="1" applyAlignment="1">
      <alignment vertical="center"/>
    </xf>
    <xf numFmtId="0" fontId="39" fillId="12" borderId="4" xfId="79" applyFont="1" applyFill="1" applyBorder="1" applyAlignment="1">
      <alignment vertical="center" wrapText="1"/>
    </xf>
    <xf numFmtId="0" fontId="39" fillId="12" borderId="4" xfId="79" applyFont="1" applyFill="1" applyBorder="1" applyAlignment="1">
      <alignment horizontal="left" vertical="center"/>
    </xf>
    <xf numFmtId="10" fontId="37" fillId="0" borderId="4" xfId="79" applyNumberFormat="1" applyFont="1" applyBorder="1"/>
    <xf numFmtId="164" fontId="37" fillId="0" borderId="4" xfId="81" applyNumberFormat="1" applyFont="1" applyBorder="1" applyAlignment="1">
      <alignment vertical="center"/>
    </xf>
    <xf numFmtId="171" fontId="37" fillId="0" borderId="4" xfId="82" applyNumberFormat="1" applyFont="1" applyBorder="1"/>
    <xf numFmtId="10" fontId="37" fillId="6" borderId="4" xfId="79" applyNumberFormat="1" applyFont="1" applyFill="1" applyBorder="1"/>
    <xf numFmtId="0" fontId="37" fillId="0" borderId="0" xfId="79" applyFont="1" applyAlignment="1">
      <alignment horizontal="left"/>
    </xf>
    <xf numFmtId="164" fontId="37" fillId="0" borderId="0" xfId="80" applyNumberFormat="1" applyFont="1"/>
    <xf numFmtId="0" fontId="37" fillId="0" borderId="0" xfId="79" applyFont="1" applyAlignment="1">
      <alignment vertical="center"/>
    </xf>
    <xf numFmtId="164" fontId="37" fillId="0" borderId="4" xfId="80" applyNumberFormat="1" applyFont="1" applyBorder="1"/>
    <xf numFmtId="170" fontId="37" fillId="0" borderId="4" xfId="79" applyNumberFormat="1" applyFont="1" applyBorder="1"/>
    <xf numFmtId="0" fontId="9"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8" fillId="5" borderId="7" xfId="10" applyFont="1" applyFill="1" applyBorder="1" applyAlignment="1">
      <alignment horizontal="center" vertical="top"/>
    </xf>
    <xf numFmtId="0" fontId="8" fillId="5" borderId="7" xfId="10" applyFont="1" applyFill="1" applyBorder="1" applyAlignment="1">
      <alignment horizontal="right" vertical="top"/>
    </xf>
    <xf numFmtId="2" fontId="9" fillId="5" borderId="4" xfId="14" applyNumberFormat="1" applyFont="1" applyFill="1" applyBorder="1" applyAlignment="1">
      <alignment horizontal="center" vertical="center" wrapText="1"/>
    </xf>
    <xf numFmtId="0" fontId="9" fillId="0" borderId="8" xfId="10" applyFont="1" applyBorder="1" applyAlignment="1">
      <alignment horizontal="right"/>
    </xf>
    <xf numFmtId="0" fontId="8" fillId="0" borderId="8" xfId="10" applyFont="1" applyBorder="1" applyAlignment="1">
      <alignment horizontal="left"/>
    </xf>
    <xf numFmtId="0" fontId="8" fillId="5" borderId="6" xfId="10" applyFont="1" applyFill="1" applyBorder="1" applyAlignment="1">
      <alignment horizontal="center" vertical="top"/>
    </xf>
    <xf numFmtId="0" fontId="9" fillId="5" borderId="4" xfId="10" applyFont="1" applyFill="1" applyBorder="1" applyAlignment="1">
      <alignment vertical="top" wrapText="1"/>
    </xf>
    <xf numFmtId="0" fontId="8" fillId="5" borderId="4" xfId="10" applyFont="1" applyFill="1" applyBorder="1" applyAlignment="1">
      <alignment vertical="top" wrapText="1"/>
    </xf>
    <xf numFmtId="0" fontId="9" fillId="5" borderId="0" xfId="10" applyFont="1" applyFill="1"/>
    <xf numFmtId="0" fontId="8" fillId="5" borderId="0" xfId="10" applyFont="1" applyFill="1"/>
    <xf numFmtId="0" fontId="26" fillId="0" borderId="0" xfId="10" applyFont="1" applyAlignment="1">
      <alignment vertical="top" wrapText="1"/>
    </xf>
    <xf numFmtId="0" fontId="8" fillId="5" borderId="0" xfId="10" applyFont="1" applyFill="1" applyAlignment="1">
      <alignment vertical="center" wrapText="1"/>
    </xf>
    <xf numFmtId="0" fontId="18" fillId="0" borderId="0" xfId="71"/>
    <xf numFmtId="0" fontId="8" fillId="0" borderId="0" xfId="10" applyFont="1" applyAlignment="1">
      <alignment horizontal="center" vertical="top"/>
    </xf>
    <xf numFmtId="0" fontId="12" fillId="5" borderId="4" xfId="14" applyFont="1" applyFill="1" applyBorder="1" applyAlignment="1">
      <alignment horizontal="center" vertical="center" wrapText="1"/>
    </xf>
    <xf numFmtId="0" fontId="8" fillId="0" borderId="4" xfId="71" applyFont="1" applyBorder="1" applyAlignment="1">
      <alignment horizontal="center"/>
    </xf>
    <xf numFmtId="0" fontId="8" fillId="0" borderId="4" xfId="71" applyFont="1" applyFill="1" applyBorder="1" applyAlignment="1">
      <alignment horizontal="center"/>
    </xf>
    <xf numFmtId="0" fontId="9" fillId="0" borderId="4" xfId="71" applyFont="1" applyBorder="1" applyAlignment="1">
      <alignment horizontal="center"/>
    </xf>
    <xf numFmtId="0" fontId="9" fillId="0" borderId="4" xfId="71" applyFont="1" applyFill="1" applyBorder="1"/>
    <xf numFmtId="0" fontId="48" fillId="0" borderId="0" xfId="71" applyFont="1"/>
    <xf numFmtId="0" fontId="18" fillId="0" borderId="0" xfId="71" applyAlignment="1">
      <alignment vertical="center" wrapText="1"/>
    </xf>
    <xf numFmtId="0" fontId="8" fillId="6" borderId="0" xfId="10" applyFont="1" applyFill="1"/>
    <xf numFmtId="0" fontId="8" fillId="0" borderId="4" xfId="10" applyFont="1" applyBorder="1" applyAlignment="1">
      <alignment horizontal="left" vertical="top"/>
    </xf>
    <xf numFmtId="0" fontId="27" fillId="0" borderId="0" xfId="10" applyFont="1"/>
    <xf numFmtId="0" fontId="8" fillId="6" borderId="4" xfId="10" applyFont="1" applyFill="1" applyBorder="1" applyAlignment="1">
      <alignment vertical="top"/>
    </xf>
    <xf numFmtId="164" fontId="9" fillId="0" borderId="4" xfId="29" applyFont="1" applyBorder="1" applyAlignment="1">
      <alignment horizontal="left" vertical="top"/>
    </xf>
    <xf numFmtId="0" fontId="8" fillId="6" borderId="4" xfId="10" applyFont="1" applyFill="1" applyBorder="1" applyAlignment="1">
      <alignment horizontal="left" vertical="top"/>
    </xf>
    <xf numFmtId="164" fontId="8" fillId="0" borderId="4" xfId="10" applyNumberFormat="1" applyFont="1" applyBorder="1"/>
    <xf numFmtId="164" fontId="8" fillId="0" borderId="4" xfId="29" applyFont="1" applyBorder="1"/>
    <xf numFmtId="164" fontId="8" fillId="6" borderId="4" xfId="29" applyFont="1" applyFill="1" applyBorder="1" applyAlignment="1">
      <alignment horizontal="left" vertical="top"/>
    </xf>
    <xf numFmtId="164" fontId="8" fillId="6" borderId="4" xfId="29" applyFont="1" applyFill="1" applyBorder="1" applyAlignment="1">
      <alignment horizontal="left" vertical="top" wrapText="1"/>
    </xf>
    <xf numFmtId="0" fontId="8" fillId="6" borderId="4" xfId="10" applyFont="1" applyFill="1" applyBorder="1" applyAlignment="1">
      <alignment horizontal="left" vertical="top" wrapText="1"/>
    </xf>
    <xf numFmtId="0" fontId="9" fillId="0" borderId="0" xfId="10" applyFont="1" applyAlignment="1">
      <alignment vertical="center" wrapText="1"/>
    </xf>
    <xf numFmtId="164" fontId="9" fillId="0" borderId="4" xfId="10" applyNumberFormat="1" applyFont="1" applyBorder="1" applyAlignment="1">
      <alignment horizontal="left" vertical="top"/>
    </xf>
    <xf numFmtId="0" fontId="9" fillId="6" borderId="4" xfId="10" applyFont="1" applyFill="1" applyBorder="1" applyAlignment="1">
      <alignment horizontal="left" vertical="top"/>
    </xf>
    <xf numFmtId="43" fontId="8" fillId="0" borderId="4" xfId="10" applyNumberFormat="1" applyFont="1" applyBorder="1"/>
    <xf numFmtId="164" fontId="8" fillId="0" borderId="4" xfId="29" applyFont="1" applyFill="1" applyBorder="1" applyAlignment="1">
      <alignment horizontal="left" vertical="top"/>
    </xf>
    <xf numFmtId="0" fontId="8" fillId="0" borderId="0" xfId="10" applyFont="1" applyAlignment="1">
      <alignment horizontal="centerContinuous"/>
    </xf>
    <xf numFmtId="0" fontId="9" fillId="0" borderId="0" xfId="10" applyFont="1" applyAlignment="1">
      <alignment vertical="center"/>
    </xf>
    <xf numFmtId="0" fontId="9" fillId="0" borderId="0" xfId="14" applyFont="1" applyAlignment="1">
      <alignment horizontal="center" vertical="center"/>
    </xf>
    <xf numFmtId="0" fontId="9" fillId="0" borderId="0" xfId="10" applyFont="1" applyAlignment="1">
      <alignment horizontal="center" vertic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0" borderId="0" xfId="10" applyFont="1" applyBorder="1" applyAlignment="1">
      <alignment horizontal="center" vertical="center"/>
    </xf>
    <xf numFmtId="0" fontId="9" fillId="4" borderId="7" xfId="14" applyFont="1" applyFill="1" applyBorder="1" applyAlignment="1">
      <alignment horizontal="center" vertical="center" wrapText="1"/>
    </xf>
    <xf numFmtId="0" fontId="9" fillId="4" borderId="10"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4" borderId="6" xfId="14" applyFont="1" applyFill="1" applyBorder="1" applyAlignment="1">
      <alignment horizontal="center" vertical="center" wrapText="1"/>
    </xf>
    <xf numFmtId="0" fontId="9" fillId="0" borderId="0" xfId="10" applyFont="1" applyAlignment="1">
      <alignment horizontal="left"/>
    </xf>
    <xf numFmtId="0" fontId="9" fillId="7" borderId="7" xfId="14" applyFont="1" applyFill="1" applyBorder="1" applyAlignment="1">
      <alignment horizontal="center" vertical="center" wrapText="1"/>
    </xf>
    <xf numFmtId="0" fontId="9" fillId="7" borderId="10" xfId="14" applyFont="1" applyFill="1" applyBorder="1" applyAlignment="1">
      <alignment horizontal="center" vertical="center" wrapText="1"/>
    </xf>
    <xf numFmtId="0" fontId="9" fillId="7" borderId="6" xfId="14" applyFont="1" applyFill="1" applyBorder="1" applyAlignment="1">
      <alignment horizontal="center" vertical="center" wrapText="1"/>
    </xf>
    <xf numFmtId="0" fontId="9" fillId="4" borderId="4" xfId="31" applyFont="1" applyFill="1" applyBorder="1" applyAlignment="1">
      <alignment horizontal="center" vertical="center" wrapText="1"/>
    </xf>
    <xf numFmtId="0" fontId="9" fillId="4" borderId="10" xfId="14" applyFont="1" applyFill="1" applyBorder="1" applyAlignment="1">
      <alignment vertical="center" wrapText="1"/>
    </xf>
    <xf numFmtId="0" fontId="9" fillId="4" borderId="6" xfId="14" applyFont="1" applyFill="1" applyBorder="1" applyAlignment="1">
      <alignment vertical="center" wrapText="1"/>
    </xf>
    <xf numFmtId="0" fontId="8" fillId="0" borderId="4" xfId="29" applyNumberFormat="1" applyFont="1" applyBorder="1" applyAlignment="1">
      <alignment horizontal="left" vertical="top"/>
    </xf>
    <xf numFmtId="164" fontId="9" fillId="0" borderId="0" xfId="29" applyFont="1" applyAlignment="1">
      <alignment horizontal="left" vertical="top"/>
    </xf>
    <xf numFmtId="164" fontId="9" fillId="14" borderId="0" xfId="29" applyFont="1" applyFill="1" applyAlignment="1">
      <alignment horizontal="center" vertical="top"/>
    </xf>
    <xf numFmtId="164" fontId="25" fillId="0" borderId="0" xfId="29" applyFont="1" applyAlignment="1">
      <alignment horizontal="left"/>
    </xf>
    <xf numFmtId="0" fontId="9" fillId="4" borderId="4" xfId="10" applyFont="1" applyFill="1" applyBorder="1" applyAlignment="1">
      <alignment horizontal="center" vertical="center" wrapText="1"/>
    </xf>
    <xf numFmtId="0" fontId="9" fillId="4" borderId="4" xfId="31" applyFont="1" applyFill="1" applyBorder="1" applyAlignment="1">
      <alignment horizontal="center" vertical="center" wrapText="1"/>
    </xf>
    <xf numFmtId="0" fontId="8" fillId="0" borderId="4" xfId="10" applyFont="1" applyBorder="1" applyAlignment="1">
      <alignment horizontal="right" vertical="top"/>
    </xf>
    <xf numFmtId="43" fontId="8" fillId="0" borderId="4" xfId="10" applyNumberFormat="1" applyFont="1" applyBorder="1" applyAlignment="1">
      <alignment vertical="top"/>
    </xf>
    <xf numFmtId="0" fontId="8" fillId="0" borderId="4" xfId="10" applyFont="1" applyBorder="1" applyAlignment="1">
      <alignment horizontal="right" vertical="top" wrapText="1"/>
    </xf>
    <xf numFmtId="43" fontId="8" fillId="0" borderId="4" xfId="10" applyNumberFormat="1" applyFont="1" applyBorder="1" applyAlignment="1">
      <alignment vertical="top" wrapText="1"/>
    </xf>
    <xf numFmtId="43" fontId="8" fillId="0" borderId="4" xfId="10" applyNumberFormat="1" applyFont="1" applyBorder="1" applyAlignment="1">
      <alignment horizontal="right" vertical="top"/>
    </xf>
    <xf numFmtId="10" fontId="9" fillId="0" borderId="4" xfId="29" applyNumberFormat="1" applyFont="1" applyFill="1" applyBorder="1" applyAlignment="1">
      <alignment vertical="center"/>
    </xf>
    <xf numFmtId="4" fontId="9" fillId="0" borderId="4" xfId="29" applyNumberFormat="1" applyFont="1" applyFill="1" applyBorder="1" applyAlignment="1">
      <alignment vertical="center"/>
    </xf>
    <xf numFmtId="164" fontId="9" fillId="0" borderId="4" xfId="29" applyFont="1" applyFill="1" applyBorder="1" applyAlignment="1">
      <alignment horizontal="center" vertical="center"/>
    </xf>
    <xf numFmtId="164" fontId="17" fillId="0" borderId="4" xfId="29" applyFont="1" applyFill="1" applyBorder="1"/>
    <xf numFmtId="176" fontId="8"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77" fontId="9" fillId="0" borderId="4" xfId="29" applyNumberFormat="1" applyFont="1" applyFill="1" applyBorder="1" applyAlignment="1">
      <alignment horizontal="center" vertical="center"/>
    </xf>
    <xf numFmtId="10" fontId="49" fillId="0" borderId="4" xfId="40" applyNumberFormat="1" applyFont="1" applyFill="1" applyBorder="1" applyAlignment="1">
      <alignment wrapText="1"/>
    </xf>
    <xf numFmtId="10" fontId="17" fillId="0" borderId="4" xfId="40" applyNumberFormat="1" applyFont="1" applyFill="1" applyBorder="1" applyAlignment="1">
      <alignment wrapText="1"/>
    </xf>
    <xf numFmtId="179" fontId="10" fillId="0" borderId="4" xfId="40" applyNumberFormat="1" applyFont="1" applyFill="1" applyBorder="1" applyAlignment="1">
      <alignment horizontal="center" vertical="center"/>
    </xf>
    <xf numFmtId="179" fontId="10" fillId="0" borderId="4" xfId="40" applyNumberFormat="1" applyFont="1" applyBorder="1" applyAlignment="1">
      <alignment horizontal="center" vertical="center"/>
    </xf>
    <xf numFmtId="164" fontId="10" fillId="0" borderId="4" xfId="29" applyFont="1" applyFill="1" applyBorder="1" applyAlignment="1">
      <alignment horizontal="center" vertical="center"/>
    </xf>
    <xf numFmtId="164" fontId="10" fillId="14" borderId="4" xfId="29" applyFont="1" applyFill="1" applyBorder="1" applyAlignment="1">
      <alignment horizontal="center" vertical="center"/>
    </xf>
    <xf numFmtId="4" fontId="10" fillId="0" borderId="4" xfId="70" applyNumberFormat="1" applyFont="1" applyFill="1" applyBorder="1" applyAlignment="1">
      <alignment horizontal="center" vertical="center"/>
    </xf>
    <xf numFmtId="4" fontId="11" fillId="0" borderId="4" xfId="70" applyNumberFormat="1" applyFont="1" applyFill="1" applyBorder="1" applyAlignment="1">
      <alignment horizontal="center" vertical="center"/>
    </xf>
    <xf numFmtId="0" fontId="17" fillId="0" borderId="4" xfId="14" applyFont="1" applyBorder="1" applyAlignment="1">
      <alignment horizontal="center" wrapText="1"/>
    </xf>
    <xf numFmtId="0" fontId="17" fillId="0" borderId="4" xfId="14" applyFont="1" applyBorder="1" applyAlignment="1">
      <alignment horizontal="left" vertical="center" wrapText="1"/>
    </xf>
    <xf numFmtId="0" fontId="17" fillId="0" borderId="4" xfId="14" applyFont="1" applyBorder="1" applyAlignment="1">
      <alignment horizontal="center" vertical="center" wrapText="1"/>
    </xf>
    <xf numFmtId="0" fontId="13" fillId="0" borderId="4" xfId="10" applyFont="1" applyBorder="1" applyAlignment="1">
      <alignment horizontal="center" vertical="top"/>
    </xf>
    <xf numFmtId="0" fontId="13" fillId="0" borderId="4" xfId="10" applyFont="1" applyBorder="1" applyAlignment="1">
      <alignment horizontal="left"/>
    </xf>
    <xf numFmtId="0" fontId="13" fillId="0" borderId="4" xfId="10" applyFont="1" applyBorder="1" applyAlignment="1">
      <alignment horizontal="center" vertical="center"/>
    </xf>
    <xf numFmtId="0" fontId="17" fillId="0" borderId="4" xfId="10" applyFont="1" applyBorder="1" applyAlignment="1">
      <alignment horizontal="left"/>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0" borderId="0" xfId="10" applyFont="1" applyFill="1" applyBorder="1" applyAlignment="1">
      <alignment horizontal="center" vertical="center"/>
    </xf>
    <xf numFmtId="0" fontId="9" fillId="0" borderId="0" xfId="14" applyFont="1" applyFill="1" applyBorder="1" applyAlignment="1">
      <alignment horizontal="center" vertical="center" wrapText="1"/>
    </xf>
    <xf numFmtId="164" fontId="8" fillId="0" borderId="4" xfId="69" applyFont="1" applyFill="1" applyBorder="1" applyAlignment="1">
      <alignment horizontal="center" vertical="center"/>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0" fontId="9" fillId="7" borderId="4" xfId="10" applyFont="1" applyFill="1" applyBorder="1" applyAlignment="1">
      <alignment horizontal="center" wrapText="1"/>
    </xf>
    <xf numFmtId="0" fontId="40" fillId="0" borderId="0" xfId="10" applyFont="1" applyFill="1" applyBorder="1" applyProtection="1"/>
    <xf numFmtId="0" fontId="0" fillId="0" borderId="20" xfId="0" applyBorder="1"/>
    <xf numFmtId="172" fontId="8" fillId="5" borderId="4" xfId="10" applyNumberFormat="1" applyFont="1" applyFill="1" applyBorder="1" applyAlignment="1">
      <alignment horizontal="center"/>
    </xf>
    <xf numFmtId="173" fontId="8" fillId="5" borderId="4" xfId="10" applyNumberFormat="1" applyFont="1" applyFill="1" applyBorder="1" applyAlignment="1">
      <alignment horizontal="center"/>
    </xf>
    <xf numFmtId="0" fontId="18" fillId="0" borderId="20" xfId="0" applyFont="1" applyBorder="1"/>
    <xf numFmtId="9" fontId="0" fillId="0" borderId="8" xfId="0" applyNumberFormat="1" applyBorder="1" applyAlignment="1">
      <alignment horizontal="center"/>
    </xf>
    <xf numFmtId="0" fontId="62" fillId="0" borderId="20" xfId="0" applyFont="1" applyBorder="1"/>
    <xf numFmtId="0" fontId="62" fillId="0" borderId="8" xfId="0" applyFont="1" applyBorder="1" applyAlignment="1">
      <alignment horizontal="center"/>
    </xf>
    <xf numFmtId="43" fontId="30" fillId="0" borderId="4" xfId="0" applyNumberFormat="1" applyFont="1" applyBorder="1"/>
    <xf numFmtId="0" fontId="62" fillId="0" borderId="4" xfId="0" applyFont="1" applyBorder="1"/>
    <xf numFmtId="0" fontId="62" fillId="0" borderId="4" xfId="0" applyFont="1" applyBorder="1" applyAlignment="1">
      <alignment horizontal="center"/>
    </xf>
    <xf numFmtId="10" fontId="9" fillId="0" borderId="4" xfId="10" applyNumberFormat="1" applyFont="1" applyBorder="1"/>
    <xf numFmtId="0" fontId="31" fillId="0" borderId="4" xfId="0" applyFont="1" applyBorder="1" applyAlignment="1">
      <alignment horizontal="center"/>
    </xf>
    <xf numFmtId="43" fontId="48" fillId="0" borderId="4" xfId="73" applyFont="1" applyFill="1" applyBorder="1"/>
    <xf numFmtId="164" fontId="8" fillId="0" borderId="4" xfId="29" applyFont="1" applyFill="1" applyBorder="1" applyAlignment="1">
      <alignment horizontal="left"/>
    </xf>
    <xf numFmtId="164" fontId="8" fillId="0" borderId="4" xfId="29" applyFont="1" applyFill="1" applyBorder="1" applyAlignment="1">
      <alignment horizontal="center" vertical="center"/>
    </xf>
    <xf numFmtId="164" fontId="26" fillId="0" borderId="6" xfId="29" applyFont="1" applyFill="1" applyBorder="1" applyAlignment="1">
      <alignment horizontal="center" vertical="center"/>
    </xf>
    <xf numFmtId="164" fontId="26" fillId="0" borderId="4" xfId="29" applyFont="1" applyFill="1" applyBorder="1" applyAlignment="1">
      <alignment horizontal="center" vertical="center"/>
    </xf>
    <xf numFmtId="164" fontId="9" fillId="0" borderId="4" xfId="29" applyFont="1" applyFill="1" applyBorder="1" applyAlignment="1" applyProtection="1">
      <alignment horizontal="center" vertical="center" wrapText="1"/>
    </xf>
    <xf numFmtId="0" fontId="9" fillId="12" borderId="4" xfId="10" applyFont="1" applyFill="1" applyBorder="1"/>
    <xf numFmtId="0" fontId="9" fillId="12" borderId="4" xfId="10" applyFont="1" applyFill="1" applyBorder="1" applyAlignment="1">
      <alignment horizontal="center"/>
    </xf>
    <xf numFmtId="0" fontId="40" fillId="0" borderId="4" xfId="10" applyFont="1" applyBorder="1" applyAlignment="1">
      <alignment wrapText="1"/>
    </xf>
    <xf numFmtId="164" fontId="9" fillId="0" borderId="4" xfId="29" applyFont="1" applyBorder="1"/>
    <xf numFmtId="9" fontId="9" fillId="0" borderId="4" xfId="10" applyNumberFormat="1" applyFont="1" applyBorder="1" applyAlignment="1">
      <alignment horizontal="center"/>
    </xf>
    <xf numFmtId="0" fontId="9" fillId="7" borderId="0" xfId="10" applyFont="1" applyFill="1" applyAlignment="1">
      <alignment horizontal="center" vertical="center"/>
    </xf>
    <xf numFmtId="4" fontId="8" fillId="0" borderId="6" xfId="10" applyNumberFormat="1" applyFont="1" applyFill="1" applyBorder="1" applyAlignment="1" applyProtection="1">
      <alignment vertical="center"/>
    </xf>
    <xf numFmtId="164" fontId="8" fillId="0" borderId="4" xfId="29" applyFont="1" applyFill="1" applyBorder="1" applyAlignment="1"/>
    <xf numFmtId="164" fontId="9" fillId="0" borderId="4" xfId="29" applyFont="1" applyFill="1" applyBorder="1" applyAlignment="1" applyProtection="1">
      <alignment horizontal="left" vertical="center"/>
    </xf>
    <xf numFmtId="10" fontId="8" fillId="0" borderId="0" xfId="10" applyNumberFormat="1" applyFont="1" applyFill="1" applyAlignment="1">
      <alignment horizontal="center"/>
    </xf>
    <xf numFmtId="164" fontId="8" fillId="0" borderId="4" xfId="10" applyNumberFormat="1" applyFont="1" applyFill="1" applyBorder="1" applyAlignment="1" applyProtection="1">
      <alignment horizontal="left" vertical="center"/>
    </xf>
    <xf numFmtId="164" fontId="9" fillId="0" borderId="4" xfId="29" applyFont="1" applyFill="1" applyBorder="1" applyAlignment="1" applyProtection="1">
      <alignment horizontal="left" vertical="center" wrapText="1"/>
    </xf>
    <xf numFmtId="164" fontId="9" fillId="0" borderId="4" xfId="10" applyNumberFormat="1" applyFont="1" applyFill="1" applyBorder="1" applyAlignment="1" applyProtection="1">
      <alignment horizontal="left" vertical="center"/>
    </xf>
    <xf numFmtId="0" fontId="8" fillId="0" borderId="0" xfId="10" applyFont="1" applyFill="1" applyBorder="1" applyAlignment="1">
      <alignment horizontal="center" vertical="center"/>
    </xf>
    <xf numFmtId="164" fontId="8" fillId="0" borderId="0" xfId="29" applyFont="1" applyFill="1" applyBorder="1" applyAlignment="1">
      <alignment horizontal="center" vertical="center"/>
    </xf>
    <xf numFmtId="10" fontId="8" fillId="0" borderId="0" xfId="40" applyNumberFormat="1" applyFont="1" applyFill="1" applyBorder="1" applyAlignment="1">
      <alignment horizontal="center" vertical="center"/>
    </xf>
    <xf numFmtId="10" fontId="8" fillId="0" borderId="0" xfId="10" applyNumberFormat="1" applyFont="1" applyFill="1" applyBorder="1" applyAlignment="1">
      <alignment horizontal="center" vertical="center"/>
    </xf>
    <xf numFmtId="164" fontId="9" fillId="0" borderId="0" xfId="29" applyFont="1" applyFill="1" applyBorder="1" applyAlignment="1">
      <alignment horizontal="right" vertical="center"/>
    </xf>
    <xf numFmtId="164" fontId="8" fillId="0" borderId="0" xfId="29" applyFont="1" applyFill="1" applyBorder="1" applyAlignment="1">
      <alignment horizontal="right" vertical="center"/>
    </xf>
    <xf numFmtId="0" fontId="8" fillId="0" borderId="0" xfId="10" applyFont="1" applyFill="1" applyBorder="1" applyAlignment="1">
      <alignment vertical="center" wrapText="1"/>
    </xf>
    <xf numFmtId="10" fontId="8" fillId="0" borderId="0" xfId="10" applyNumberFormat="1" applyFont="1" applyFill="1" applyBorder="1" applyAlignment="1">
      <alignment horizontal="center" vertical="top"/>
    </xf>
    <xf numFmtId="0" fontId="9" fillId="7" borderId="9" xfId="10" applyFont="1" applyFill="1" applyBorder="1" applyAlignment="1">
      <alignment horizontal="center" vertical="center" wrapText="1"/>
    </xf>
    <xf numFmtId="0" fontId="9" fillId="7" borderId="9" xfId="14" applyFont="1" applyFill="1" applyBorder="1" applyAlignment="1">
      <alignment horizontal="center" vertical="center" wrapText="1"/>
    </xf>
    <xf numFmtId="0" fontId="9" fillId="7" borderId="12" xfId="14" applyFont="1" applyFill="1" applyBorder="1" applyAlignment="1">
      <alignment horizontal="center" vertical="center" wrapText="1"/>
    </xf>
    <xf numFmtId="0" fontId="9" fillId="7" borderId="15" xfId="14" applyFont="1" applyFill="1" applyBorder="1" applyAlignment="1">
      <alignment horizontal="center" vertical="center" wrapText="1"/>
    </xf>
    <xf numFmtId="2" fontId="8" fillId="0" borderId="4" xfId="10" applyNumberFormat="1" applyFont="1" applyFill="1" applyBorder="1"/>
    <xf numFmtId="0" fontId="8" fillId="0" borderId="5" xfId="10" applyFont="1" applyFill="1" applyBorder="1"/>
    <xf numFmtId="0" fontId="13" fillId="0" borderId="0" xfId="14" applyFont="1" applyFill="1" applyBorder="1" applyAlignment="1">
      <alignment vertical="center" wrapText="1"/>
    </xf>
    <xf numFmtId="0" fontId="13" fillId="0" borderId="0" xfId="14" applyFont="1" applyFill="1" applyBorder="1" applyAlignment="1">
      <alignment horizontal="center" vertical="center" wrapText="1"/>
    </xf>
    <xf numFmtId="0" fontId="8" fillId="6" borderId="5" xfId="10" applyFont="1" applyFill="1" applyBorder="1"/>
    <xf numFmtId="164" fontId="8" fillId="6" borderId="4" xfId="29" applyFont="1" applyFill="1" applyBorder="1"/>
    <xf numFmtId="0" fontId="50" fillId="0" borderId="0" xfId="0" applyFont="1"/>
    <xf numFmtId="164" fontId="8" fillId="0" borderId="4" xfId="29" applyFont="1" applyFill="1" applyBorder="1" applyAlignment="1">
      <alignment horizontal="center" vertical="center"/>
    </xf>
    <xf numFmtId="164" fontId="8" fillId="0" borderId="4" xfId="29" applyFont="1" applyFill="1" applyBorder="1" applyAlignment="1">
      <alignment horizontal="center" vertical="center"/>
    </xf>
    <xf numFmtId="4" fontId="9" fillId="14" borderId="0" xfId="10" applyNumberFormat="1" applyFont="1" applyFill="1" applyAlignment="1">
      <alignment horizontal="left" vertical="top"/>
    </xf>
    <xf numFmtId="10" fontId="8" fillId="0" borderId="0" xfId="10" applyNumberFormat="1" applyFont="1"/>
    <xf numFmtId="164" fontId="8" fillId="0" borderId="4" xfId="29" applyFont="1" applyFill="1" applyBorder="1" applyAlignment="1">
      <alignment horizontal="center" vertical="center"/>
    </xf>
    <xf numFmtId="10" fontId="17" fillId="0" borderId="4" xfId="83" applyNumberFormat="1" applyFont="1" applyFill="1" applyBorder="1" applyAlignment="1">
      <alignment horizontal="right" vertical="center" wrapText="1"/>
    </xf>
    <xf numFmtId="0" fontId="8" fillId="0" borderId="4" xfId="29" applyNumberFormat="1" applyFont="1" applyFill="1" applyBorder="1" applyAlignment="1">
      <alignment horizontal="center" vertical="center" wrapText="1"/>
    </xf>
    <xf numFmtId="164" fontId="9" fillId="0" borderId="4" xfId="29" applyFont="1" applyFill="1" applyBorder="1" applyAlignment="1">
      <alignment horizontal="center" vertical="center" wrapText="1"/>
    </xf>
    <xf numFmtId="10" fontId="17" fillId="0" borderId="4" xfId="83" applyNumberFormat="1" applyFont="1" applyFill="1" applyBorder="1" applyAlignment="1">
      <alignment horizontal="center"/>
    </xf>
    <xf numFmtId="0" fontId="8" fillId="0" borderId="4" xfId="29" applyNumberFormat="1" applyFont="1" applyFill="1" applyBorder="1" applyAlignment="1">
      <alignment horizontal="center" vertical="center"/>
    </xf>
    <xf numFmtId="43" fontId="9"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69" fontId="9" fillId="0" borderId="4" xfId="29" applyNumberFormat="1" applyFont="1" applyFill="1" applyBorder="1" applyAlignment="1">
      <alignment horizontal="center" vertical="center"/>
    </xf>
    <xf numFmtId="164" fontId="10" fillId="0" borderId="4" xfId="29" applyFont="1" applyBorder="1" applyAlignment="1">
      <alignment vertical="center"/>
    </xf>
    <xf numFmtId="43" fontId="10" fillId="0" borderId="4" xfId="14" applyNumberFormat="1" applyFont="1" applyBorder="1">
      <alignment vertical="center"/>
    </xf>
    <xf numFmtId="164" fontId="10" fillId="0" borderId="4" xfId="29" applyFont="1" applyFill="1" applyBorder="1" applyAlignment="1">
      <alignment vertical="center"/>
    </xf>
    <xf numFmtId="164" fontId="11" fillId="0" borderId="4" xfId="29" applyFont="1" applyFill="1" applyBorder="1" applyAlignment="1">
      <alignment vertical="center"/>
    </xf>
    <xf numFmtId="164" fontId="51" fillId="0" borderId="4" xfId="29" applyFont="1" applyFill="1" applyBorder="1"/>
    <xf numFmtId="186" fontId="17" fillId="0" borderId="4" xfId="29" quotePrefix="1" applyNumberFormat="1" applyFont="1" applyFill="1" applyBorder="1" applyAlignment="1">
      <alignment horizontal="right" vertical="center" wrapText="1"/>
    </xf>
    <xf numFmtId="43" fontId="9" fillId="0" borderId="4" xfId="10" applyNumberFormat="1" applyFont="1" applyBorder="1"/>
    <xf numFmtId="10" fontId="17" fillId="0" borderId="4" xfId="69" applyNumberFormat="1" applyFont="1" applyFill="1" applyBorder="1" applyAlignment="1">
      <alignment horizontal="right" vertical="center" wrapText="1"/>
    </xf>
    <xf numFmtId="0" fontId="9" fillId="4" borderId="4"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0" borderId="0" xfId="14" applyFont="1" applyFill="1" applyBorder="1" applyAlignment="1">
      <alignment horizontal="center" vertical="center" wrapText="1"/>
    </xf>
    <xf numFmtId="169" fontId="9" fillId="0" borderId="0" xfId="69" applyNumberFormat="1" applyFont="1" applyFill="1" applyBorder="1"/>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164" fontId="8" fillId="0" borderId="4" xfId="29" applyFont="1" applyFill="1" applyBorder="1" applyAlignment="1">
      <alignment horizontal="center" vertical="center"/>
    </xf>
    <xf numFmtId="0" fontId="17" fillId="0" borderId="0" xfId="10" applyFont="1" applyBorder="1"/>
    <xf numFmtId="0" fontId="13" fillId="0" borderId="0" xfId="14" applyFont="1" applyAlignment="1">
      <alignment horizontal="center" vertical="center"/>
    </xf>
    <xf numFmtId="0" fontId="13" fillId="0" borderId="0" xfId="14" applyFont="1" applyAlignment="1">
      <alignment vertical="center"/>
    </xf>
    <xf numFmtId="0" fontId="17" fillId="0" borderId="0" xfId="14" applyFont="1" applyAlignment="1">
      <alignment vertical="center"/>
    </xf>
    <xf numFmtId="0" fontId="13" fillId="0" borderId="0" xfId="10" applyFont="1" applyAlignment="1">
      <alignment horizontal="centerContinuous"/>
    </xf>
    <xf numFmtId="0" fontId="17" fillId="0" borderId="0" xfId="10" applyFont="1" applyBorder="1" applyAlignment="1">
      <alignment horizontal="center" vertical="top"/>
    </xf>
    <xf numFmtId="0" fontId="17" fillId="0" borderId="0" xfId="14" applyFont="1" applyAlignment="1">
      <alignment horizontal="centerContinuous" vertical="center"/>
    </xf>
    <xf numFmtId="0" fontId="17" fillId="0" borderId="0" xfId="10" applyFont="1" applyBorder="1" applyAlignment="1"/>
    <xf numFmtId="0" fontId="17" fillId="0" borderId="0" xfId="10" applyFont="1" applyBorder="1" applyAlignment="1">
      <alignment vertical="top"/>
    </xf>
    <xf numFmtId="164" fontId="47" fillId="5" borderId="4" xfId="69" applyFont="1" applyFill="1" applyBorder="1" applyAlignment="1">
      <alignment horizontal="center" vertical="center" wrapText="1"/>
    </xf>
    <xf numFmtId="9" fontId="17" fillId="0" borderId="4" xfId="40" applyFont="1" applyBorder="1" applyAlignment="1">
      <alignment vertical="top"/>
    </xf>
    <xf numFmtId="9" fontId="17" fillId="14" borderId="0" xfId="70" applyFont="1" applyFill="1" applyBorder="1" applyAlignment="1">
      <alignment vertical="top"/>
    </xf>
    <xf numFmtId="9" fontId="17" fillId="0" borderId="0" xfId="70" applyFont="1" applyBorder="1" applyAlignment="1">
      <alignment vertical="top"/>
    </xf>
    <xf numFmtId="9" fontId="17" fillId="0" borderId="0" xfId="70" applyFont="1" applyFill="1" applyBorder="1" applyAlignment="1">
      <alignment vertical="top"/>
    </xf>
    <xf numFmtId="0" fontId="17" fillId="0" borderId="0" xfId="10" applyFont="1" applyFill="1" applyBorder="1" applyAlignment="1">
      <alignment vertical="top"/>
    </xf>
    <xf numFmtId="10" fontId="17" fillId="0" borderId="0" xfId="70" applyNumberFormat="1" applyFont="1" applyFill="1" applyBorder="1" applyAlignment="1">
      <alignment vertical="top"/>
    </xf>
    <xf numFmtId="10" fontId="17" fillId="0" borderId="4" xfId="70" applyNumberFormat="1" applyFont="1" applyFill="1" applyBorder="1" applyAlignment="1">
      <alignment horizontal="center" vertical="center"/>
    </xf>
    <xf numFmtId="164" fontId="17" fillId="10" borderId="4" xfId="69" applyFont="1" applyFill="1" applyBorder="1" applyAlignment="1">
      <alignment horizontal="center" vertical="center" wrapText="1"/>
    </xf>
    <xf numFmtId="164" fontId="17" fillId="18" borderId="4" xfId="69" applyFont="1" applyFill="1" applyBorder="1" applyAlignment="1">
      <alignment horizontal="center" vertical="center" wrapText="1"/>
    </xf>
    <xf numFmtId="0" fontId="17" fillId="0" borderId="4" xfId="69" applyNumberFormat="1" applyFont="1" applyFill="1" applyBorder="1" applyAlignment="1">
      <alignment horizontal="center" vertical="center" wrapText="1"/>
    </xf>
    <xf numFmtId="10" fontId="17" fillId="18" borderId="4" xfId="70" applyNumberFormat="1" applyFont="1" applyFill="1" applyBorder="1" applyAlignment="1">
      <alignment horizontal="center" vertical="center" wrapText="1"/>
    </xf>
    <xf numFmtId="0" fontId="13" fillId="5" borderId="0" xfId="14" applyFont="1" applyFill="1" applyBorder="1" applyAlignment="1">
      <alignment horizontal="center" vertical="center" wrapText="1"/>
    </xf>
    <xf numFmtId="0" fontId="13" fillId="5" borderId="0" xfId="14" applyFont="1" applyFill="1" applyBorder="1" applyAlignment="1">
      <alignment horizontal="left" vertical="center" wrapText="1"/>
    </xf>
    <xf numFmtId="0" fontId="17" fillId="5" borderId="0" xfId="14" quotePrefix="1" applyFont="1" applyFill="1" applyBorder="1" applyAlignment="1">
      <alignment horizontal="center" vertical="center" wrapText="1"/>
    </xf>
    <xf numFmtId="0" fontId="17" fillId="0" borderId="0" xfId="10" applyFont="1"/>
    <xf numFmtId="0" fontId="17" fillId="0" borderId="0" xfId="10" applyFont="1" applyBorder="1" applyAlignment="1">
      <alignment horizontal="center" vertical="top" wrapText="1"/>
    </xf>
    <xf numFmtId="0" fontId="65" fillId="0" borderId="0" xfId="10" applyFont="1" applyBorder="1" applyAlignment="1">
      <alignment horizontal="left"/>
    </xf>
    <xf numFmtId="0" fontId="17" fillId="0" borderId="0" xfId="10" applyFont="1" applyBorder="1" applyAlignment="1">
      <alignment horizontal="center"/>
    </xf>
    <xf numFmtId="0" fontId="17" fillId="0" borderId="0" xfId="10" applyFont="1" applyBorder="1" applyAlignment="1">
      <alignment horizontal="left"/>
    </xf>
    <xf numFmtId="0" fontId="17" fillId="0" borderId="0" xfId="10" applyFont="1" applyBorder="1" applyAlignment="1">
      <alignment horizontal="justify" vertical="top" wrapText="1"/>
    </xf>
    <xf numFmtId="0" fontId="13" fillId="0" borderId="0" xfId="10" applyFont="1" applyFill="1" applyBorder="1" applyAlignment="1">
      <alignment horizontal="left" vertical="top"/>
    </xf>
    <xf numFmtId="0" fontId="17" fillId="0" borderId="0" xfId="14" applyFont="1" applyAlignment="1"/>
    <xf numFmtId="0" fontId="13" fillId="0" borderId="0" xfId="14" applyFont="1" applyAlignment="1">
      <alignment horizontal="centerContinuous" vertical="center"/>
    </xf>
    <xf numFmtId="0" fontId="17" fillId="0" borderId="0" xfId="10" applyFont="1" applyBorder="1" applyAlignment="1">
      <alignment vertical="center"/>
    </xf>
    <xf numFmtId="0" fontId="13" fillId="5" borderId="4" xfId="14" quotePrefix="1" applyFont="1" applyFill="1" applyBorder="1" applyAlignment="1">
      <alignment horizontal="center" wrapText="1"/>
    </xf>
    <xf numFmtId="0" fontId="13" fillId="5" borderId="4" xfId="14" quotePrefix="1" applyFont="1" applyFill="1" applyBorder="1" applyAlignment="1">
      <alignment horizontal="center" vertical="center" wrapText="1"/>
    </xf>
    <xf numFmtId="0" fontId="13" fillId="0" borderId="4" xfId="10" applyFont="1" applyBorder="1" applyAlignment="1">
      <alignment vertical="top"/>
    </xf>
    <xf numFmtId="180" fontId="17" fillId="0" borderId="4" xfId="40" applyNumberFormat="1" applyFont="1" applyFill="1" applyBorder="1" applyAlignment="1">
      <alignment wrapText="1"/>
    </xf>
    <xf numFmtId="169" fontId="17" fillId="0" borderId="4" xfId="29" applyNumberFormat="1" applyFont="1" applyFill="1" applyBorder="1" applyAlignment="1">
      <alignment horizontal="right" vertical="center" wrapText="1"/>
    </xf>
    <xf numFmtId="0" fontId="17" fillId="0" borderId="4" xfId="10" applyFont="1" applyBorder="1" applyAlignment="1"/>
    <xf numFmtId="0" fontId="17" fillId="0" borderId="4" xfId="10" applyFont="1" applyBorder="1"/>
    <xf numFmtId="169" fontId="17" fillId="10" borderId="4" xfId="29" applyNumberFormat="1" applyFont="1" applyFill="1" applyBorder="1" applyAlignment="1">
      <alignment horizontal="right" vertical="center"/>
    </xf>
    <xf numFmtId="169" fontId="16" fillId="0" borderId="4" xfId="29" quotePrefix="1" applyNumberFormat="1" applyFont="1" applyFill="1" applyBorder="1" applyAlignment="1">
      <alignment horizontal="right" vertical="center" wrapText="1"/>
    </xf>
    <xf numFmtId="169" fontId="17" fillId="0" borderId="0" xfId="10" applyNumberFormat="1" applyFont="1" applyFill="1" applyBorder="1" applyAlignment="1">
      <alignment vertical="top"/>
    </xf>
    <xf numFmtId="0" fontId="13" fillId="0" borderId="0" xfId="10" applyFont="1" applyFill="1" applyBorder="1" applyAlignment="1">
      <alignment vertical="top"/>
    </xf>
    <xf numFmtId="0" fontId="13" fillId="0" borderId="0" xfId="10" applyFont="1" applyFill="1" applyBorder="1"/>
    <xf numFmtId="0" fontId="13" fillId="0" borderId="0" xfId="10" applyFont="1" applyBorder="1"/>
    <xf numFmtId="0" fontId="65" fillId="0" borderId="4" xfId="10" applyFont="1" applyFill="1" applyBorder="1" applyAlignment="1" applyProtection="1"/>
    <xf numFmtId="166" fontId="17" fillId="0" borderId="4" xfId="10" applyNumberFormat="1" applyFont="1" applyFill="1" applyBorder="1" applyAlignment="1" applyProtection="1">
      <alignment horizontal="center"/>
    </xf>
    <xf numFmtId="0" fontId="17" fillId="0" borderId="0" xfId="10" applyFont="1" applyFill="1" applyBorder="1"/>
    <xf numFmtId="0" fontId="66" fillId="0" borderId="18" xfId="0" applyFont="1" applyBorder="1" applyAlignment="1">
      <alignment horizontal="left" vertical="center"/>
    </xf>
    <xf numFmtId="0" fontId="17" fillId="0" borderId="0" xfId="10" applyFont="1" applyAlignment="1">
      <alignment horizontal="center"/>
    </xf>
    <xf numFmtId="1" fontId="61" fillId="20" borderId="25" xfId="0" applyNumberFormat="1" applyFont="1" applyFill="1" applyBorder="1" applyAlignment="1">
      <alignment horizontal="center"/>
    </xf>
    <xf numFmtId="1" fontId="61" fillId="20" borderId="8" xfId="0" applyNumberFormat="1" applyFont="1" applyFill="1" applyBorder="1" applyAlignment="1">
      <alignment horizontal="center"/>
    </xf>
    <xf numFmtId="1" fontId="61" fillId="20" borderId="4" xfId="0" applyNumberFormat="1" applyFont="1" applyFill="1" applyBorder="1" applyAlignment="1">
      <alignment horizontal="center"/>
    </xf>
    <xf numFmtId="0" fontId="66" fillId="0" borderId="24" xfId="0" applyFont="1" applyBorder="1" applyAlignment="1">
      <alignment horizontal="left" vertical="center"/>
    </xf>
    <xf numFmtId="9" fontId="61" fillId="20" borderId="26" xfId="0" applyNumberFormat="1" applyFont="1" applyFill="1" applyBorder="1" applyAlignment="1">
      <alignment horizontal="center" wrapText="1"/>
    </xf>
    <xf numFmtId="0" fontId="50" fillId="0" borderId="0" xfId="0" applyFont="1" applyAlignment="1">
      <alignment horizontal="center"/>
    </xf>
    <xf numFmtId="0" fontId="13" fillId="0" borderId="0" xfId="10" applyFont="1"/>
    <xf numFmtId="0" fontId="66" fillId="0" borderId="4" xfId="0" applyFont="1" applyBorder="1" applyAlignment="1">
      <alignment horizontal="center" vertical="center" wrapText="1"/>
    </xf>
    <xf numFmtId="0" fontId="66" fillId="0" borderId="4" xfId="0" applyFont="1" applyBorder="1" applyAlignment="1">
      <alignment horizontal="left" vertical="center" wrapText="1"/>
    </xf>
    <xf numFmtId="0" fontId="66" fillId="0" borderId="20" xfId="0" applyFont="1" applyBorder="1" applyAlignment="1">
      <alignment horizontal="center" vertical="center" wrapText="1"/>
    </xf>
    <xf numFmtId="0" fontId="17" fillId="0" borderId="8" xfId="10" applyFont="1" applyBorder="1" applyAlignment="1">
      <alignment horizontal="center"/>
    </xf>
    <xf numFmtId="164" fontId="67" fillId="0" borderId="20" xfId="0" applyNumberFormat="1" applyFont="1" applyBorder="1"/>
    <xf numFmtId="164" fontId="17" fillId="0" borderId="8" xfId="10" applyNumberFormat="1" applyFont="1" applyBorder="1" applyAlignment="1">
      <alignment horizontal="center"/>
    </xf>
    <xf numFmtId="164" fontId="17" fillId="0" borderId="4" xfId="10" applyNumberFormat="1" applyFont="1" applyBorder="1" applyAlignment="1">
      <alignment horizontal="center"/>
    </xf>
    <xf numFmtId="171" fontId="67" fillId="0" borderId="20" xfId="0" applyNumberFormat="1" applyFont="1" applyBorder="1"/>
    <xf numFmtId="169" fontId="17" fillId="0" borderId="8" xfId="10" applyNumberFormat="1" applyFont="1" applyBorder="1" applyAlignment="1">
      <alignment horizontal="center"/>
    </xf>
    <xf numFmtId="164" fontId="67" fillId="0" borderId="20" xfId="29" applyFont="1" applyFill="1" applyBorder="1"/>
    <xf numFmtId="164" fontId="67" fillId="0" borderId="8" xfId="29" applyFont="1" applyFill="1" applyBorder="1"/>
    <xf numFmtId="164" fontId="67" fillId="0" borderId="8" xfId="29" applyFont="1" applyBorder="1"/>
    <xf numFmtId="10" fontId="67" fillId="0" borderId="20" xfId="40" applyNumberFormat="1" applyFont="1" applyFill="1" applyBorder="1"/>
    <xf numFmtId="9" fontId="67" fillId="0" borderId="20" xfId="0" applyNumberFormat="1" applyFont="1" applyBorder="1"/>
    <xf numFmtId="0" fontId="67" fillId="0" borderId="20" xfId="0" applyFont="1" applyBorder="1"/>
    <xf numFmtId="2" fontId="67" fillId="0" borderId="20" xfId="0" applyNumberFormat="1" applyFont="1" applyBorder="1"/>
    <xf numFmtId="164" fontId="66" fillId="0" borderId="20" xfId="29" applyFont="1" applyFill="1" applyBorder="1"/>
    <xf numFmtId="164" fontId="66" fillId="0" borderId="20" xfId="29" applyFont="1" applyBorder="1"/>
    <xf numFmtId="0" fontId="67" fillId="0" borderId="0" xfId="0" applyFont="1"/>
    <xf numFmtId="0" fontId="67" fillId="0" borderId="27" xfId="0" applyFont="1" applyBorder="1"/>
    <xf numFmtId="43" fontId="67" fillId="0" borderId="20" xfId="0" applyNumberFormat="1" applyFont="1" applyBorder="1"/>
    <xf numFmtId="43" fontId="17" fillId="0" borderId="8" xfId="10" applyNumberFormat="1" applyFont="1" applyBorder="1" applyAlignment="1">
      <alignment horizontal="center"/>
    </xf>
    <xf numFmtId="0" fontId="67" fillId="0" borderId="20" xfId="0" applyFont="1" applyBorder="1" applyAlignment="1">
      <alignment horizontal="center"/>
    </xf>
    <xf numFmtId="164" fontId="67" fillId="0" borderId="20" xfId="29" applyFont="1" applyBorder="1"/>
    <xf numFmtId="169" fontId="67" fillId="0" borderId="20" xfId="29" applyNumberFormat="1" applyFont="1" applyBorder="1" applyAlignment="1">
      <alignment horizontal="center"/>
    </xf>
    <xf numFmtId="164" fontId="67" fillId="14" borderId="20" xfId="29" applyFont="1" applyFill="1" applyBorder="1"/>
    <xf numFmtId="0" fontId="17" fillId="0" borderId="20" xfId="10" applyFont="1" applyBorder="1" applyAlignment="1">
      <alignment horizontal="center"/>
    </xf>
    <xf numFmtId="164" fontId="13" fillId="0" borderId="21" xfId="29" applyFont="1" applyFill="1" applyBorder="1" applyAlignment="1">
      <alignment horizontal="center"/>
    </xf>
    <xf numFmtId="164" fontId="13" fillId="0" borderId="21" xfId="29" applyFont="1" applyBorder="1" applyAlignment="1">
      <alignment horizontal="center"/>
    </xf>
    <xf numFmtId="1" fontId="61" fillId="20" borderId="25" xfId="0" applyNumberFormat="1" applyFont="1" applyFill="1" applyBorder="1"/>
    <xf numFmtId="1" fontId="61" fillId="20" borderId="8" xfId="0" applyNumberFormat="1" applyFont="1" applyFill="1" applyBorder="1"/>
    <xf numFmtId="1" fontId="61" fillId="20" borderId="28" xfId="0" applyNumberFormat="1" applyFont="1" applyFill="1" applyBorder="1"/>
    <xf numFmtId="1" fontId="61" fillId="20" borderId="4" xfId="0" applyNumberFormat="1" applyFont="1" applyFill="1" applyBorder="1"/>
    <xf numFmtId="172" fontId="8" fillId="0" borderId="4" xfId="10" applyNumberFormat="1" applyFont="1" applyFill="1" applyBorder="1" applyAlignment="1">
      <alignment horizontal="center"/>
    </xf>
    <xf numFmtId="173" fontId="8" fillId="0" borderId="4" xfId="10" applyNumberFormat="1" applyFont="1" applyFill="1" applyBorder="1" applyAlignment="1">
      <alignment horizontal="center"/>
    </xf>
    <xf numFmtId="173" fontId="8" fillId="0" borderId="4" xfId="10" applyNumberFormat="1" applyFont="1" applyFill="1" applyBorder="1" applyAlignment="1"/>
    <xf numFmtId="9" fontId="9" fillId="0" borderId="4" xfId="10" applyNumberFormat="1" applyFont="1" applyFill="1" applyBorder="1" applyAlignment="1"/>
    <xf numFmtId="172" fontId="8" fillId="0" borderId="4" xfId="10" applyNumberFormat="1" applyFont="1" applyFill="1" applyBorder="1" applyAlignment="1"/>
    <xf numFmtId="0" fontId="56" fillId="0" borderId="11" xfId="15" applyFont="1" applyBorder="1" applyAlignment="1">
      <alignment horizontal="center" vertical="center"/>
    </xf>
    <xf numFmtId="0" fontId="57" fillId="0" borderId="0" xfId="10" applyFont="1"/>
    <xf numFmtId="187" fontId="57" fillId="0" borderId="0" xfId="10" applyNumberFormat="1" applyFont="1"/>
    <xf numFmtId="0" fontId="56" fillId="0" borderId="0" xfId="10" applyFont="1" applyAlignment="1">
      <alignment horizontal="center" vertical="center"/>
    </xf>
    <xf numFmtId="0" fontId="56" fillId="5" borderId="0" xfId="10" applyFont="1" applyFill="1" applyAlignment="1">
      <alignment horizontal="center" vertical="center"/>
    </xf>
    <xf numFmtId="0" fontId="57" fillId="0" borderId="0" xfId="10" applyFont="1" applyAlignment="1">
      <alignment horizontal="center"/>
    </xf>
    <xf numFmtId="187" fontId="57" fillId="0" borderId="0" xfId="10" applyNumberFormat="1" applyFont="1" applyAlignment="1">
      <alignment horizontal="center"/>
    </xf>
    <xf numFmtId="0" fontId="57" fillId="0" borderId="0" xfId="10" applyFont="1" applyAlignment="1">
      <alignment horizontal="centerContinuous"/>
    </xf>
    <xf numFmtId="0" fontId="57" fillId="0" borderId="0" xfId="10" applyFont="1" applyAlignment="1">
      <alignment vertical="center"/>
    </xf>
    <xf numFmtId="0" fontId="56" fillId="22" borderId="4" xfId="10" applyFont="1" applyFill="1" applyBorder="1" applyAlignment="1">
      <alignment horizontal="center" vertical="center" wrapText="1"/>
    </xf>
    <xf numFmtId="0" fontId="56" fillId="16" borderId="4" xfId="10" applyFont="1" applyFill="1" applyBorder="1" applyAlignment="1">
      <alignment horizontal="center" vertical="center" wrapText="1"/>
    </xf>
    <xf numFmtId="187" fontId="56" fillId="16" borderId="4" xfId="10" applyNumberFormat="1" applyFont="1" applyFill="1" applyBorder="1" applyAlignment="1">
      <alignment horizontal="center" vertical="center"/>
    </xf>
    <xf numFmtId="0" fontId="56" fillId="16" borderId="4" xfId="10" applyFont="1" applyFill="1" applyBorder="1" applyAlignment="1">
      <alignment horizontal="center" vertical="center"/>
    </xf>
    <xf numFmtId="0" fontId="56" fillId="16" borderId="4" xfId="10" applyFont="1" applyFill="1" applyBorder="1" applyAlignment="1">
      <alignment horizontal="left"/>
    </xf>
    <xf numFmtId="0" fontId="57" fillId="0" borderId="4" xfId="10" applyFont="1" applyBorder="1"/>
    <xf numFmtId="0" fontId="57" fillId="0" borderId="4" xfId="10" applyFont="1" applyBorder="1" applyAlignment="1">
      <alignment wrapText="1"/>
    </xf>
    <xf numFmtId="187" fontId="57" fillId="0" borderId="4" xfId="10" applyNumberFormat="1" applyFont="1" applyBorder="1"/>
    <xf numFmtId="0" fontId="70" fillId="0" borderId="4" xfId="10" applyFont="1" applyBorder="1" applyAlignment="1">
      <alignment vertical="center"/>
    </xf>
    <xf numFmtId="0" fontId="57" fillId="17" borderId="4" xfId="10" applyFont="1" applyFill="1" applyBorder="1"/>
    <xf numFmtId="164" fontId="71" fillId="17" borderId="4" xfId="25" applyFont="1" applyFill="1" applyBorder="1" applyAlignment="1">
      <alignment horizontal="center" vertical="center" wrapText="1"/>
    </xf>
    <xf numFmtId="0" fontId="57" fillId="17" borderId="0" xfId="10" applyFont="1" applyFill="1"/>
    <xf numFmtId="0" fontId="17" fillId="17" borderId="7" xfId="10" applyFont="1" applyFill="1" applyBorder="1" applyAlignment="1">
      <alignment vertical="center" wrapText="1"/>
    </xf>
    <xf numFmtId="164" fontId="57" fillId="17" borderId="4" xfId="25" applyFont="1" applyFill="1" applyBorder="1" applyAlignment="1">
      <alignment horizontal="right" vertical="center" wrapText="1"/>
    </xf>
    <xf numFmtId="0" fontId="17" fillId="0" borderId="7" xfId="10" applyFont="1" applyBorder="1" applyAlignment="1">
      <alignment vertical="center" wrapText="1"/>
    </xf>
    <xf numFmtId="164" fontId="57" fillId="0" borderId="4" xfId="25" applyFont="1" applyFill="1" applyBorder="1" applyAlignment="1">
      <alignment horizontal="right" vertical="center" wrapText="1"/>
    </xf>
    <xf numFmtId="0" fontId="57" fillId="14" borderId="4" xfId="10" applyFont="1" applyFill="1" applyBorder="1"/>
    <xf numFmtId="0" fontId="76" fillId="6" borderId="4" xfId="87" applyFont="1" applyFill="1" applyBorder="1" applyAlignment="1">
      <alignment horizontal="left" vertical="center" wrapText="1"/>
    </xf>
    <xf numFmtId="0" fontId="80" fillId="16" borderId="4" xfId="10" applyFont="1" applyFill="1" applyBorder="1" applyAlignment="1">
      <alignment horizontal="center" vertical="center"/>
    </xf>
    <xf numFmtId="0" fontId="80" fillId="16" borderId="4" xfId="10" applyFont="1" applyFill="1" applyBorder="1" applyAlignment="1">
      <alignment horizontal="left" vertical="center"/>
    </xf>
    <xf numFmtId="0" fontId="57" fillId="0" borderId="0" xfId="10" applyFont="1" applyAlignment="1">
      <alignment horizontal="center" vertical="center"/>
    </xf>
    <xf numFmtId="187" fontId="57" fillId="0" borderId="0" xfId="10" applyNumberFormat="1" applyFont="1" applyAlignment="1">
      <alignment horizontal="center" vertical="center"/>
    </xf>
    <xf numFmtId="187" fontId="57" fillId="0" borderId="0" xfId="10" applyNumberFormat="1" applyFont="1" applyAlignment="1">
      <alignment horizontal="center" vertical="center" wrapText="1"/>
    </xf>
    <xf numFmtId="187" fontId="57" fillId="0" borderId="0" xfId="10" applyNumberFormat="1" applyFont="1" applyAlignment="1">
      <alignment vertical="center"/>
    </xf>
    <xf numFmtId="187" fontId="57" fillId="0" borderId="0" xfId="10" applyNumberFormat="1" applyFont="1" applyAlignment="1">
      <alignment vertical="center" wrapText="1"/>
    </xf>
    <xf numFmtId="0" fontId="57" fillId="0" borderId="10" xfId="10" applyFont="1" applyBorder="1" applyAlignment="1">
      <alignment horizontal="center" vertical="center"/>
    </xf>
    <xf numFmtId="0" fontId="56" fillId="5" borderId="10" xfId="10" applyFont="1" applyFill="1" applyBorder="1" applyAlignment="1">
      <alignment horizontal="left" vertical="center"/>
    </xf>
    <xf numFmtId="0" fontId="56" fillId="0" borderId="10" xfId="10" applyFont="1" applyBorder="1" applyAlignment="1">
      <alignment horizontal="center" vertical="center"/>
    </xf>
    <xf numFmtId="187" fontId="56" fillId="0" borderId="10" xfId="10" applyNumberFormat="1" applyFont="1" applyBorder="1" applyAlignment="1">
      <alignment horizontal="center" vertical="center"/>
    </xf>
    <xf numFmtId="187" fontId="56" fillId="0" borderId="10" xfId="10" applyNumberFormat="1" applyFont="1" applyBorder="1" applyAlignment="1">
      <alignment horizontal="center" vertical="center" wrapText="1"/>
    </xf>
    <xf numFmtId="0" fontId="56" fillId="0" borderId="10" xfId="10" applyFont="1" applyBorder="1" applyAlignment="1">
      <alignment horizontal="centerContinuous" vertical="center"/>
    </xf>
    <xf numFmtId="0" fontId="57" fillId="0" borderId="10" xfId="10" applyFont="1" applyBorder="1" applyAlignment="1">
      <alignment horizontal="centerContinuous" vertical="center"/>
    </xf>
    <xf numFmtId="0" fontId="56" fillId="6" borderId="14" xfId="10" applyFont="1" applyFill="1" applyBorder="1" applyAlignment="1">
      <alignment horizontal="center" vertical="center"/>
    </xf>
    <xf numFmtId="0" fontId="56" fillId="6" borderId="10" xfId="10" applyFont="1" applyFill="1" applyBorder="1" applyAlignment="1">
      <alignment horizontal="center" vertical="center"/>
    </xf>
    <xf numFmtId="0" fontId="57" fillId="0" borderId="0" xfId="10" applyFont="1" applyAlignment="1">
      <alignment vertical="center" wrapText="1"/>
    </xf>
    <xf numFmtId="0" fontId="57" fillId="0" borderId="0" xfId="10" applyFont="1" applyAlignment="1">
      <alignment horizontal="left" vertical="center"/>
    </xf>
    <xf numFmtId="187" fontId="56" fillId="16" borderId="4" xfId="10" applyNumberFormat="1" applyFont="1" applyFill="1" applyBorder="1" applyAlignment="1">
      <alignment horizontal="center" vertical="center" wrapText="1"/>
    </xf>
    <xf numFmtId="0" fontId="56" fillId="16" borderId="4" xfId="58" applyFont="1" applyFill="1" applyBorder="1" applyAlignment="1">
      <alignment horizontal="center" vertical="center" wrapText="1"/>
    </xf>
    <xf numFmtId="0" fontId="57" fillId="0" borderId="4" xfId="10" applyFont="1" applyBorder="1" applyAlignment="1">
      <alignment horizontal="center" vertical="center"/>
    </xf>
    <xf numFmtId="187" fontId="57" fillId="0" borderId="4" xfId="10" applyNumberFormat="1" applyFont="1" applyBorder="1" applyAlignment="1">
      <alignment horizontal="center" vertical="center"/>
    </xf>
    <xf numFmtId="187" fontId="57" fillId="0" borderId="4" xfId="10" applyNumberFormat="1" applyFont="1" applyBorder="1" applyAlignment="1">
      <alignment horizontal="center" vertical="center" wrapText="1"/>
    </xf>
    <xf numFmtId="0" fontId="57" fillId="0" borderId="4" xfId="10" applyFont="1" applyBorder="1" applyAlignment="1">
      <alignment vertical="center"/>
    </xf>
    <xf numFmtId="187" fontId="57" fillId="0" borderId="4" xfId="10" applyNumberFormat="1" applyFont="1" applyBorder="1" applyAlignment="1">
      <alignment vertical="center"/>
    </xf>
    <xf numFmtId="187" fontId="57" fillId="0" borderId="4" xfId="10" applyNumberFormat="1" applyFont="1" applyBorder="1" applyAlignment="1">
      <alignment vertical="center" wrapText="1"/>
    </xf>
    <xf numFmtId="0" fontId="56" fillId="0" borderId="4" xfId="10" applyFont="1" applyBorder="1" applyAlignment="1">
      <alignment horizontal="center" vertical="center"/>
    </xf>
    <xf numFmtId="0" fontId="57" fillId="17" borderId="4" xfId="10" applyFont="1" applyFill="1" applyBorder="1" applyAlignment="1">
      <alignment vertical="center"/>
    </xf>
    <xf numFmtId="187" fontId="57" fillId="17" borderId="4" xfId="10" applyNumberFormat="1" applyFont="1" applyFill="1" applyBorder="1" applyAlignment="1">
      <alignment horizontal="center" vertical="center" wrapText="1"/>
    </xf>
    <xf numFmtId="187" fontId="57" fillId="17" borderId="4" xfId="10" applyNumberFormat="1" applyFont="1" applyFill="1" applyBorder="1" applyAlignment="1">
      <alignment vertical="center"/>
    </xf>
    <xf numFmtId="187" fontId="57" fillId="17" borderId="4" xfId="10" applyNumberFormat="1" applyFont="1" applyFill="1" applyBorder="1" applyAlignment="1">
      <alignment vertical="center" wrapText="1"/>
    </xf>
    <xf numFmtId="0" fontId="57" fillId="17" borderId="4" xfId="10" applyFont="1" applyFill="1" applyBorder="1" applyAlignment="1">
      <alignment vertical="center" wrapText="1"/>
    </xf>
    <xf numFmtId="0" fontId="57" fillId="17" borderId="0" xfId="10" applyFont="1" applyFill="1" applyAlignment="1">
      <alignment vertical="center"/>
    </xf>
    <xf numFmtId="0" fontId="57" fillId="17" borderId="0" xfId="10" applyFont="1" applyFill="1" applyAlignment="1">
      <alignment horizontal="left" vertical="center"/>
    </xf>
    <xf numFmtId="164" fontId="72" fillId="17" borderId="4" xfId="25" applyFont="1" applyFill="1" applyBorder="1" applyAlignment="1">
      <alignment vertical="center"/>
    </xf>
    <xf numFmtId="187" fontId="0" fillId="17" borderId="4" xfId="10" applyNumberFormat="1" applyFont="1" applyFill="1" applyBorder="1" applyAlignment="1">
      <alignment vertical="center"/>
    </xf>
    <xf numFmtId="187" fontId="0" fillId="17" borderId="4" xfId="10" applyNumberFormat="1" applyFont="1" applyFill="1" applyBorder="1" applyAlignment="1">
      <alignment vertical="center" wrapText="1"/>
    </xf>
    <xf numFmtId="187" fontId="0" fillId="17" borderId="4" xfId="10" applyNumberFormat="1" applyFont="1" applyFill="1" applyBorder="1" applyAlignment="1">
      <alignment horizontal="center" vertical="center" wrapText="1"/>
    </xf>
    <xf numFmtId="0" fontId="17" fillId="17" borderId="6" xfId="10" applyFont="1" applyFill="1" applyBorder="1" applyAlignment="1">
      <alignment vertical="center" wrapText="1"/>
    </xf>
    <xf numFmtId="0" fontId="17" fillId="17" borderId="4" xfId="10" applyFont="1" applyFill="1" applyBorder="1" applyAlignment="1">
      <alignment vertical="center" wrapText="1"/>
    </xf>
    <xf numFmtId="187" fontId="57" fillId="6" borderId="4" xfId="10" applyNumberFormat="1" applyFont="1" applyFill="1" applyBorder="1" applyAlignment="1">
      <alignment horizontal="center" vertical="center" wrapText="1"/>
    </xf>
    <xf numFmtId="164" fontId="72" fillId="6" borderId="4" xfId="25" applyFont="1" applyFill="1" applyBorder="1" applyAlignment="1">
      <alignment vertical="center"/>
    </xf>
    <xf numFmtId="0" fontId="57" fillId="6" borderId="4" xfId="10" applyFont="1" applyFill="1" applyBorder="1" applyAlignment="1">
      <alignment vertical="center"/>
    </xf>
    <xf numFmtId="187" fontId="0" fillId="6" borderId="4" xfId="10" applyNumberFormat="1" applyFont="1" applyFill="1" applyBorder="1" applyAlignment="1">
      <alignment vertical="center"/>
    </xf>
    <xf numFmtId="187" fontId="0" fillId="6" borderId="4" xfId="10" applyNumberFormat="1" applyFont="1" applyFill="1" applyBorder="1" applyAlignment="1">
      <alignment vertical="center" wrapText="1"/>
    </xf>
    <xf numFmtId="0" fontId="57" fillId="6" borderId="4" xfId="10" applyFont="1" applyFill="1" applyBorder="1" applyAlignment="1">
      <alignment vertical="center" wrapText="1"/>
    </xf>
    <xf numFmtId="0" fontId="57" fillId="6" borderId="0" xfId="10" applyFont="1" applyFill="1" applyAlignment="1">
      <alignment vertical="center"/>
    </xf>
    <xf numFmtId="0" fontId="57" fillId="6" borderId="0" xfId="10" applyFont="1" applyFill="1" applyAlignment="1">
      <alignment horizontal="left" vertical="center"/>
    </xf>
    <xf numFmtId="164" fontId="71" fillId="6" borderId="4" xfId="25" applyFont="1" applyFill="1" applyBorder="1" applyAlignment="1">
      <alignment horizontal="center" vertical="center" wrapText="1"/>
    </xf>
    <xf numFmtId="187" fontId="57" fillId="6" borderId="4" xfId="10" applyNumberFormat="1" applyFont="1" applyFill="1" applyBorder="1" applyAlignment="1">
      <alignment vertical="center"/>
    </xf>
    <xf numFmtId="187" fontId="57" fillId="6" borderId="4" xfId="10" applyNumberFormat="1" applyFont="1" applyFill="1" applyBorder="1" applyAlignment="1">
      <alignment vertical="center" wrapText="1"/>
    </xf>
    <xf numFmtId="0" fontId="8" fillId="6" borderId="4" xfId="10" applyFont="1" applyFill="1" applyBorder="1" applyAlignment="1">
      <alignment vertical="center" wrapText="1"/>
    </xf>
    <xf numFmtId="0" fontId="57" fillId="6" borderId="4" xfId="10" applyFont="1" applyFill="1" applyBorder="1" applyAlignment="1">
      <alignment horizontal="left" vertical="center" wrapText="1"/>
    </xf>
    <xf numFmtId="0" fontId="57" fillId="17" borderId="4" xfId="10" applyFont="1" applyFill="1" applyBorder="1" applyAlignment="1">
      <alignment horizontal="center" vertical="center"/>
    </xf>
    <xf numFmtId="187" fontId="63" fillId="17" borderId="4" xfId="10" applyNumberFormat="1" applyFont="1" applyFill="1" applyBorder="1" applyAlignment="1">
      <alignment horizontal="center" vertical="center" wrapText="1"/>
    </xf>
    <xf numFmtId="187" fontId="63" fillId="17" borderId="5" xfId="10" applyNumberFormat="1" applyFont="1" applyFill="1" applyBorder="1" applyAlignment="1">
      <alignment horizontal="center" vertical="center"/>
    </xf>
    <xf numFmtId="187" fontId="63" fillId="17" borderId="3" xfId="10" applyNumberFormat="1" applyFont="1" applyFill="1" applyBorder="1" applyAlignment="1">
      <alignment horizontal="center" vertical="center"/>
    </xf>
    <xf numFmtId="187" fontId="63" fillId="17" borderId="8" xfId="10" applyNumberFormat="1" applyFont="1" applyFill="1" applyBorder="1" applyAlignment="1">
      <alignment horizontal="center" vertical="center" wrapText="1"/>
    </xf>
    <xf numFmtId="0" fontId="57" fillId="6" borderId="4" xfId="10" applyFont="1" applyFill="1" applyBorder="1" applyAlignment="1">
      <alignment horizontal="center" vertical="center"/>
    </xf>
    <xf numFmtId="0" fontId="17" fillId="6" borderId="4" xfId="10" applyFont="1" applyFill="1" applyBorder="1" applyAlignment="1">
      <alignment horizontal="left" vertical="center" wrapText="1"/>
    </xf>
    <xf numFmtId="164" fontId="72" fillId="6" borderId="4" xfId="89" applyFont="1" applyFill="1" applyBorder="1" applyAlignment="1">
      <alignment vertical="center"/>
    </xf>
    <xf numFmtId="187" fontId="84" fillId="6" borderId="4" xfId="10" applyNumberFormat="1" applyFont="1" applyFill="1" applyBorder="1" applyAlignment="1">
      <alignment vertical="center" wrapText="1"/>
    </xf>
    <xf numFmtId="0" fontId="17" fillId="6" borderId="4" xfId="10" applyFont="1" applyFill="1" applyBorder="1" applyAlignment="1">
      <alignment vertical="center" wrapText="1"/>
    </xf>
    <xf numFmtId="43" fontId="73" fillId="6" borderId="4" xfId="90" applyFont="1" applyFill="1" applyBorder="1" applyAlignment="1">
      <alignment horizontal="center" vertical="center" wrapText="1"/>
    </xf>
    <xf numFmtId="0" fontId="8" fillId="6" borderId="4" xfId="10" applyFont="1" applyFill="1" applyBorder="1" applyAlignment="1">
      <alignment vertical="center"/>
    </xf>
    <xf numFmtId="187" fontId="8" fillId="6" borderId="4" xfId="10" applyNumberFormat="1" applyFont="1" applyFill="1" applyBorder="1" applyAlignment="1">
      <alignment horizontal="center" vertical="center"/>
    </xf>
    <xf numFmtId="187" fontId="8" fillId="6" borderId="4" xfId="10" applyNumberFormat="1" applyFont="1" applyFill="1" applyBorder="1" applyAlignment="1">
      <alignment vertical="center" wrapText="1"/>
    </xf>
    <xf numFmtId="43" fontId="75" fillId="6" borderId="4" xfId="90" applyFont="1" applyFill="1" applyBorder="1" applyAlignment="1">
      <alignment horizontal="left" vertical="center" wrapText="1"/>
    </xf>
    <xf numFmtId="164" fontId="57" fillId="6" borderId="4" xfId="25" applyFont="1" applyFill="1" applyBorder="1" applyAlignment="1">
      <alignment horizontal="right" vertical="center" wrapText="1"/>
    </xf>
    <xf numFmtId="187" fontId="57" fillId="6" borderId="4" xfId="10" applyNumberFormat="1" applyFont="1" applyFill="1" applyBorder="1" applyAlignment="1">
      <alignment horizontal="center" vertical="center"/>
    </xf>
    <xf numFmtId="164" fontId="81" fillId="6" borderId="4" xfId="25" applyFont="1" applyFill="1" applyBorder="1" applyAlignment="1">
      <alignment horizontal="right" vertical="center" wrapText="1"/>
    </xf>
    <xf numFmtId="164" fontId="81" fillId="0" borderId="4" xfId="25" applyFont="1" applyFill="1" applyBorder="1" applyAlignment="1">
      <alignment horizontal="right" vertical="center" wrapText="1"/>
    </xf>
    <xf numFmtId="164" fontId="72" fillId="6" borderId="4" xfId="25" applyFont="1" applyFill="1" applyBorder="1" applyAlignment="1">
      <alignment vertical="center" wrapText="1"/>
    </xf>
    <xf numFmtId="187" fontId="57" fillId="17" borderId="4" xfId="10" applyNumberFormat="1" applyFont="1" applyFill="1" applyBorder="1" applyAlignment="1">
      <alignment horizontal="center" vertical="center"/>
    </xf>
    <xf numFmtId="164" fontId="57" fillId="0" borderId="4" xfId="25" applyFont="1" applyBorder="1" applyAlignment="1">
      <alignment horizontal="right" vertical="center" wrapText="1"/>
    </xf>
    <xf numFmtId="0" fontId="17" fillId="0" borderId="4" xfId="10" applyFont="1" applyBorder="1" applyAlignment="1">
      <alignment vertical="center" wrapText="1"/>
    </xf>
    <xf numFmtId="164" fontId="72" fillId="0" borderId="4" xfId="25" applyFont="1" applyFill="1" applyBorder="1" applyAlignment="1">
      <alignment vertical="center"/>
    </xf>
    <xf numFmtId="0" fontId="57" fillId="16" borderId="4" xfId="10" applyFont="1" applyFill="1" applyBorder="1" applyAlignment="1">
      <alignment horizontal="center" vertical="center"/>
    </xf>
    <xf numFmtId="187" fontId="57" fillId="16" borderId="4" xfId="10" applyNumberFormat="1" applyFont="1" applyFill="1" applyBorder="1" applyAlignment="1">
      <alignment horizontal="center" vertical="center"/>
    </xf>
    <xf numFmtId="187" fontId="57" fillId="16" borderId="4" xfId="10" applyNumberFormat="1" applyFont="1" applyFill="1" applyBorder="1" applyAlignment="1">
      <alignment horizontal="center" vertical="center" wrapText="1"/>
    </xf>
    <xf numFmtId="0" fontId="57" fillId="16" borderId="4" xfId="10" applyFont="1" applyFill="1" applyBorder="1" applyAlignment="1">
      <alignment vertical="center"/>
    </xf>
    <xf numFmtId="187" fontId="57" fillId="16" borderId="4" xfId="10" applyNumberFormat="1" applyFont="1" applyFill="1" applyBorder="1" applyAlignment="1">
      <alignment vertical="center"/>
    </xf>
    <xf numFmtId="187" fontId="57" fillId="16" borderId="4" xfId="10" applyNumberFormat="1" applyFont="1" applyFill="1" applyBorder="1" applyAlignment="1">
      <alignment vertical="center" wrapText="1"/>
    </xf>
    <xf numFmtId="0" fontId="76" fillId="0" borderId="7" xfId="87" applyFont="1" applyBorder="1" applyAlignment="1">
      <alignment horizontal="left" vertical="center" wrapText="1"/>
    </xf>
    <xf numFmtId="0" fontId="57" fillId="14" borderId="4" xfId="10" applyFont="1" applyFill="1" applyBorder="1" applyAlignment="1">
      <alignment vertical="center"/>
    </xf>
    <xf numFmtId="0" fontId="57" fillId="6" borderId="4" xfId="10" applyFont="1" applyFill="1" applyBorder="1" applyAlignment="1">
      <alignment vertical="top" wrapText="1"/>
    </xf>
    <xf numFmtId="187" fontId="76" fillId="0" borderId="4" xfId="10" applyNumberFormat="1" applyFont="1" applyBorder="1" applyAlignment="1">
      <alignment horizontal="center" vertical="center" wrapText="1"/>
    </xf>
    <xf numFmtId="164" fontId="76" fillId="0" borderId="4" xfId="25" applyFont="1" applyBorder="1" applyAlignment="1">
      <alignment horizontal="right" vertical="center" wrapText="1"/>
    </xf>
    <xf numFmtId="0" fontId="76" fillId="17" borderId="4" xfId="10" applyFont="1" applyFill="1" applyBorder="1" applyAlignment="1">
      <alignment vertical="center"/>
    </xf>
    <xf numFmtId="187" fontId="76" fillId="0" borderId="4" xfId="10" applyNumberFormat="1" applyFont="1" applyBorder="1" applyAlignment="1">
      <alignment horizontal="center" vertical="center"/>
    </xf>
    <xf numFmtId="187" fontId="76" fillId="6" borderId="4" xfId="10" applyNumberFormat="1" applyFont="1" applyFill="1" applyBorder="1" applyAlignment="1">
      <alignment vertical="center"/>
    </xf>
    <xf numFmtId="187" fontId="76" fillId="6" borderId="4" xfId="10" applyNumberFormat="1" applyFont="1" applyFill="1" applyBorder="1" applyAlignment="1">
      <alignment vertical="center" wrapText="1"/>
    </xf>
    <xf numFmtId="0" fontId="76" fillId="6" borderId="4" xfId="10" applyFont="1" applyFill="1" applyBorder="1" applyAlignment="1">
      <alignment vertical="center"/>
    </xf>
    <xf numFmtId="0" fontId="76" fillId="0" borderId="0" xfId="10" applyFont="1" applyAlignment="1">
      <alignment horizontal="left" vertical="center"/>
    </xf>
    <xf numFmtId="0" fontId="76" fillId="0" borderId="0" xfId="10" applyFont="1" applyAlignment="1">
      <alignment vertical="center"/>
    </xf>
    <xf numFmtId="0" fontId="76" fillId="6" borderId="4" xfId="10" applyFont="1" applyFill="1" applyBorder="1" applyAlignment="1">
      <alignment horizontal="justify" vertical="center" wrapText="1"/>
    </xf>
    <xf numFmtId="0" fontId="76" fillId="6" borderId="4" xfId="10" applyFont="1" applyFill="1" applyBorder="1" applyAlignment="1">
      <alignment vertical="center" wrapText="1"/>
    </xf>
    <xf numFmtId="0" fontId="76" fillId="6" borderId="4" xfId="10" applyFont="1" applyFill="1" applyBorder="1" applyAlignment="1">
      <alignment horizontal="left" vertical="center" wrapText="1"/>
    </xf>
    <xf numFmtId="0" fontId="57" fillId="17" borderId="4" xfId="10" applyFont="1" applyFill="1" applyBorder="1" applyAlignment="1">
      <alignment horizontal="justify" vertical="center" wrapText="1"/>
    </xf>
    <xf numFmtId="0" fontId="57" fillId="0" borderId="4" xfId="10" applyFont="1" applyBorder="1" applyAlignment="1">
      <alignment vertical="center" wrapText="1"/>
    </xf>
    <xf numFmtId="187" fontId="0" fillId="14" borderId="4" xfId="10" applyNumberFormat="1" applyFont="1" applyFill="1" applyBorder="1" applyAlignment="1">
      <alignment vertical="center" wrapText="1"/>
    </xf>
    <xf numFmtId="0" fontId="56" fillId="16" borderId="4" xfId="10" applyFont="1" applyFill="1" applyBorder="1" applyAlignment="1">
      <alignment vertical="center"/>
    </xf>
    <xf numFmtId="187" fontId="56" fillId="16" borderId="4" xfId="10" applyNumberFormat="1" applyFont="1" applyFill="1" applyBorder="1" applyAlignment="1">
      <alignment vertical="center"/>
    </xf>
    <xf numFmtId="187" fontId="56" fillId="16" borderId="4" xfId="10" applyNumberFormat="1" applyFont="1" applyFill="1" applyBorder="1" applyAlignment="1">
      <alignment vertical="center" wrapText="1"/>
    </xf>
    <xf numFmtId="0" fontId="56" fillId="0" borderId="0" xfId="10" applyFont="1" applyAlignment="1">
      <alignment vertical="center"/>
    </xf>
    <xf numFmtId="0" fontId="56" fillId="5" borderId="0" xfId="10" applyFont="1" applyFill="1" applyAlignment="1">
      <alignment horizontal="left" vertical="center" wrapText="1"/>
    </xf>
    <xf numFmtId="187" fontId="56" fillId="5" borderId="0" xfId="10" applyNumberFormat="1" applyFont="1" applyFill="1" applyAlignment="1">
      <alignment horizontal="center" vertical="center" wrapText="1"/>
    </xf>
    <xf numFmtId="0" fontId="56" fillId="0" borderId="0" xfId="10" applyFont="1" applyAlignment="1">
      <alignment horizontal="center" vertical="center" wrapText="1"/>
    </xf>
    <xf numFmtId="0" fontId="56" fillId="0" borderId="4" xfId="10" applyFont="1" applyBorder="1" applyAlignment="1">
      <alignment vertical="center"/>
    </xf>
    <xf numFmtId="0" fontId="56" fillId="16" borderId="4" xfId="10" applyFont="1" applyFill="1" applyBorder="1" applyAlignment="1">
      <alignment vertical="center" wrapText="1"/>
    </xf>
    <xf numFmtId="0" fontId="56" fillId="0" borderId="4" xfId="10" applyFont="1" applyBorder="1" applyAlignment="1">
      <alignment horizontal="center" vertical="center" wrapText="1"/>
    </xf>
    <xf numFmtId="187" fontId="56" fillId="0" borderId="4" xfId="10" applyNumberFormat="1" applyFont="1" applyBorder="1" applyAlignment="1">
      <alignment horizontal="center" vertical="center" wrapText="1"/>
    </xf>
    <xf numFmtId="0" fontId="70" fillId="6" borderId="4" xfId="10" applyFont="1" applyFill="1" applyBorder="1" applyAlignment="1">
      <alignment vertical="center"/>
    </xf>
    <xf numFmtId="0" fontId="97" fillId="6" borderId="4" xfId="10" applyFont="1" applyFill="1" applyBorder="1" applyAlignment="1">
      <alignment horizontal="center" vertical="center" wrapText="1"/>
    </xf>
    <xf numFmtId="187" fontId="97" fillId="6" borderId="4" xfId="10" applyNumberFormat="1" applyFont="1" applyFill="1" applyBorder="1" applyAlignment="1">
      <alignment horizontal="center" vertical="center" wrapText="1"/>
    </xf>
    <xf numFmtId="43" fontId="57" fillId="0" borderId="0" xfId="10" applyNumberFormat="1" applyFont="1" applyAlignment="1">
      <alignment vertical="center"/>
    </xf>
    <xf numFmtId="0" fontId="56" fillId="16" borderId="18" xfId="10" applyFont="1" applyFill="1" applyBorder="1" applyAlignment="1">
      <alignment vertical="center"/>
    </xf>
    <xf numFmtId="0" fontId="56" fillId="16" borderId="19" xfId="10" applyFont="1" applyFill="1" applyBorder="1" applyAlignment="1">
      <alignment vertical="center" wrapText="1"/>
    </xf>
    <xf numFmtId="0" fontId="56" fillId="16" borderId="19" xfId="10" applyFont="1" applyFill="1" applyBorder="1" applyAlignment="1">
      <alignment horizontal="center" vertical="center" wrapText="1"/>
    </xf>
    <xf numFmtId="187" fontId="56" fillId="16" borderId="19" xfId="10" applyNumberFormat="1" applyFont="1" applyFill="1" applyBorder="1" applyAlignment="1">
      <alignment horizontal="center" vertical="center" wrapText="1"/>
    </xf>
    <xf numFmtId="0" fontId="57" fillId="0" borderId="0" xfId="10" applyFont="1" applyAlignment="1">
      <alignment horizontal="center" vertical="center" wrapText="1"/>
    </xf>
    <xf numFmtId="10" fontId="10" fillId="0" borderId="4" xfId="70" applyNumberFormat="1" applyFont="1" applyBorder="1" applyAlignment="1">
      <alignment vertical="center"/>
    </xf>
    <xf numFmtId="10" fontId="10" fillId="0" borderId="4" xfId="40" applyNumberFormat="1" applyFont="1" applyFill="1" applyBorder="1" applyAlignment="1">
      <alignment horizontal="center" vertical="center"/>
    </xf>
    <xf numFmtId="10" fontId="10" fillId="0" borderId="4" xfId="40" applyNumberFormat="1" applyFont="1" applyBorder="1" applyAlignment="1">
      <alignment horizontal="center" vertical="center"/>
    </xf>
    <xf numFmtId="169" fontId="8" fillId="0" borderId="4" xfId="69" applyNumberFormat="1" applyFont="1" applyBorder="1" applyAlignment="1">
      <alignment vertical="center"/>
    </xf>
    <xf numFmtId="43" fontId="46" fillId="0" borderId="0" xfId="14" applyNumberFormat="1" applyFont="1">
      <alignment vertical="center"/>
    </xf>
    <xf numFmtId="0" fontId="46" fillId="0" borderId="0" xfId="14" applyFont="1">
      <alignment vertical="center"/>
    </xf>
    <xf numFmtId="1" fontId="17" fillId="0" borderId="4" xfId="69" quotePrefix="1" applyNumberFormat="1" applyFont="1" applyFill="1" applyBorder="1" applyAlignment="1">
      <alignment horizontal="right" vertical="center" wrapText="1"/>
    </xf>
    <xf numFmtId="43" fontId="17" fillId="0" borderId="4" xfId="69" quotePrefix="1" applyNumberFormat="1" applyFont="1" applyFill="1" applyBorder="1" applyAlignment="1">
      <alignment horizontal="right" vertical="center" wrapText="1"/>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Alignment="1">
      <alignment horizontal="center" vertical="center"/>
    </xf>
    <xf numFmtId="0" fontId="28" fillId="0" borderId="0" xfId="14" applyFont="1">
      <alignment vertical="center"/>
    </xf>
    <xf numFmtId="0" fontId="31" fillId="0" borderId="4" xfId="93" applyFont="1" applyBorder="1" applyAlignment="1">
      <alignment vertical="center"/>
    </xf>
    <xf numFmtId="0" fontId="31" fillId="0" borderId="4" xfId="93" applyFont="1" applyBorder="1" applyAlignment="1">
      <alignment horizontal="center" vertical="center"/>
    </xf>
    <xf numFmtId="0" fontId="30" fillId="0" borderId="4" xfId="93" applyFont="1" applyBorder="1" applyAlignment="1">
      <alignment vertical="center"/>
    </xf>
    <xf numFmtId="0" fontId="30" fillId="0" borderId="4" xfId="93" applyFont="1" applyBorder="1" applyAlignment="1">
      <alignment horizontal="center" vertical="center"/>
    </xf>
    <xf numFmtId="0" fontId="30" fillId="0" borderId="0" xfId="93" applyFont="1" applyAlignment="1">
      <alignment vertical="center"/>
    </xf>
    <xf numFmtId="0" fontId="30" fillId="0" borderId="0" xfId="93" applyFont="1" applyAlignment="1">
      <alignment horizontal="center" vertical="center"/>
    </xf>
    <xf numFmtId="0" fontId="8" fillId="0" borderId="0" xfId="15" applyFont="1">
      <alignment vertical="center"/>
    </xf>
    <xf numFmtId="0" fontId="8" fillId="0" borderId="0" xfId="14" applyFont="1" applyAlignment="1">
      <alignment vertical="center" wrapText="1"/>
    </xf>
    <xf numFmtId="164" fontId="10" fillId="0" borderId="4" xfId="94" applyNumberFormat="1" applyFont="1" applyFill="1" applyBorder="1" applyAlignment="1">
      <alignment vertical="center"/>
    </xf>
    <xf numFmtId="164" fontId="11" fillId="0" borderId="4" xfId="94" applyNumberFormat="1" applyFont="1" applyBorder="1" applyAlignment="1">
      <alignment vertical="center"/>
    </xf>
    <xf numFmtId="43" fontId="17" fillId="0" borderId="4" xfId="70" applyNumberFormat="1" applyFont="1" applyFill="1" applyBorder="1" applyAlignment="1">
      <alignment horizontal="center" vertical="center" wrapText="1"/>
    </xf>
    <xf numFmtId="0" fontId="8" fillId="0" borderId="0" xfId="10" applyFont="1" applyAlignment="1">
      <alignment horizontal="center" vertical="center"/>
    </xf>
    <xf numFmtId="0" fontId="9" fillId="0" borderId="0" xfId="10" applyFont="1" applyAlignment="1">
      <alignment horizontal="left" vertical="center" wrapText="1"/>
    </xf>
    <xf numFmtId="43" fontId="9" fillId="0" borderId="0" xfId="10" applyNumberFormat="1" applyFont="1" applyAlignment="1">
      <alignment horizontal="left" vertical="center" wrapText="1"/>
    </xf>
    <xf numFmtId="0" fontId="9" fillId="0" borderId="0" xfId="10" applyFont="1" applyAlignment="1">
      <alignment horizontal="left" vertical="center"/>
    </xf>
    <xf numFmtId="43" fontId="9" fillId="0" borderId="0" xfId="10" applyNumberFormat="1" applyFont="1" applyAlignment="1">
      <alignment horizontal="left" vertical="center"/>
    </xf>
    <xf numFmtId="43" fontId="9" fillId="0" borderId="0" xfId="10" applyNumberFormat="1" applyFont="1" applyAlignment="1">
      <alignment vertical="center"/>
    </xf>
    <xf numFmtId="164" fontId="8" fillId="0" borderId="0" xfId="69" applyFont="1" applyBorder="1" applyAlignment="1">
      <alignment vertical="top"/>
    </xf>
    <xf numFmtId="164" fontId="9" fillId="0" borderId="0" xfId="69" applyFont="1" applyBorder="1" applyAlignment="1"/>
    <xf numFmtId="164" fontId="9" fillId="0" borderId="0" xfId="69" applyFont="1" applyAlignment="1">
      <alignment vertical="center"/>
    </xf>
    <xf numFmtId="164" fontId="46" fillId="0" borderId="0" xfId="69" applyFont="1" applyAlignment="1">
      <alignment vertical="center"/>
    </xf>
    <xf numFmtId="171" fontId="46" fillId="0" borderId="0" xfId="14" applyNumberFormat="1" applyFont="1">
      <alignment vertical="center"/>
    </xf>
    <xf numFmtId="164" fontId="46" fillId="0" borderId="0" xfId="14" applyNumberFormat="1" applyFont="1">
      <alignment vertical="center"/>
    </xf>
    <xf numFmtId="0" fontId="100" fillId="0" borderId="0" xfId="10" applyFont="1" applyBorder="1" applyAlignment="1"/>
    <xf numFmtId="0" fontId="17" fillId="17" borderId="7" xfId="10" applyFont="1" applyFill="1" applyBorder="1" applyAlignment="1">
      <alignment horizontal="left" vertical="center" wrapText="1"/>
    </xf>
    <xf numFmtId="164" fontId="57" fillId="0" borderId="0" xfId="69" applyFont="1" applyAlignment="1">
      <alignment vertical="center" wrapText="1"/>
    </xf>
    <xf numFmtId="164" fontId="56" fillId="0" borderId="0" xfId="69" applyFont="1" applyBorder="1" applyAlignment="1">
      <alignment horizontal="center" vertical="center"/>
    </xf>
    <xf numFmtId="164" fontId="56" fillId="5" borderId="0" xfId="69" applyFont="1" applyFill="1" applyBorder="1" applyAlignment="1">
      <alignment horizontal="left" vertical="center"/>
    </xf>
    <xf numFmtId="164" fontId="56" fillId="5" borderId="0" xfId="69" applyFont="1" applyFill="1" applyBorder="1" applyAlignment="1">
      <alignment horizontal="left" vertical="center" wrapText="1"/>
    </xf>
    <xf numFmtId="164" fontId="57" fillId="0" borderId="0" xfId="69" applyFont="1" applyAlignment="1">
      <alignment horizontal="centerContinuous" vertical="center" wrapText="1"/>
    </xf>
    <xf numFmtId="164" fontId="56" fillId="0" borderId="0" xfId="69" applyFont="1" applyFill="1" applyBorder="1" applyAlignment="1">
      <alignment horizontal="center" vertical="center" wrapText="1"/>
    </xf>
    <xf numFmtId="164" fontId="56" fillId="4" borderId="4" xfId="69" applyFont="1" applyFill="1" applyBorder="1" applyAlignment="1">
      <alignment horizontal="center" vertical="center" wrapText="1"/>
    </xf>
    <xf numFmtId="164" fontId="57" fillId="0" borderId="4" xfId="69" applyFont="1" applyFill="1" applyBorder="1" applyAlignment="1">
      <alignment vertical="center" wrapText="1"/>
    </xf>
    <xf numFmtId="164" fontId="57" fillId="6" borderId="4" xfId="69" applyFont="1" applyFill="1" applyBorder="1" applyAlignment="1">
      <alignment vertical="center" wrapText="1"/>
    </xf>
    <xf numFmtId="0" fontId="71" fillId="6" borderId="4" xfId="0" applyFont="1" applyFill="1" applyBorder="1" applyAlignment="1">
      <alignment horizontal="center" vertical="center" wrapText="1"/>
    </xf>
    <xf numFmtId="0" fontId="71" fillId="6" borderId="4" xfId="0" applyFont="1" applyFill="1" applyBorder="1" applyAlignment="1">
      <alignment vertical="center" wrapText="1"/>
    </xf>
    <xf numFmtId="187" fontId="71" fillId="6" borderId="4" xfId="0" applyNumberFormat="1" applyFont="1" applyFill="1" applyBorder="1" applyAlignment="1">
      <alignment horizontal="center" vertical="center" wrapText="1"/>
    </xf>
    <xf numFmtId="164" fontId="71" fillId="6" borderId="4" xfId="69" applyFont="1" applyFill="1" applyBorder="1" applyAlignment="1">
      <alignment horizontal="center" vertical="center" wrapText="1"/>
    </xf>
    <xf numFmtId="164" fontId="57" fillId="0" borderId="0" xfId="69" applyFont="1" applyFill="1" applyAlignment="1">
      <alignment vertical="center"/>
    </xf>
    <xf numFmtId="0" fontId="72" fillId="6" borderId="4" xfId="0" applyFont="1" applyFill="1" applyBorder="1" applyAlignment="1">
      <alignment horizontal="center" vertical="center" wrapText="1"/>
    </xf>
    <xf numFmtId="0" fontId="72" fillId="6" borderId="4" xfId="0" applyFont="1" applyFill="1" applyBorder="1" applyAlignment="1">
      <alignment horizontal="left" vertical="center" wrapText="1" indent="2"/>
    </xf>
    <xf numFmtId="164" fontId="57" fillId="6" borderId="4" xfId="69" applyFont="1" applyFill="1" applyBorder="1" applyAlignment="1">
      <alignment horizontal="right" vertical="center" wrapText="1"/>
    </xf>
    <xf numFmtId="164" fontId="57" fillId="6" borderId="4" xfId="69" applyFont="1" applyFill="1" applyBorder="1" applyAlignment="1">
      <alignment horizontal="center" vertical="center" wrapText="1"/>
    </xf>
    <xf numFmtId="0" fontId="57" fillId="6" borderId="4" xfId="0" applyFont="1" applyFill="1" applyBorder="1" applyAlignment="1">
      <alignment horizontal="left" vertical="center" wrapText="1" indent="2"/>
    </xf>
    <xf numFmtId="0" fontId="72" fillId="6" borderId="4" xfId="0" applyFont="1" applyFill="1" applyBorder="1" applyAlignment="1">
      <alignment horizontal="left" vertical="center" wrapText="1"/>
    </xf>
    <xf numFmtId="164" fontId="56" fillId="16" borderId="19" xfId="69" applyFont="1" applyFill="1" applyBorder="1" applyAlignment="1">
      <alignment vertical="center" wrapText="1"/>
    </xf>
    <xf numFmtId="164" fontId="57" fillId="0" borderId="0" xfId="69" applyFont="1" applyFill="1" applyBorder="1" applyAlignment="1">
      <alignment horizontal="center" vertical="center" wrapText="1"/>
    </xf>
    <xf numFmtId="164" fontId="57" fillId="0" borderId="0" xfId="69" applyFont="1" applyBorder="1" applyAlignment="1">
      <alignment horizontal="right" vertical="center"/>
    </xf>
    <xf numFmtId="164" fontId="57" fillId="0" borderId="0" xfId="69" applyFont="1" applyBorder="1" applyAlignment="1">
      <alignment horizontal="center" vertical="center"/>
    </xf>
    <xf numFmtId="9" fontId="57" fillId="0" borderId="0" xfId="70" applyFont="1" applyBorder="1" applyAlignment="1">
      <alignment horizontal="center" vertical="center"/>
    </xf>
    <xf numFmtId="164" fontId="57" fillId="0" borderId="0" xfId="69" applyFont="1" applyBorder="1" applyAlignment="1">
      <alignment horizontal="center" vertical="center" wrapText="1"/>
    </xf>
    <xf numFmtId="164" fontId="57" fillId="0" borderId="0" xfId="69" applyFont="1" applyBorder="1" applyAlignment="1">
      <alignment vertical="center"/>
    </xf>
    <xf numFmtId="164" fontId="57" fillId="0" borderId="10" xfId="69" applyFont="1" applyFill="1" applyBorder="1" applyAlignment="1">
      <alignment horizontal="center" vertical="center" wrapText="1"/>
    </xf>
    <xf numFmtId="164" fontId="57" fillId="0" borderId="10" xfId="69" applyFont="1" applyBorder="1" applyAlignment="1">
      <alignment horizontal="right" vertical="center"/>
    </xf>
    <xf numFmtId="164" fontId="57" fillId="0" borderId="10" xfId="69" applyFont="1" applyBorder="1" applyAlignment="1">
      <alignment horizontal="center" vertical="center"/>
    </xf>
    <xf numFmtId="164" fontId="56" fillId="0" borderId="10" xfId="69" applyFont="1" applyFill="1" applyBorder="1" applyAlignment="1">
      <alignment horizontal="center" vertical="center"/>
    </xf>
    <xf numFmtId="9" fontId="57" fillId="0" borderId="10" xfId="70" applyFont="1" applyBorder="1" applyAlignment="1">
      <alignment horizontal="center" vertical="center"/>
    </xf>
    <xf numFmtId="9" fontId="57" fillId="0" borderId="12" xfId="70" applyFont="1" applyBorder="1" applyAlignment="1">
      <alignment horizontal="center" vertical="center"/>
    </xf>
    <xf numFmtId="164" fontId="56" fillId="0" borderId="0" xfId="69" applyFont="1" applyFill="1" applyBorder="1" applyAlignment="1">
      <alignment horizontal="center" vertical="center"/>
    </xf>
    <xf numFmtId="164" fontId="57" fillId="0" borderId="0" xfId="69" applyFont="1" applyBorder="1" applyAlignment="1">
      <alignment horizontal="centerContinuous" vertical="center"/>
    </xf>
    <xf numFmtId="164" fontId="56" fillId="6" borderId="0" xfId="69" applyFont="1" applyFill="1" applyBorder="1" applyAlignment="1">
      <alignment horizontal="center" vertical="center"/>
    </xf>
    <xf numFmtId="9" fontId="56" fillId="4" borderId="4" xfId="70" applyFont="1" applyFill="1" applyBorder="1" applyAlignment="1">
      <alignment horizontal="center" vertical="center" wrapText="1"/>
    </xf>
    <xf numFmtId="164" fontId="56" fillId="4" borderId="4" xfId="69" applyFont="1" applyFill="1" applyBorder="1" applyAlignment="1">
      <alignment vertical="center"/>
    </xf>
    <xf numFmtId="164" fontId="56" fillId="16" borderId="4" xfId="69" applyFont="1" applyFill="1" applyBorder="1" applyAlignment="1">
      <alignment horizontal="center" vertical="center" wrapText="1"/>
    </xf>
    <xf numFmtId="164" fontId="56" fillId="16" borderId="4" xfId="69" applyFont="1" applyFill="1" applyBorder="1" applyAlignment="1">
      <alignment horizontal="right" vertical="center" wrapText="1"/>
    </xf>
    <xf numFmtId="9" fontId="56" fillId="16" borderId="4" xfId="70" applyFont="1" applyFill="1" applyBorder="1" applyAlignment="1">
      <alignment horizontal="center" vertical="center" wrapText="1"/>
    </xf>
    <xf numFmtId="164" fontId="57" fillId="0" borderId="4" xfId="69" applyFont="1" applyFill="1" applyBorder="1" applyAlignment="1">
      <alignment horizontal="center" vertical="center" wrapText="1"/>
    </xf>
    <xf numFmtId="164" fontId="57" fillId="0" borderId="4" xfId="69" applyFont="1" applyFill="1" applyBorder="1" applyAlignment="1">
      <alignment horizontal="right" vertical="center"/>
    </xf>
    <xf numFmtId="164" fontId="57" fillId="0" borderId="4" xfId="69" applyFont="1" applyFill="1" applyBorder="1" applyAlignment="1">
      <alignment horizontal="center" vertical="center"/>
    </xf>
    <xf numFmtId="9" fontId="57" fillId="0" borderId="4" xfId="70" applyFont="1" applyFill="1" applyBorder="1" applyAlignment="1">
      <alignment horizontal="center" vertical="center"/>
    </xf>
    <xf numFmtId="164" fontId="57" fillId="0" borderId="4" xfId="69" applyFont="1" applyFill="1" applyBorder="1" applyAlignment="1">
      <alignment vertical="center"/>
    </xf>
    <xf numFmtId="0" fontId="71" fillId="17" borderId="4" xfId="0" applyFont="1" applyFill="1" applyBorder="1" applyAlignment="1">
      <alignment horizontal="center" vertical="center" wrapText="1"/>
    </xf>
    <xf numFmtId="0" fontId="71" fillId="17" borderId="4" xfId="0" applyFont="1" applyFill="1" applyBorder="1" applyAlignment="1">
      <alignment vertical="center" wrapText="1"/>
    </xf>
    <xf numFmtId="187" fontId="71" fillId="17" borderId="4" xfId="0" applyNumberFormat="1" applyFont="1" applyFill="1" applyBorder="1" applyAlignment="1">
      <alignment horizontal="center" vertical="center"/>
    </xf>
    <xf numFmtId="187" fontId="71" fillId="17" borderId="4" xfId="0" applyNumberFormat="1" applyFont="1" applyFill="1" applyBorder="1" applyAlignment="1">
      <alignment horizontal="center" vertical="center" wrapText="1"/>
    </xf>
    <xf numFmtId="164" fontId="71" fillId="17" borderId="4" xfId="69" applyFont="1" applyFill="1" applyBorder="1" applyAlignment="1">
      <alignment horizontal="center" vertical="center" wrapText="1"/>
    </xf>
    <xf numFmtId="164" fontId="71" fillId="17" borderId="4" xfId="69" applyFont="1" applyFill="1" applyBorder="1" applyAlignment="1">
      <alignment horizontal="right" vertical="center" wrapText="1"/>
    </xf>
    <xf numFmtId="164" fontId="81" fillId="23" borderId="4" xfId="69" applyFont="1" applyFill="1" applyBorder="1" applyAlignment="1">
      <alignment horizontal="center" vertical="center" wrapText="1"/>
    </xf>
    <xf numFmtId="9" fontId="57" fillId="17" borderId="4" xfId="70" applyFont="1" applyFill="1" applyBorder="1" applyAlignment="1">
      <alignment horizontal="center" vertical="center"/>
    </xf>
    <xf numFmtId="9" fontId="81" fillId="17" borderId="4" xfId="70" applyFont="1" applyFill="1" applyBorder="1" applyAlignment="1">
      <alignment horizontal="center" vertical="center"/>
    </xf>
    <xf numFmtId="164" fontId="77" fillId="17" borderId="4" xfId="69" applyFont="1" applyFill="1" applyBorder="1" applyAlignment="1">
      <alignment horizontal="center" vertical="center" wrapText="1"/>
    </xf>
    <xf numFmtId="0" fontId="72" fillId="17" borderId="4" xfId="0" applyFont="1" applyFill="1" applyBorder="1" applyAlignment="1" applyProtection="1">
      <alignment horizontal="center" vertical="center" wrapText="1"/>
      <protection locked="0"/>
    </xf>
    <xf numFmtId="164" fontId="57" fillId="17" borderId="0" xfId="69" applyFont="1" applyFill="1" applyBorder="1" applyAlignment="1">
      <alignment vertical="center"/>
    </xf>
    <xf numFmtId="164" fontId="77" fillId="23" borderId="4" xfId="69" applyFont="1" applyFill="1" applyBorder="1" applyAlignment="1">
      <alignment horizontal="center" vertical="center" wrapText="1"/>
    </xf>
    <xf numFmtId="9" fontId="81" fillId="23" borderId="4" xfId="70" applyFont="1" applyFill="1" applyBorder="1" applyAlignment="1">
      <alignment horizontal="center" vertical="center"/>
    </xf>
    <xf numFmtId="0" fontId="72" fillId="17" borderId="4" xfId="0" applyFont="1" applyFill="1" applyBorder="1" applyAlignment="1">
      <alignment horizontal="center" vertical="center" wrapText="1"/>
    </xf>
    <xf numFmtId="0" fontId="72" fillId="17" borderId="4" xfId="0" applyFont="1" applyFill="1" applyBorder="1" applyAlignment="1">
      <alignment horizontal="left" vertical="center" wrapText="1" indent="2"/>
    </xf>
    <xf numFmtId="0" fontId="57" fillId="17" borderId="4" xfId="0" applyFont="1" applyFill="1" applyBorder="1" applyAlignment="1">
      <alignment horizontal="center" vertical="center" wrapText="1"/>
    </xf>
    <xf numFmtId="187" fontId="72" fillId="17" borderId="4" xfId="0" applyNumberFormat="1" applyFont="1" applyFill="1" applyBorder="1" applyAlignment="1">
      <alignment horizontal="center" vertical="center" wrapText="1"/>
    </xf>
    <xf numFmtId="164" fontId="57" fillId="17" borderId="4" xfId="69" applyFont="1" applyFill="1" applyBorder="1" applyAlignment="1">
      <alignment horizontal="center" vertical="center" wrapText="1"/>
    </xf>
    <xf numFmtId="164" fontId="57" fillId="17" borderId="4" xfId="69" applyFont="1" applyFill="1" applyBorder="1" applyAlignment="1">
      <alignment horizontal="right" vertical="center"/>
    </xf>
    <xf numFmtId="164" fontId="57" fillId="17" borderId="4" xfId="69" applyFont="1" applyFill="1" applyBorder="1" applyAlignment="1">
      <alignment horizontal="center" vertical="center"/>
    </xf>
    <xf numFmtId="164" fontId="81" fillId="23" borderId="4" xfId="69" applyFont="1" applyFill="1" applyBorder="1" applyAlignment="1">
      <alignment horizontal="center" vertical="center"/>
    </xf>
    <xf numFmtId="164" fontId="57" fillId="17" borderId="4" xfId="69" applyFont="1" applyFill="1" applyBorder="1" applyAlignment="1">
      <alignment vertical="center"/>
    </xf>
    <xf numFmtId="164" fontId="81" fillId="23" borderId="4" xfId="69" applyFont="1" applyFill="1" applyBorder="1" applyAlignment="1">
      <alignment vertical="center"/>
    </xf>
    <xf numFmtId="0" fontId="57" fillId="17" borderId="4" xfId="0" applyFont="1" applyFill="1" applyBorder="1" applyAlignment="1">
      <alignment horizontal="left" vertical="center" wrapText="1" indent="2"/>
    </xf>
    <xf numFmtId="0" fontId="72" fillId="17" borderId="4" xfId="0" applyFont="1" applyFill="1" applyBorder="1" applyAlignment="1">
      <alignment horizontal="center" vertical="center"/>
    </xf>
    <xf numFmtId="0" fontId="17" fillId="17" borderId="4" xfId="0" applyFont="1" applyFill="1" applyBorder="1" applyAlignment="1" applyProtection="1">
      <alignment horizontal="left" vertical="center" wrapText="1"/>
      <protection locked="0"/>
    </xf>
    <xf numFmtId="0" fontId="57" fillId="6" borderId="4" xfId="0" applyFont="1" applyFill="1" applyBorder="1" applyAlignment="1">
      <alignment horizontal="center" vertical="center" wrapText="1"/>
    </xf>
    <xf numFmtId="187" fontId="72" fillId="6" borderId="4" xfId="0" applyNumberFormat="1" applyFont="1" applyFill="1" applyBorder="1" applyAlignment="1">
      <alignment horizontal="center" vertical="center" wrapText="1"/>
    </xf>
    <xf numFmtId="0" fontId="17" fillId="6" borderId="4" xfId="0" applyFont="1" applyFill="1" applyBorder="1" applyAlignment="1" applyProtection="1">
      <alignment horizontal="left" vertical="center" wrapText="1"/>
      <protection locked="0"/>
    </xf>
    <xf numFmtId="164" fontId="57" fillId="6" borderId="4" xfId="69" applyFont="1" applyFill="1" applyBorder="1" applyAlignment="1">
      <alignment horizontal="right" vertical="center"/>
    </xf>
    <xf numFmtId="164" fontId="57" fillId="6" borderId="4" xfId="69" applyFont="1" applyFill="1" applyBorder="1" applyAlignment="1">
      <alignment horizontal="center" vertical="center"/>
    </xf>
    <xf numFmtId="164" fontId="81" fillId="6" borderId="4" xfId="69" applyFont="1" applyFill="1" applyBorder="1" applyAlignment="1">
      <alignment horizontal="center" vertical="center"/>
    </xf>
    <xf numFmtId="9" fontId="57" fillId="6" borderId="4" xfId="70" applyFont="1" applyFill="1" applyBorder="1" applyAlignment="1">
      <alignment horizontal="center" vertical="center"/>
    </xf>
    <xf numFmtId="9" fontId="81" fillId="6" borderId="4" xfId="70" applyFont="1" applyFill="1" applyBorder="1" applyAlignment="1">
      <alignment horizontal="center" vertical="center"/>
    </xf>
    <xf numFmtId="9" fontId="81" fillId="24" borderId="4" xfId="70" applyFont="1" applyFill="1" applyBorder="1" applyAlignment="1">
      <alignment horizontal="center" vertical="center"/>
    </xf>
    <xf numFmtId="164" fontId="57" fillId="6" borderId="4" xfId="69" applyFont="1" applyFill="1" applyBorder="1" applyAlignment="1">
      <alignment vertical="center"/>
    </xf>
    <xf numFmtId="164" fontId="81" fillId="17" borderId="4" xfId="69" applyFont="1" applyFill="1" applyBorder="1" applyAlignment="1">
      <alignment vertical="center"/>
    </xf>
    <xf numFmtId="0" fontId="72" fillId="6" borderId="4" xfId="0" applyFont="1" applyFill="1" applyBorder="1" applyAlignment="1" applyProtection="1">
      <alignment horizontal="center" vertical="center" wrapText="1"/>
      <protection locked="0"/>
    </xf>
    <xf numFmtId="164" fontId="57" fillId="6" borderId="0" xfId="69" applyFont="1" applyFill="1" applyBorder="1" applyAlignment="1">
      <alignment vertical="center"/>
    </xf>
    <xf numFmtId="187" fontId="71" fillId="6" borderId="4" xfId="0" applyNumberFormat="1" applyFont="1" applyFill="1" applyBorder="1" applyAlignment="1">
      <alignment horizontal="center" vertical="center"/>
    </xf>
    <xf numFmtId="164" fontId="71" fillId="6" borderId="4" xfId="69" applyFont="1" applyFill="1" applyBorder="1" applyAlignment="1">
      <alignment horizontal="right" vertical="center" wrapText="1"/>
    </xf>
    <xf numFmtId="164" fontId="77" fillId="24" borderId="4" xfId="69" applyFont="1" applyFill="1" applyBorder="1" applyAlignment="1">
      <alignment horizontal="center" vertical="center" wrapText="1"/>
    </xf>
    <xf numFmtId="164" fontId="81" fillId="24" borderId="4" xfId="69" applyFont="1" applyFill="1" applyBorder="1" applyAlignment="1">
      <alignment horizontal="center" vertical="center"/>
    </xf>
    <xf numFmtId="164" fontId="81" fillId="6" borderId="4" xfId="69" applyFont="1" applyFill="1" applyBorder="1" applyAlignment="1">
      <alignment vertical="center"/>
    </xf>
    <xf numFmtId="0" fontId="17" fillId="6" borderId="7" xfId="0" applyFont="1" applyFill="1" applyBorder="1" applyAlignment="1" applyProtection="1">
      <alignment horizontal="left" vertical="center" wrapText="1"/>
      <protection locked="0"/>
    </xf>
    <xf numFmtId="164" fontId="81" fillId="6" borderId="4" xfId="69" applyFont="1" applyFill="1" applyBorder="1" applyAlignment="1">
      <alignment horizontal="right" vertical="center"/>
    </xf>
    <xf numFmtId="164" fontId="81" fillId="24" borderId="4" xfId="69" applyFont="1" applyFill="1" applyBorder="1" applyAlignment="1">
      <alignment vertical="center"/>
    </xf>
    <xf numFmtId="0" fontId="17" fillId="17" borderId="10" xfId="0" applyFont="1" applyFill="1" applyBorder="1" applyAlignment="1" applyProtection="1">
      <alignment horizontal="left" vertical="center" wrapText="1"/>
      <protection locked="0"/>
    </xf>
    <xf numFmtId="0" fontId="17" fillId="6" borderId="10" xfId="0" applyFont="1" applyFill="1" applyBorder="1" applyAlignment="1" applyProtection="1">
      <alignment horizontal="left" vertical="center" wrapText="1"/>
      <protection locked="0"/>
    </xf>
    <xf numFmtId="0" fontId="17" fillId="17" borderId="6" xfId="0" applyFont="1" applyFill="1" applyBorder="1" applyAlignment="1" applyProtection="1">
      <alignment horizontal="left" vertical="center" wrapText="1"/>
      <protection locked="0"/>
    </xf>
    <xf numFmtId="164" fontId="71" fillId="0" borderId="4" xfId="69" applyFont="1" applyFill="1" applyBorder="1" applyAlignment="1">
      <alignment horizontal="center" vertical="center" wrapText="1"/>
    </xf>
    <xf numFmtId="164" fontId="81" fillId="25" borderId="4" xfId="69" applyFont="1" applyFill="1" applyBorder="1" applyAlignment="1">
      <alignment horizontal="center" vertical="center"/>
    </xf>
    <xf numFmtId="9" fontId="81" fillId="25" borderId="4" xfId="70" applyFont="1" applyFill="1" applyBorder="1" applyAlignment="1">
      <alignment horizontal="center" vertical="center"/>
    </xf>
    <xf numFmtId="164" fontId="81" fillId="25" borderId="4" xfId="69" applyFont="1" applyFill="1" applyBorder="1" applyAlignment="1">
      <alignment vertical="center"/>
    </xf>
    <xf numFmtId="164" fontId="57" fillId="0" borderId="0" xfId="69" applyFont="1" applyFill="1" applyBorder="1" applyAlignment="1">
      <alignment vertical="center"/>
    </xf>
    <xf numFmtId="164" fontId="81" fillId="24" borderId="4" xfId="69" applyFont="1" applyFill="1" applyBorder="1" applyAlignment="1">
      <alignment horizontal="center" vertical="center" wrapText="1"/>
    </xf>
    <xf numFmtId="0" fontId="72" fillId="6" borderId="4" xfId="0" applyFont="1" applyFill="1" applyBorder="1" applyAlignment="1">
      <alignment horizontal="center" vertical="center"/>
    </xf>
    <xf numFmtId="164" fontId="72" fillId="6" borderId="4" xfId="69" applyFont="1" applyFill="1" applyBorder="1" applyAlignment="1">
      <alignment horizontal="center" vertical="center" wrapText="1"/>
    </xf>
    <xf numFmtId="164" fontId="72" fillId="17" borderId="4" xfId="69" applyFont="1" applyFill="1" applyBorder="1" applyAlignment="1">
      <alignment horizontal="center" vertical="center" wrapText="1"/>
    </xf>
    <xf numFmtId="0" fontId="72" fillId="17" borderId="4" xfId="0" applyFont="1" applyFill="1" applyBorder="1" applyAlignment="1">
      <alignment vertical="center" wrapText="1"/>
    </xf>
    <xf numFmtId="164" fontId="82" fillId="17" borderId="4" xfId="69" applyFont="1" applyFill="1" applyBorder="1" applyAlignment="1">
      <alignment vertical="center" wrapText="1"/>
    </xf>
    <xf numFmtId="164" fontId="82" fillId="17" borderId="4" xfId="69" applyFont="1" applyFill="1" applyBorder="1" applyAlignment="1">
      <alignment horizontal="right" vertical="center" wrapText="1"/>
    </xf>
    <xf numFmtId="188" fontId="82" fillId="17" borderId="4" xfId="69" applyNumberFormat="1" applyFont="1" applyFill="1" applyBorder="1" applyAlignment="1">
      <alignment horizontal="right" vertical="center" wrapText="1"/>
    </xf>
    <xf numFmtId="164" fontId="82" fillId="17" borderId="4" xfId="69" applyFont="1" applyFill="1" applyBorder="1" applyAlignment="1">
      <alignment horizontal="center" vertical="center" wrapText="1"/>
    </xf>
    <xf numFmtId="164" fontId="83" fillId="23" borderId="4" xfId="69" applyFont="1" applyFill="1" applyBorder="1" applyAlignment="1">
      <alignment horizontal="center" vertical="center" wrapText="1"/>
    </xf>
    <xf numFmtId="164" fontId="82" fillId="17" borderId="4" xfId="69" applyFont="1" applyFill="1" applyBorder="1" applyAlignment="1" applyProtection="1">
      <alignment horizontal="center" vertical="center" wrapText="1"/>
    </xf>
    <xf numFmtId="0" fontId="85" fillId="24" borderId="4" xfId="0" applyFont="1" applyFill="1" applyBorder="1" applyAlignment="1">
      <alignment horizontal="center" vertical="center" wrapText="1"/>
    </xf>
    <xf numFmtId="0" fontId="85" fillId="23" borderId="4" xfId="0" applyFont="1" applyFill="1" applyBorder="1" applyAlignment="1">
      <alignment horizontal="center" vertical="center" wrapText="1"/>
    </xf>
    <xf numFmtId="164" fontId="77" fillId="25" borderId="4" xfId="69"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5" fillId="17" borderId="4" xfId="74" applyFont="1" applyFill="1" applyBorder="1" applyAlignment="1" applyProtection="1">
      <alignment horizontal="center" vertical="center" wrapText="1"/>
      <protection locked="0"/>
    </xf>
    <xf numFmtId="0" fontId="73" fillId="6" borderId="4" xfId="74" applyFont="1" applyFill="1" applyBorder="1" applyAlignment="1">
      <alignment horizontal="center" vertical="center" wrapText="1"/>
    </xf>
    <xf numFmtId="0" fontId="74" fillId="6" borderId="4" xfId="74" applyFont="1" applyFill="1" applyBorder="1" applyAlignment="1">
      <alignment vertical="center" wrapText="1"/>
    </xf>
    <xf numFmtId="187" fontId="73" fillId="6" borderId="4" xfId="74" applyNumberFormat="1" applyFont="1" applyFill="1" applyBorder="1" applyAlignment="1">
      <alignment horizontal="center" vertical="center" wrapText="1"/>
    </xf>
    <xf numFmtId="164" fontId="8" fillId="6" borderId="4" xfId="72" applyFont="1" applyFill="1" applyBorder="1" applyAlignment="1">
      <alignment vertical="center"/>
    </xf>
    <xf numFmtId="164" fontId="8" fillId="24" borderId="4" xfId="72" applyFont="1" applyFill="1" applyBorder="1" applyAlignment="1">
      <alignment vertical="center"/>
    </xf>
    <xf numFmtId="9" fontId="8" fillId="6" borderId="4" xfId="75" applyFont="1" applyFill="1" applyBorder="1" applyAlignment="1">
      <alignment vertical="center"/>
    </xf>
    <xf numFmtId="0" fontId="75" fillId="6" borderId="4" xfId="74" applyFont="1" applyFill="1" applyBorder="1" applyAlignment="1" applyProtection="1">
      <alignment horizontal="center" vertical="center" wrapText="1"/>
      <protection locked="0"/>
    </xf>
    <xf numFmtId="164" fontId="57" fillId="6" borderId="0" xfId="72" applyFont="1" applyFill="1" applyBorder="1" applyAlignment="1">
      <alignment vertical="center"/>
    </xf>
    <xf numFmtId="0" fontId="75" fillId="6" borderId="4" xfId="74" applyFont="1" applyFill="1" applyBorder="1" applyAlignment="1">
      <alignment horizontal="center" vertical="center" wrapText="1"/>
    </xf>
    <xf numFmtId="0" fontId="76" fillId="6" borderId="4" xfId="74" applyFont="1" applyFill="1" applyBorder="1" applyAlignment="1">
      <alignment horizontal="left" vertical="center" wrapText="1" indent="2"/>
    </xf>
    <xf numFmtId="0" fontId="55" fillId="6" borderId="4" xfId="74" applyFont="1" applyFill="1" applyBorder="1" applyAlignment="1">
      <alignment horizontal="center" vertical="center" wrapText="1"/>
    </xf>
    <xf numFmtId="187" fontId="55" fillId="6" borderId="4" xfId="74" applyNumberFormat="1" applyFont="1" applyFill="1" applyBorder="1" applyAlignment="1">
      <alignment horizontal="center" vertical="center" wrapText="1"/>
    </xf>
    <xf numFmtId="164" fontId="81" fillId="25" borderId="4" xfId="69" applyFont="1" applyFill="1" applyBorder="1" applyAlignment="1">
      <alignment horizontal="center" vertical="center" wrapText="1"/>
    </xf>
    <xf numFmtId="164" fontId="8" fillId="17" borderId="4" xfId="72" applyFont="1" applyFill="1" applyBorder="1" applyAlignment="1">
      <alignment vertical="center"/>
    </xf>
    <xf numFmtId="164" fontId="81" fillId="6" borderId="4" xfId="69" applyFont="1" applyFill="1" applyBorder="1" applyAlignment="1">
      <alignment horizontal="center" vertical="center" wrapText="1"/>
    </xf>
    <xf numFmtId="0" fontId="72" fillId="6" borderId="4" xfId="0" applyFont="1" applyFill="1" applyBorder="1" applyAlignment="1">
      <alignment vertical="center" wrapText="1"/>
    </xf>
    <xf numFmtId="164" fontId="81" fillId="24" borderId="4" xfId="69" applyFont="1" applyFill="1" applyBorder="1" applyAlignment="1">
      <alignment horizontal="right" vertical="center" wrapText="1"/>
    </xf>
    <xf numFmtId="0" fontId="57" fillId="6" borderId="4" xfId="0" applyFont="1" applyFill="1" applyBorder="1" applyAlignment="1">
      <alignment horizontal="left" vertical="center" wrapText="1"/>
    </xf>
    <xf numFmtId="0" fontId="57" fillId="6" borderId="4" xfId="0" applyFont="1" applyFill="1" applyBorder="1" applyAlignment="1">
      <alignment vertical="center" wrapText="1"/>
    </xf>
    <xf numFmtId="0" fontId="72" fillId="0" borderId="4" xfId="0" applyFont="1" applyBorder="1" applyAlignment="1">
      <alignment horizontal="center" vertical="center" wrapText="1"/>
    </xf>
    <xf numFmtId="0" fontId="72" fillId="0" borderId="4" xfId="0" applyFont="1" applyBorder="1" applyAlignment="1">
      <alignment horizontal="left" vertical="center" wrapText="1" indent="2"/>
    </xf>
    <xf numFmtId="0" fontId="72" fillId="0" borderId="4" xfId="0" applyFont="1" applyBorder="1" applyAlignment="1">
      <alignment horizontal="center" vertical="center"/>
    </xf>
    <xf numFmtId="187" fontId="72" fillId="0" borderId="4" xfId="0" applyNumberFormat="1" applyFont="1" applyBorder="1" applyAlignment="1">
      <alignment horizontal="center" vertical="center" wrapText="1"/>
    </xf>
    <xf numFmtId="0" fontId="72" fillId="0" borderId="4" xfId="0" applyFont="1" applyBorder="1" applyAlignment="1">
      <alignment vertical="center" wrapText="1"/>
    </xf>
    <xf numFmtId="164" fontId="8" fillId="25" borderId="4" xfId="72" applyFont="1" applyFill="1" applyBorder="1" applyAlignment="1">
      <alignment vertical="center"/>
    </xf>
    <xf numFmtId="164" fontId="81" fillId="25" borderId="4" xfId="69" applyFont="1" applyFill="1" applyBorder="1" applyAlignment="1">
      <alignment horizontal="right" vertical="center" wrapText="1"/>
    </xf>
    <xf numFmtId="9" fontId="81" fillId="0" borderId="4" xfId="70" applyFont="1" applyFill="1" applyBorder="1" applyAlignment="1">
      <alignment horizontal="center" vertical="center"/>
    </xf>
    <xf numFmtId="0" fontId="57" fillId="26" borderId="4" xfId="0" applyFont="1" applyFill="1" applyBorder="1" applyAlignment="1">
      <alignment vertical="center" wrapText="1"/>
    </xf>
    <xf numFmtId="0" fontId="57" fillId="27" borderId="4" xfId="0" applyFont="1" applyFill="1" applyBorder="1" applyAlignment="1">
      <alignment vertical="center" wrapText="1"/>
    </xf>
    <xf numFmtId="164" fontId="8" fillId="23" borderId="4" xfId="72" applyFont="1" applyFill="1" applyBorder="1" applyAlignment="1">
      <alignment vertical="center"/>
    </xf>
    <xf numFmtId="0" fontId="88" fillId="6" borderId="4" xfId="0" applyFont="1" applyFill="1" applyBorder="1" applyAlignment="1">
      <alignment vertical="center" wrapText="1"/>
    </xf>
    <xf numFmtId="0" fontId="77" fillId="6" borderId="4" xfId="0" applyFont="1" applyFill="1" applyBorder="1" applyAlignment="1">
      <alignment horizontal="center" vertical="center" wrapText="1"/>
    </xf>
    <xf numFmtId="0" fontId="78" fillId="6" borderId="4" xfId="0" applyFont="1" applyFill="1" applyBorder="1" applyAlignment="1">
      <alignment vertical="center" wrapText="1"/>
    </xf>
    <xf numFmtId="189" fontId="71" fillId="6" borderId="4" xfId="0" applyNumberFormat="1" applyFont="1" applyFill="1" applyBorder="1" applyAlignment="1">
      <alignment horizontal="center" vertical="center" wrapText="1"/>
    </xf>
    <xf numFmtId="164" fontId="56" fillId="6" borderId="4" xfId="69" applyFont="1" applyFill="1" applyBorder="1" applyAlignment="1">
      <alignment horizontal="right" vertical="center"/>
    </xf>
    <xf numFmtId="9" fontId="56" fillId="6" borderId="4" xfId="69" applyNumberFormat="1" applyFont="1" applyFill="1" applyBorder="1" applyAlignment="1">
      <alignment horizontal="right" vertical="center"/>
    </xf>
    <xf numFmtId="164" fontId="56" fillId="17" borderId="4" xfId="69" applyFont="1" applyFill="1" applyBorder="1" applyAlignment="1">
      <alignment horizontal="right" vertical="center"/>
    </xf>
    <xf numFmtId="164" fontId="56" fillId="6" borderId="8" xfId="69" applyFont="1" applyFill="1" applyBorder="1" applyAlignment="1">
      <alignment horizontal="right" vertical="center"/>
    </xf>
    <xf numFmtId="0" fontId="0" fillId="17" borderId="0" xfId="0" applyFill="1" applyAlignment="1">
      <alignment vertical="center"/>
    </xf>
    <xf numFmtId="0" fontId="0" fillId="17" borderId="0" xfId="0" applyFill="1"/>
    <xf numFmtId="0" fontId="71" fillId="0" borderId="4" xfId="0" applyFont="1" applyBorder="1" applyAlignment="1">
      <alignment horizontal="center" vertical="center" wrapText="1"/>
    </xf>
    <xf numFmtId="0" fontId="71" fillId="0" borderId="4" xfId="0" applyFont="1" applyBorder="1" applyAlignment="1">
      <alignment vertical="center" wrapText="1"/>
    </xf>
    <xf numFmtId="164" fontId="81" fillId="0" borderId="4" xfId="69" applyFont="1" applyFill="1" applyBorder="1" applyAlignment="1">
      <alignment horizontal="center" vertical="center"/>
    </xf>
    <xf numFmtId="0" fontId="0" fillId="0" borderId="0" xfId="0" applyAlignment="1">
      <alignment vertical="center"/>
    </xf>
    <xf numFmtId="164" fontId="57" fillId="0" borderId="4" xfId="69" applyFont="1" applyBorder="1" applyAlignment="1">
      <alignment horizontal="right" vertical="center"/>
    </xf>
    <xf numFmtId="164" fontId="57" fillId="0" borderId="4" xfId="69" applyFont="1" applyBorder="1" applyAlignment="1">
      <alignment horizontal="center" vertical="center"/>
    </xf>
    <xf numFmtId="0" fontId="81" fillId="0" borderId="4" xfId="10" applyFont="1" applyBorder="1" applyAlignment="1">
      <alignment vertical="center"/>
    </xf>
    <xf numFmtId="0" fontId="57" fillId="0" borderId="4" xfId="0" applyFont="1" applyBorder="1" applyAlignment="1">
      <alignment horizontal="center" vertical="center" wrapText="1"/>
    </xf>
    <xf numFmtId="164" fontId="57" fillId="14" borderId="4" xfId="69" applyFont="1" applyFill="1" applyBorder="1" applyAlignment="1">
      <alignment horizontal="right" vertical="center"/>
    </xf>
    <xf numFmtId="9" fontId="81" fillId="28" borderId="4" xfId="70" applyFont="1" applyFill="1" applyBorder="1" applyAlignment="1">
      <alignment horizontal="center" vertical="center"/>
    </xf>
    <xf numFmtId="164" fontId="81" fillId="28" borderId="4" xfId="69" applyFont="1" applyFill="1" applyBorder="1" applyAlignment="1">
      <alignment horizontal="center" vertical="center"/>
    </xf>
    <xf numFmtId="9" fontId="57" fillId="0" borderId="4" xfId="70" applyFont="1" applyBorder="1" applyAlignment="1">
      <alignment horizontal="center" vertical="center"/>
    </xf>
    <xf numFmtId="164" fontId="57" fillId="0" borderId="4" xfId="69" applyFont="1" applyBorder="1" applyAlignment="1">
      <alignment horizontal="center" vertical="center" wrapText="1"/>
    </xf>
    <xf numFmtId="164" fontId="57" fillId="0" borderId="4" xfId="69" applyFont="1" applyBorder="1" applyAlignment="1">
      <alignment vertical="center"/>
    </xf>
    <xf numFmtId="164" fontId="81" fillId="0" borderId="4" xfId="69" applyFont="1" applyFill="1" applyBorder="1" applyAlignment="1">
      <alignment vertical="center"/>
    </xf>
    <xf numFmtId="0" fontId="0" fillId="0" borderId="4" xfId="0" applyBorder="1" applyAlignment="1">
      <alignment horizontal="left" vertical="center" wrapText="1"/>
    </xf>
    <xf numFmtId="174" fontId="0" fillId="6" borderId="4" xfId="0" applyNumberFormat="1" applyFill="1" applyBorder="1" applyAlignment="1">
      <alignment horizontal="center" vertical="center"/>
    </xf>
    <xf numFmtId="164" fontId="57" fillId="16" borderId="4" xfId="69" applyFont="1" applyFill="1" applyBorder="1" applyAlignment="1">
      <alignment horizontal="center" vertical="center" wrapText="1"/>
    </xf>
    <xf numFmtId="164" fontId="57" fillId="16" borderId="4" xfId="69" applyFont="1" applyFill="1" applyBorder="1" applyAlignment="1">
      <alignment horizontal="right" vertical="center"/>
    </xf>
    <xf numFmtId="164" fontId="57" fillId="16" borderId="4" xfId="69" applyFont="1" applyFill="1" applyBorder="1" applyAlignment="1">
      <alignment horizontal="center" vertical="center"/>
    </xf>
    <xf numFmtId="9" fontId="57" fillId="16" borderId="4" xfId="70" applyFont="1" applyFill="1" applyBorder="1" applyAlignment="1">
      <alignment horizontal="center" vertical="center"/>
    </xf>
    <xf numFmtId="164" fontId="71" fillId="16" borderId="4" xfId="69" applyFont="1" applyFill="1" applyBorder="1" applyAlignment="1">
      <alignment horizontal="center" vertical="center" wrapText="1"/>
    </xf>
    <xf numFmtId="189" fontId="71" fillId="0" borderId="4" xfId="0" applyNumberFormat="1" applyFont="1" applyBorder="1" applyAlignment="1">
      <alignment horizontal="center" vertical="center" wrapText="1"/>
    </xf>
    <xf numFmtId="0" fontId="1" fillId="0" borderId="4" xfId="0" applyFont="1" applyBorder="1" applyAlignment="1">
      <alignment vertical="center" wrapText="1"/>
    </xf>
    <xf numFmtId="0" fontId="72" fillId="0" borderId="5" xfId="0" applyFont="1" applyBorder="1" applyAlignment="1">
      <alignment horizontal="center" vertical="center" wrapText="1"/>
    </xf>
    <xf numFmtId="0" fontId="84" fillId="0" borderId="4" xfId="0" applyFont="1" applyBorder="1" applyAlignment="1">
      <alignment horizontal="justify" vertical="center" wrapText="1"/>
    </xf>
    <xf numFmtId="0" fontId="72" fillId="0" borderId="8" xfId="0" applyFont="1" applyBorder="1" applyAlignment="1">
      <alignment horizontal="center" vertical="center"/>
    </xf>
    <xf numFmtId="164" fontId="57" fillId="17" borderId="4" xfId="69" applyFont="1" applyFill="1" applyBorder="1" applyAlignment="1">
      <alignment horizontal="left" vertical="center"/>
    </xf>
    <xf numFmtId="164" fontId="57" fillId="14" borderId="4" xfId="69" applyFont="1" applyFill="1" applyBorder="1" applyAlignment="1">
      <alignment horizontal="left" vertical="center"/>
    </xf>
    <xf numFmtId="0" fontId="89" fillId="0" borderId="4" xfId="0" applyFont="1" applyBorder="1" applyAlignment="1">
      <alignment horizontal="justify" vertical="center" wrapText="1"/>
    </xf>
    <xf numFmtId="2" fontId="57" fillId="17" borderId="4" xfId="69" applyNumberFormat="1" applyFont="1" applyFill="1" applyBorder="1" applyAlignment="1">
      <alignment horizontal="center" vertical="center"/>
    </xf>
    <xf numFmtId="0" fontId="1" fillId="0" borderId="4" xfId="0" applyFont="1" applyBorder="1" applyAlignment="1">
      <alignment vertical="center"/>
    </xf>
    <xf numFmtId="0" fontId="1" fillId="0" borderId="4" xfId="0" applyFont="1" applyBorder="1" applyAlignment="1">
      <alignment wrapText="1"/>
    </xf>
    <xf numFmtId="0" fontId="90" fillId="0" borderId="4" xfId="0" applyFont="1" applyBorder="1" applyAlignment="1">
      <alignment vertical="center" wrapText="1"/>
    </xf>
    <xf numFmtId="164" fontId="76" fillId="17" borderId="4" xfId="69" applyFont="1" applyFill="1" applyBorder="1" applyAlignment="1">
      <alignment horizontal="right" vertical="center"/>
    </xf>
    <xf numFmtId="164" fontId="76" fillId="17" borderId="4" xfId="69" applyFont="1" applyFill="1" applyBorder="1" applyAlignment="1">
      <alignment horizontal="left" vertical="center"/>
    </xf>
    <xf numFmtId="164" fontId="76" fillId="17" borderId="4" xfId="69" applyFont="1" applyFill="1" applyBorder="1" applyAlignment="1">
      <alignment horizontal="right" vertical="center" wrapText="1"/>
    </xf>
    <xf numFmtId="0" fontId="77" fillId="0" borderId="4" xfId="0" applyFont="1" applyBorder="1" applyAlignment="1">
      <alignment horizontal="center" vertical="center" wrapText="1"/>
    </xf>
    <xf numFmtId="0" fontId="91" fillId="0" borderId="4" xfId="0" applyFont="1" applyBorder="1" applyAlignment="1">
      <alignment vertical="center" wrapText="1"/>
    </xf>
    <xf numFmtId="0" fontId="92" fillId="0" borderId="4" xfId="0" applyFont="1" applyBorder="1" applyAlignment="1">
      <alignment horizontal="center" vertical="center"/>
    </xf>
    <xf numFmtId="164" fontId="76" fillId="17" borderId="4" xfId="69" applyFont="1" applyFill="1" applyBorder="1" applyAlignment="1">
      <alignment horizontal="left" vertical="center" wrapText="1"/>
    </xf>
    <xf numFmtId="164" fontId="56" fillId="17" borderId="4" xfId="69" applyFont="1" applyFill="1" applyBorder="1" applyAlignment="1">
      <alignment horizontal="right" vertical="center" wrapText="1"/>
    </xf>
    <xf numFmtId="0" fontId="78" fillId="0" borderId="4" xfId="0" applyFont="1" applyBorder="1" applyAlignment="1">
      <alignment vertical="center" wrapText="1"/>
    </xf>
    <xf numFmtId="164" fontId="57" fillId="29" borderId="4" xfId="69" applyFont="1" applyFill="1" applyBorder="1" applyAlignment="1">
      <alignment horizontal="right" vertical="center"/>
    </xf>
    <xf numFmtId="0" fontId="93" fillId="0" borderId="4" xfId="0" applyFont="1" applyBorder="1" applyAlignment="1">
      <alignment horizontal="center" vertical="center" wrapText="1"/>
    </xf>
    <xf numFmtId="164" fontId="76" fillId="17" borderId="4" xfId="69" applyFont="1" applyFill="1" applyBorder="1" applyAlignment="1">
      <alignment horizontal="center" vertical="center"/>
    </xf>
    <xf numFmtId="187" fontId="94" fillId="0" borderId="4" xfId="0" applyNumberFormat="1" applyFont="1" applyBorder="1" applyAlignment="1">
      <alignment horizontal="center" vertical="center" wrapText="1"/>
    </xf>
    <xf numFmtId="0" fontId="93" fillId="0" borderId="5" xfId="0" applyFont="1" applyBorder="1" applyAlignment="1">
      <alignment horizontal="center" vertical="center" wrapText="1"/>
    </xf>
    <xf numFmtId="0" fontId="84" fillId="14" borderId="4" xfId="0" applyFont="1" applyFill="1" applyBorder="1" applyAlignment="1">
      <alignment horizontal="justify" vertical="center" wrapText="1"/>
    </xf>
    <xf numFmtId="0" fontId="1" fillId="17" borderId="4" xfId="0" applyFont="1" applyFill="1" applyBorder="1" applyAlignment="1">
      <alignment vertical="center"/>
    </xf>
    <xf numFmtId="0" fontId="1" fillId="17" borderId="4" xfId="0" applyFont="1" applyFill="1" applyBorder="1" applyAlignment="1">
      <alignment wrapText="1"/>
    </xf>
    <xf numFmtId="164" fontId="57" fillId="17" borderId="5" xfId="69" applyFont="1" applyFill="1" applyBorder="1" applyAlignment="1">
      <alignment horizontal="right" vertical="center"/>
    </xf>
    <xf numFmtId="164" fontId="57" fillId="17" borderId="0" xfId="69" applyFont="1" applyFill="1" applyBorder="1" applyAlignment="1">
      <alignment horizontal="right" vertical="center"/>
    </xf>
    <xf numFmtId="164" fontId="57" fillId="6" borderId="0" xfId="69" applyFont="1" applyFill="1" applyBorder="1" applyAlignment="1">
      <alignment horizontal="right" vertical="center"/>
    </xf>
    <xf numFmtId="0" fontId="57" fillId="14" borderId="4" xfId="0" applyFont="1" applyFill="1" applyBorder="1" applyAlignment="1">
      <alignment horizontal="left" vertical="center" wrapText="1"/>
    </xf>
    <xf numFmtId="164" fontId="81" fillId="0" borderId="4" xfId="69" applyFont="1" applyFill="1" applyBorder="1" applyAlignment="1">
      <alignment horizontal="center" vertical="center" wrapText="1"/>
    </xf>
    <xf numFmtId="164" fontId="81" fillId="0" borderId="0" xfId="69" applyFont="1" applyFill="1" applyBorder="1" applyAlignment="1">
      <alignment horizontal="center" vertical="center"/>
    </xf>
    <xf numFmtId="164" fontId="57" fillId="16" borderId="4" xfId="69" applyFont="1" applyFill="1" applyBorder="1" applyAlignment="1">
      <alignment vertical="center"/>
    </xf>
    <xf numFmtId="0" fontId="72" fillId="16" borderId="4" xfId="0" applyFont="1" applyFill="1" applyBorder="1" applyAlignment="1" applyProtection="1">
      <alignment horizontal="center" vertical="center" wrapText="1"/>
      <protection locked="0"/>
    </xf>
    <xf numFmtId="0" fontId="72" fillId="30" borderId="4" xfId="0" applyFont="1" applyFill="1" applyBorder="1" applyAlignment="1">
      <alignment horizontal="center" vertical="center" wrapText="1"/>
    </xf>
    <xf numFmtId="9" fontId="56" fillId="16" borderId="4" xfId="70" applyFont="1" applyFill="1" applyBorder="1" applyAlignment="1">
      <alignment horizontal="center" vertical="center"/>
    </xf>
    <xf numFmtId="164" fontId="56" fillId="16" borderId="4" xfId="69" applyFont="1" applyFill="1" applyBorder="1" applyAlignment="1">
      <alignment vertical="center"/>
    </xf>
    <xf numFmtId="164" fontId="57" fillId="0" borderId="0" xfId="69" applyFont="1" applyFill="1" applyBorder="1" applyAlignment="1">
      <alignment horizontal="right" vertical="center" wrapText="1"/>
    </xf>
    <xf numFmtId="9" fontId="57" fillId="0" borderId="0" xfId="70" applyFont="1" applyFill="1" applyBorder="1" applyAlignment="1">
      <alignment horizontal="center" vertical="center" wrapText="1"/>
    </xf>
    <xf numFmtId="164" fontId="56" fillId="0" borderId="0" xfId="69" applyFont="1" applyBorder="1" applyAlignment="1">
      <alignment horizontal="right" vertical="center"/>
    </xf>
    <xf numFmtId="187" fontId="57" fillId="0" borderId="0" xfId="69" applyNumberFormat="1" applyFont="1" applyFill="1" applyBorder="1" applyAlignment="1">
      <alignment horizontal="center" vertical="center" wrapText="1"/>
    </xf>
    <xf numFmtId="164" fontId="57" fillId="14" borderId="0" xfId="69" applyFont="1" applyFill="1" applyBorder="1" applyAlignment="1">
      <alignment horizontal="center" vertical="center"/>
    </xf>
    <xf numFmtId="164" fontId="56" fillId="0" borderId="0" xfId="69" applyFont="1" applyFill="1" applyBorder="1" applyAlignment="1">
      <alignment horizontal="right" vertical="center" wrapText="1"/>
    </xf>
    <xf numFmtId="175" fontId="57" fillId="0" borderId="0" xfId="69" applyNumberFormat="1" applyFont="1" applyBorder="1" applyAlignment="1">
      <alignment horizontal="center" vertical="center"/>
    </xf>
    <xf numFmtId="164" fontId="57" fillId="0" borderId="0" xfId="69" applyFont="1" applyBorder="1"/>
    <xf numFmtId="187" fontId="57" fillId="0" borderId="0" xfId="69" applyNumberFormat="1" applyFont="1" applyBorder="1"/>
    <xf numFmtId="164" fontId="56" fillId="5" borderId="0" xfId="69" applyFont="1" applyFill="1" applyBorder="1" applyAlignment="1">
      <alignment horizontal="left"/>
    </xf>
    <xf numFmtId="164" fontId="56" fillId="0" borderId="0" xfId="69" applyFont="1" applyFill="1" applyBorder="1" applyAlignment="1">
      <alignment horizontal="center"/>
    </xf>
    <xf numFmtId="164" fontId="56" fillId="22" borderId="4" xfId="69" applyFont="1" applyFill="1" applyBorder="1" applyAlignment="1">
      <alignment horizontal="center" vertical="center" wrapText="1"/>
    </xf>
    <xf numFmtId="175" fontId="56" fillId="16" borderId="4" xfId="69" applyNumberFormat="1" applyFont="1" applyFill="1" applyBorder="1" applyAlignment="1">
      <alignment horizontal="center" vertical="center" wrapText="1"/>
    </xf>
    <xf numFmtId="187" fontId="56" fillId="16" borderId="4" xfId="69" applyNumberFormat="1" applyFont="1" applyFill="1" applyBorder="1" applyAlignment="1">
      <alignment horizontal="center" vertical="center" wrapText="1"/>
    </xf>
    <xf numFmtId="175" fontId="56" fillId="0" borderId="4" xfId="69" applyNumberFormat="1" applyFont="1" applyFill="1" applyBorder="1" applyAlignment="1">
      <alignment horizontal="center" vertical="center"/>
    </xf>
    <xf numFmtId="164" fontId="69" fillId="0" borderId="4" xfId="69" applyFont="1" applyFill="1" applyBorder="1" applyAlignment="1">
      <alignment wrapText="1"/>
    </xf>
    <xf numFmtId="164" fontId="57" fillId="17" borderId="4" xfId="69" applyFont="1" applyFill="1" applyBorder="1"/>
    <xf numFmtId="164" fontId="57" fillId="14" borderId="4" xfId="69" applyFont="1" applyFill="1" applyBorder="1"/>
    <xf numFmtId="187" fontId="71" fillId="0" borderId="4" xfId="0" applyNumberFormat="1" applyFont="1" applyBorder="1" applyAlignment="1">
      <alignment horizontal="center" vertical="center" wrapText="1"/>
    </xf>
    <xf numFmtId="0" fontId="57" fillId="0" borderId="4" xfId="0" applyFont="1" applyBorder="1" applyAlignment="1">
      <alignment horizontal="left" vertical="center" wrapText="1" indent="2"/>
    </xf>
    <xf numFmtId="164" fontId="57" fillId="0" borderId="0" xfId="69" applyFont="1" applyBorder="1" applyAlignment="1">
      <alignment wrapText="1"/>
    </xf>
    <xf numFmtId="10" fontId="8" fillId="0" borderId="4" xfId="14" applyNumberFormat="1" applyFont="1" applyBorder="1">
      <alignment vertical="center"/>
    </xf>
    <xf numFmtId="10" fontId="8" fillId="0" borderId="4" xfId="40" applyNumberFormat="1" applyFont="1" applyBorder="1" applyAlignment="1">
      <alignment vertical="center"/>
    </xf>
    <xf numFmtId="190" fontId="8" fillId="0" borderId="4" xfId="69" applyNumberFormat="1" applyFont="1" applyBorder="1" applyAlignment="1">
      <alignment vertical="center"/>
    </xf>
    <xf numFmtId="164" fontId="46" fillId="0" borderId="0" xfId="69" applyFont="1" applyFill="1" applyAlignment="1">
      <alignment vertical="center"/>
    </xf>
    <xf numFmtId="0" fontId="14" fillId="0" borderId="0" xfId="14" applyFont="1" applyAlignment="1">
      <alignment horizontal="center" vertical="center"/>
    </xf>
    <xf numFmtId="0" fontId="43" fillId="0" borderId="0" xfId="10" applyFont="1" applyAlignment="1">
      <alignment horizontal="center" vertical="center"/>
    </xf>
    <xf numFmtId="0" fontId="14" fillId="15" borderId="0" xfId="14" applyFont="1" applyFill="1" applyAlignment="1">
      <alignment horizontal="center" vertical="center"/>
    </xf>
    <xf numFmtId="0" fontId="43" fillId="15" borderId="0" xfId="10" applyFont="1" applyFill="1" applyAlignment="1">
      <alignment horizontal="center" vertical="center"/>
    </xf>
    <xf numFmtId="0" fontId="13" fillId="4" borderId="7" xfId="14" applyFont="1" applyFill="1" applyBorder="1" applyAlignment="1">
      <alignment horizontal="center" vertical="center"/>
    </xf>
    <xf numFmtId="0" fontId="13" fillId="4" borderId="10" xfId="14" applyFont="1" applyFill="1" applyBorder="1" applyAlignment="1">
      <alignment horizontal="center" vertical="center"/>
    </xf>
    <xf numFmtId="0" fontId="16" fillId="0" borderId="6" xfId="10" applyFont="1" applyBorder="1" applyAlignment="1">
      <alignment horizontal="center" vertical="center"/>
    </xf>
    <xf numFmtId="0" fontId="13" fillId="4" borderId="4" xfId="14" applyFont="1" applyFill="1" applyBorder="1" applyAlignment="1">
      <alignment horizontal="center" vertical="center"/>
    </xf>
    <xf numFmtId="0" fontId="16" fillId="0" borderId="4" xfId="10" applyFont="1" applyBorder="1" applyAlignment="1">
      <alignment horizontal="center" vertical="center"/>
    </xf>
    <xf numFmtId="0" fontId="52" fillId="12" borderId="4" xfId="0" applyFont="1" applyFill="1" applyBorder="1" applyAlignment="1">
      <alignment horizontal="center"/>
    </xf>
    <xf numFmtId="0" fontId="9" fillId="4" borderId="4" xfId="14" applyFont="1" applyFill="1" applyBorder="1" applyAlignment="1">
      <alignment horizontal="center" vertical="center" wrapText="1"/>
    </xf>
    <xf numFmtId="0" fontId="8" fillId="0" borderId="4" xfId="10" applyFont="1" applyBorder="1" applyAlignment="1">
      <alignment horizontal="center" vertical="center" wrapText="1"/>
    </xf>
    <xf numFmtId="0" fontId="9" fillId="4" borderId="5" xfId="14" applyFont="1" applyFill="1" applyBorder="1" applyAlignment="1">
      <alignment horizontal="center" vertical="center" wrapText="1"/>
    </xf>
    <xf numFmtId="0" fontId="9" fillId="4" borderId="3"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7" xfId="14" applyFont="1" applyFill="1" applyBorder="1" applyAlignment="1">
      <alignment horizontal="center" vertical="center" wrapText="1"/>
    </xf>
    <xf numFmtId="0" fontId="9" fillId="4" borderId="10" xfId="14" applyFont="1" applyFill="1" applyBorder="1" applyAlignment="1">
      <alignment horizontal="center" vertical="center" wrapText="1"/>
    </xf>
    <xf numFmtId="0" fontId="18" fillId="0" borderId="6" xfId="10" applyBorder="1" applyAlignment="1">
      <alignment horizontal="center" vertical="center" wrapText="1"/>
    </xf>
    <xf numFmtId="0" fontId="9" fillId="4" borderId="4" xfId="14" applyFont="1" applyFill="1" applyBorder="1" applyAlignment="1">
      <alignment horizontal="center" vertical="center"/>
    </xf>
    <xf numFmtId="0" fontId="18" fillId="0" borderId="4" xfId="10" applyBorder="1" applyAlignment="1">
      <alignment horizontal="center" vertical="center"/>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0" fontId="34" fillId="6" borderId="12" xfId="10" applyFont="1" applyFill="1" applyBorder="1" applyAlignment="1">
      <alignment horizontal="left" vertical="center" wrapText="1"/>
    </xf>
    <xf numFmtId="0" fontId="34" fillId="6" borderId="0" xfId="10" applyFont="1" applyFill="1" applyBorder="1" applyAlignment="1">
      <alignment horizontal="left"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0" fillId="7" borderId="7" xfId="10" applyFont="1" applyFill="1" applyBorder="1" applyAlignment="1">
      <alignment horizontal="center" vertical="center"/>
    </xf>
    <xf numFmtId="0" fontId="30" fillId="7" borderId="6" xfId="10" applyFont="1" applyFill="1" applyBorder="1" applyAlignment="1">
      <alignment horizontal="center" vertical="center"/>
    </xf>
    <xf numFmtId="0" fontId="34" fillId="6" borderId="9" xfId="10" applyFont="1" applyFill="1" applyBorder="1" applyAlignment="1">
      <alignment horizontal="left" vertical="center"/>
    </xf>
    <xf numFmtId="0" fontId="34" fillId="6" borderId="11" xfId="10" applyFont="1" applyFill="1" applyBorder="1" applyAlignment="1">
      <alignment horizontal="left" vertical="center"/>
    </xf>
    <xf numFmtId="0" fontId="30" fillId="7" borderId="7" xfId="10" applyFont="1" applyFill="1" applyBorder="1" applyAlignment="1">
      <alignment horizontal="center" vertical="center" wrapText="1"/>
    </xf>
    <xf numFmtId="0" fontId="30" fillId="7" borderId="6" xfId="10" applyFont="1" applyFill="1" applyBorder="1" applyAlignment="1">
      <alignment horizontal="center" vertical="center" wrapText="1"/>
    </xf>
    <xf numFmtId="0" fontId="30" fillId="7" borderId="5" xfId="10" applyFont="1" applyFill="1" applyBorder="1" applyAlignment="1">
      <alignment horizontal="center" vertical="center"/>
    </xf>
    <xf numFmtId="0" fontId="30" fillId="7" borderId="3" xfId="10" applyFont="1" applyFill="1" applyBorder="1" applyAlignment="1">
      <alignment horizontal="center" vertical="center"/>
    </xf>
    <xf numFmtId="0" fontId="30" fillId="7" borderId="8" xfId="10" applyFont="1" applyFill="1" applyBorder="1" applyAlignment="1">
      <alignment horizontal="center" vertical="center"/>
    </xf>
    <xf numFmtId="0" fontId="64" fillId="6" borderId="12" xfId="10" applyFont="1" applyFill="1" applyBorder="1" applyAlignment="1">
      <alignment horizontal="left" vertical="center"/>
    </xf>
    <xf numFmtId="0" fontId="64" fillId="6" borderId="0" xfId="10" applyFont="1" applyFill="1" applyAlignment="1">
      <alignment horizontal="left" vertical="center"/>
    </xf>
    <xf numFmtId="0" fontId="34" fillId="6" borderId="0" xfId="10" applyFont="1" applyFill="1" applyAlignment="1">
      <alignment horizontal="left" vertical="center" wrapText="1"/>
    </xf>
    <xf numFmtId="0" fontId="31" fillId="6" borderId="0" xfId="10" applyFont="1" applyFill="1" applyAlignment="1">
      <alignment vertical="center"/>
    </xf>
    <xf numFmtId="0" fontId="22" fillId="0" borderId="0" xfId="10" applyFont="1" applyAlignment="1">
      <alignment horizontal="center" vertical="center"/>
    </xf>
    <xf numFmtId="0" fontId="13" fillId="4" borderId="4" xfId="14" quotePrefix="1" applyFont="1" applyFill="1" applyBorder="1" applyAlignment="1">
      <alignment horizontal="center" vertical="center" wrapText="1"/>
    </xf>
    <xf numFmtId="0" fontId="17" fillId="0" borderId="4" xfId="10" applyFont="1" applyBorder="1" applyAlignment="1">
      <alignment horizontal="center" vertical="center" wrapText="1"/>
    </xf>
    <xf numFmtId="0" fontId="13" fillId="0" borderId="0" xfId="14" applyFont="1" applyAlignment="1">
      <alignment horizontal="center" vertical="center"/>
    </xf>
    <xf numFmtId="0" fontId="13" fillId="4" borderId="5" xfId="14" applyFont="1" applyFill="1" applyBorder="1" applyAlignment="1">
      <alignment horizontal="center" vertical="center" wrapText="1"/>
    </xf>
    <xf numFmtId="0" fontId="13" fillId="4" borderId="3" xfId="14" applyFont="1" applyFill="1" applyBorder="1" applyAlignment="1">
      <alignment horizontal="center" vertical="center" wrapText="1"/>
    </xf>
    <xf numFmtId="0" fontId="13" fillId="4" borderId="8" xfId="14" applyFont="1" applyFill="1" applyBorder="1" applyAlignment="1">
      <alignment horizontal="center" vertical="center" wrapText="1"/>
    </xf>
    <xf numFmtId="0" fontId="48" fillId="0" borderId="0" xfId="10" applyFont="1" applyAlignment="1">
      <alignment horizontal="center" vertical="center"/>
    </xf>
    <xf numFmtId="0" fontId="9" fillId="4" borderId="4" xfId="10" applyFont="1" applyFill="1" applyBorder="1" applyAlignment="1">
      <alignment horizontal="center" vertical="center" wrapText="1"/>
    </xf>
    <xf numFmtId="0" fontId="18" fillId="0" borderId="4" xfId="10" applyBorder="1" applyAlignment="1">
      <alignment horizontal="center" vertical="center" wrapText="1"/>
    </xf>
    <xf numFmtId="0" fontId="9" fillId="4" borderId="4" xfId="10" applyFont="1" applyFill="1" applyBorder="1" applyAlignment="1">
      <alignment horizontal="center" vertical="center"/>
    </xf>
    <xf numFmtId="0" fontId="9" fillId="4" borderId="6" xfId="14" applyFont="1" applyFill="1" applyBorder="1" applyAlignment="1">
      <alignment horizontal="center" vertical="center" wrapText="1"/>
    </xf>
    <xf numFmtId="0" fontId="9" fillId="4" borderId="7" xfId="14" applyFont="1" applyFill="1" applyBorder="1" applyAlignment="1">
      <alignment horizontal="left" vertical="center" wrapText="1"/>
    </xf>
    <xf numFmtId="0" fontId="9" fillId="4" borderId="6" xfId="14" applyFont="1" applyFill="1" applyBorder="1" applyAlignment="1">
      <alignment horizontal="left" vertical="center" wrapText="1"/>
    </xf>
    <xf numFmtId="0" fontId="9" fillId="4" borderId="7" xfId="10" applyFont="1" applyFill="1" applyBorder="1" applyAlignment="1">
      <alignment horizontal="center" vertical="center" wrapText="1"/>
    </xf>
    <xf numFmtId="0" fontId="9" fillId="4" borderId="6" xfId="10" applyFont="1" applyFill="1" applyBorder="1" applyAlignment="1">
      <alignment horizontal="center" vertical="center" wrapText="1"/>
    </xf>
    <xf numFmtId="0" fontId="9" fillId="4" borderId="7" xfId="10" applyFont="1" applyFill="1" applyBorder="1" applyAlignment="1">
      <alignment horizontal="center" vertical="center"/>
    </xf>
    <xf numFmtId="0" fontId="9" fillId="4" borderId="6" xfId="10"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quotePrefix="1" applyFont="1" applyFill="1" applyBorder="1" applyAlignment="1">
      <alignment horizontal="center" vertical="center" wrapText="1"/>
    </xf>
    <xf numFmtId="0" fontId="8" fillId="0" borderId="12" xfId="14" quotePrefix="1" applyFont="1" applyFill="1" applyBorder="1" applyAlignment="1">
      <alignment horizontal="center" vertical="center" wrapText="1"/>
    </xf>
    <xf numFmtId="0" fontId="8" fillId="0" borderId="0" xfId="14" quotePrefix="1" applyFont="1" applyFill="1" applyBorder="1" applyAlignment="1">
      <alignment horizontal="center" vertical="center" wrapText="1"/>
    </xf>
    <xf numFmtId="0" fontId="8" fillId="0" borderId="15" xfId="14" quotePrefix="1" applyFont="1" applyFill="1" applyBorder="1" applyAlignment="1">
      <alignment horizontal="center" vertical="center" wrapText="1"/>
    </xf>
    <xf numFmtId="0" fontId="8" fillId="0" borderId="16" xfId="14" quotePrefix="1" applyFont="1" applyFill="1" applyBorder="1" applyAlignment="1">
      <alignment horizontal="center" vertical="center" wrapText="1"/>
    </xf>
    <xf numFmtId="0" fontId="8" fillId="0" borderId="13" xfId="14" quotePrefix="1" applyFont="1" applyFill="1" applyBorder="1" applyAlignment="1">
      <alignment horizontal="center" vertical="center" wrapText="1"/>
    </xf>
    <xf numFmtId="0" fontId="8" fillId="0" borderId="14" xfId="14" quotePrefix="1" applyFont="1" applyFill="1" applyBorder="1" applyAlignment="1">
      <alignment horizontal="center" vertical="center" wrapText="1"/>
    </xf>
    <xf numFmtId="0" fontId="8" fillId="0" borderId="17" xfId="14" quotePrefix="1" applyFont="1" applyFill="1" applyBorder="1" applyAlignment="1">
      <alignment horizontal="center" vertical="center" wrapText="1"/>
    </xf>
    <xf numFmtId="0" fontId="18" fillId="0" borderId="0" xfId="10" applyAlignment="1">
      <alignment horizontal="center" vertical="center"/>
    </xf>
    <xf numFmtId="0" fontId="9" fillId="4" borderId="4" xfId="14" quotePrefix="1" applyFont="1" applyFill="1" applyBorder="1" applyAlignment="1">
      <alignment horizontal="center" vertical="center" wrapText="1"/>
    </xf>
    <xf numFmtId="0" fontId="9" fillId="0" borderId="9" xfId="10" quotePrefix="1" applyFont="1" applyFill="1" applyBorder="1" applyAlignment="1">
      <alignment horizontal="center" vertical="center"/>
    </xf>
    <xf numFmtId="0" fontId="9" fillId="0" borderId="11" xfId="10" quotePrefix="1" applyFont="1" applyFill="1" applyBorder="1" applyAlignment="1">
      <alignment horizontal="center" vertical="center"/>
    </xf>
    <xf numFmtId="0" fontId="9" fillId="0" borderId="12" xfId="10" quotePrefix="1" applyFont="1" applyFill="1" applyBorder="1" applyAlignment="1">
      <alignment horizontal="center" vertical="center"/>
    </xf>
    <xf numFmtId="0" fontId="9" fillId="0" borderId="0" xfId="10" quotePrefix="1" applyFont="1" applyFill="1" applyBorder="1" applyAlignment="1">
      <alignment horizontal="center" vertical="center"/>
    </xf>
    <xf numFmtId="0" fontId="9" fillId="0" borderId="15" xfId="10" quotePrefix="1" applyFont="1" applyFill="1" applyBorder="1" applyAlignment="1">
      <alignment horizontal="center" vertical="center"/>
    </xf>
    <xf numFmtId="0" fontId="9" fillId="0" borderId="16" xfId="10" quotePrefix="1" applyFont="1" applyFill="1" applyBorder="1" applyAlignment="1">
      <alignment horizontal="center" vertical="center"/>
    </xf>
    <xf numFmtId="0" fontId="9" fillId="0" borderId="11" xfId="10" applyFont="1" applyFill="1" applyBorder="1" applyAlignment="1">
      <alignment horizontal="center" vertical="center"/>
    </xf>
    <xf numFmtId="0" fontId="9" fillId="0" borderId="13"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14" xfId="10" applyFont="1" applyFill="1" applyBorder="1" applyAlignment="1">
      <alignment horizontal="center" vertical="center"/>
    </xf>
    <xf numFmtId="0" fontId="9" fillId="0" borderId="16" xfId="10" applyFont="1" applyFill="1" applyBorder="1" applyAlignment="1">
      <alignment horizontal="center" vertical="center"/>
    </xf>
    <xf numFmtId="0" fontId="9" fillId="0" borderId="17" xfId="10" applyFont="1" applyFill="1" applyBorder="1" applyAlignment="1">
      <alignment horizontal="center" vertical="center"/>
    </xf>
    <xf numFmtId="0" fontId="9" fillId="0" borderId="9" xfId="14" quotePrefix="1" applyFont="1" applyFill="1" applyBorder="1" applyAlignment="1">
      <alignment horizontal="center" vertical="center" wrapText="1"/>
    </xf>
    <xf numFmtId="0" fontId="9" fillId="0" borderId="11" xfId="14" applyFont="1" applyFill="1" applyBorder="1" applyAlignment="1">
      <alignment horizontal="center" vertical="center" wrapText="1"/>
    </xf>
    <xf numFmtId="0" fontId="9" fillId="0" borderId="13" xfId="14" applyFont="1" applyFill="1" applyBorder="1" applyAlignment="1">
      <alignment horizontal="center" vertical="center" wrapText="1"/>
    </xf>
    <xf numFmtId="0" fontId="9" fillId="0" borderId="12"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9" fillId="0" borderId="14" xfId="14" applyFont="1" applyFill="1" applyBorder="1" applyAlignment="1">
      <alignment horizontal="center" vertical="center" wrapText="1"/>
    </xf>
    <xf numFmtId="0" fontId="9" fillId="0" borderId="15" xfId="14" applyFont="1" applyFill="1" applyBorder="1" applyAlignment="1">
      <alignment horizontal="center" vertical="center" wrapText="1"/>
    </xf>
    <xf numFmtId="0" fontId="9" fillId="0" borderId="16" xfId="14" applyFont="1" applyFill="1" applyBorder="1" applyAlignment="1">
      <alignment horizontal="center" vertical="center" wrapText="1"/>
    </xf>
    <xf numFmtId="0" fontId="9" fillId="0" borderId="17" xfId="14" applyFont="1" applyFill="1" applyBorder="1" applyAlignment="1">
      <alignment horizontal="center" vertical="center" wrapText="1"/>
    </xf>
    <xf numFmtId="0" fontId="9" fillId="5" borderId="9" xfId="14" quotePrefix="1" applyFont="1" applyFill="1" applyBorder="1" applyAlignment="1">
      <alignment horizontal="center" vertical="center"/>
    </xf>
    <xf numFmtId="0" fontId="9" fillId="5" borderId="11" xfId="14" applyFont="1" applyFill="1" applyBorder="1" applyAlignment="1">
      <alignment horizontal="center" vertical="center"/>
    </xf>
    <xf numFmtId="0" fontId="9" fillId="5" borderId="13" xfId="14" applyFont="1" applyFill="1" applyBorder="1" applyAlignment="1">
      <alignment horizontal="center" vertical="center"/>
    </xf>
    <xf numFmtId="0" fontId="9" fillId="5" borderId="12" xfId="14" applyFont="1" applyFill="1" applyBorder="1" applyAlignment="1">
      <alignment horizontal="center" vertical="center"/>
    </xf>
    <xf numFmtId="0" fontId="9" fillId="5" borderId="0" xfId="14" applyFont="1" applyFill="1" applyBorder="1" applyAlignment="1">
      <alignment horizontal="center" vertical="center"/>
    </xf>
    <xf numFmtId="0" fontId="9" fillId="5" borderId="14" xfId="14" applyFont="1" applyFill="1" applyBorder="1" applyAlignment="1">
      <alignment horizontal="center" vertical="center"/>
    </xf>
    <xf numFmtId="0" fontId="9" fillId="5" borderId="15" xfId="14" applyFont="1" applyFill="1" applyBorder="1" applyAlignment="1">
      <alignment horizontal="center" vertical="center"/>
    </xf>
    <xf numFmtId="0" fontId="9" fillId="5" borderId="16" xfId="14" applyFont="1" applyFill="1" applyBorder="1" applyAlignment="1">
      <alignment horizontal="center" vertical="center"/>
    </xf>
    <xf numFmtId="0" fontId="9" fillId="5" borderId="17" xfId="14" applyFont="1" applyFill="1" applyBorder="1" applyAlignment="1">
      <alignment horizontal="center" vertical="center"/>
    </xf>
    <xf numFmtId="0" fontId="9" fillId="0" borderId="9" xfId="10" applyFont="1" applyFill="1" applyBorder="1" applyAlignment="1">
      <alignment horizontal="center" vertical="center" wrapText="1"/>
    </xf>
    <xf numFmtId="0" fontId="9" fillId="0" borderId="11" xfId="10" applyFont="1" applyFill="1" applyBorder="1" applyAlignment="1">
      <alignment horizontal="center" vertical="center" wrapText="1"/>
    </xf>
    <xf numFmtId="0" fontId="9" fillId="0" borderId="13" xfId="10" applyFont="1" applyFill="1" applyBorder="1" applyAlignment="1">
      <alignment horizontal="center" vertical="center" wrapText="1"/>
    </xf>
    <xf numFmtId="0" fontId="9" fillId="0" borderId="12" xfId="10" applyFont="1" applyFill="1" applyBorder="1" applyAlignment="1">
      <alignment horizontal="center" vertical="center" wrapText="1"/>
    </xf>
    <xf numFmtId="0" fontId="9" fillId="0" borderId="0" xfId="10" applyFont="1" applyFill="1" applyBorder="1" applyAlignment="1">
      <alignment horizontal="center" vertical="center" wrapText="1"/>
    </xf>
    <xf numFmtId="0" fontId="9" fillId="0" borderId="14" xfId="10" applyFont="1" applyFill="1" applyBorder="1" applyAlignment="1">
      <alignment horizontal="center" vertical="center" wrapText="1"/>
    </xf>
    <xf numFmtId="0" fontId="9" fillId="0" borderId="15" xfId="10" applyFont="1" applyFill="1" applyBorder="1" applyAlignment="1">
      <alignment horizontal="center" vertical="center" wrapText="1"/>
    </xf>
    <xf numFmtId="0" fontId="9" fillId="0" borderId="16" xfId="10" applyFont="1" applyFill="1" applyBorder="1" applyAlignment="1">
      <alignment horizontal="center" vertical="center" wrapText="1"/>
    </xf>
    <xf numFmtId="0" fontId="9" fillId="0" borderId="17" xfId="10" applyFont="1" applyFill="1" applyBorder="1" applyAlignment="1">
      <alignment horizontal="center" vertical="center" wrapText="1"/>
    </xf>
    <xf numFmtId="0" fontId="9" fillId="4" borderId="5" xfId="10" applyFont="1" applyFill="1" applyBorder="1" applyAlignment="1">
      <alignment horizontal="center" vertical="center"/>
    </xf>
    <xf numFmtId="0" fontId="9" fillId="4" borderId="8" xfId="10" applyFont="1" applyFill="1" applyBorder="1" applyAlignment="1">
      <alignment horizontal="center" vertical="center"/>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164" fontId="26" fillId="0" borderId="7" xfId="29" applyFont="1" applyFill="1" applyBorder="1" applyAlignment="1">
      <alignment horizontal="center" vertical="center"/>
    </xf>
    <xf numFmtId="164" fontId="26" fillId="0" borderId="10" xfId="29" applyFont="1" applyFill="1" applyBorder="1" applyAlignment="1">
      <alignment horizontal="center" vertical="center"/>
    </xf>
    <xf numFmtId="164" fontId="26" fillId="0" borderId="6" xfId="29" applyFont="1" applyFill="1" applyBorder="1" applyAlignment="1">
      <alignment horizontal="center" vertical="center"/>
    </xf>
    <xf numFmtId="164" fontId="8" fillId="0" borderId="4" xfId="29" applyFont="1" applyFill="1" applyBorder="1" applyAlignment="1">
      <alignment horizontal="center" vertical="center"/>
    </xf>
    <xf numFmtId="0" fontId="8" fillId="0" borderId="4" xfId="0" applyFont="1" applyFill="1" applyBorder="1" applyAlignment="1">
      <alignment horizontal="center" vertical="top"/>
    </xf>
    <xf numFmtId="164" fontId="8" fillId="0" borderId="7" xfId="29" applyFont="1" applyFill="1" applyBorder="1" applyAlignment="1">
      <alignment horizontal="center" vertical="center"/>
    </xf>
    <xf numFmtId="164" fontId="8" fillId="0" borderId="10" xfId="29" applyFont="1" applyFill="1" applyBorder="1" applyAlignment="1">
      <alignment horizontal="center" vertical="center"/>
    </xf>
    <xf numFmtId="164" fontId="8" fillId="0" borderId="6" xfId="29" applyFont="1" applyFill="1" applyBorder="1" applyAlignment="1">
      <alignment horizontal="center" vertical="center"/>
    </xf>
    <xf numFmtId="0" fontId="9" fillId="7" borderId="4" xfId="10" applyFont="1" applyFill="1" applyBorder="1" applyAlignment="1">
      <alignment horizontal="center" wrapText="1"/>
    </xf>
    <xf numFmtId="0" fontId="9" fillId="0" borderId="0" xfId="10" applyFont="1" applyAlignment="1">
      <alignment horizontal="left"/>
    </xf>
    <xf numFmtId="0" fontId="9" fillId="7" borderId="5" xfId="14" applyFont="1" applyFill="1" applyBorder="1" applyAlignment="1">
      <alignment horizontal="center" vertical="center" wrapText="1"/>
    </xf>
    <xf numFmtId="0" fontId="9" fillId="7" borderId="3" xfId="14" applyFont="1" applyFill="1" applyBorder="1" applyAlignment="1">
      <alignment horizontal="center" vertical="center" wrapText="1"/>
    </xf>
    <xf numFmtId="0" fontId="9" fillId="7" borderId="8" xfId="14" applyFont="1" applyFill="1" applyBorder="1" applyAlignment="1">
      <alignment horizontal="center" vertical="center" wrapText="1"/>
    </xf>
    <xf numFmtId="0" fontId="9" fillId="0" borderId="0" xfId="10" applyFont="1" applyFill="1" applyAlignment="1">
      <alignment horizontal="left"/>
    </xf>
    <xf numFmtId="0" fontId="9" fillId="7" borderId="5" xfId="10" applyFont="1" applyFill="1" applyBorder="1" applyAlignment="1">
      <alignment horizontal="center" vertical="center" wrapText="1"/>
    </xf>
    <xf numFmtId="0" fontId="9" fillId="7" borderId="3" xfId="10" applyFont="1" applyFill="1" applyBorder="1" applyAlignment="1">
      <alignment horizontal="center" vertical="center" wrapText="1"/>
    </xf>
    <xf numFmtId="0" fontId="9" fillId="7" borderId="8" xfId="10" applyFont="1" applyFill="1" applyBorder="1" applyAlignment="1">
      <alignment horizontal="center" vertical="center" wrapText="1"/>
    </xf>
    <xf numFmtId="0" fontId="9" fillId="7" borderId="7" xfId="14" applyFont="1" applyFill="1" applyBorder="1" applyAlignment="1">
      <alignment horizontal="center" vertical="center" wrapText="1"/>
    </xf>
    <xf numFmtId="0" fontId="9" fillId="7" borderId="10" xfId="14" applyFont="1" applyFill="1" applyBorder="1" applyAlignment="1">
      <alignment horizontal="center" vertical="center" wrapText="1"/>
    </xf>
    <xf numFmtId="0" fontId="9" fillId="7" borderId="6" xfId="14" applyFont="1" applyFill="1" applyBorder="1" applyAlignment="1">
      <alignment horizontal="center" vertical="center" wrapText="1"/>
    </xf>
    <xf numFmtId="0" fontId="9" fillId="7" borderId="5" xfId="10" applyFont="1" applyFill="1" applyBorder="1" applyAlignment="1">
      <alignment horizontal="center" vertical="center"/>
    </xf>
    <xf numFmtId="0" fontId="9" fillId="7" borderId="8" xfId="10" applyFont="1" applyFill="1" applyBorder="1" applyAlignment="1">
      <alignment horizontal="center" vertical="center"/>
    </xf>
    <xf numFmtId="0" fontId="8" fillId="7" borderId="5" xfId="10" applyFont="1" applyFill="1" applyBorder="1" applyAlignment="1">
      <alignment horizontal="center" vertical="center" wrapText="1"/>
    </xf>
    <xf numFmtId="0" fontId="8" fillId="0" borderId="0" xfId="10" applyFont="1" applyFill="1" applyBorder="1" applyAlignment="1">
      <alignment horizontal="center" vertical="center" wrapText="1"/>
    </xf>
    <xf numFmtId="164" fontId="9" fillId="0" borderId="4" xfId="29" applyFont="1" applyFill="1" applyBorder="1" applyAlignment="1" applyProtection="1">
      <alignment horizontal="center" vertical="center"/>
    </xf>
    <xf numFmtId="4" fontId="8" fillId="0" borderId="7" xfId="10" applyNumberFormat="1" applyFont="1" applyFill="1" applyBorder="1" applyAlignment="1" applyProtection="1">
      <alignment horizontal="center" vertical="center"/>
    </xf>
    <xf numFmtId="4" fontId="8" fillId="0" borderId="10" xfId="10" applyNumberFormat="1" applyFont="1" applyFill="1" applyBorder="1" applyAlignment="1" applyProtection="1">
      <alignment horizontal="center" vertical="center"/>
    </xf>
    <xf numFmtId="4" fontId="8" fillId="0" borderId="6" xfId="10" applyNumberFormat="1" applyFont="1" applyFill="1" applyBorder="1" applyAlignment="1" applyProtection="1">
      <alignment horizontal="center" vertical="center"/>
    </xf>
    <xf numFmtId="4" fontId="9" fillId="0" borderId="4" xfId="10" applyNumberFormat="1" applyFont="1" applyFill="1" applyBorder="1" applyAlignment="1" applyProtection="1">
      <alignment horizontal="center" vertical="center"/>
    </xf>
    <xf numFmtId="2" fontId="8" fillId="0" borderId="7" xfId="10" applyNumberFormat="1" applyFont="1" applyFill="1" applyBorder="1" applyAlignment="1" applyProtection="1">
      <alignment horizontal="center" vertical="center"/>
    </xf>
    <xf numFmtId="2" fontId="8" fillId="0" borderId="10" xfId="10" applyNumberFormat="1" applyFont="1" applyFill="1" applyBorder="1" applyAlignment="1" applyProtection="1">
      <alignment horizontal="center" vertical="center"/>
    </xf>
    <xf numFmtId="2" fontId="8" fillId="0" borderId="6" xfId="10" applyNumberFormat="1" applyFont="1" applyFill="1" applyBorder="1" applyAlignment="1" applyProtection="1">
      <alignment horizontal="center" vertical="center"/>
    </xf>
    <xf numFmtId="164" fontId="8" fillId="0" borderId="7" xfId="29" applyFont="1" applyFill="1" applyBorder="1" applyAlignment="1" applyProtection="1">
      <alignment horizontal="center" vertical="center"/>
    </xf>
    <xf numFmtId="164" fontId="8" fillId="0" borderId="10" xfId="29" applyFont="1" applyFill="1" applyBorder="1" applyAlignment="1" applyProtection="1">
      <alignment horizontal="center" vertical="center"/>
    </xf>
    <xf numFmtId="164" fontId="8" fillId="0" borderId="6" xfId="29" applyFont="1" applyFill="1" applyBorder="1" applyAlignment="1" applyProtection="1">
      <alignment horizontal="center" vertical="center"/>
    </xf>
    <xf numFmtId="0" fontId="9" fillId="0" borderId="0" xfId="14" applyFont="1" applyFill="1" applyBorder="1" applyAlignment="1">
      <alignment horizontal="center" vertical="center"/>
    </xf>
    <xf numFmtId="0" fontId="18" fillId="0" borderId="4" xfId="10" applyBorder="1" applyAlignment="1">
      <alignment vertical="center"/>
    </xf>
    <xf numFmtId="0" fontId="13" fillId="0" borderId="0" xfId="14" applyFont="1" applyFill="1" applyBorder="1" applyAlignment="1">
      <alignment horizontal="center" vertical="center" wrapText="1"/>
    </xf>
    <xf numFmtId="187" fontId="56" fillId="4" borderId="4" xfId="69" applyNumberFormat="1" applyFont="1" applyFill="1" applyBorder="1" applyAlignment="1">
      <alignment horizontal="center" vertical="center" wrapText="1"/>
    </xf>
    <xf numFmtId="175" fontId="56" fillId="4" borderId="4" xfId="69" applyNumberFormat="1" applyFont="1" applyFill="1" applyBorder="1" applyAlignment="1">
      <alignment horizontal="center" vertical="center" wrapText="1"/>
    </xf>
    <xf numFmtId="164" fontId="56" fillId="4" borderId="4" xfId="69" applyFont="1" applyFill="1" applyBorder="1" applyAlignment="1">
      <alignment horizontal="center" vertical="center" wrapText="1"/>
    </xf>
    <xf numFmtId="0" fontId="56" fillId="4" borderId="4" xfId="10" applyFont="1" applyFill="1" applyBorder="1" applyAlignment="1">
      <alignment horizontal="center" vertical="center" wrapText="1"/>
    </xf>
    <xf numFmtId="0" fontId="68" fillId="4" borderId="4" xfId="10" applyFont="1" applyFill="1" applyBorder="1" applyAlignment="1">
      <alignment horizontal="center" vertical="center" wrapText="1"/>
    </xf>
    <xf numFmtId="187" fontId="56" fillId="4" borderId="5" xfId="10" applyNumberFormat="1" applyFont="1" applyFill="1" applyBorder="1" applyAlignment="1">
      <alignment horizontal="center" vertical="center" wrapText="1"/>
    </xf>
    <xf numFmtId="187" fontId="56" fillId="4" borderId="3" xfId="10" applyNumberFormat="1" applyFont="1" applyFill="1" applyBorder="1" applyAlignment="1">
      <alignment horizontal="center" vertical="center" wrapText="1"/>
    </xf>
    <xf numFmtId="187" fontId="56" fillId="4" borderId="8" xfId="10" applyNumberFormat="1" applyFont="1" applyFill="1" applyBorder="1" applyAlignment="1">
      <alignment horizontal="center" vertical="center" wrapText="1"/>
    </xf>
    <xf numFmtId="187" fontId="56" fillId="4" borderId="7" xfId="10" applyNumberFormat="1" applyFont="1" applyFill="1" applyBorder="1" applyAlignment="1">
      <alignment horizontal="center" vertical="center"/>
    </xf>
    <xf numFmtId="187" fontId="56" fillId="4" borderId="6" xfId="10" applyNumberFormat="1" applyFont="1" applyFill="1" applyBorder="1" applyAlignment="1">
      <alignment horizontal="center" vertical="center"/>
    </xf>
    <xf numFmtId="0" fontId="56" fillId="4" borderId="4" xfId="10" applyFont="1" applyFill="1" applyBorder="1" applyAlignment="1">
      <alignment horizontal="center" vertical="center"/>
    </xf>
    <xf numFmtId="0" fontId="57" fillId="6" borderId="7" xfId="10" applyFont="1" applyFill="1" applyBorder="1" applyAlignment="1">
      <alignment horizontal="left" vertical="center" wrapText="1"/>
    </xf>
    <xf numFmtId="0" fontId="57" fillId="6" borderId="10" xfId="10" applyFont="1" applyFill="1" applyBorder="1" applyAlignment="1">
      <alignment horizontal="left" vertical="center" wrapText="1"/>
    </xf>
    <xf numFmtId="0" fontId="57" fillId="6" borderId="6" xfId="10" applyFont="1" applyFill="1" applyBorder="1" applyAlignment="1">
      <alignment horizontal="left" vertical="center" wrapText="1"/>
    </xf>
    <xf numFmtId="187" fontId="56" fillId="4" borderId="4" xfId="10" applyNumberFormat="1" applyFont="1" applyFill="1" applyBorder="1" applyAlignment="1">
      <alignment horizontal="center" vertical="center" wrapText="1"/>
    </xf>
    <xf numFmtId="187" fontId="56" fillId="4" borderId="7" xfId="10" applyNumberFormat="1" applyFont="1" applyFill="1" applyBorder="1" applyAlignment="1">
      <alignment horizontal="center" vertical="center" wrapText="1"/>
    </xf>
    <xf numFmtId="187" fontId="56" fillId="4" borderId="10" xfId="10" applyNumberFormat="1" applyFont="1" applyFill="1" applyBorder="1" applyAlignment="1">
      <alignment horizontal="center" vertical="center" wrapText="1"/>
    </xf>
    <xf numFmtId="187" fontId="56" fillId="4" borderId="6" xfId="10" applyNumberFormat="1" applyFont="1" applyFill="1" applyBorder="1" applyAlignment="1">
      <alignment horizontal="center" vertical="center" wrapText="1"/>
    </xf>
    <xf numFmtId="0" fontId="57" fillId="17" borderId="7" xfId="10" applyFont="1" applyFill="1" applyBorder="1" applyAlignment="1">
      <alignment horizontal="left" vertical="center" wrapText="1"/>
    </xf>
    <xf numFmtId="0" fontId="57" fillId="17" borderId="10" xfId="10" applyFont="1" applyFill="1" applyBorder="1" applyAlignment="1">
      <alignment horizontal="left" vertical="center" wrapText="1"/>
    </xf>
    <xf numFmtId="0" fontId="57" fillId="17" borderId="6" xfId="10" applyFont="1" applyFill="1" applyBorder="1" applyAlignment="1">
      <alignment horizontal="left" vertical="center" wrapText="1"/>
    </xf>
    <xf numFmtId="164" fontId="56" fillId="4" borderId="5" xfId="69" applyFont="1" applyFill="1" applyBorder="1" applyAlignment="1">
      <alignment horizontal="center" vertical="center" wrapText="1"/>
    </xf>
    <xf numFmtId="164" fontId="56" fillId="4" borderId="3" xfId="69" applyFont="1" applyFill="1" applyBorder="1" applyAlignment="1">
      <alignment horizontal="center" vertical="center" wrapText="1"/>
    </xf>
    <xf numFmtId="164" fontId="56" fillId="4" borderId="8" xfId="69" applyFont="1" applyFill="1" applyBorder="1" applyAlignment="1">
      <alignment horizontal="center" vertical="center" wrapText="1"/>
    </xf>
    <xf numFmtId="0" fontId="17" fillId="17" borderId="7" xfId="10" applyFont="1" applyFill="1" applyBorder="1" applyAlignment="1">
      <alignment horizontal="left" vertical="center" wrapText="1"/>
    </xf>
    <xf numFmtId="0" fontId="17" fillId="17" borderId="10" xfId="10" applyFont="1" applyFill="1" applyBorder="1" applyAlignment="1">
      <alignment horizontal="left" vertical="center" wrapText="1"/>
    </xf>
    <xf numFmtId="0" fontId="17" fillId="6" borderId="7" xfId="0" applyFont="1" applyFill="1" applyBorder="1" applyAlignment="1" applyProtection="1">
      <alignment horizontal="left" vertical="center" wrapText="1"/>
      <protection locked="0"/>
    </xf>
    <xf numFmtId="0" fontId="17" fillId="6" borderId="6" xfId="0" applyFont="1" applyFill="1" applyBorder="1" applyAlignment="1" applyProtection="1">
      <alignment horizontal="left" vertical="center" wrapText="1"/>
      <protection locked="0"/>
    </xf>
    <xf numFmtId="0" fontId="17" fillId="6" borderId="7" xfId="10" applyFont="1" applyFill="1" applyBorder="1" applyAlignment="1">
      <alignment horizontal="left" vertical="center" wrapText="1"/>
    </xf>
    <xf numFmtId="0" fontId="17" fillId="6" borderId="6" xfId="10" applyFont="1" applyFill="1" applyBorder="1" applyAlignment="1">
      <alignment horizontal="left" vertical="center" wrapText="1"/>
    </xf>
    <xf numFmtId="164" fontId="56" fillId="4" borderId="7" xfId="69" applyFont="1" applyFill="1" applyBorder="1" applyAlignment="1">
      <alignment horizontal="center" vertical="center" wrapText="1"/>
    </xf>
    <xf numFmtId="164" fontId="56" fillId="4" borderId="10" xfId="69" applyFont="1" applyFill="1" applyBorder="1" applyAlignment="1">
      <alignment horizontal="center" vertical="center" wrapText="1"/>
    </xf>
    <xf numFmtId="164" fontId="56" fillId="4" borderId="6" xfId="69" applyFont="1" applyFill="1" applyBorder="1" applyAlignment="1">
      <alignment horizontal="center" vertical="center" wrapText="1"/>
    </xf>
    <xf numFmtId="0" fontId="56" fillId="4" borderId="7" xfId="10" applyFont="1" applyFill="1" applyBorder="1" applyAlignment="1">
      <alignment horizontal="center" vertical="center" wrapText="1"/>
    </xf>
    <xf numFmtId="0" fontId="56" fillId="4" borderId="10" xfId="10" applyFont="1" applyFill="1" applyBorder="1" applyAlignment="1">
      <alignment horizontal="center" vertical="center" wrapText="1"/>
    </xf>
    <xf numFmtId="0" fontId="56" fillId="4" borderId="6" xfId="10" applyFont="1" applyFill="1" applyBorder="1" applyAlignment="1">
      <alignment horizontal="center" vertical="center" wrapText="1"/>
    </xf>
    <xf numFmtId="0" fontId="56" fillId="14" borderId="4" xfId="10" applyFont="1" applyFill="1" applyBorder="1" applyAlignment="1">
      <alignment horizontal="center" vertical="center" wrapText="1"/>
    </xf>
    <xf numFmtId="9" fontId="56" fillId="4" borderId="4" xfId="70" applyFont="1" applyFill="1" applyBorder="1" applyAlignment="1">
      <alignment horizontal="center" vertical="center" wrapText="1"/>
    </xf>
    <xf numFmtId="9" fontId="56" fillId="4" borderId="5" xfId="70" applyFont="1" applyFill="1" applyBorder="1" applyAlignment="1">
      <alignment horizontal="center" vertical="center" wrapText="1"/>
    </xf>
    <xf numFmtId="9" fontId="56" fillId="4" borderId="3" xfId="70" applyFont="1" applyFill="1" applyBorder="1" applyAlignment="1">
      <alignment horizontal="center" vertical="center" wrapText="1"/>
    </xf>
    <xf numFmtId="9" fontId="56" fillId="4" borderId="8" xfId="70" applyFont="1" applyFill="1" applyBorder="1" applyAlignment="1">
      <alignment horizontal="center" vertical="center" wrapText="1"/>
    </xf>
    <xf numFmtId="0" fontId="9" fillId="4" borderId="4" xfId="31" applyFont="1" applyFill="1" applyBorder="1" applyAlignment="1">
      <alignment horizontal="center" vertical="center" wrapText="1"/>
    </xf>
    <xf numFmtId="0" fontId="9" fillId="4" borderId="5" xfId="31" applyFont="1" applyFill="1" applyBorder="1" applyAlignment="1">
      <alignment horizontal="center" wrapText="1"/>
    </xf>
    <xf numFmtId="0" fontId="9" fillId="4" borderId="3" xfId="31" applyFont="1" applyFill="1" applyBorder="1" applyAlignment="1">
      <alignment horizontal="center" wrapText="1"/>
    </xf>
    <xf numFmtId="0" fontId="9" fillId="4" borderId="8" xfId="31" applyFont="1" applyFill="1" applyBorder="1" applyAlignment="1">
      <alignment horizontal="center" wrapText="1"/>
    </xf>
    <xf numFmtId="0" fontId="9" fillId="4" borderId="4" xfId="31" applyFont="1" applyFill="1" applyBorder="1" applyAlignment="1">
      <alignment horizontal="center" wrapText="1"/>
    </xf>
    <xf numFmtId="0" fontId="18" fillId="0" borderId="4" xfId="31" applyBorder="1" applyAlignment="1">
      <alignment horizontal="center" wrapText="1"/>
    </xf>
    <xf numFmtId="0" fontId="9" fillId="4" borderId="4" xfId="10" applyFont="1" applyFill="1" applyBorder="1" applyAlignment="1">
      <alignment horizontal="center" wrapText="1"/>
    </xf>
    <xf numFmtId="0" fontId="26" fillId="0" borderId="4" xfId="10" applyFont="1" applyBorder="1" applyAlignment="1">
      <alignment horizontal="center" wrapText="1"/>
    </xf>
    <xf numFmtId="0" fontId="9" fillId="4" borderId="5" xfId="31" applyFont="1" applyFill="1" applyBorder="1" applyAlignment="1">
      <alignment horizontal="center" vertical="center" wrapText="1"/>
    </xf>
    <xf numFmtId="0" fontId="9" fillId="4" borderId="3" xfId="31" applyFont="1" applyFill="1" applyBorder="1" applyAlignment="1">
      <alignment horizontal="center" vertical="center" wrapText="1"/>
    </xf>
    <xf numFmtId="0" fontId="9" fillId="4" borderId="8" xfId="31" applyFont="1" applyFill="1" applyBorder="1" applyAlignment="1">
      <alignment horizontal="center" vertical="center" wrapText="1"/>
    </xf>
    <xf numFmtId="0" fontId="8" fillId="6" borderId="0" xfId="68" applyFont="1" applyFill="1" applyAlignment="1">
      <alignment horizontal="left" vertical="center"/>
    </xf>
    <xf numFmtId="0" fontId="9" fillId="0" borderId="0" xfId="10" applyFont="1" applyFill="1" applyBorder="1" applyAlignment="1">
      <alignment horizontal="center" wrapText="1"/>
    </xf>
    <xf numFmtId="0" fontId="26" fillId="0" borderId="0" xfId="10" applyFont="1" applyFill="1" applyBorder="1" applyAlignment="1">
      <alignment horizontal="center" wrapText="1"/>
    </xf>
    <xf numFmtId="0" fontId="9" fillId="4" borderId="5" xfId="10" applyFont="1" applyFill="1" applyBorder="1" applyAlignment="1">
      <alignment horizontal="center" vertical="center" wrapText="1"/>
    </xf>
    <xf numFmtId="0" fontId="9" fillId="4" borderId="3"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4" xfId="14" applyNumberFormat="1" applyFont="1" applyFill="1" applyBorder="1" applyAlignment="1">
      <alignment horizontal="center" vertical="center" wrapText="1"/>
    </xf>
    <xf numFmtId="176" fontId="9" fillId="4" borderId="7" xfId="69" applyNumberFormat="1" applyFont="1" applyFill="1" applyBorder="1" applyAlignment="1">
      <alignment horizontal="center" vertical="center" wrapText="1"/>
    </xf>
    <xf numFmtId="176" fontId="9" fillId="4" borderId="10" xfId="69" applyNumberFormat="1" applyFont="1" applyFill="1" applyBorder="1" applyAlignment="1">
      <alignment horizontal="center" vertical="center" wrapText="1"/>
    </xf>
    <xf numFmtId="176" fontId="9" fillId="4" borderId="6" xfId="69" applyNumberFormat="1" applyFont="1" applyFill="1" applyBorder="1" applyAlignment="1">
      <alignment horizontal="center" vertical="center" wrapText="1"/>
    </xf>
    <xf numFmtId="0" fontId="9" fillId="4" borderId="7" xfId="14" applyNumberFormat="1" applyFont="1" applyFill="1" applyBorder="1" applyAlignment="1">
      <alignment horizontal="center" vertical="center" wrapText="1"/>
    </xf>
    <xf numFmtId="0" fontId="9" fillId="4" borderId="10" xfId="14" applyNumberFormat="1" applyFont="1" applyFill="1" applyBorder="1" applyAlignment="1">
      <alignment horizontal="center" vertical="center" wrapText="1"/>
    </xf>
    <xf numFmtId="0" fontId="9" fillId="4" borderId="6" xfId="14" applyNumberFormat="1" applyFont="1" applyFill="1" applyBorder="1" applyAlignment="1">
      <alignment horizontal="center" vertical="center" wrapText="1"/>
    </xf>
    <xf numFmtId="176" fontId="9" fillId="4" borderId="4" xfId="69" applyNumberFormat="1" applyFont="1" applyFill="1" applyBorder="1" applyAlignment="1">
      <alignment horizontal="center" vertical="center" wrapText="1"/>
    </xf>
    <xf numFmtId="176" fontId="8" fillId="5" borderId="0" xfId="69" applyNumberFormat="1" applyFont="1" applyFill="1" applyBorder="1" applyAlignment="1">
      <alignment horizontal="left" vertical="top" wrapText="1"/>
    </xf>
    <xf numFmtId="176" fontId="9" fillId="7" borderId="5" xfId="69" applyNumberFormat="1" applyFont="1" applyFill="1" applyBorder="1" applyAlignment="1">
      <alignment horizontal="center" vertical="center" wrapText="1"/>
    </xf>
    <xf numFmtId="176" fontId="9" fillId="7" borderId="3" xfId="69" applyNumberFormat="1" applyFont="1" applyFill="1" applyBorder="1" applyAlignment="1">
      <alignment horizontal="center" vertical="center" wrapText="1"/>
    </xf>
    <xf numFmtId="176" fontId="9" fillId="7" borderId="8" xfId="69" applyNumberFormat="1" applyFont="1" applyFill="1" applyBorder="1" applyAlignment="1">
      <alignment horizontal="center" vertical="center" wrapText="1"/>
    </xf>
    <xf numFmtId="0" fontId="8" fillId="0" borderId="0" xfId="14" applyFont="1" applyAlignment="1">
      <alignment horizontal="left" vertical="center" wrapText="1"/>
    </xf>
    <xf numFmtId="0" fontId="13" fillId="0" borderId="0" xfId="14" applyFont="1" applyAlignment="1">
      <alignment horizontal="center" vertical="center" wrapText="1"/>
    </xf>
    <xf numFmtId="0" fontId="9" fillId="4" borderId="7" xfId="14" applyFont="1" applyFill="1" applyBorder="1" applyAlignment="1">
      <alignment horizontal="center" vertical="center"/>
    </xf>
    <xf numFmtId="0" fontId="9" fillId="4" borderId="6" xfId="14" applyFont="1" applyFill="1" applyBorder="1" applyAlignment="1">
      <alignment horizontal="center" vertical="center"/>
    </xf>
    <xf numFmtId="0" fontId="18" fillId="0" borderId="0" xfId="10" applyFill="1" applyAlignment="1">
      <alignment horizontal="center" vertical="center"/>
    </xf>
    <xf numFmtId="0" fontId="9" fillId="4" borderId="4" xfId="10" applyFont="1" applyFill="1" applyBorder="1" applyAlignment="1">
      <alignment horizontal="center"/>
    </xf>
    <xf numFmtId="0" fontId="11" fillId="4" borderId="4" xfId="14" applyFont="1" applyFill="1" applyBorder="1" applyAlignment="1">
      <alignment horizontal="center" vertical="center"/>
    </xf>
    <xf numFmtId="0" fontId="9" fillId="4" borderId="4" xfId="10" applyFont="1" applyFill="1" applyBorder="1" applyAlignment="1">
      <alignment horizontal="center" vertical="top" wrapText="1"/>
    </xf>
    <xf numFmtId="0" fontId="18" fillId="0" borderId="4" xfId="10" applyBorder="1"/>
    <xf numFmtId="0" fontId="9" fillId="0" borderId="0" xfId="10" applyFont="1" applyBorder="1" applyAlignment="1">
      <alignment horizontal="center" vertical="top"/>
    </xf>
    <xf numFmtId="0" fontId="10" fillId="0" borderId="0" xfId="10" applyFont="1" applyAlignment="1">
      <alignment horizontal="center" vertical="center"/>
    </xf>
    <xf numFmtId="0" fontId="10" fillId="6" borderId="0" xfId="10" applyFont="1" applyFill="1" applyAlignment="1">
      <alignment horizontal="center" vertical="center"/>
    </xf>
    <xf numFmtId="0" fontId="10" fillId="7" borderId="4" xfId="10" applyFont="1" applyFill="1" applyBorder="1" applyAlignment="1">
      <alignment horizontal="center" vertical="center" wrapText="1"/>
    </xf>
    <xf numFmtId="0" fontId="9" fillId="0" borderId="0" xfId="10" applyFont="1" applyAlignment="1">
      <alignment horizontal="center" vertical="center" wrapText="1"/>
    </xf>
    <xf numFmtId="0" fontId="98" fillId="0" borderId="0" xfId="14" applyFont="1" applyAlignment="1">
      <alignment horizontal="left" vertical="center" wrapText="1"/>
    </xf>
    <xf numFmtId="0" fontId="9" fillId="0" borderId="0" xfId="10" applyFont="1" applyBorder="1" applyAlignment="1">
      <alignment horizontal="center" vertical="center" wrapText="1"/>
    </xf>
    <xf numFmtId="0" fontId="9" fillId="4" borderId="7" xfId="35" applyFont="1" applyFill="1" applyBorder="1" applyAlignment="1">
      <alignment horizontal="left" vertical="center" wrapText="1"/>
    </xf>
    <xf numFmtId="0" fontId="9" fillId="4" borderId="10" xfId="35" applyFont="1" applyFill="1" applyBorder="1" applyAlignment="1">
      <alignment horizontal="left" vertical="center" wrapText="1"/>
    </xf>
    <xf numFmtId="0" fontId="8" fillId="0" borderId="10" xfId="71" applyFont="1" applyBorder="1" applyAlignment="1">
      <alignment horizontal="left" vertical="center" wrapText="1"/>
    </xf>
    <xf numFmtId="0" fontId="8" fillId="0" borderId="6" xfId="71" applyFont="1" applyBorder="1" applyAlignment="1">
      <alignment horizontal="left" vertical="center" wrapText="1"/>
    </xf>
    <xf numFmtId="0" fontId="9" fillId="4" borderId="6" xfId="35" applyFont="1" applyFill="1" applyBorder="1" applyAlignment="1">
      <alignment horizontal="left" vertical="center" wrapText="1"/>
    </xf>
    <xf numFmtId="0" fontId="9" fillId="4" borderId="5" xfId="35" applyFont="1" applyFill="1" applyBorder="1" applyAlignment="1">
      <alignment horizontal="center" vertical="center"/>
    </xf>
    <xf numFmtId="0" fontId="9" fillId="4" borderId="3" xfId="35" applyFont="1" applyFill="1" applyBorder="1" applyAlignment="1">
      <alignment horizontal="center" vertical="center"/>
    </xf>
    <xf numFmtId="0" fontId="9" fillId="4" borderId="8" xfId="35" applyFont="1" applyFill="1" applyBorder="1" applyAlignment="1">
      <alignment horizontal="center" vertical="center"/>
    </xf>
    <xf numFmtId="2" fontId="9" fillId="4" borderId="7" xfId="35" applyNumberFormat="1" applyFont="1" applyFill="1" applyBorder="1" applyAlignment="1">
      <alignment horizontal="center" vertical="top"/>
    </xf>
    <xf numFmtId="2" fontId="9" fillId="4" borderId="10" xfId="35" applyNumberFormat="1" applyFont="1" applyFill="1" applyBorder="1" applyAlignment="1">
      <alignment horizontal="center" vertical="top"/>
    </xf>
    <xf numFmtId="2" fontId="9" fillId="4" borderId="6" xfId="35" applyNumberFormat="1" applyFont="1" applyFill="1" applyBorder="1" applyAlignment="1">
      <alignment horizontal="center" vertical="top"/>
    </xf>
    <xf numFmtId="0" fontId="9" fillId="4" borderId="7" xfId="35" applyFont="1" applyFill="1" applyBorder="1" applyAlignment="1">
      <alignment horizontal="center" vertical="top" wrapText="1"/>
    </xf>
    <xf numFmtId="0" fontId="9" fillId="4" borderId="10" xfId="35" applyFont="1" applyFill="1" applyBorder="1" applyAlignment="1">
      <alignment horizontal="center" vertical="top" wrapText="1"/>
    </xf>
    <xf numFmtId="0" fontId="9" fillId="4" borderId="6" xfId="35" applyFont="1" applyFill="1" applyBorder="1" applyAlignment="1">
      <alignment horizontal="center" vertical="top" wrapText="1"/>
    </xf>
    <xf numFmtId="0" fontId="9" fillId="4" borderId="4" xfId="35" applyFont="1" applyFill="1" applyBorder="1" applyAlignment="1">
      <alignment horizontal="center" vertical="center" wrapText="1"/>
    </xf>
    <xf numFmtId="0" fontId="9" fillId="4" borderId="5" xfId="10" applyFont="1" applyFill="1" applyBorder="1" applyAlignment="1">
      <alignment horizontal="center" vertical="top" wrapText="1"/>
    </xf>
    <xf numFmtId="0" fontId="9" fillId="4" borderId="3" xfId="10" applyFont="1" applyFill="1" applyBorder="1" applyAlignment="1">
      <alignment horizontal="center" vertical="top" wrapText="1"/>
    </xf>
    <xf numFmtId="0" fontId="9" fillId="4" borderId="8" xfId="10" applyFont="1" applyFill="1" applyBorder="1" applyAlignment="1">
      <alignment horizontal="center" vertical="top" wrapText="1"/>
    </xf>
    <xf numFmtId="0" fontId="8" fillId="0" borderId="0" xfId="10" applyFont="1" applyAlignment="1">
      <alignment horizontal="left" wrapText="1"/>
    </xf>
    <xf numFmtId="0" fontId="9" fillId="0" borderId="0" xfId="10" applyFont="1" applyAlignment="1">
      <alignment horizontal="center" vertical="center"/>
    </xf>
    <xf numFmtId="0" fontId="9" fillId="0" borderId="0" xfId="71" applyFont="1" applyAlignment="1">
      <alignment horizontal="center" vertical="center"/>
    </xf>
    <xf numFmtId="0" fontId="9" fillId="4" borderId="5" xfId="35" applyFont="1" applyFill="1" applyBorder="1" applyAlignment="1">
      <alignment horizontal="center" vertical="top" wrapText="1"/>
    </xf>
    <xf numFmtId="0" fontId="9" fillId="4" borderId="8" xfId="35" applyFont="1" applyFill="1" applyBorder="1" applyAlignment="1">
      <alignment horizontal="center" vertical="top" wrapText="1"/>
    </xf>
    <xf numFmtId="0" fontId="9" fillId="7" borderId="7" xfId="71" applyFont="1" applyFill="1" applyBorder="1" applyAlignment="1">
      <alignment horizontal="center" vertical="top" wrapText="1"/>
    </xf>
    <xf numFmtId="0" fontId="9" fillId="7" borderId="10" xfId="71" applyFont="1" applyFill="1" applyBorder="1" applyAlignment="1">
      <alignment horizontal="center" vertical="top" wrapText="1"/>
    </xf>
    <xf numFmtId="0" fontId="9" fillId="7" borderId="6" xfId="71" applyFont="1" applyFill="1" applyBorder="1" applyAlignment="1">
      <alignment horizontal="center" vertical="top" wrapText="1"/>
    </xf>
    <xf numFmtId="0" fontId="9" fillId="7" borderId="4" xfId="71" applyFont="1" applyFill="1" applyBorder="1" applyAlignment="1">
      <alignment horizontal="center"/>
    </xf>
    <xf numFmtId="0" fontId="39" fillId="12" borderId="7" xfId="79" applyFont="1" applyFill="1" applyBorder="1" applyAlignment="1">
      <alignment horizontal="center" vertical="center" wrapText="1"/>
    </xf>
    <xf numFmtId="0" fontId="39" fillId="12" borderId="6" xfId="79" applyFont="1" applyFill="1" applyBorder="1" applyAlignment="1">
      <alignment horizontal="center" vertical="center" wrapText="1"/>
    </xf>
    <xf numFmtId="0" fontId="41" fillId="12" borderId="5" xfId="79" applyFont="1" applyFill="1" applyBorder="1" applyAlignment="1">
      <alignment horizontal="center"/>
    </xf>
    <xf numFmtId="0" fontId="41" fillId="12" borderId="3" xfId="79" applyFont="1" applyFill="1" applyBorder="1" applyAlignment="1">
      <alignment horizontal="center"/>
    </xf>
    <xf numFmtId="0" fontId="41" fillId="12" borderId="8" xfId="79" applyFont="1" applyFill="1" applyBorder="1" applyAlignment="1">
      <alignment horizontal="center"/>
    </xf>
    <xf numFmtId="0" fontId="9" fillId="6" borderId="0" xfId="10" applyFont="1" applyFill="1" applyAlignment="1">
      <alignment horizontal="center" vertical="center"/>
    </xf>
    <xf numFmtId="0" fontId="39" fillId="12" borderId="7" xfId="79" applyFont="1" applyFill="1" applyBorder="1" applyAlignment="1">
      <alignment horizontal="center" vertical="center"/>
    </xf>
    <xf numFmtId="0" fontId="39" fillId="12" borderId="6" xfId="79" applyFont="1" applyFill="1" applyBorder="1" applyAlignment="1">
      <alignment horizontal="center" vertical="center"/>
    </xf>
    <xf numFmtId="0" fontId="8" fillId="0" borderId="7" xfId="14" applyFont="1" applyBorder="1" applyAlignment="1">
      <alignment horizontal="center" vertical="center"/>
    </xf>
    <xf numFmtId="0" fontId="8" fillId="0" borderId="10" xfId="14" applyFont="1" applyBorder="1" applyAlignment="1">
      <alignment horizontal="center" vertical="center"/>
    </xf>
    <xf numFmtId="0" fontId="8" fillId="0" borderId="6" xfId="14" applyFont="1" applyBorder="1" applyAlignment="1">
      <alignment horizontal="center" vertical="center"/>
    </xf>
    <xf numFmtId="0" fontId="31" fillId="0" borderId="7" xfId="19" applyFont="1" applyBorder="1" applyAlignment="1">
      <alignment horizontal="center" vertical="center"/>
    </xf>
    <xf numFmtId="0" fontId="31" fillId="0" borderId="10" xfId="19" applyFont="1" applyBorder="1" applyAlignment="1">
      <alignment horizontal="center" vertical="center"/>
    </xf>
    <xf numFmtId="0" fontId="31" fillId="0" borderId="6" xfId="19" applyFont="1" applyBorder="1" applyAlignment="1">
      <alignment horizontal="center" vertical="center"/>
    </xf>
    <xf numFmtId="0" fontId="40" fillId="0" borderId="0" xfId="14" applyFont="1" applyAlignment="1">
      <alignment horizontal="left"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31" fillId="0" borderId="9" xfId="19" applyFont="1" applyFill="1" applyBorder="1" applyAlignment="1">
      <alignment horizontal="center" vertical="center"/>
    </xf>
    <xf numFmtId="0" fontId="31" fillId="0" borderId="11" xfId="19" applyFont="1" applyFill="1" applyBorder="1" applyAlignment="1">
      <alignment horizontal="center" vertical="center"/>
    </xf>
    <xf numFmtId="0" fontId="31" fillId="0" borderId="13" xfId="19" applyFont="1" applyFill="1" applyBorder="1" applyAlignment="1">
      <alignment horizontal="center" vertical="center"/>
    </xf>
    <xf numFmtId="0" fontId="31" fillId="0" borderId="12" xfId="19" applyFont="1" applyFill="1" applyBorder="1" applyAlignment="1">
      <alignment horizontal="center" vertical="center"/>
    </xf>
    <xf numFmtId="0" fontId="31" fillId="0" borderId="0" xfId="19" applyFont="1" applyFill="1" applyBorder="1" applyAlignment="1">
      <alignment horizontal="center" vertical="center"/>
    </xf>
    <xf numFmtId="0" fontId="31" fillId="0" borderId="14" xfId="19" applyFont="1" applyFill="1" applyBorder="1" applyAlignment="1">
      <alignment horizontal="center" vertical="center"/>
    </xf>
    <xf numFmtId="0" fontId="31" fillId="0" borderId="15" xfId="19" applyFont="1" applyFill="1" applyBorder="1" applyAlignment="1">
      <alignment horizontal="center" vertical="center"/>
    </xf>
    <xf numFmtId="0" fontId="31" fillId="0" borderId="16" xfId="19" applyFont="1" applyFill="1" applyBorder="1" applyAlignment="1">
      <alignment horizontal="center" vertical="center"/>
    </xf>
    <xf numFmtId="0" fontId="31" fillId="0" borderId="17" xfId="19" applyFont="1" applyFill="1" applyBorder="1" applyAlignment="1">
      <alignment horizontal="center" vertical="center"/>
    </xf>
    <xf numFmtId="0" fontId="9" fillId="7" borderId="7" xfId="68" applyFont="1" applyFill="1" applyBorder="1" applyAlignment="1">
      <alignment horizontal="center" vertical="center"/>
    </xf>
    <xf numFmtId="0" fontId="9" fillId="7" borderId="6" xfId="68" applyFont="1" applyFill="1" applyBorder="1" applyAlignment="1">
      <alignment horizontal="center" vertical="center"/>
    </xf>
    <xf numFmtId="0" fontId="9" fillId="7" borderId="5" xfId="31" applyFont="1" applyFill="1" applyBorder="1" applyAlignment="1">
      <alignment horizontal="center" vertical="center" wrapText="1"/>
    </xf>
    <xf numFmtId="0" fontId="9" fillId="7" borderId="3" xfId="31" applyFont="1" applyFill="1" applyBorder="1" applyAlignment="1">
      <alignment horizontal="center" vertical="center" wrapText="1"/>
    </xf>
    <xf numFmtId="0" fontId="9" fillId="7" borderId="8" xfId="31" applyFont="1" applyFill="1" applyBorder="1" applyAlignment="1">
      <alignment horizontal="center" vertical="center" wrapText="1"/>
    </xf>
    <xf numFmtId="0" fontId="9"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9"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9" fillId="4" borderId="10" xfId="10" applyFont="1" applyFill="1" applyBorder="1" applyAlignment="1">
      <alignment horizontal="center" vertical="center"/>
    </xf>
  </cellXfs>
  <cellStyles count="95">
    <cellStyle name="Body" xfId="1" xr:uid="{00000000-0005-0000-0000-000000000000}"/>
    <cellStyle name="Comma" xfId="69" builtinId="3"/>
    <cellStyle name="Comma  - Style1" xfId="2" xr:uid="{00000000-0005-0000-0000-000002000000}"/>
    <cellStyle name="Comma 10" xfId="73" xr:uid="{00000000-0005-0000-0000-000003000000}"/>
    <cellStyle name="Comma 10 2" xfId="89" xr:uid="{00000000-0005-0000-0000-000004000000}"/>
    <cellStyle name="Comma 11" xfId="84" xr:uid="{00000000-0005-0000-0000-000005000000}"/>
    <cellStyle name="Comma 11 2" xfId="20" xr:uid="{00000000-0005-0000-0000-000006000000}"/>
    <cellStyle name="Comma 11 2 2" xfId="94" xr:uid="{00000000-0005-0000-0000-000007000000}"/>
    <cellStyle name="Comma 2" xfId="25" xr:uid="{00000000-0005-0000-0000-000008000000}"/>
    <cellStyle name="Comma 2 2" xfId="26" xr:uid="{00000000-0005-0000-0000-000009000000}"/>
    <cellStyle name="Comma 2 2 2" xfId="64" xr:uid="{00000000-0005-0000-0000-00000A000000}"/>
    <cellStyle name="Comma 2 3" xfId="27" xr:uid="{00000000-0005-0000-0000-00000B000000}"/>
    <cellStyle name="Comma 2 4" xfId="57" xr:uid="{00000000-0005-0000-0000-00000C000000}"/>
    <cellStyle name="Comma 2 5" xfId="90" xr:uid="{00000000-0005-0000-0000-00000D000000}"/>
    <cellStyle name="Comma 3" xfId="28" xr:uid="{00000000-0005-0000-0000-00000E000000}"/>
    <cellStyle name="Comma 3 2" xfId="63" xr:uid="{00000000-0005-0000-0000-00000F000000}"/>
    <cellStyle name="Comma 3 2 3" xfId="80" xr:uid="{00000000-0005-0000-0000-000010000000}"/>
    <cellStyle name="Comma 4" xfId="29" xr:uid="{00000000-0005-0000-0000-000011000000}"/>
    <cellStyle name="Comma 4 2" xfId="65" xr:uid="{00000000-0005-0000-0000-000012000000}"/>
    <cellStyle name="Comma 4 2 3" xfId="81" xr:uid="{00000000-0005-0000-0000-000013000000}"/>
    <cellStyle name="Comma 5" xfId="30" xr:uid="{00000000-0005-0000-0000-000014000000}"/>
    <cellStyle name="Comma 6" xfId="49" xr:uid="{00000000-0005-0000-0000-000015000000}"/>
    <cellStyle name="Comma 6 2" xfId="50" xr:uid="{00000000-0005-0000-0000-000016000000}"/>
    <cellStyle name="Comma 6 3" xfId="51" xr:uid="{00000000-0005-0000-0000-000017000000}"/>
    <cellStyle name="Comma 6 4" xfId="52" xr:uid="{00000000-0005-0000-0000-000018000000}"/>
    <cellStyle name="Comma 6 5" xfId="77" xr:uid="{00000000-0005-0000-0000-000019000000}"/>
    <cellStyle name="Comma 7" xfId="22" xr:uid="{00000000-0005-0000-0000-00001A000000}"/>
    <cellStyle name="Comma 8" xfId="66" xr:uid="{00000000-0005-0000-0000-00001B000000}"/>
    <cellStyle name="Comma 8 3" xfId="82" xr:uid="{00000000-0005-0000-0000-00001C000000}"/>
    <cellStyle name="Comma 9" xfId="72" xr:uid="{00000000-0005-0000-0000-00001D000000}"/>
    <cellStyle name="Comma 9 2" xfId="91" xr:uid="{00000000-0005-0000-0000-00001E000000}"/>
    <cellStyle name="Curren - Style2" xfId="3" xr:uid="{00000000-0005-0000-0000-00001F000000}"/>
    <cellStyle name="Grey" xfId="4" xr:uid="{00000000-0005-0000-0000-000020000000}"/>
    <cellStyle name="Header1" xfId="5" xr:uid="{00000000-0005-0000-0000-000021000000}"/>
    <cellStyle name="Header2" xfId="6" xr:uid="{00000000-0005-0000-0000-000022000000}"/>
    <cellStyle name="Input [yellow]" xfId="7" xr:uid="{00000000-0005-0000-0000-000023000000}"/>
    <cellStyle name="no dec" xfId="8" xr:uid="{00000000-0005-0000-0000-000024000000}"/>
    <cellStyle name="Normal" xfId="0" builtinId="0"/>
    <cellStyle name="Normal - Style1" xfId="9" xr:uid="{00000000-0005-0000-0000-000026000000}"/>
    <cellStyle name="Normal 10" xfId="74" xr:uid="{00000000-0005-0000-0000-000027000000}"/>
    <cellStyle name="Normal 10 2" xfId="86" xr:uid="{00000000-0005-0000-0000-000028000000}"/>
    <cellStyle name="Normal 11" xfId="85" xr:uid="{00000000-0005-0000-0000-000029000000}"/>
    <cellStyle name="Normal 142" xfId="71" xr:uid="{00000000-0005-0000-0000-00002A000000}"/>
    <cellStyle name="Normal 15" xfId="19" xr:uid="{00000000-0005-0000-0000-00002B000000}"/>
    <cellStyle name="Normal 15 2" xfId="93" xr:uid="{00000000-0005-0000-0000-00002C000000}"/>
    <cellStyle name="Normal 18" xfId="62" xr:uid="{00000000-0005-0000-0000-00002D000000}"/>
    <cellStyle name="Normal 18 3" xfId="79" xr:uid="{00000000-0005-0000-0000-00002E000000}"/>
    <cellStyle name="Normal 2" xfId="10" xr:uid="{00000000-0005-0000-0000-00002F000000}"/>
    <cellStyle name="Normal 2 2" xfId="11" xr:uid="{00000000-0005-0000-0000-000030000000}"/>
    <cellStyle name="Normal 2 2 2" xfId="31" xr:uid="{00000000-0005-0000-0000-000031000000}"/>
    <cellStyle name="Normal 2 2 2 2" xfId="58" xr:uid="{00000000-0005-0000-0000-000032000000}"/>
    <cellStyle name="Normal 2 2_Working APR 2007-08 Mahagenco_Bhushan_1.3" xfId="32" xr:uid="{00000000-0005-0000-0000-000033000000}"/>
    <cellStyle name="Normal 2 3" xfId="12" xr:uid="{00000000-0005-0000-0000-000034000000}"/>
    <cellStyle name="Normal 2 4" xfId="53" xr:uid="{00000000-0005-0000-0000-000035000000}"/>
    <cellStyle name="Normal 2 7" xfId="87" xr:uid="{00000000-0005-0000-0000-000036000000}"/>
    <cellStyle name="Normal 2_ARR FINAL" xfId="33" xr:uid="{00000000-0005-0000-0000-000037000000}"/>
    <cellStyle name="Normal 3" xfId="13" xr:uid="{00000000-0005-0000-0000-000038000000}"/>
    <cellStyle name="Normal 3 2" xfId="34" xr:uid="{00000000-0005-0000-0000-000039000000}"/>
    <cellStyle name="Normal 3 2 2" xfId="59" xr:uid="{00000000-0005-0000-0000-00003A000000}"/>
    <cellStyle name="Normal 39" xfId="23" xr:uid="{00000000-0005-0000-0000-00003B000000}"/>
    <cellStyle name="Normal 4" xfId="35" xr:uid="{00000000-0005-0000-0000-00003C000000}"/>
    <cellStyle name="Normal 4 2" xfId="60" xr:uid="{00000000-0005-0000-0000-00003D000000}"/>
    <cellStyle name="Normal 5" xfId="36" xr:uid="{00000000-0005-0000-0000-00003E000000}"/>
    <cellStyle name="Normal 5 2" xfId="37" xr:uid="{00000000-0005-0000-0000-00003F000000}"/>
    <cellStyle name="Normal 6" xfId="38" xr:uid="{00000000-0005-0000-0000-000040000000}"/>
    <cellStyle name="Normal 7" xfId="39" xr:uid="{00000000-0005-0000-0000-000041000000}"/>
    <cellStyle name="Normal 8" xfId="54" xr:uid="{00000000-0005-0000-0000-000042000000}"/>
    <cellStyle name="Normal 9" xfId="55" xr:uid="{00000000-0005-0000-0000-000043000000}"/>
    <cellStyle name="Normal_FORMATS 5 YEAR ALOKE 2" xfId="14" xr:uid="{00000000-0005-0000-0000-000044000000}"/>
    <cellStyle name="Normal_FORMATS 5 YEAR ALOKE 2 2" xfId="68" xr:uid="{00000000-0005-0000-0000-000045000000}"/>
    <cellStyle name="Normal_FORMATS 5 YEAR ALOKE 3 2" xfId="15" xr:uid="{00000000-0005-0000-0000-000046000000}"/>
    <cellStyle name="Normal_FORMATS 5 YEAR ALOKE 4" xfId="78" xr:uid="{00000000-0005-0000-0000-000047000000}"/>
    <cellStyle name="Normal_Sheet1" xfId="76" xr:uid="{00000000-0005-0000-0000-000048000000}"/>
    <cellStyle name="Percent" xfId="70" builtinId="5"/>
    <cellStyle name="Percent [0]_#6 Temps &amp; Contractors" xfId="16" xr:uid="{00000000-0005-0000-0000-00004A000000}"/>
    <cellStyle name="Percent [2]" xfId="17" xr:uid="{00000000-0005-0000-0000-00004B000000}"/>
    <cellStyle name="Percent 12 10" xfId="83" xr:uid="{00000000-0005-0000-0000-00004C000000}"/>
    <cellStyle name="Percent 2" xfId="40" xr:uid="{00000000-0005-0000-0000-00004D000000}"/>
    <cellStyle name="Percent 2 2" xfId="41" xr:uid="{00000000-0005-0000-0000-00004E000000}"/>
    <cellStyle name="Percent 2 3" xfId="61" xr:uid="{00000000-0005-0000-0000-00004F000000}"/>
    <cellStyle name="Percent 3" xfId="42" xr:uid="{00000000-0005-0000-0000-000050000000}"/>
    <cellStyle name="Percent 3 2" xfId="43" xr:uid="{00000000-0005-0000-0000-000051000000}"/>
    <cellStyle name="Percent 4" xfId="24" xr:uid="{00000000-0005-0000-0000-000052000000}"/>
    <cellStyle name="Percent 41" xfId="21" xr:uid="{00000000-0005-0000-0000-000053000000}"/>
    <cellStyle name="Percent 5" xfId="44" xr:uid="{00000000-0005-0000-0000-000054000000}"/>
    <cellStyle name="Percent 5 2" xfId="45" xr:uid="{00000000-0005-0000-0000-000055000000}"/>
    <cellStyle name="Percent 5 3" xfId="46" xr:uid="{00000000-0005-0000-0000-000056000000}"/>
    <cellStyle name="Percent 6" xfId="47" xr:uid="{00000000-0005-0000-0000-000057000000}"/>
    <cellStyle name="Percent 6 2" xfId="48" xr:uid="{00000000-0005-0000-0000-000058000000}"/>
    <cellStyle name="Percent 7" xfId="67" xr:uid="{00000000-0005-0000-0000-000059000000}"/>
    <cellStyle name="Percent 8" xfId="75" xr:uid="{00000000-0005-0000-0000-00005A000000}"/>
    <cellStyle name="Percent 8 2" xfId="92" xr:uid="{00000000-0005-0000-0000-00005B000000}"/>
    <cellStyle name="Percent 9" xfId="88" xr:uid="{00000000-0005-0000-0000-00005C000000}"/>
    <cellStyle name="Style 1" xfId="18" xr:uid="{00000000-0005-0000-0000-00005D000000}"/>
    <cellStyle name="Style 2" xfId="56" xr:uid="{00000000-0005-0000-0000-00005E000000}"/>
  </cellStyles>
  <dxfs count="350">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ill>
        <patternFill patternType="solid">
          <bgColor rgb="FFA6A6A6"/>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56</xdr:col>
      <xdr:colOff>0</xdr:colOff>
      <xdr:row>35</xdr:row>
      <xdr:rowOff>0</xdr:rowOff>
    </xdr:from>
    <xdr:ext cx="184731" cy="264560"/>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4" name="TextBox 137">
          <a:extLst>
            <a:ext uri="{FF2B5EF4-FFF2-40B4-BE49-F238E27FC236}">
              <a16:creationId xmlns:a16="http://schemas.microsoft.com/office/drawing/2014/main" id="{00000000-0008-0000-1300-00000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5" name="TextBox 138">
          <a:extLst>
            <a:ext uri="{FF2B5EF4-FFF2-40B4-BE49-F238E27FC236}">
              <a16:creationId xmlns:a16="http://schemas.microsoft.com/office/drawing/2014/main" id="{00000000-0008-0000-1300-00000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6" name="TextBox 139">
          <a:extLst>
            <a:ext uri="{FF2B5EF4-FFF2-40B4-BE49-F238E27FC236}">
              <a16:creationId xmlns:a16="http://schemas.microsoft.com/office/drawing/2014/main" id="{00000000-0008-0000-1300-00001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7" name="TextBox 140">
          <a:extLst>
            <a:ext uri="{FF2B5EF4-FFF2-40B4-BE49-F238E27FC236}">
              <a16:creationId xmlns:a16="http://schemas.microsoft.com/office/drawing/2014/main" id="{00000000-0008-0000-1300-00001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0" name="TextBox 137">
          <a:extLst>
            <a:ext uri="{FF2B5EF4-FFF2-40B4-BE49-F238E27FC236}">
              <a16:creationId xmlns:a16="http://schemas.microsoft.com/office/drawing/2014/main" id="{00000000-0008-0000-1300-00001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 name="TextBox 138">
          <a:extLst>
            <a:ext uri="{FF2B5EF4-FFF2-40B4-BE49-F238E27FC236}">
              <a16:creationId xmlns:a16="http://schemas.microsoft.com/office/drawing/2014/main" id="{00000000-0008-0000-1300-00001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 name="TextBox 139">
          <a:extLst>
            <a:ext uri="{FF2B5EF4-FFF2-40B4-BE49-F238E27FC236}">
              <a16:creationId xmlns:a16="http://schemas.microsoft.com/office/drawing/2014/main" id="{00000000-0008-0000-1300-00001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 name="TextBox 140">
          <a:extLst>
            <a:ext uri="{FF2B5EF4-FFF2-40B4-BE49-F238E27FC236}">
              <a16:creationId xmlns:a16="http://schemas.microsoft.com/office/drawing/2014/main" id="{00000000-0008-0000-1300-00001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 name="TextBox 137">
          <a:extLst>
            <a:ext uri="{FF2B5EF4-FFF2-40B4-BE49-F238E27FC236}">
              <a16:creationId xmlns:a16="http://schemas.microsoft.com/office/drawing/2014/main" id="{00000000-0008-0000-1300-00001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 name="TextBox 138">
          <a:extLst>
            <a:ext uri="{FF2B5EF4-FFF2-40B4-BE49-F238E27FC236}">
              <a16:creationId xmlns:a16="http://schemas.microsoft.com/office/drawing/2014/main" id="{00000000-0008-0000-1300-00001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 name="TextBox 139">
          <a:extLst>
            <a:ext uri="{FF2B5EF4-FFF2-40B4-BE49-F238E27FC236}">
              <a16:creationId xmlns:a16="http://schemas.microsoft.com/office/drawing/2014/main" id="{00000000-0008-0000-1300-00001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 name="TextBox 140">
          <a:extLst>
            <a:ext uri="{FF2B5EF4-FFF2-40B4-BE49-F238E27FC236}">
              <a16:creationId xmlns:a16="http://schemas.microsoft.com/office/drawing/2014/main" id="{00000000-0008-0000-1300-00001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 name="TextBox 137">
          <a:extLst>
            <a:ext uri="{FF2B5EF4-FFF2-40B4-BE49-F238E27FC236}">
              <a16:creationId xmlns:a16="http://schemas.microsoft.com/office/drawing/2014/main" id="{00000000-0008-0000-1300-00002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 name="TextBox 138">
          <a:extLst>
            <a:ext uri="{FF2B5EF4-FFF2-40B4-BE49-F238E27FC236}">
              <a16:creationId xmlns:a16="http://schemas.microsoft.com/office/drawing/2014/main" id="{00000000-0008-0000-1300-00002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4" name="TextBox 139">
          <a:extLst>
            <a:ext uri="{FF2B5EF4-FFF2-40B4-BE49-F238E27FC236}">
              <a16:creationId xmlns:a16="http://schemas.microsoft.com/office/drawing/2014/main" id="{00000000-0008-0000-1300-00002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5" name="TextBox 140">
          <a:extLst>
            <a:ext uri="{FF2B5EF4-FFF2-40B4-BE49-F238E27FC236}">
              <a16:creationId xmlns:a16="http://schemas.microsoft.com/office/drawing/2014/main" id="{00000000-0008-0000-1300-00002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8" name="TextBox 137">
          <a:extLst>
            <a:ext uri="{FF2B5EF4-FFF2-40B4-BE49-F238E27FC236}">
              <a16:creationId xmlns:a16="http://schemas.microsoft.com/office/drawing/2014/main" id="{00000000-0008-0000-1300-00003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49" name="TextBox 138">
          <a:extLst>
            <a:ext uri="{FF2B5EF4-FFF2-40B4-BE49-F238E27FC236}">
              <a16:creationId xmlns:a16="http://schemas.microsoft.com/office/drawing/2014/main" id="{00000000-0008-0000-1300-00003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0" name="TextBox 139">
          <a:extLst>
            <a:ext uri="{FF2B5EF4-FFF2-40B4-BE49-F238E27FC236}">
              <a16:creationId xmlns:a16="http://schemas.microsoft.com/office/drawing/2014/main" id="{00000000-0008-0000-1300-00003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1" name="TextBox 140">
          <a:extLst>
            <a:ext uri="{FF2B5EF4-FFF2-40B4-BE49-F238E27FC236}">
              <a16:creationId xmlns:a16="http://schemas.microsoft.com/office/drawing/2014/main" id="{00000000-0008-0000-1300-00003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4" name="TextBox 137">
          <a:extLst>
            <a:ext uri="{FF2B5EF4-FFF2-40B4-BE49-F238E27FC236}">
              <a16:creationId xmlns:a16="http://schemas.microsoft.com/office/drawing/2014/main" id="{00000000-0008-0000-1300-00003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5" name="TextBox 138">
          <a:extLst>
            <a:ext uri="{FF2B5EF4-FFF2-40B4-BE49-F238E27FC236}">
              <a16:creationId xmlns:a16="http://schemas.microsoft.com/office/drawing/2014/main" id="{00000000-0008-0000-1300-00003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6" name="TextBox 139">
          <a:extLst>
            <a:ext uri="{FF2B5EF4-FFF2-40B4-BE49-F238E27FC236}">
              <a16:creationId xmlns:a16="http://schemas.microsoft.com/office/drawing/2014/main" id="{00000000-0008-0000-1300-00003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7" name="TextBox 140">
          <a:extLst>
            <a:ext uri="{FF2B5EF4-FFF2-40B4-BE49-F238E27FC236}">
              <a16:creationId xmlns:a16="http://schemas.microsoft.com/office/drawing/2014/main" id="{00000000-0008-0000-1300-00003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0" name="TextBox 137">
          <a:extLst>
            <a:ext uri="{FF2B5EF4-FFF2-40B4-BE49-F238E27FC236}">
              <a16:creationId xmlns:a16="http://schemas.microsoft.com/office/drawing/2014/main" id="{00000000-0008-0000-1300-00003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1" name="TextBox 138">
          <a:extLst>
            <a:ext uri="{FF2B5EF4-FFF2-40B4-BE49-F238E27FC236}">
              <a16:creationId xmlns:a16="http://schemas.microsoft.com/office/drawing/2014/main" id="{00000000-0008-0000-1300-00003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2" name="TextBox 139">
          <a:extLst>
            <a:ext uri="{FF2B5EF4-FFF2-40B4-BE49-F238E27FC236}">
              <a16:creationId xmlns:a16="http://schemas.microsoft.com/office/drawing/2014/main" id="{00000000-0008-0000-1300-00003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3" name="TextBox 140">
          <a:extLst>
            <a:ext uri="{FF2B5EF4-FFF2-40B4-BE49-F238E27FC236}">
              <a16:creationId xmlns:a16="http://schemas.microsoft.com/office/drawing/2014/main" id="{00000000-0008-0000-1300-00003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6" name="TextBox 137">
          <a:extLst>
            <a:ext uri="{FF2B5EF4-FFF2-40B4-BE49-F238E27FC236}">
              <a16:creationId xmlns:a16="http://schemas.microsoft.com/office/drawing/2014/main" id="{00000000-0008-0000-1300-00004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7" name="TextBox 138">
          <a:extLst>
            <a:ext uri="{FF2B5EF4-FFF2-40B4-BE49-F238E27FC236}">
              <a16:creationId xmlns:a16="http://schemas.microsoft.com/office/drawing/2014/main" id="{00000000-0008-0000-1300-00004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8" name="TextBox 139">
          <a:extLst>
            <a:ext uri="{FF2B5EF4-FFF2-40B4-BE49-F238E27FC236}">
              <a16:creationId xmlns:a16="http://schemas.microsoft.com/office/drawing/2014/main" id="{00000000-0008-0000-1300-00004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69" name="TextBox 140">
          <a:extLst>
            <a:ext uri="{FF2B5EF4-FFF2-40B4-BE49-F238E27FC236}">
              <a16:creationId xmlns:a16="http://schemas.microsoft.com/office/drawing/2014/main" id="{00000000-0008-0000-1300-00004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0" name="TextBox 69">
          <a:extLst>
            <a:ext uri="{FF2B5EF4-FFF2-40B4-BE49-F238E27FC236}">
              <a16:creationId xmlns:a16="http://schemas.microsoft.com/office/drawing/2014/main" id="{00000000-0008-0000-1300-00004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1" name="TextBox 70">
          <a:extLst>
            <a:ext uri="{FF2B5EF4-FFF2-40B4-BE49-F238E27FC236}">
              <a16:creationId xmlns:a16="http://schemas.microsoft.com/office/drawing/2014/main" id="{00000000-0008-0000-1300-00004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2" name="TextBox 71">
          <a:extLst>
            <a:ext uri="{FF2B5EF4-FFF2-40B4-BE49-F238E27FC236}">
              <a16:creationId xmlns:a16="http://schemas.microsoft.com/office/drawing/2014/main" id="{00000000-0008-0000-1300-00004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3" name="TextBox 72">
          <a:extLst>
            <a:ext uri="{FF2B5EF4-FFF2-40B4-BE49-F238E27FC236}">
              <a16:creationId xmlns:a16="http://schemas.microsoft.com/office/drawing/2014/main" id="{00000000-0008-0000-1300-00004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4" name="TextBox 73">
          <a:extLst>
            <a:ext uri="{FF2B5EF4-FFF2-40B4-BE49-F238E27FC236}">
              <a16:creationId xmlns:a16="http://schemas.microsoft.com/office/drawing/2014/main" id="{00000000-0008-0000-1300-00004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5" name="TextBox 74">
          <a:extLst>
            <a:ext uri="{FF2B5EF4-FFF2-40B4-BE49-F238E27FC236}">
              <a16:creationId xmlns:a16="http://schemas.microsoft.com/office/drawing/2014/main" id="{00000000-0008-0000-1300-00004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6" name="TextBox 75">
          <a:extLst>
            <a:ext uri="{FF2B5EF4-FFF2-40B4-BE49-F238E27FC236}">
              <a16:creationId xmlns:a16="http://schemas.microsoft.com/office/drawing/2014/main" id="{00000000-0008-0000-1300-00004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7" name="TextBox 76">
          <a:extLst>
            <a:ext uri="{FF2B5EF4-FFF2-40B4-BE49-F238E27FC236}">
              <a16:creationId xmlns:a16="http://schemas.microsoft.com/office/drawing/2014/main" id="{00000000-0008-0000-1300-00004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8" name="TextBox 77">
          <a:extLst>
            <a:ext uri="{FF2B5EF4-FFF2-40B4-BE49-F238E27FC236}">
              <a16:creationId xmlns:a16="http://schemas.microsoft.com/office/drawing/2014/main" id="{00000000-0008-0000-1300-00004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79" name="TextBox 78">
          <a:extLst>
            <a:ext uri="{FF2B5EF4-FFF2-40B4-BE49-F238E27FC236}">
              <a16:creationId xmlns:a16="http://schemas.microsoft.com/office/drawing/2014/main" id="{00000000-0008-0000-1300-00004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0" name="TextBox 79">
          <a:extLst>
            <a:ext uri="{FF2B5EF4-FFF2-40B4-BE49-F238E27FC236}">
              <a16:creationId xmlns:a16="http://schemas.microsoft.com/office/drawing/2014/main" id="{00000000-0008-0000-1300-00005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1" name="TextBox 80">
          <a:extLst>
            <a:ext uri="{FF2B5EF4-FFF2-40B4-BE49-F238E27FC236}">
              <a16:creationId xmlns:a16="http://schemas.microsoft.com/office/drawing/2014/main" id="{00000000-0008-0000-1300-00005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2" name="TextBox 137">
          <a:extLst>
            <a:ext uri="{FF2B5EF4-FFF2-40B4-BE49-F238E27FC236}">
              <a16:creationId xmlns:a16="http://schemas.microsoft.com/office/drawing/2014/main" id="{00000000-0008-0000-1300-00005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3" name="TextBox 138">
          <a:extLst>
            <a:ext uri="{FF2B5EF4-FFF2-40B4-BE49-F238E27FC236}">
              <a16:creationId xmlns:a16="http://schemas.microsoft.com/office/drawing/2014/main" id="{00000000-0008-0000-1300-00005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4" name="TextBox 139">
          <a:extLst>
            <a:ext uri="{FF2B5EF4-FFF2-40B4-BE49-F238E27FC236}">
              <a16:creationId xmlns:a16="http://schemas.microsoft.com/office/drawing/2014/main" id="{00000000-0008-0000-1300-00005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5" name="TextBox 140">
          <a:extLst>
            <a:ext uri="{FF2B5EF4-FFF2-40B4-BE49-F238E27FC236}">
              <a16:creationId xmlns:a16="http://schemas.microsoft.com/office/drawing/2014/main" id="{00000000-0008-0000-1300-00005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6" name="TextBox 85">
          <a:extLst>
            <a:ext uri="{FF2B5EF4-FFF2-40B4-BE49-F238E27FC236}">
              <a16:creationId xmlns:a16="http://schemas.microsoft.com/office/drawing/2014/main" id="{00000000-0008-0000-1300-00005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7" name="TextBox 86">
          <a:extLst>
            <a:ext uri="{FF2B5EF4-FFF2-40B4-BE49-F238E27FC236}">
              <a16:creationId xmlns:a16="http://schemas.microsoft.com/office/drawing/2014/main" id="{00000000-0008-0000-1300-00005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8" name="TextBox 137">
          <a:extLst>
            <a:ext uri="{FF2B5EF4-FFF2-40B4-BE49-F238E27FC236}">
              <a16:creationId xmlns:a16="http://schemas.microsoft.com/office/drawing/2014/main" id="{00000000-0008-0000-1300-00005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89" name="TextBox 138">
          <a:extLst>
            <a:ext uri="{FF2B5EF4-FFF2-40B4-BE49-F238E27FC236}">
              <a16:creationId xmlns:a16="http://schemas.microsoft.com/office/drawing/2014/main" id="{00000000-0008-0000-1300-00005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0" name="TextBox 139">
          <a:extLst>
            <a:ext uri="{FF2B5EF4-FFF2-40B4-BE49-F238E27FC236}">
              <a16:creationId xmlns:a16="http://schemas.microsoft.com/office/drawing/2014/main" id="{00000000-0008-0000-1300-00005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1" name="TextBox 140">
          <a:extLst>
            <a:ext uri="{FF2B5EF4-FFF2-40B4-BE49-F238E27FC236}">
              <a16:creationId xmlns:a16="http://schemas.microsoft.com/office/drawing/2014/main" id="{00000000-0008-0000-1300-00005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2" name="TextBox 91">
          <a:extLst>
            <a:ext uri="{FF2B5EF4-FFF2-40B4-BE49-F238E27FC236}">
              <a16:creationId xmlns:a16="http://schemas.microsoft.com/office/drawing/2014/main" id="{00000000-0008-0000-1300-00005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3" name="TextBox 92">
          <a:extLst>
            <a:ext uri="{FF2B5EF4-FFF2-40B4-BE49-F238E27FC236}">
              <a16:creationId xmlns:a16="http://schemas.microsoft.com/office/drawing/2014/main" id="{00000000-0008-0000-1300-00005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4" name="TextBox 137">
          <a:extLst>
            <a:ext uri="{FF2B5EF4-FFF2-40B4-BE49-F238E27FC236}">
              <a16:creationId xmlns:a16="http://schemas.microsoft.com/office/drawing/2014/main" id="{00000000-0008-0000-1300-00005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5" name="TextBox 138">
          <a:extLst>
            <a:ext uri="{FF2B5EF4-FFF2-40B4-BE49-F238E27FC236}">
              <a16:creationId xmlns:a16="http://schemas.microsoft.com/office/drawing/2014/main" id="{00000000-0008-0000-1300-00005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6" name="TextBox 139">
          <a:extLst>
            <a:ext uri="{FF2B5EF4-FFF2-40B4-BE49-F238E27FC236}">
              <a16:creationId xmlns:a16="http://schemas.microsoft.com/office/drawing/2014/main" id="{00000000-0008-0000-1300-00006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7" name="TextBox 140">
          <a:extLst>
            <a:ext uri="{FF2B5EF4-FFF2-40B4-BE49-F238E27FC236}">
              <a16:creationId xmlns:a16="http://schemas.microsoft.com/office/drawing/2014/main" id="{00000000-0008-0000-1300-00006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8" name="TextBox 97">
          <a:extLst>
            <a:ext uri="{FF2B5EF4-FFF2-40B4-BE49-F238E27FC236}">
              <a16:creationId xmlns:a16="http://schemas.microsoft.com/office/drawing/2014/main" id="{00000000-0008-0000-1300-00006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99" name="TextBox 98">
          <a:extLst>
            <a:ext uri="{FF2B5EF4-FFF2-40B4-BE49-F238E27FC236}">
              <a16:creationId xmlns:a16="http://schemas.microsoft.com/office/drawing/2014/main" id="{00000000-0008-0000-1300-00006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0" name="TextBox 137">
          <a:extLst>
            <a:ext uri="{FF2B5EF4-FFF2-40B4-BE49-F238E27FC236}">
              <a16:creationId xmlns:a16="http://schemas.microsoft.com/office/drawing/2014/main" id="{00000000-0008-0000-1300-00006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1" name="TextBox 138">
          <a:extLst>
            <a:ext uri="{FF2B5EF4-FFF2-40B4-BE49-F238E27FC236}">
              <a16:creationId xmlns:a16="http://schemas.microsoft.com/office/drawing/2014/main" id="{00000000-0008-0000-1300-00006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2" name="TextBox 139">
          <a:extLst>
            <a:ext uri="{FF2B5EF4-FFF2-40B4-BE49-F238E27FC236}">
              <a16:creationId xmlns:a16="http://schemas.microsoft.com/office/drawing/2014/main" id="{00000000-0008-0000-1300-00006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3" name="TextBox 140">
          <a:extLst>
            <a:ext uri="{FF2B5EF4-FFF2-40B4-BE49-F238E27FC236}">
              <a16:creationId xmlns:a16="http://schemas.microsoft.com/office/drawing/2014/main" id="{00000000-0008-0000-1300-00006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4" name="TextBox 103">
          <a:extLst>
            <a:ext uri="{FF2B5EF4-FFF2-40B4-BE49-F238E27FC236}">
              <a16:creationId xmlns:a16="http://schemas.microsoft.com/office/drawing/2014/main" id="{00000000-0008-0000-1300-00006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5" name="TextBox 104">
          <a:extLst>
            <a:ext uri="{FF2B5EF4-FFF2-40B4-BE49-F238E27FC236}">
              <a16:creationId xmlns:a16="http://schemas.microsoft.com/office/drawing/2014/main" id="{00000000-0008-0000-1300-00006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6" name="TextBox 105">
          <a:extLst>
            <a:ext uri="{FF2B5EF4-FFF2-40B4-BE49-F238E27FC236}">
              <a16:creationId xmlns:a16="http://schemas.microsoft.com/office/drawing/2014/main" id="{00000000-0008-0000-1300-00006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7" name="TextBox 106">
          <a:extLst>
            <a:ext uri="{FF2B5EF4-FFF2-40B4-BE49-F238E27FC236}">
              <a16:creationId xmlns:a16="http://schemas.microsoft.com/office/drawing/2014/main" id="{00000000-0008-0000-1300-00006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8" name="TextBox 107">
          <a:extLst>
            <a:ext uri="{FF2B5EF4-FFF2-40B4-BE49-F238E27FC236}">
              <a16:creationId xmlns:a16="http://schemas.microsoft.com/office/drawing/2014/main" id="{00000000-0008-0000-1300-00006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09" name="TextBox 108">
          <a:extLst>
            <a:ext uri="{FF2B5EF4-FFF2-40B4-BE49-F238E27FC236}">
              <a16:creationId xmlns:a16="http://schemas.microsoft.com/office/drawing/2014/main" id="{00000000-0008-0000-1300-00006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0" name="TextBox 109">
          <a:extLst>
            <a:ext uri="{FF2B5EF4-FFF2-40B4-BE49-F238E27FC236}">
              <a16:creationId xmlns:a16="http://schemas.microsoft.com/office/drawing/2014/main" id="{00000000-0008-0000-1300-00006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1" name="TextBox 110">
          <a:extLst>
            <a:ext uri="{FF2B5EF4-FFF2-40B4-BE49-F238E27FC236}">
              <a16:creationId xmlns:a16="http://schemas.microsoft.com/office/drawing/2014/main" id="{00000000-0008-0000-1300-00006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2" name="TextBox 111">
          <a:extLst>
            <a:ext uri="{FF2B5EF4-FFF2-40B4-BE49-F238E27FC236}">
              <a16:creationId xmlns:a16="http://schemas.microsoft.com/office/drawing/2014/main" id="{00000000-0008-0000-1300-00007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3" name="TextBox 112">
          <a:extLst>
            <a:ext uri="{FF2B5EF4-FFF2-40B4-BE49-F238E27FC236}">
              <a16:creationId xmlns:a16="http://schemas.microsoft.com/office/drawing/2014/main" id="{00000000-0008-0000-1300-00007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4" name="TextBox 113">
          <a:extLst>
            <a:ext uri="{FF2B5EF4-FFF2-40B4-BE49-F238E27FC236}">
              <a16:creationId xmlns:a16="http://schemas.microsoft.com/office/drawing/2014/main" id="{00000000-0008-0000-1300-00007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5" name="TextBox 114">
          <a:extLst>
            <a:ext uri="{FF2B5EF4-FFF2-40B4-BE49-F238E27FC236}">
              <a16:creationId xmlns:a16="http://schemas.microsoft.com/office/drawing/2014/main" id="{00000000-0008-0000-1300-00007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6" name="TextBox 137">
          <a:extLst>
            <a:ext uri="{FF2B5EF4-FFF2-40B4-BE49-F238E27FC236}">
              <a16:creationId xmlns:a16="http://schemas.microsoft.com/office/drawing/2014/main" id="{00000000-0008-0000-1300-00007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7" name="TextBox 138">
          <a:extLst>
            <a:ext uri="{FF2B5EF4-FFF2-40B4-BE49-F238E27FC236}">
              <a16:creationId xmlns:a16="http://schemas.microsoft.com/office/drawing/2014/main" id="{00000000-0008-0000-1300-00007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8" name="TextBox 139">
          <a:extLst>
            <a:ext uri="{FF2B5EF4-FFF2-40B4-BE49-F238E27FC236}">
              <a16:creationId xmlns:a16="http://schemas.microsoft.com/office/drawing/2014/main" id="{00000000-0008-0000-1300-00007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19" name="TextBox 140">
          <a:extLst>
            <a:ext uri="{FF2B5EF4-FFF2-40B4-BE49-F238E27FC236}">
              <a16:creationId xmlns:a16="http://schemas.microsoft.com/office/drawing/2014/main" id="{00000000-0008-0000-1300-00007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0" name="TextBox 119">
          <a:extLst>
            <a:ext uri="{FF2B5EF4-FFF2-40B4-BE49-F238E27FC236}">
              <a16:creationId xmlns:a16="http://schemas.microsoft.com/office/drawing/2014/main" id="{00000000-0008-0000-1300-00007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1" name="TextBox 120">
          <a:extLst>
            <a:ext uri="{FF2B5EF4-FFF2-40B4-BE49-F238E27FC236}">
              <a16:creationId xmlns:a16="http://schemas.microsoft.com/office/drawing/2014/main" id="{00000000-0008-0000-1300-00007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2" name="TextBox 137">
          <a:extLst>
            <a:ext uri="{FF2B5EF4-FFF2-40B4-BE49-F238E27FC236}">
              <a16:creationId xmlns:a16="http://schemas.microsoft.com/office/drawing/2014/main" id="{00000000-0008-0000-1300-00007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3" name="TextBox 138">
          <a:extLst>
            <a:ext uri="{FF2B5EF4-FFF2-40B4-BE49-F238E27FC236}">
              <a16:creationId xmlns:a16="http://schemas.microsoft.com/office/drawing/2014/main" id="{00000000-0008-0000-1300-00007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4" name="TextBox 139">
          <a:extLst>
            <a:ext uri="{FF2B5EF4-FFF2-40B4-BE49-F238E27FC236}">
              <a16:creationId xmlns:a16="http://schemas.microsoft.com/office/drawing/2014/main" id="{00000000-0008-0000-1300-00007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5" name="TextBox 140">
          <a:extLst>
            <a:ext uri="{FF2B5EF4-FFF2-40B4-BE49-F238E27FC236}">
              <a16:creationId xmlns:a16="http://schemas.microsoft.com/office/drawing/2014/main" id="{00000000-0008-0000-1300-00007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6" name="TextBox 125">
          <a:extLst>
            <a:ext uri="{FF2B5EF4-FFF2-40B4-BE49-F238E27FC236}">
              <a16:creationId xmlns:a16="http://schemas.microsoft.com/office/drawing/2014/main" id="{00000000-0008-0000-1300-00007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7" name="TextBox 126">
          <a:extLst>
            <a:ext uri="{FF2B5EF4-FFF2-40B4-BE49-F238E27FC236}">
              <a16:creationId xmlns:a16="http://schemas.microsoft.com/office/drawing/2014/main" id="{00000000-0008-0000-1300-00007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8" name="TextBox 137">
          <a:extLst>
            <a:ext uri="{FF2B5EF4-FFF2-40B4-BE49-F238E27FC236}">
              <a16:creationId xmlns:a16="http://schemas.microsoft.com/office/drawing/2014/main" id="{00000000-0008-0000-1300-00008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29" name="TextBox 138">
          <a:extLst>
            <a:ext uri="{FF2B5EF4-FFF2-40B4-BE49-F238E27FC236}">
              <a16:creationId xmlns:a16="http://schemas.microsoft.com/office/drawing/2014/main" id="{00000000-0008-0000-1300-00008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0" name="TextBox 139">
          <a:extLst>
            <a:ext uri="{FF2B5EF4-FFF2-40B4-BE49-F238E27FC236}">
              <a16:creationId xmlns:a16="http://schemas.microsoft.com/office/drawing/2014/main" id="{00000000-0008-0000-1300-00008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1" name="TextBox 140">
          <a:extLst>
            <a:ext uri="{FF2B5EF4-FFF2-40B4-BE49-F238E27FC236}">
              <a16:creationId xmlns:a16="http://schemas.microsoft.com/office/drawing/2014/main" id="{00000000-0008-0000-1300-00008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2" name="TextBox 131">
          <a:extLst>
            <a:ext uri="{FF2B5EF4-FFF2-40B4-BE49-F238E27FC236}">
              <a16:creationId xmlns:a16="http://schemas.microsoft.com/office/drawing/2014/main" id="{00000000-0008-0000-1300-00008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3" name="TextBox 132">
          <a:extLst>
            <a:ext uri="{FF2B5EF4-FFF2-40B4-BE49-F238E27FC236}">
              <a16:creationId xmlns:a16="http://schemas.microsoft.com/office/drawing/2014/main" id="{00000000-0008-0000-1300-00008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4" name="TextBox 137">
          <a:extLst>
            <a:ext uri="{FF2B5EF4-FFF2-40B4-BE49-F238E27FC236}">
              <a16:creationId xmlns:a16="http://schemas.microsoft.com/office/drawing/2014/main" id="{00000000-0008-0000-1300-00008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5" name="TextBox 138">
          <a:extLst>
            <a:ext uri="{FF2B5EF4-FFF2-40B4-BE49-F238E27FC236}">
              <a16:creationId xmlns:a16="http://schemas.microsoft.com/office/drawing/2014/main" id="{00000000-0008-0000-1300-00008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6" name="TextBox 139">
          <a:extLst>
            <a:ext uri="{FF2B5EF4-FFF2-40B4-BE49-F238E27FC236}">
              <a16:creationId xmlns:a16="http://schemas.microsoft.com/office/drawing/2014/main" id="{00000000-0008-0000-1300-00008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137" name="TextBox 140">
          <a:extLst>
            <a:ext uri="{FF2B5EF4-FFF2-40B4-BE49-F238E27FC236}">
              <a16:creationId xmlns:a16="http://schemas.microsoft.com/office/drawing/2014/main" id="{00000000-0008-0000-1300-00008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38" name="TextBox 137">
          <a:extLst>
            <a:ext uri="{FF2B5EF4-FFF2-40B4-BE49-F238E27FC236}">
              <a16:creationId xmlns:a16="http://schemas.microsoft.com/office/drawing/2014/main" id="{00000000-0008-0000-1300-00008A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39" name="TextBox 138">
          <a:extLst>
            <a:ext uri="{FF2B5EF4-FFF2-40B4-BE49-F238E27FC236}">
              <a16:creationId xmlns:a16="http://schemas.microsoft.com/office/drawing/2014/main" id="{00000000-0008-0000-1300-00008B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0" name="TextBox 139">
          <a:extLst>
            <a:ext uri="{FF2B5EF4-FFF2-40B4-BE49-F238E27FC236}">
              <a16:creationId xmlns:a16="http://schemas.microsoft.com/office/drawing/2014/main" id="{00000000-0008-0000-1300-00008C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1" name="TextBox 140">
          <a:extLst>
            <a:ext uri="{FF2B5EF4-FFF2-40B4-BE49-F238E27FC236}">
              <a16:creationId xmlns:a16="http://schemas.microsoft.com/office/drawing/2014/main" id="{00000000-0008-0000-1300-00008D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2" name="TextBox 141">
          <a:extLst>
            <a:ext uri="{FF2B5EF4-FFF2-40B4-BE49-F238E27FC236}">
              <a16:creationId xmlns:a16="http://schemas.microsoft.com/office/drawing/2014/main" id="{00000000-0008-0000-1300-00008E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3" name="TextBox 142">
          <a:extLst>
            <a:ext uri="{FF2B5EF4-FFF2-40B4-BE49-F238E27FC236}">
              <a16:creationId xmlns:a16="http://schemas.microsoft.com/office/drawing/2014/main" id="{00000000-0008-0000-1300-00008F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4" name="TextBox 143">
          <a:extLst>
            <a:ext uri="{FF2B5EF4-FFF2-40B4-BE49-F238E27FC236}">
              <a16:creationId xmlns:a16="http://schemas.microsoft.com/office/drawing/2014/main" id="{00000000-0008-0000-1300-000090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5" name="TextBox 144">
          <a:extLst>
            <a:ext uri="{FF2B5EF4-FFF2-40B4-BE49-F238E27FC236}">
              <a16:creationId xmlns:a16="http://schemas.microsoft.com/office/drawing/2014/main" id="{00000000-0008-0000-1300-000091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6" name="TextBox 145">
          <a:extLst>
            <a:ext uri="{FF2B5EF4-FFF2-40B4-BE49-F238E27FC236}">
              <a16:creationId xmlns:a16="http://schemas.microsoft.com/office/drawing/2014/main" id="{00000000-0008-0000-1300-000092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7" name="TextBox 146">
          <a:extLst>
            <a:ext uri="{FF2B5EF4-FFF2-40B4-BE49-F238E27FC236}">
              <a16:creationId xmlns:a16="http://schemas.microsoft.com/office/drawing/2014/main" id="{00000000-0008-0000-1300-000093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8" name="TextBox 147">
          <a:extLst>
            <a:ext uri="{FF2B5EF4-FFF2-40B4-BE49-F238E27FC236}">
              <a16:creationId xmlns:a16="http://schemas.microsoft.com/office/drawing/2014/main" id="{00000000-0008-0000-1300-000094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49" name="TextBox 148">
          <a:extLst>
            <a:ext uri="{FF2B5EF4-FFF2-40B4-BE49-F238E27FC236}">
              <a16:creationId xmlns:a16="http://schemas.microsoft.com/office/drawing/2014/main" id="{00000000-0008-0000-1300-000095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0" name="TextBox 137">
          <a:extLst>
            <a:ext uri="{FF2B5EF4-FFF2-40B4-BE49-F238E27FC236}">
              <a16:creationId xmlns:a16="http://schemas.microsoft.com/office/drawing/2014/main" id="{00000000-0008-0000-1300-000096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1" name="TextBox 138">
          <a:extLst>
            <a:ext uri="{FF2B5EF4-FFF2-40B4-BE49-F238E27FC236}">
              <a16:creationId xmlns:a16="http://schemas.microsoft.com/office/drawing/2014/main" id="{00000000-0008-0000-1300-000097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2" name="TextBox 139">
          <a:extLst>
            <a:ext uri="{FF2B5EF4-FFF2-40B4-BE49-F238E27FC236}">
              <a16:creationId xmlns:a16="http://schemas.microsoft.com/office/drawing/2014/main" id="{00000000-0008-0000-1300-000098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3" name="TextBox 140">
          <a:extLst>
            <a:ext uri="{FF2B5EF4-FFF2-40B4-BE49-F238E27FC236}">
              <a16:creationId xmlns:a16="http://schemas.microsoft.com/office/drawing/2014/main" id="{00000000-0008-0000-1300-000099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4" name="TextBox 153">
          <a:extLst>
            <a:ext uri="{FF2B5EF4-FFF2-40B4-BE49-F238E27FC236}">
              <a16:creationId xmlns:a16="http://schemas.microsoft.com/office/drawing/2014/main" id="{00000000-0008-0000-1300-00009A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5" name="TextBox 154">
          <a:extLst>
            <a:ext uri="{FF2B5EF4-FFF2-40B4-BE49-F238E27FC236}">
              <a16:creationId xmlns:a16="http://schemas.microsoft.com/office/drawing/2014/main" id="{00000000-0008-0000-1300-00009B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6" name="TextBox 137">
          <a:extLst>
            <a:ext uri="{FF2B5EF4-FFF2-40B4-BE49-F238E27FC236}">
              <a16:creationId xmlns:a16="http://schemas.microsoft.com/office/drawing/2014/main" id="{00000000-0008-0000-1300-00009C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7" name="TextBox 138">
          <a:extLst>
            <a:ext uri="{FF2B5EF4-FFF2-40B4-BE49-F238E27FC236}">
              <a16:creationId xmlns:a16="http://schemas.microsoft.com/office/drawing/2014/main" id="{00000000-0008-0000-1300-00009D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8" name="TextBox 139">
          <a:extLst>
            <a:ext uri="{FF2B5EF4-FFF2-40B4-BE49-F238E27FC236}">
              <a16:creationId xmlns:a16="http://schemas.microsoft.com/office/drawing/2014/main" id="{00000000-0008-0000-1300-00009E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59" name="TextBox 140">
          <a:extLst>
            <a:ext uri="{FF2B5EF4-FFF2-40B4-BE49-F238E27FC236}">
              <a16:creationId xmlns:a16="http://schemas.microsoft.com/office/drawing/2014/main" id="{00000000-0008-0000-1300-00009F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0" name="TextBox 159">
          <a:extLst>
            <a:ext uri="{FF2B5EF4-FFF2-40B4-BE49-F238E27FC236}">
              <a16:creationId xmlns:a16="http://schemas.microsoft.com/office/drawing/2014/main" id="{00000000-0008-0000-1300-0000A0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1" name="TextBox 160">
          <a:extLst>
            <a:ext uri="{FF2B5EF4-FFF2-40B4-BE49-F238E27FC236}">
              <a16:creationId xmlns:a16="http://schemas.microsoft.com/office/drawing/2014/main" id="{00000000-0008-0000-1300-0000A1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2" name="TextBox 137">
          <a:extLst>
            <a:ext uri="{FF2B5EF4-FFF2-40B4-BE49-F238E27FC236}">
              <a16:creationId xmlns:a16="http://schemas.microsoft.com/office/drawing/2014/main" id="{00000000-0008-0000-1300-0000A2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3" name="TextBox 138">
          <a:extLst>
            <a:ext uri="{FF2B5EF4-FFF2-40B4-BE49-F238E27FC236}">
              <a16:creationId xmlns:a16="http://schemas.microsoft.com/office/drawing/2014/main" id="{00000000-0008-0000-1300-0000A3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4" name="TextBox 139">
          <a:extLst>
            <a:ext uri="{FF2B5EF4-FFF2-40B4-BE49-F238E27FC236}">
              <a16:creationId xmlns:a16="http://schemas.microsoft.com/office/drawing/2014/main" id="{00000000-0008-0000-1300-0000A4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5" name="TextBox 140">
          <a:extLst>
            <a:ext uri="{FF2B5EF4-FFF2-40B4-BE49-F238E27FC236}">
              <a16:creationId xmlns:a16="http://schemas.microsoft.com/office/drawing/2014/main" id="{00000000-0008-0000-1300-0000A5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6" name="TextBox 165">
          <a:extLst>
            <a:ext uri="{FF2B5EF4-FFF2-40B4-BE49-F238E27FC236}">
              <a16:creationId xmlns:a16="http://schemas.microsoft.com/office/drawing/2014/main" id="{00000000-0008-0000-1300-0000A6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7" name="TextBox 166">
          <a:extLst>
            <a:ext uri="{FF2B5EF4-FFF2-40B4-BE49-F238E27FC236}">
              <a16:creationId xmlns:a16="http://schemas.microsoft.com/office/drawing/2014/main" id="{00000000-0008-0000-1300-0000A7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8" name="TextBox 137">
          <a:extLst>
            <a:ext uri="{FF2B5EF4-FFF2-40B4-BE49-F238E27FC236}">
              <a16:creationId xmlns:a16="http://schemas.microsoft.com/office/drawing/2014/main" id="{00000000-0008-0000-1300-0000A8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69" name="TextBox 138">
          <a:extLst>
            <a:ext uri="{FF2B5EF4-FFF2-40B4-BE49-F238E27FC236}">
              <a16:creationId xmlns:a16="http://schemas.microsoft.com/office/drawing/2014/main" id="{00000000-0008-0000-1300-0000A9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0" name="TextBox 139">
          <a:extLst>
            <a:ext uri="{FF2B5EF4-FFF2-40B4-BE49-F238E27FC236}">
              <a16:creationId xmlns:a16="http://schemas.microsoft.com/office/drawing/2014/main" id="{00000000-0008-0000-1300-0000AA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1" name="TextBox 140">
          <a:extLst>
            <a:ext uri="{FF2B5EF4-FFF2-40B4-BE49-F238E27FC236}">
              <a16:creationId xmlns:a16="http://schemas.microsoft.com/office/drawing/2014/main" id="{00000000-0008-0000-1300-0000AB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2" name="TextBox 171">
          <a:extLst>
            <a:ext uri="{FF2B5EF4-FFF2-40B4-BE49-F238E27FC236}">
              <a16:creationId xmlns:a16="http://schemas.microsoft.com/office/drawing/2014/main" id="{00000000-0008-0000-1300-0000AC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3" name="TextBox 172">
          <a:extLst>
            <a:ext uri="{FF2B5EF4-FFF2-40B4-BE49-F238E27FC236}">
              <a16:creationId xmlns:a16="http://schemas.microsoft.com/office/drawing/2014/main" id="{00000000-0008-0000-1300-0000AD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4" name="TextBox 173">
          <a:extLst>
            <a:ext uri="{FF2B5EF4-FFF2-40B4-BE49-F238E27FC236}">
              <a16:creationId xmlns:a16="http://schemas.microsoft.com/office/drawing/2014/main" id="{00000000-0008-0000-1300-0000AE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5" name="TextBox 174">
          <a:extLst>
            <a:ext uri="{FF2B5EF4-FFF2-40B4-BE49-F238E27FC236}">
              <a16:creationId xmlns:a16="http://schemas.microsoft.com/office/drawing/2014/main" id="{00000000-0008-0000-1300-0000AF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6" name="TextBox 175">
          <a:extLst>
            <a:ext uri="{FF2B5EF4-FFF2-40B4-BE49-F238E27FC236}">
              <a16:creationId xmlns:a16="http://schemas.microsoft.com/office/drawing/2014/main" id="{00000000-0008-0000-1300-0000B0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7" name="TextBox 176">
          <a:extLst>
            <a:ext uri="{FF2B5EF4-FFF2-40B4-BE49-F238E27FC236}">
              <a16:creationId xmlns:a16="http://schemas.microsoft.com/office/drawing/2014/main" id="{00000000-0008-0000-1300-0000B1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8" name="TextBox 177">
          <a:extLst>
            <a:ext uri="{FF2B5EF4-FFF2-40B4-BE49-F238E27FC236}">
              <a16:creationId xmlns:a16="http://schemas.microsoft.com/office/drawing/2014/main" id="{00000000-0008-0000-1300-0000B2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79" name="TextBox 178">
          <a:extLst>
            <a:ext uri="{FF2B5EF4-FFF2-40B4-BE49-F238E27FC236}">
              <a16:creationId xmlns:a16="http://schemas.microsoft.com/office/drawing/2014/main" id="{00000000-0008-0000-1300-0000B3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0" name="TextBox 179">
          <a:extLst>
            <a:ext uri="{FF2B5EF4-FFF2-40B4-BE49-F238E27FC236}">
              <a16:creationId xmlns:a16="http://schemas.microsoft.com/office/drawing/2014/main" id="{00000000-0008-0000-1300-0000B4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1" name="TextBox 180">
          <a:extLst>
            <a:ext uri="{FF2B5EF4-FFF2-40B4-BE49-F238E27FC236}">
              <a16:creationId xmlns:a16="http://schemas.microsoft.com/office/drawing/2014/main" id="{00000000-0008-0000-1300-0000B5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2" name="TextBox 181">
          <a:extLst>
            <a:ext uri="{FF2B5EF4-FFF2-40B4-BE49-F238E27FC236}">
              <a16:creationId xmlns:a16="http://schemas.microsoft.com/office/drawing/2014/main" id="{00000000-0008-0000-1300-0000B6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3" name="TextBox 182">
          <a:extLst>
            <a:ext uri="{FF2B5EF4-FFF2-40B4-BE49-F238E27FC236}">
              <a16:creationId xmlns:a16="http://schemas.microsoft.com/office/drawing/2014/main" id="{00000000-0008-0000-1300-0000B7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4" name="TextBox 137">
          <a:extLst>
            <a:ext uri="{FF2B5EF4-FFF2-40B4-BE49-F238E27FC236}">
              <a16:creationId xmlns:a16="http://schemas.microsoft.com/office/drawing/2014/main" id="{00000000-0008-0000-1300-0000B8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5" name="TextBox 138">
          <a:extLst>
            <a:ext uri="{FF2B5EF4-FFF2-40B4-BE49-F238E27FC236}">
              <a16:creationId xmlns:a16="http://schemas.microsoft.com/office/drawing/2014/main" id="{00000000-0008-0000-1300-0000B9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6" name="TextBox 139">
          <a:extLst>
            <a:ext uri="{FF2B5EF4-FFF2-40B4-BE49-F238E27FC236}">
              <a16:creationId xmlns:a16="http://schemas.microsoft.com/office/drawing/2014/main" id="{00000000-0008-0000-1300-0000BA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7" name="TextBox 140">
          <a:extLst>
            <a:ext uri="{FF2B5EF4-FFF2-40B4-BE49-F238E27FC236}">
              <a16:creationId xmlns:a16="http://schemas.microsoft.com/office/drawing/2014/main" id="{00000000-0008-0000-1300-0000BB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8" name="TextBox 187">
          <a:extLst>
            <a:ext uri="{FF2B5EF4-FFF2-40B4-BE49-F238E27FC236}">
              <a16:creationId xmlns:a16="http://schemas.microsoft.com/office/drawing/2014/main" id="{00000000-0008-0000-1300-0000BC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89" name="TextBox 188">
          <a:extLst>
            <a:ext uri="{FF2B5EF4-FFF2-40B4-BE49-F238E27FC236}">
              <a16:creationId xmlns:a16="http://schemas.microsoft.com/office/drawing/2014/main" id="{00000000-0008-0000-1300-0000BD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0" name="TextBox 137">
          <a:extLst>
            <a:ext uri="{FF2B5EF4-FFF2-40B4-BE49-F238E27FC236}">
              <a16:creationId xmlns:a16="http://schemas.microsoft.com/office/drawing/2014/main" id="{00000000-0008-0000-1300-0000BE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1" name="TextBox 138">
          <a:extLst>
            <a:ext uri="{FF2B5EF4-FFF2-40B4-BE49-F238E27FC236}">
              <a16:creationId xmlns:a16="http://schemas.microsoft.com/office/drawing/2014/main" id="{00000000-0008-0000-1300-0000BF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2" name="TextBox 139">
          <a:extLst>
            <a:ext uri="{FF2B5EF4-FFF2-40B4-BE49-F238E27FC236}">
              <a16:creationId xmlns:a16="http://schemas.microsoft.com/office/drawing/2014/main" id="{00000000-0008-0000-1300-0000C0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3" name="TextBox 140">
          <a:extLst>
            <a:ext uri="{FF2B5EF4-FFF2-40B4-BE49-F238E27FC236}">
              <a16:creationId xmlns:a16="http://schemas.microsoft.com/office/drawing/2014/main" id="{00000000-0008-0000-1300-0000C1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4" name="TextBox 193">
          <a:extLst>
            <a:ext uri="{FF2B5EF4-FFF2-40B4-BE49-F238E27FC236}">
              <a16:creationId xmlns:a16="http://schemas.microsoft.com/office/drawing/2014/main" id="{00000000-0008-0000-1300-0000C2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5" name="TextBox 194">
          <a:extLst>
            <a:ext uri="{FF2B5EF4-FFF2-40B4-BE49-F238E27FC236}">
              <a16:creationId xmlns:a16="http://schemas.microsoft.com/office/drawing/2014/main" id="{00000000-0008-0000-1300-0000C3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6" name="TextBox 137">
          <a:extLst>
            <a:ext uri="{FF2B5EF4-FFF2-40B4-BE49-F238E27FC236}">
              <a16:creationId xmlns:a16="http://schemas.microsoft.com/office/drawing/2014/main" id="{00000000-0008-0000-1300-0000C4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7" name="TextBox 138">
          <a:extLst>
            <a:ext uri="{FF2B5EF4-FFF2-40B4-BE49-F238E27FC236}">
              <a16:creationId xmlns:a16="http://schemas.microsoft.com/office/drawing/2014/main" id="{00000000-0008-0000-1300-0000C5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8" name="TextBox 139">
          <a:extLst>
            <a:ext uri="{FF2B5EF4-FFF2-40B4-BE49-F238E27FC236}">
              <a16:creationId xmlns:a16="http://schemas.microsoft.com/office/drawing/2014/main" id="{00000000-0008-0000-1300-0000C6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199" name="TextBox 140">
          <a:extLst>
            <a:ext uri="{FF2B5EF4-FFF2-40B4-BE49-F238E27FC236}">
              <a16:creationId xmlns:a16="http://schemas.microsoft.com/office/drawing/2014/main" id="{00000000-0008-0000-1300-0000C7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0" name="TextBox 199">
          <a:extLst>
            <a:ext uri="{FF2B5EF4-FFF2-40B4-BE49-F238E27FC236}">
              <a16:creationId xmlns:a16="http://schemas.microsoft.com/office/drawing/2014/main" id="{00000000-0008-0000-1300-0000C8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1" name="TextBox 200">
          <a:extLst>
            <a:ext uri="{FF2B5EF4-FFF2-40B4-BE49-F238E27FC236}">
              <a16:creationId xmlns:a16="http://schemas.microsoft.com/office/drawing/2014/main" id="{00000000-0008-0000-1300-0000C9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2" name="TextBox 137">
          <a:extLst>
            <a:ext uri="{FF2B5EF4-FFF2-40B4-BE49-F238E27FC236}">
              <a16:creationId xmlns:a16="http://schemas.microsoft.com/office/drawing/2014/main" id="{00000000-0008-0000-1300-0000CA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3" name="TextBox 138">
          <a:extLst>
            <a:ext uri="{FF2B5EF4-FFF2-40B4-BE49-F238E27FC236}">
              <a16:creationId xmlns:a16="http://schemas.microsoft.com/office/drawing/2014/main" id="{00000000-0008-0000-1300-0000CB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4" name="TextBox 139">
          <a:extLst>
            <a:ext uri="{FF2B5EF4-FFF2-40B4-BE49-F238E27FC236}">
              <a16:creationId xmlns:a16="http://schemas.microsoft.com/office/drawing/2014/main" id="{00000000-0008-0000-1300-0000CC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205" name="TextBox 140">
          <a:extLst>
            <a:ext uri="{FF2B5EF4-FFF2-40B4-BE49-F238E27FC236}">
              <a16:creationId xmlns:a16="http://schemas.microsoft.com/office/drawing/2014/main" id="{00000000-0008-0000-1300-0000CD00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06" name="TextBox 205">
          <a:extLst>
            <a:ext uri="{FF2B5EF4-FFF2-40B4-BE49-F238E27FC236}">
              <a16:creationId xmlns:a16="http://schemas.microsoft.com/office/drawing/2014/main" id="{00000000-0008-0000-1300-0000C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07" name="TextBox 206">
          <a:extLst>
            <a:ext uri="{FF2B5EF4-FFF2-40B4-BE49-F238E27FC236}">
              <a16:creationId xmlns:a16="http://schemas.microsoft.com/office/drawing/2014/main" id="{00000000-0008-0000-1300-0000C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08" name="TextBox 207">
          <a:extLst>
            <a:ext uri="{FF2B5EF4-FFF2-40B4-BE49-F238E27FC236}">
              <a16:creationId xmlns:a16="http://schemas.microsoft.com/office/drawing/2014/main" id="{00000000-0008-0000-1300-0000D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09" name="TextBox 208">
          <a:extLst>
            <a:ext uri="{FF2B5EF4-FFF2-40B4-BE49-F238E27FC236}">
              <a16:creationId xmlns:a16="http://schemas.microsoft.com/office/drawing/2014/main" id="{00000000-0008-0000-1300-0000D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0" name="TextBox 209">
          <a:extLst>
            <a:ext uri="{FF2B5EF4-FFF2-40B4-BE49-F238E27FC236}">
              <a16:creationId xmlns:a16="http://schemas.microsoft.com/office/drawing/2014/main" id="{00000000-0008-0000-1300-0000D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1" name="TextBox 210">
          <a:extLst>
            <a:ext uri="{FF2B5EF4-FFF2-40B4-BE49-F238E27FC236}">
              <a16:creationId xmlns:a16="http://schemas.microsoft.com/office/drawing/2014/main" id="{00000000-0008-0000-1300-0000D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2" name="TextBox 211">
          <a:extLst>
            <a:ext uri="{FF2B5EF4-FFF2-40B4-BE49-F238E27FC236}">
              <a16:creationId xmlns:a16="http://schemas.microsoft.com/office/drawing/2014/main" id="{00000000-0008-0000-1300-0000D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3" name="TextBox 212">
          <a:extLst>
            <a:ext uri="{FF2B5EF4-FFF2-40B4-BE49-F238E27FC236}">
              <a16:creationId xmlns:a16="http://schemas.microsoft.com/office/drawing/2014/main" id="{00000000-0008-0000-1300-0000D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4" name="TextBox 213">
          <a:extLst>
            <a:ext uri="{FF2B5EF4-FFF2-40B4-BE49-F238E27FC236}">
              <a16:creationId xmlns:a16="http://schemas.microsoft.com/office/drawing/2014/main" id="{00000000-0008-0000-1300-0000D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5" name="TextBox 214">
          <a:extLst>
            <a:ext uri="{FF2B5EF4-FFF2-40B4-BE49-F238E27FC236}">
              <a16:creationId xmlns:a16="http://schemas.microsoft.com/office/drawing/2014/main" id="{00000000-0008-0000-1300-0000D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6" name="TextBox 215">
          <a:extLst>
            <a:ext uri="{FF2B5EF4-FFF2-40B4-BE49-F238E27FC236}">
              <a16:creationId xmlns:a16="http://schemas.microsoft.com/office/drawing/2014/main" id="{00000000-0008-0000-1300-0000D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7" name="TextBox 216">
          <a:extLst>
            <a:ext uri="{FF2B5EF4-FFF2-40B4-BE49-F238E27FC236}">
              <a16:creationId xmlns:a16="http://schemas.microsoft.com/office/drawing/2014/main" id="{00000000-0008-0000-1300-0000D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8" name="TextBox 137">
          <a:extLst>
            <a:ext uri="{FF2B5EF4-FFF2-40B4-BE49-F238E27FC236}">
              <a16:creationId xmlns:a16="http://schemas.microsoft.com/office/drawing/2014/main" id="{00000000-0008-0000-1300-0000D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19" name="TextBox 138">
          <a:extLst>
            <a:ext uri="{FF2B5EF4-FFF2-40B4-BE49-F238E27FC236}">
              <a16:creationId xmlns:a16="http://schemas.microsoft.com/office/drawing/2014/main" id="{00000000-0008-0000-1300-0000D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0" name="TextBox 139">
          <a:extLst>
            <a:ext uri="{FF2B5EF4-FFF2-40B4-BE49-F238E27FC236}">
              <a16:creationId xmlns:a16="http://schemas.microsoft.com/office/drawing/2014/main" id="{00000000-0008-0000-1300-0000D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1" name="TextBox 140">
          <a:extLst>
            <a:ext uri="{FF2B5EF4-FFF2-40B4-BE49-F238E27FC236}">
              <a16:creationId xmlns:a16="http://schemas.microsoft.com/office/drawing/2014/main" id="{00000000-0008-0000-1300-0000D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2" name="TextBox 221">
          <a:extLst>
            <a:ext uri="{FF2B5EF4-FFF2-40B4-BE49-F238E27FC236}">
              <a16:creationId xmlns:a16="http://schemas.microsoft.com/office/drawing/2014/main" id="{00000000-0008-0000-1300-0000D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3" name="TextBox 222">
          <a:extLst>
            <a:ext uri="{FF2B5EF4-FFF2-40B4-BE49-F238E27FC236}">
              <a16:creationId xmlns:a16="http://schemas.microsoft.com/office/drawing/2014/main" id="{00000000-0008-0000-1300-0000D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4" name="TextBox 137">
          <a:extLst>
            <a:ext uri="{FF2B5EF4-FFF2-40B4-BE49-F238E27FC236}">
              <a16:creationId xmlns:a16="http://schemas.microsoft.com/office/drawing/2014/main" id="{00000000-0008-0000-1300-0000E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5" name="TextBox 138">
          <a:extLst>
            <a:ext uri="{FF2B5EF4-FFF2-40B4-BE49-F238E27FC236}">
              <a16:creationId xmlns:a16="http://schemas.microsoft.com/office/drawing/2014/main" id="{00000000-0008-0000-1300-0000E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6" name="TextBox 139">
          <a:extLst>
            <a:ext uri="{FF2B5EF4-FFF2-40B4-BE49-F238E27FC236}">
              <a16:creationId xmlns:a16="http://schemas.microsoft.com/office/drawing/2014/main" id="{00000000-0008-0000-1300-0000E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7" name="TextBox 140">
          <a:extLst>
            <a:ext uri="{FF2B5EF4-FFF2-40B4-BE49-F238E27FC236}">
              <a16:creationId xmlns:a16="http://schemas.microsoft.com/office/drawing/2014/main" id="{00000000-0008-0000-1300-0000E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8" name="TextBox 227">
          <a:extLst>
            <a:ext uri="{FF2B5EF4-FFF2-40B4-BE49-F238E27FC236}">
              <a16:creationId xmlns:a16="http://schemas.microsoft.com/office/drawing/2014/main" id="{00000000-0008-0000-1300-0000E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29" name="TextBox 228">
          <a:extLst>
            <a:ext uri="{FF2B5EF4-FFF2-40B4-BE49-F238E27FC236}">
              <a16:creationId xmlns:a16="http://schemas.microsoft.com/office/drawing/2014/main" id="{00000000-0008-0000-1300-0000E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0" name="TextBox 137">
          <a:extLst>
            <a:ext uri="{FF2B5EF4-FFF2-40B4-BE49-F238E27FC236}">
              <a16:creationId xmlns:a16="http://schemas.microsoft.com/office/drawing/2014/main" id="{00000000-0008-0000-1300-0000E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1" name="TextBox 138">
          <a:extLst>
            <a:ext uri="{FF2B5EF4-FFF2-40B4-BE49-F238E27FC236}">
              <a16:creationId xmlns:a16="http://schemas.microsoft.com/office/drawing/2014/main" id="{00000000-0008-0000-1300-0000E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2" name="TextBox 139">
          <a:extLst>
            <a:ext uri="{FF2B5EF4-FFF2-40B4-BE49-F238E27FC236}">
              <a16:creationId xmlns:a16="http://schemas.microsoft.com/office/drawing/2014/main" id="{00000000-0008-0000-1300-0000E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3" name="TextBox 140">
          <a:extLst>
            <a:ext uri="{FF2B5EF4-FFF2-40B4-BE49-F238E27FC236}">
              <a16:creationId xmlns:a16="http://schemas.microsoft.com/office/drawing/2014/main" id="{00000000-0008-0000-1300-0000E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4" name="TextBox 233">
          <a:extLst>
            <a:ext uri="{FF2B5EF4-FFF2-40B4-BE49-F238E27FC236}">
              <a16:creationId xmlns:a16="http://schemas.microsoft.com/office/drawing/2014/main" id="{00000000-0008-0000-1300-0000E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5" name="TextBox 234">
          <a:extLst>
            <a:ext uri="{FF2B5EF4-FFF2-40B4-BE49-F238E27FC236}">
              <a16:creationId xmlns:a16="http://schemas.microsoft.com/office/drawing/2014/main" id="{00000000-0008-0000-1300-0000E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6" name="TextBox 137">
          <a:extLst>
            <a:ext uri="{FF2B5EF4-FFF2-40B4-BE49-F238E27FC236}">
              <a16:creationId xmlns:a16="http://schemas.microsoft.com/office/drawing/2014/main" id="{00000000-0008-0000-1300-0000E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7" name="TextBox 138">
          <a:extLst>
            <a:ext uri="{FF2B5EF4-FFF2-40B4-BE49-F238E27FC236}">
              <a16:creationId xmlns:a16="http://schemas.microsoft.com/office/drawing/2014/main" id="{00000000-0008-0000-1300-0000E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8" name="TextBox 139">
          <a:extLst>
            <a:ext uri="{FF2B5EF4-FFF2-40B4-BE49-F238E27FC236}">
              <a16:creationId xmlns:a16="http://schemas.microsoft.com/office/drawing/2014/main" id="{00000000-0008-0000-1300-0000E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39" name="TextBox 140">
          <a:extLst>
            <a:ext uri="{FF2B5EF4-FFF2-40B4-BE49-F238E27FC236}">
              <a16:creationId xmlns:a16="http://schemas.microsoft.com/office/drawing/2014/main" id="{00000000-0008-0000-1300-0000E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0" name="TextBox 239">
          <a:extLst>
            <a:ext uri="{FF2B5EF4-FFF2-40B4-BE49-F238E27FC236}">
              <a16:creationId xmlns:a16="http://schemas.microsoft.com/office/drawing/2014/main" id="{00000000-0008-0000-1300-0000F0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1" name="TextBox 240">
          <a:extLst>
            <a:ext uri="{FF2B5EF4-FFF2-40B4-BE49-F238E27FC236}">
              <a16:creationId xmlns:a16="http://schemas.microsoft.com/office/drawing/2014/main" id="{00000000-0008-0000-1300-0000F1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2" name="TextBox 241">
          <a:extLst>
            <a:ext uri="{FF2B5EF4-FFF2-40B4-BE49-F238E27FC236}">
              <a16:creationId xmlns:a16="http://schemas.microsoft.com/office/drawing/2014/main" id="{00000000-0008-0000-1300-0000F2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3" name="TextBox 242">
          <a:extLst>
            <a:ext uri="{FF2B5EF4-FFF2-40B4-BE49-F238E27FC236}">
              <a16:creationId xmlns:a16="http://schemas.microsoft.com/office/drawing/2014/main" id="{00000000-0008-0000-1300-0000F3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4" name="TextBox 243">
          <a:extLst>
            <a:ext uri="{FF2B5EF4-FFF2-40B4-BE49-F238E27FC236}">
              <a16:creationId xmlns:a16="http://schemas.microsoft.com/office/drawing/2014/main" id="{00000000-0008-0000-1300-0000F4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5" name="TextBox 244">
          <a:extLst>
            <a:ext uri="{FF2B5EF4-FFF2-40B4-BE49-F238E27FC236}">
              <a16:creationId xmlns:a16="http://schemas.microsoft.com/office/drawing/2014/main" id="{00000000-0008-0000-1300-0000F5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6" name="TextBox 245">
          <a:extLst>
            <a:ext uri="{FF2B5EF4-FFF2-40B4-BE49-F238E27FC236}">
              <a16:creationId xmlns:a16="http://schemas.microsoft.com/office/drawing/2014/main" id="{00000000-0008-0000-1300-0000F6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7" name="TextBox 246">
          <a:extLst>
            <a:ext uri="{FF2B5EF4-FFF2-40B4-BE49-F238E27FC236}">
              <a16:creationId xmlns:a16="http://schemas.microsoft.com/office/drawing/2014/main" id="{00000000-0008-0000-1300-0000F7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8" name="TextBox 247">
          <a:extLst>
            <a:ext uri="{FF2B5EF4-FFF2-40B4-BE49-F238E27FC236}">
              <a16:creationId xmlns:a16="http://schemas.microsoft.com/office/drawing/2014/main" id="{00000000-0008-0000-1300-0000F8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49" name="TextBox 248">
          <a:extLst>
            <a:ext uri="{FF2B5EF4-FFF2-40B4-BE49-F238E27FC236}">
              <a16:creationId xmlns:a16="http://schemas.microsoft.com/office/drawing/2014/main" id="{00000000-0008-0000-1300-0000F9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0" name="TextBox 249">
          <a:extLst>
            <a:ext uri="{FF2B5EF4-FFF2-40B4-BE49-F238E27FC236}">
              <a16:creationId xmlns:a16="http://schemas.microsoft.com/office/drawing/2014/main" id="{00000000-0008-0000-1300-0000FA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1" name="TextBox 250">
          <a:extLst>
            <a:ext uri="{FF2B5EF4-FFF2-40B4-BE49-F238E27FC236}">
              <a16:creationId xmlns:a16="http://schemas.microsoft.com/office/drawing/2014/main" id="{00000000-0008-0000-1300-0000FB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2" name="TextBox 137">
          <a:extLst>
            <a:ext uri="{FF2B5EF4-FFF2-40B4-BE49-F238E27FC236}">
              <a16:creationId xmlns:a16="http://schemas.microsoft.com/office/drawing/2014/main" id="{00000000-0008-0000-1300-0000FC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3" name="TextBox 138">
          <a:extLst>
            <a:ext uri="{FF2B5EF4-FFF2-40B4-BE49-F238E27FC236}">
              <a16:creationId xmlns:a16="http://schemas.microsoft.com/office/drawing/2014/main" id="{00000000-0008-0000-1300-0000FD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4" name="TextBox 139">
          <a:extLst>
            <a:ext uri="{FF2B5EF4-FFF2-40B4-BE49-F238E27FC236}">
              <a16:creationId xmlns:a16="http://schemas.microsoft.com/office/drawing/2014/main" id="{00000000-0008-0000-1300-0000FE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5" name="TextBox 140">
          <a:extLst>
            <a:ext uri="{FF2B5EF4-FFF2-40B4-BE49-F238E27FC236}">
              <a16:creationId xmlns:a16="http://schemas.microsoft.com/office/drawing/2014/main" id="{00000000-0008-0000-1300-0000FF00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6" name="TextBox 255">
          <a:extLst>
            <a:ext uri="{FF2B5EF4-FFF2-40B4-BE49-F238E27FC236}">
              <a16:creationId xmlns:a16="http://schemas.microsoft.com/office/drawing/2014/main" id="{00000000-0008-0000-1300-00000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7" name="TextBox 256">
          <a:extLst>
            <a:ext uri="{FF2B5EF4-FFF2-40B4-BE49-F238E27FC236}">
              <a16:creationId xmlns:a16="http://schemas.microsoft.com/office/drawing/2014/main" id="{00000000-0008-0000-1300-00000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8" name="TextBox 137">
          <a:extLst>
            <a:ext uri="{FF2B5EF4-FFF2-40B4-BE49-F238E27FC236}">
              <a16:creationId xmlns:a16="http://schemas.microsoft.com/office/drawing/2014/main" id="{00000000-0008-0000-1300-00000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59" name="TextBox 138">
          <a:extLst>
            <a:ext uri="{FF2B5EF4-FFF2-40B4-BE49-F238E27FC236}">
              <a16:creationId xmlns:a16="http://schemas.microsoft.com/office/drawing/2014/main" id="{00000000-0008-0000-1300-00000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0" name="TextBox 139">
          <a:extLst>
            <a:ext uri="{FF2B5EF4-FFF2-40B4-BE49-F238E27FC236}">
              <a16:creationId xmlns:a16="http://schemas.microsoft.com/office/drawing/2014/main" id="{00000000-0008-0000-1300-00000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1" name="TextBox 140">
          <a:extLst>
            <a:ext uri="{FF2B5EF4-FFF2-40B4-BE49-F238E27FC236}">
              <a16:creationId xmlns:a16="http://schemas.microsoft.com/office/drawing/2014/main" id="{00000000-0008-0000-1300-00000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2" name="TextBox 261">
          <a:extLst>
            <a:ext uri="{FF2B5EF4-FFF2-40B4-BE49-F238E27FC236}">
              <a16:creationId xmlns:a16="http://schemas.microsoft.com/office/drawing/2014/main" id="{00000000-0008-0000-1300-000006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3" name="TextBox 262">
          <a:extLst>
            <a:ext uri="{FF2B5EF4-FFF2-40B4-BE49-F238E27FC236}">
              <a16:creationId xmlns:a16="http://schemas.microsoft.com/office/drawing/2014/main" id="{00000000-0008-0000-1300-000007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4" name="TextBox 137">
          <a:extLst>
            <a:ext uri="{FF2B5EF4-FFF2-40B4-BE49-F238E27FC236}">
              <a16:creationId xmlns:a16="http://schemas.microsoft.com/office/drawing/2014/main" id="{00000000-0008-0000-1300-000008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5" name="TextBox 138">
          <a:extLst>
            <a:ext uri="{FF2B5EF4-FFF2-40B4-BE49-F238E27FC236}">
              <a16:creationId xmlns:a16="http://schemas.microsoft.com/office/drawing/2014/main" id="{00000000-0008-0000-1300-000009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6" name="TextBox 139">
          <a:extLst>
            <a:ext uri="{FF2B5EF4-FFF2-40B4-BE49-F238E27FC236}">
              <a16:creationId xmlns:a16="http://schemas.microsoft.com/office/drawing/2014/main" id="{00000000-0008-0000-1300-00000A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7" name="TextBox 140">
          <a:extLst>
            <a:ext uri="{FF2B5EF4-FFF2-40B4-BE49-F238E27FC236}">
              <a16:creationId xmlns:a16="http://schemas.microsoft.com/office/drawing/2014/main" id="{00000000-0008-0000-1300-00000B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8" name="TextBox 267">
          <a:extLst>
            <a:ext uri="{FF2B5EF4-FFF2-40B4-BE49-F238E27FC236}">
              <a16:creationId xmlns:a16="http://schemas.microsoft.com/office/drawing/2014/main" id="{00000000-0008-0000-1300-00000C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69" name="TextBox 268">
          <a:extLst>
            <a:ext uri="{FF2B5EF4-FFF2-40B4-BE49-F238E27FC236}">
              <a16:creationId xmlns:a16="http://schemas.microsoft.com/office/drawing/2014/main" id="{00000000-0008-0000-1300-00000D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0" name="TextBox 137">
          <a:extLst>
            <a:ext uri="{FF2B5EF4-FFF2-40B4-BE49-F238E27FC236}">
              <a16:creationId xmlns:a16="http://schemas.microsoft.com/office/drawing/2014/main" id="{00000000-0008-0000-1300-00000E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1" name="TextBox 138">
          <a:extLst>
            <a:ext uri="{FF2B5EF4-FFF2-40B4-BE49-F238E27FC236}">
              <a16:creationId xmlns:a16="http://schemas.microsoft.com/office/drawing/2014/main" id="{00000000-0008-0000-1300-00000F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2" name="TextBox 139">
          <a:extLst>
            <a:ext uri="{FF2B5EF4-FFF2-40B4-BE49-F238E27FC236}">
              <a16:creationId xmlns:a16="http://schemas.microsoft.com/office/drawing/2014/main" id="{00000000-0008-0000-1300-00001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3" name="TextBox 140">
          <a:extLst>
            <a:ext uri="{FF2B5EF4-FFF2-40B4-BE49-F238E27FC236}">
              <a16:creationId xmlns:a16="http://schemas.microsoft.com/office/drawing/2014/main" id="{00000000-0008-0000-1300-00001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4" name="TextBox 273">
          <a:extLst>
            <a:ext uri="{FF2B5EF4-FFF2-40B4-BE49-F238E27FC236}">
              <a16:creationId xmlns:a16="http://schemas.microsoft.com/office/drawing/2014/main" id="{00000000-0008-0000-1300-00001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5" name="TextBox 274">
          <a:extLst>
            <a:ext uri="{FF2B5EF4-FFF2-40B4-BE49-F238E27FC236}">
              <a16:creationId xmlns:a16="http://schemas.microsoft.com/office/drawing/2014/main" id="{00000000-0008-0000-1300-00001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6" name="TextBox 275">
          <a:extLst>
            <a:ext uri="{FF2B5EF4-FFF2-40B4-BE49-F238E27FC236}">
              <a16:creationId xmlns:a16="http://schemas.microsoft.com/office/drawing/2014/main" id="{00000000-0008-0000-1300-00001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7" name="TextBox 276">
          <a:extLst>
            <a:ext uri="{FF2B5EF4-FFF2-40B4-BE49-F238E27FC236}">
              <a16:creationId xmlns:a16="http://schemas.microsoft.com/office/drawing/2014/main" id="{00000000-0008-0000-1300-00001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8" name="TextBox 277">
          <a:extLst>
            <a:ext uri="{FF2B5EF4-FFF2-40B4-BE49-F238E27FC236}">
              <a16:creationId xmlns:a16="http://schemas.microsoft.com/office/drawing/2014/main" id="{00000000-0008-0000-1300-000016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79" name="TextBox 278">
          <a:extLst>
            <a:ext uri="{FF2B5EF4-FFF2-40B4-BE49-F238E27FC236}">
              <a16:creationId xmlns:a16="http://schemas.microsoft.com/office/drawing/2014/main" id="{00000000-0008-0000-1300-000017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0" name="TextBox 279">
          <a:extLst>
            <a:ext uri="{FF2B5EF4-FFF2-40B4-BE49-F238E27FC236}">
              <a16:creationId xmlns:a16="http://schemas.microsoft.com/office/drawing/2014/main" id="{00000000-0008-0000-1300-000018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1" name="TextBox 280">
          <a:extLst>
            <a:ext uri="{FF2B5EF4-FFF2-40B4-BE49-F238E27FC236}">
              <a16:creationId xmlns:a16="http://schemas.microsoft.com/office/drawing/2014/main" id="{00000000-0008-0000-1300-000019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2" name="TextBox 281">
          <a:extLst>
            <a:ext uri="{FF2B5EF4-FFF2-40B4-BE49-F238E27FC236}">
              <a16:creationId xmlns:a16="http://schemas.microsoft.com/office/drawing/2014/main" id="{00000000-0008-0000-1300-00001A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3" name="TextBox 282">
          <a:extLst>
            <a:ext uri="{FF2B5EF4-FFF2-40B4-BE49-F238E27FC236}">
              <a16:creationId xmlns:a16="http://schemas.microsoft.com/office/drawing/2014/main" id="{00000000-0008-0000-1300-00001B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4" name="TextBox 283">
          <a:extLst>
            <a:ext uri="{FF2B5EF4-FFF2-40B4-BE49-F238E27FC236}">
              <a16:creationId xmlns:a16="http://schemas.microsoft.com/office/drawing/2014/main" id="{00000000-0008-0000-1300-00001C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5" name="TextBox 284">
          <a:extLst>
            <a:ext uri="{FF2B5EF4-FFF2-40B4-BE49-F238E27FC236}">
              <a16:creationId xmlns:a16="http://schemas.microsoft.com/office/drawing/2014/main" id="{00000000-0008-0000-1300-00001D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6" name="TextBox 137">
          <a:extLst>
            <a:ext uri="{FF2B5EF4-FFF2-40B4-BE49-F238E27FC236}">
              <a16:creationId xmlns:a16="http://schemas.microsoft.com/office/drawing/2014/main" id="{00000000-0008-0000-1300-00001E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7" name="TextBox 138">
          <a:extLst>
            <a:ext uri="{FF2B5EF4-FFF2-40B4-BE49-F238E27FC236}">
              <a16:creationId xmlns:a16="http://schemas.microsoft.com/office/drawing/2014/main" id="{00000000-0008-0000-1300-00001F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8" name="TextBox 139">
          <a:extLst>
            <a:ext uri="{FF2B5EF4-FFF2-40B4-BE49-F238E27FC236}">
              <a16:creationId xmlns:a16="http://schemas.microsoft.com/office/drawing/2014/main" id="{00000000-0008-0000-1300-00002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89" name="TextBox 140">
          <a:extLst>
            <a:ext uri="{FF2B5EF4-FFF2-40B4-BE49-F238E27FC236}">
              <a16:creationId xmlns:a16="http://schemas.microsoft.com/office/drawing/2014/main" id="{00000000-0008-0000-1300-00002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0" name="TextBox 289">
          <a:extLst>
            <a:ext uri="{FF2B5EF4-FFF2-40B4-BE49-F238E27FC236}">
              <a16:creationId xmlns:a16="http://schemas.microsoft.com/office/drawing/2014/main" id="{00000000-0008-0000-1300-00002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1" name="TextBox 290">
          <a:extLst>
            <a:ext uri="{FF2B5EF4-FFF2-40B4-BE49-F238E27FC236}">
              <a16:creationId xmlns:a16="http://schemas.microsoft.com/office/drawing/2014/main" id="{00000000-0008-0000-1300-00002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2" name="TextBox 137">
          <a:extLst>
            <a:ext uri="{FF2B5EF4-FFF2-40B4-BE49-F238E27FC236}">
              <a16:creationId xmlns:a16="http://schemas.microsoft.com/office/drawing/2014/main" id="{00000000-0008-0000-1300-00002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3" name="TextBox 138">
          <a:extLst>
            <a:ext uri="{FF2B5EF4-FFF2-40B4-BE49-F238E27FC236}">
              <a16:creationId xmlns:a16="http://schemas.microsoft.com/office/drawing/2014/main" id="{00000000-0008-0000-1300-00002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4" name="TextBox 139">
          <a:extLst>
            <a:ext uri="{FF2B5EF4-FFF2-40B4-BE49-F238E27FC236}">
              <a16:creationId xmlns:a16="http://schemas.microsoft.com/office/drawing/2014/main" id="{00000000-0008-0000-1300-000026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5" name="TextBox 140">
          <a:extLst>
            <a:ext uri="{FF2B5EF4-FFF2-40B4-BE49-F238E27FC236}">
              <a16:creationId xmlns:a16="http://schemas.microsoft.com/office/drawing/2014/main" id="{00000000-0008-0000-1300-000027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6" name="TextBox 295">
          <a:extLst>
            <a:ext uri="{FF2B5EF4-FFF2-40B4-BE49-F238E27FC236}">
              <a16:creationId xmlns:a16="http://schemas.microsoft.com/office/drawing/2014/main" id="{00000000-0008-0000-1300-000028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7" name="TextBox 296">
          <a:extLst>
            <a:ext uri="{FF2B5EF4-FFF2-40B4-BE49-F238E27FC236}">
              <a16:creationId xmlns:a16="http://schemas.microsoft.com/office/drawing/2014/main" id="{00000000-0008-0000-1300-000029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8" name="TextBox 137">
          <a:extLst>
            <a:ext uri="{FF2B5EF4-FFF2-40B4-BE49-F238E27FC236}">
              <a16:creationId xmlns:a16="http://schemas.microsoft.com/office/drawing/2014/main" id="{00000000-0008-0000-1300-00002A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299" name="TextBox 138">
          <a:extLst>
            <a:ext uri="{FF2B5EF4-FFF2-40B4-BE49-F238E27FC236}">
              <a16:creationId xmlns:a16="http://schemas.microsoft.com/office/drawing/2014/main" id="{00000000-0008-0000-1300-00002B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0" name="TextBox 139">
          <a:extLst>
            <a:ext uri="{FF2B5EF4-FFF2-40B4-BE49-F238E27FC236}">
              <a16:creationId xmlns:a16="http://schemas.microsoft.com/office/drawing/2014/main" id="{00000000-0008-0000-1300-00002C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1" name="TextBox 140">
          <a:extLst>
            <a:ext uri="{FF2B5EF4-FFF2-40B4-BE49-F238E27FC236}">
              <a16:creationId xmlns:a16="http://schemas.microsoft.com/office/drawing/2014/main" id="{00000000-0008-0000-1300-00002D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2" name="TextBox 301">
          <a:extLst>
            <a:ext uri="{FF2B5EF4-FFF2-40B4-BE49-F238E27FC236}">
              <a16:creationId xmlns:a16="http://schemas.microsoft.com/office/drawing/2014/main" id="{00000000-0008-0000-1300-00002E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3" name="TextBox 302">
          <a:extLst>
            <a:ext uri="{FF2B5EF4-FFF2-40B4-BE49-F238E27FC236}">
              <a16:creationId xmlns:a16="http://schemas.microsoft.com/office/drawing/2014/main" id="{00000000-0008-0000-1300-00002F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4" name="TextBox 137">
          <a:extLst>
            <a:ext uri="{FF2B5EF4-FFF2-40B4-BE49-F238E27FC236}">
              <a16:creationId xmlns:a16="http://schemas.microsoft.com/office/drawing/2014/main" id="{00000000-0008-0000-1300-00003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5" name="TextBox 138">
          <a:extLst>
            <a:ext uri="{FF2B5EF4-FFF2-40B4-BE49-F238E27FC236}">
              <a16:creationId xmlns:a16="http://schemas.microsoft.com/office/drawing/2014/main" id="{00000000-0008-0000-1300-00003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6" name="TextBox 139">
          <a:extLst>
            <a:ext uri="{FF2B5EF4-FFF2-40B4-BE49-F238E27FC236}">
              <a16:creationId xmlns:a16="http://schemas.microsoft.com/office/drawing/2014/main" id="{00000000-0008-0000-1300-00003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7" name="TextBox 140">
          <a:extLst>
            <a:ext uri="{FF2B5EF4-FFF2-40B4-BE49-F238E27FC236}">
              <a16:creationId xmlns:a16="http://schemas.microsoft.com/office/drawing/2014/main" id="{00000000-0008-0000-1300-00003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8" name="TextBox 307">
          <a:extLst>
            <a:ext uri="{FF2B5EF4-FFF2-40B4-BE49-F238E27FC236}">
              <a16:creationId xmlns:a16="http://schemas.microsoft.com/office/drawing/2014/main" id="{00000000-0008-0000-1300-00003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09" name="TextBox 308">
          <a:extLst>
            <a:ext uri="{FF2B5EF4-FFF2-40B4-BE49-F238E27FC236}">
              <a16:creationId xmlns:a16="http://schemas.microsoft.com/office/drawing/2014/main" id="{00000000-0008-0000-1300-00003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0" name="TextBox 309">
          <a:extLst>
            <a:ext uri="{FF2B5EF4-FFF2-40B4-BE49-F238E27FC236}">
              <a16:creationId xmlns:a16="http://schemas.microsoft.com/office/drawing/2014/main" id="{00000000-0008-0000-1300-000036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1" name="TextBox 310">
          <a:extLst>
            <a:ext uri="{FF2B5EF4-FFF2-40B4-BE49-F238E27FC236}">
              <a16:creationId xmlns:a16="http://schemas.microsoft.com/office/drawing/2014/main" id="{00000000-0008-0000-1300-000037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2" name="TextBox 311">
          <a:extLst>
            <a:ext uri="{FF2B5EF4-FFF2-40B4-BE49-F238E27FC236}">
              <a16:creationId xmlns:a16="http://schemas.microsoft.com/office/drawing/2014/main" id="{00000000-0008-0000-1300-000038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3" name="TextBox 312">
          <a:extLst>
            <a:ext uri="{FF2B5EF4-FFF2-40B4-BE49-F238E27FC236}">
              <a16:creationId xmlns:a16="http://schemas.microsoft.com/office/drawing/2014/main" id="{00000000-0008-0000-1300-000039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4" name="TextBox 313">
          <a:extLst>
            <a:ext uri="{FF2B5EF4-FFF2-40B4-BE49-F238E27FC236}">
              <a16:creationId xmlns:a16="http://schemas.microsoft.com/office/drawing/2014/main" id="{00000000-0008-0000-1300-00003A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5" name="TextBox 314">
          <a:extLst>
            <a:ext uri="{FF2B5EF4-FFF2-40B4-BE49-F238E27FC236}">
              <a16:creationId xmlns:a16="http://schemas.microsoft.com/office/drawing/2014/main" id="{00000000-0008-0000-1300-00003B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6" name="TextBox 315">
          <a:extLst>
            <a:ext uri="{FF2B5EF4-FFF2-40B4-BE49-F238E27FC236}">
              <a16:creationId xmlns:a16="http://schemas.microsoft.com/office/drawing/2014/main" id="{00000000-0008-0000-1300-00003C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7" name="TextBox 316">
          <a:extLst>
            <a:ext uri="{FF2B5EF4-FFF2-40B4-BE49-F238E27FC236}">
              <a16:creationId xmlns:a16="http://schemas.microsoft.com/office/drawing/2014/main" id="{00000000-0008-0000-1300-00003D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8" name="TextBox 317">
          <a:extLst>
            <a:ext uri="{FF2B5EF4-FFF2-40B4-BE49-F238E27FC236}">
              <a16:creationId xmlns:a16="http://schemas.microsoft.com/office/drawing/2014/main" id="{00000000-0008-0000-1300-00003E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19" name="TextBox 318">
          <a:extLst>
            <a:ext uri="{FF2B5EF4-FFF2-40B4-BE49-F238E27FC236}">
              <a16:creationId xmlns:a16="http://schemas.microsoft.com/office/drawing/2014/main" id="{00000000-0008-0000-1300-00003F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0" name="TextBox 137">
          <a:extLst>
            <a:ext uri="{FF2B5EF4-FFF2-40B4-BE49-F238E27FC236}">
              <a16:creationId xmlns:a16="http://schemas.microsoft.com/office/drawing/2014/main" id="{00000000-0008-0000-1300-00004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1" name="TextBox 138">
          <a:extLst>
            <a:ext uri="{FF2B5EF4-FFF2-40B4-BE49-F238E27FC236}">
              <a16:creationId xmlns:a16="http://schemas.microsoft.com/office/drawing/2014/main" id="{00000000-0008-0000-1300-00004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2" name="TextBox 139">
          <a:extLst>
            <a:ext uri="{FF2B5EF4-FFF2-40B4-BE49-F238E27FC236}">
              <a16:creationId xmlns:a16="http://schemas.microsoft.com/office/drawing/2014/main" id="{00000000-0008-0000-1300-00004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3" name="TextBox 140">
          <a:extLst>
            <a:ext uri="{FF2B5EF4-FFF2-40B4-BE49-F238E27FC236}">
              <a16:creationId xmlns:a16="http://schemas.microsoft.com/office/drawing/2014/main" id="{00000000-0008-0000-1300-00004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4" name="TextBox 323">
          <a:extLst>
            <a:ext uri="{FF2B5EF4-FFF2-40B4-BE49-F238E27FC236}">
              <a16:creationId xmlns:a16="http://schemas.microsoft.com/office/drawing/2014/main" id="{00000000-0008-0000-1300-00004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5" name="TextBox 324">
          <a:extLst>
            <a:ext uri="{FF2B5EF4-FFF2-40B4-BE49-F238E27FC236}">
              <a16:creationId xmlns:a16="http://schemas.microsoft.com/office/drawing/2014/main" id="{00000000-0008-0000-1300-00004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6" name="TextBox 137">
          <a:extLst>
            <a:ext uri="{FF2B5EF4-FFF2-40B4-BE49-F238E27FC236}">
              <a16:creationId xmlns:a16="http://schemas.microsoft.com/office/drawing/2014/main" id="{00000000-0008-0000-1300-000046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7" name="TextBox 138">
          <a:extLst>
            <a:ext uri="{FF2B5EF4-FFF2-40B4-BE49-F238E27FC236}">
              <a16:creationId xmlns:a16="http://schemas.microsoft.com/office/drawing/2014/main" id="{00000000-0008-0000-1300-000047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8" name="TextBox 139">
          <a:extLst>
            <a:ext uri="{FF2B5EF4-FFF2-40B4-BE49-F238E27FC236}">
              <a16:creationId xmlns:a16="http://schemas.microsoft.com/office/drawing/2014/main" id="{00000000-0008-0000-1300-000048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29" name="TextBox 140">
          <a:extLst>
            <a:ext uri="{FF2B5EF4-FFF2-40B4-BE49-F238E27FC236}">
              <a16:creationId xmlns:a16="http://schemas.microsoft.com/office/drawing/2014/main" id="{00000000-0008-0000-1300-000049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0" name="TextBox 329">
          <a:extLst>
            <a:ext uri="{FF2B5EF4-FFF2-40B4-BE49-F238E27FC236}">
              <a16:creationId xmlns:a16="http://schemas.microsoft.com/office/drawing/2014/main" id="{00000000-0008-0000-1300-00004A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1" name="TextBox 330">
          <a:extLst>
            <a:ext uri="{FF2B5EF4-FFF2-40B4-BE49-F238E27FC236}">
              <a16:creationId xmlns:a16="http://schemas.microsoft.com/office/drawing/2014/main" id="{00000000-0008-0000-1300-00004B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2" name="TextBox 137">
          <a:extLst>
            <a:ext uri="{FF2B5EF4-FFF2-40B4-BE49-F238E27FC236}">
              <a16:creationId xmlns:a16="http://schemas.microsoft.com/office/drawing/2014/main" id="{00000000-0008-0000-1300-00004C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3" name="TextBox 138">
          <a:extLst>
            <a:ext uri="{FF2B5EF4-FFF2-40B4-BE49-F238E27FC236}">
              <a16:creationId xmlns:a16="http://schemas.microsoft.com/office/drawing/2014/main" id="{00000000-0008-0000-1300-00004D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4" name="TextBox 139">
          <a:extLst>
            <a:ext uri="{FF2B5EF4-FFF2-40B4-BE49-F238E27FC236}">
              <a16:creationId xmlns:a16="http://schemas.microsoft.com/office/drawing/2014/main" id="{00000000-0008-0000-1300-00004E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5" name="TextBox 140">
          <a:extLst>
            <a:ext uri="{FF2B5EF4-FFF2-40B4-BE49-F238E27FC236}">
              <a16:creationId xmlns:a16="http://schemas.microsoft.com/office/drawing/2014/main" id="{00000000-0008-0000-1300-00004F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6" name="TextBox 335">
          <a:extLst>
            <a:ext uri="{FF2B5EF4-FFF2-40B4-BE49-F238E27FC236}">
              <a16:creationId xmlns:a16="http://schemas.microsoft.com/office/drawing/2014/main" id="{00000000-0008-0000-1300-000050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7" name="TextBox 336">
          <a:extLst>
            <a:ext uri="{FF2B5EF4-FFF2-40B4-BE49-F238E27FC236}">
              <a16:creationId xmlns:a16="http://schemas.microsoft.com/office/drawing/2014/main" id="{00000000-0008-0000-1300-000051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8" name="TextBox 137">
          <a:extLst>
            <a:ext uri="{FF2B5EF4-FFF2-40B4-BE49-F238E27FC236}">
              <a16:creationId xmlns:a16="http://schemas.microsoft.com/office/drawing/2014/main" id="{00000000-0008-0000-1300-000052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39" name="TextBox 138">
          <a:extLst>
            <a:ext uri="{FF2B5EF4-FFF2-40B4-BE49-F238E27FC236}">
              <a16:creationId xmlns:a16="http://schemas.microsoft.com/office/drawing/2014/main" id="{00000000-0008-0000-1300-000053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40" name="TextBox 139">
          <a:extLst>
            <a:ext uri="{FF2B5EF4-FFF2-40B4-BE49-F238E27FC236}">
              <a16:creationId xmlns:a16="http://schemas.microsoft.com/office/drawing/2014/main" id="{00000000-0008-0000-1300-000054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35</xdr:row>
      <xdr:rowOff>0</xdr:rowOff>
    </xdr:from>
    <xdr:ext cx="184731" cy="264560"/>
    <xdr:sp macro="" textlink="">
      <xdr:nvSpPr>
        <xdr:cNvPr id="341" name="TextBox 140">
          <a:extLst>
            <a:ext uri="{FF2B5EF4-FFF2-40B4-BE49-F238E27FC236}">
              <a16:creationId xmlns:a16="http://schemas.microsoft.com/office/drawing/2014/main" id="{00000000-0008-0000-1300-000055010000}"/>
            </a:ext>
          </a:extLst>
        </xdr:cNvPr>
        <xdr:cNvSpPr txBox="1"/>
      </xdr:nvSpPr>
      <xdr:spPr>
        <a:xfrm>
          <a:off x="391744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2" name="TextBox 341">
          <a:extLst>
            <a:ext uri="{FF2B5EF4-FFF2-40B4-BE49-F238E27FC236}">
              <a16:creationId xmlns:a16="http://schemas.microsoft.com/office/drawing/2014/main" id="{00000000-0008-0000-1300-000056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3" name="TextBox 342">
          <a:extLst>
            <a:ext uri="{FF2B5EF4-FFF2-40B4-BE49-F238E27FC236}">
              <a16:creationId xmlns:a16="http://schemas.microsoft.com/office/drawing/2014/main" id="{00000000-0008-0000-1300-000057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4" name="TextBox 343">
          <a:extLst>
            <a:ext uri="{FF2B5EF4-FFF2-40B4-BE49-F238E27FC236}">
              <a16:creationId xmlns:a16="http://schemas.microsoft.com/office/drawing/2014/main" id="{00000000-0008-0000-1300-000058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5" name="TextBox 344">
          <a:extLst>
            <a:ext uri="{FF2B5EF4-FFF2-40B4-BE49-F238E27FC236}">
              <a16:creationId xmlns:a16="http://schemas.microsoft.com/office/drawing/2014/main" id="{00000000-0008-0000-1300-000059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6" name="TextBox 345">
          <a:extLst>
            <a:ext uri="{FF2B5EF4-FFF2-40B4-BE49-F238E27FC236}">
              <a16:creationId xmlns:a16="http://schemas.microsoft.com/office/drawing/2014/main" id="{00000000-0008-0000-1300-00005A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7" name="TextBox 346">
          <a:extLst>
            <a:ext uri="{FF2B5EF4-FFF2-40B4-BE49-F238E27FC236}">
              <a16:creationId xmlns:a16="http://schemas.microsoft.com/office/drawing/2014/main" id="{00000000-0008-0000-1300-00005B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8" name="TextBox 347">
          <a:extLst>
            <a:ext uri="{FF2B5EF4-FFF2-40B4-BE49-F238E27FC236}">
              <a16:creationId xmlns:a16="http://schemas.microsoft.com/office/drawing/2014/main" id="{00000000-0008-0000-1300-00005C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49" name="TextBox 348">
          <a:extLst>
            <a:ext uri="{FF2B5EF4-FFF2-40B4-BE49-F238E27FC236}">
              <a16:creationId xmlns:a16="http://schemas.microsoft.com/office/drawing/2014/main" id="{00000000-0008-0000-1300-00005D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0" name="TextBox 349">
          <a:extLst>
            <a:ext uri="{FF2B5EF4-FFF2-40B4-BE49-F238E27FC236}">
              <a16:creationId xmlns:a16="http://schemas.microsoft.com/office/drawing/2014/main" id="{00000000-0008-0000-1300-00005E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1" name="TextBox 350">
          <a:extLst>
            <a:ext uri="{FF2B5EF4-FFF2-40B4-BE49-F238E27FC236}">
              <a16:creationId xmlns:a16="http://schemas.microsoft.com/office/drawing/2014/main" id="{00000000-0008-0000-1300-00005F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2" name="TextBox 351">
          <a:extLst>
            <a:ext uri="{FF2B5EF4-FFF2-40B4-BE49-F238E27FC236}">
              <a16:creationId xmlns:a16="http://schemas.microsoft.com/office/drawing/2014/main" id="{00000000-0008-0000-1300-000060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3" name="TextBox 352">
          <a:extLst>
            <a:ext uri="{FF2B5EF4-FFF2-40B4-BE49-F238E27FC236}">
              <a16:creationId xmlns:a16="http://schemas.microsoft.com/office/drawing/2014/main" id="{00000000-0008-0000-1300-000061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4" name="TextBox 137">
          <a:extLst>
            <a:ext uri="{FF2B5EF4-FFF2-40B4-BE49-F238E27FC236}">
              <a16:creationId xmlns:a16="http://schemas.microsoft.com/office/drawing/2014/main" id="{00000000-0008-0000-1300-000062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5" name="TextBox 138">
          <a:extLst>
            <a:ext uri="{FF2B5EF4-FFF2-40B4-BE49-F238E27FC236}">
              <a16:creationId xmlns:a16="http://schemas.microsoft.com/office/drawing/2014/main" id="{00000000-0008-0000-1300-000063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6" name="TextBox 139">
          <a:extLst>
            <a:ext uri="{FF2B5EF4-FFF2-40B4-BE49-F238E27FC236}">
              <a16:creationId xmlns:a16="http://schemas.microsoft.com/office/drawing/2014/main" id="{00000000-0008-0000-1300-000064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7" name="TextBox 140">
          <a:extLst>
            <a:ext uri="{FF2B5EF4-FFF2-40B4-BE49-F238E27FC236}">
              <a16:creationId xmlns:a16="http://schemas.microsoft.com/office/drawing/2014/main" id="{00000000-0008-0000-1300-000065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8" name="TextBox 357">
          <a:extLst>
            <a:ext uri="{FF2B5EF4-FFF2-40B4-BE49-F238E27FC236}">
              <a16:creationId xmlns:a16="http://schemas.microsoft.com/office/drawing/2014/main" id="{00000000-0008-0000-1300-000066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59" name="TextBox 358">
          <a:extLst>
            <a:ext uri="{FF2B5EF4-FFF2-40B4-BE49-F238E27FC236}">
              <a16:creationId xmlns:a16="http://schemas.microsoft.com/office/drawing/2014/main" id="{00000000-0008-0000-1300-000067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0" name="TextBox 137">
          <a:extLst>
            <a:ext uri="{FF2B5EF4-FFF2-40B4-BE49-F238E27FC236}">
              <a16:creationId xmlns:a16="http://schemas.microsoft.com/office/drawing/2014/main" id="{00000000-0008-0000-1300-000068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1" name="TextBox 138">
          <a:extLst>
            <a:ext uri="{FF2B5EF4-FFF2-40B4-BE49-F238E27FC236}">
              <a16:creationId xmlns:a16="http://schemas.microsoft.com/office/drawing/2014/main" id="{00000000-0008-0000-1300-000069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2" name="TextBox 139">
          <a:extLst>
            <a:ext uri="{FF2B5EF4-FFF2-40B4-BE49-F238E27FC236}">
              <a16:creationId xmlns:a16="http://schemas.microsoft.com/office/drawing/2014/main" id="{00000000-0008-0000-1300-00006A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3" name="TextBox 140">
          <a:extLst>
            <a:ext uri="{FF2B5EF4-FFF2-40B4-BE49-F238E27FC236}">
              <a16:creationId xmlns:a16="http://schemas.microsoft.com/office/drawing/2014/main" id="{00000000-0008-0000-1300-00006B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4" name="TextBox 363">
          <a:extLst>
            <a:ext uri="{FF2B5EF4-FFF2-40B4-BE49-F238E27FC236}">
              <a16:creationId xmlns:a16="http://schemas.microsoft.com/office/drawing/2014/main" id="{00000000-0008-0000-1300-00006C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5" name="TextBox 364">
          <a:extLst>
            <a:ext uri="{FF2B5EF4-FFF2-40B4-BE49-F238E27FC236}">
              <a16:creationId xmlns:a16="http://schemas.microsoft.com/office/drawing/2014/main" id="{00000000-0008-0000-1300-00006D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6" name="TextBox 137">
          <a:extLst>
            <a:ext uri="{FF2B5EF4-FFF2-40B4-BE49-F238E27FC236}">
              <a16:creationId xmlns:a16="http://schemas.microsoft.com/office/drawing/2014/main" id="{00000000-0008-0000-1300-00006E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7" name="TextBox 138">
          <a:extLst>
            <a:ext uri="{FF2B5EF4-FFF2-40B4-BE49-F238E27FC236}">
              <a16:creationId xmlns:a16="http://schemas.microsoft.com/office/drawing/2014/main" id="{00000000-0008-0000-1300-00006F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8" name="TextBox 139">
          <a:extLst>
            <a:ext uri="{FF2B5EF4-FFF2-40B4-BE49-F238E27FC236}">
              <a16:creationId xmlns:a16="http://schemas.microsoft.com/office/drawing/2014/main" id="{00000000-0008-0000-1300-000070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69" name="TextBox 140">
          <a:extLst>
            <a:ext uri="{FF2B5EF4-FFF2-40B4-BE49-F238E27FC236}">
              <a16:creationId xmlns:a16="http://schemas.microsoft.com/office/drawing/2014/main" id="{00000000-0008-0000-1300-000071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0" name="TextBox 369">
          <a:extLst>
            <a:ext uri="{FF2B5EF4-FFF2-40B4-BE49-F238E27FC236}">
              <a16:creationId xmlns:a16="http://schemas.microsoft.com/office/drawing/2014/main" id="{00000000-0008-0000-1300-000072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1" name="TextBox 370">
          <a:extLst>
            <a:ext uri="{FF2B5EF4-FFF2-40B4-BE49-F238E27FC236}">
              <a16:creationId xmlns:a16="http://schemas.microsoft.com/office/drawing/2014/main" id="{00000000-0008-0000-1300-000073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2" name="TextBox 137">
          <a:extLst>
            <a:ext uri="{FF2B5EF4-FFF2-40B4-BE49-F238E27FC236}">
              <a16:creationId xmlns:a16="http://schemas.microsoft.com/office/drawing/2014/main" id="{00000000-0008-0000-1300-000074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3" name="TextBox 138">
          <a:extLst>
            <a:ext uri="{FF2B5EF4-FFF2-40B4-BE49-F238E27FC236}">
              <a16:creationId xmlns:a16="http://schemas.microsoft.com/office/drawing/2014/main" id="{00000000-0008-0000-1300-000075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4" name="TextBox 139">
          <a:extLst>
            <a:ext uri="{FF2B5EF4-FFF2-40B4-BE49-F238E27FC236}">
              <a16:creationId xmlns:a16="http://schemas.microsoft.com/office/drawing/2014/main" id="{00000000-0008-0000-1300-000076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5" name="TextBox 140">
          <a:extLst>
            <a:ext uri="{FF2B5EF4-FFF2-40B4-BE49-F238E27FC236}">
              <a16:creationId xmlns:a16="http://schemas.microsoft.com/office/drawing/2014/main" id="{00000000-0008-0000-1300-000077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6" name="TextBox 375">
          <a:extLst>
            <a:ext uri="{FF2B5EF4-FFF2-40B4-BE49-F238E27FC236}">
              <a16:creationId xmlns:a16="http://schemas.microsoft.com/office/drawing/2014/main" id="{00000000-0008-0000-1300-000078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7" name="TextBox 376">
          <a:extLst>
            <a:ext uri="{FF2B5EF4-FFF2-40B4-BE49-F238E27FC236}">
              <a16:creationId xmlns:a16="http://schemas.microsoft.com/office/drawing/2014/main" id="{00000000-0008-0000-1300-000079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8" name="TextBox 377">
          <a:extLst>
            <a:ext uri="{FF2B5EF4-FFF2-40B4-BE49-F238E27FC236}">
              <a16:creationId xmlns:a16="http://schemas.microsoft.com/office/drawing/2014/main" id="{00000000-0008-0000-1300-00007A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79" name="TextBox 378">
          <a:extLst>
            <a:ext uri="{FF2B5EF4-FFF2-40B4-BE49-F238E27FC236}">
              <a16:creationId xmlns:a16="http://schemas.microsoft.com/office/drawing/2014/main" id="{00000000-0008-0000-1300-00007B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0" name="TextBox 379">
          <a:extLst>
            <a:ext uri="{FF2B5EF4-FFF2-40B4-BE49-F238E27FC236}">
              <a16:creationId xmlns:a16="http://schemas.microsoft.com/office/drawing/2014/main" id="{00000000-0008-0000-1300-00007C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1" name="TextBox 380">
          <a:extLst>
            <a:ext uri="{FF2B5EF4-FFF2-40B4-BE49-F238E27FC236}">
              <a16:creationId xmlns:a16="http://schemas.microsoft.com/office/drawing/2014/main" id="{00000000-0008-0000-1300-00007D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2" name="TextBox 381">
          <a:extLst>
            <a:ext uri="{FF2B5EF4-FFF2-40B4-BE49-F238E27FC236}">
              <a16:creationId xmlns:a16="http://schemas.microsoft.com/office/drawing/2014/main" id="{00000000-0008-0000-1300-00007E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3" name="TextBox 382">
          <a:extLst>
            <a:ext uri="{FF2B5EF4-FFF2-40B4-BE49-F238E27FC236}">
              <a16:creationId xmlns:a16="http://schemas.microsoft.com/office/drawing/2014/main" id="{00000000-0008-0000-1300-00007F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4" name="TextBox 383">
          <a:extLst>
            <a:ext uri="{FF2B5EF4-FFF2-40B4-BE49-F238E27FC236}">
              <a16:creationId xmlns:a16="http://schemas.microsoft.com/office/drawing/2014/main" id="{00000000-0008-0000-1300-000080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5" name="TextBox 384">
          <a:extLst>
            <a:ext uri="{FF2B5EF4-FFF2-40B4-BE49-F238E27FC236}">
              <a16:creationId xmlns:a16="http://schemas.microsoft.com/office/drawing/2014/main" id="{00000000-0008-0000-1300-000081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6" name="TextBox 385">
          <a:extLst>
            <a:ext uri="{FF2B5EF4-FFF2-40B4-BE49-F238E27FC236}">
              <a16:creationId xmlns:a16="http://schemas.microsoft.com/office/drawing/2014/main" id="{00000000-0008-0000-1300-000082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7" name="TextBox 386">
          <a:extLst>
            <a:ext uri="{FF2B5EF4-FFF2-40B4-BE49-F238E27FC236}">
              <a16:creationId xmlns:a16="http://schemas.microsoft.com/office/drawing/2014/main" id="{00000000-0008-0000-1300-000083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8" name="TextBox 137">
          <a:extLst>
            <a:ext uri="{FF2B5EF4-FFF2-40B4-BE49-F238E27FC236}">
              <a16:creationId xmlns:a16="http://schemas.microsoft.com/office/drawing/2014/main" id="{00000000-0008-0000-1300-000084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89" name="TextBox 138">
          <a:extLst>
            <a:ext uri="{FF2B5EF4-FFF2-40B4-BE49-F238E27FC236}">
              <a16:creationId xmlns:a16="http://schemas.microsoft.com/office/drawing/2014/main" id="{00000000-0008-0000-1300-000085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0" name="TextBox 139">
          <a:extLst>
            <a:ext uri="{FF2B5EF4-FFF2-40B4-BE49-F238E27FC236}">
              <a16:creationId xmlns:a16="http://schemas.microsoft.com/office/drawing/2014/main" id="{00000000-0008-0000-1300-000086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1" name="TextBox 140">
          <a:extLst>
            <a:ext uri="{FF2B5EF4-FFF2-40B4-BE49-F238E27FC236}">
              <a16:creationId xmlns:a16="http://schemas.microsoft.com/office/drawing/2014/main" id="{00000000-0008-0000-1300-000087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2" name="TextBox 391">
          <a:extLst>
            <a:ext uri="{FF2B5EF4-FFF2-40B4-BE49-F238E27FC236}">
              <a16:creationId xmlns:a16="http://schemas.microsoft.com/office/drawing/2014/main" id="{00000000-0008-0000-1300-000088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3" name="TextBox 392">
          <a:extLst>
            <a:ext uri="{FF2B5EF4-FFF2-40B4-BE49-F238E27FC236}">
              <a16:creationId xmlns:a16="http://schemas.microsoft.com/office/drawing/2014/main" id="{00000000-0008-0000-1300-000089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4" name="TextBox 137">
          <a:extLst>
            <a:ext uri="{FF2B5EF4-FFF2-40B4-BE49-F238E27FC236}">
              <a16:creationId xmlns:a16="http://schemas.microsoft.com/office/drawing/2014/main" id="{00000000-0008-0000-1300-00008A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5" name="TextBox 138">
          <a:extLst>
            <a:ext uri="{FF2B5EF4-FFF2-40B4-BE49-F238E27FC236}">
              <a16:creationId xmlns:a16="http://schemas.microsoft.com/office/drawing/2014/main" id="{00000000-0008-0000-1300-00008B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6" name="TextBox 139">
          <a:extLst>
            <a:ext uri="{FF2B5EF4-FFF2-40B4-BE49-F238E27FC236}">
              <a16:creationId xmlns:a16="http://schemas.microsoft.com/office/drawing/2014/main" id="{00000000-0008-0000-1300-00008C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7" name="TextBox 140">
          <a:extLst>
            <a:ext uri="{FF2B5EF4-FFF2-40B4-BE49-F238E27FC236}">
              <a16:creationId xmlns:a16="http://schemas.microsoft.com/office/drawing/2014/main" id="{00000000-0008-0000-1300-00008D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8" name="TextBox 397">
          <a:extLst>
            <a:ext uri="{FF2B5EF4-FFF2-40B4-BE49-F238E27FC236}">
              <a16:creationId xmlns:a16="http://schemas.microsoft.com/office/drawing/2014/main" id="{00000000-0008-0000-1300-00008E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399" name="TextBox 398">
          <a:extLst>
            <a:ext uri="{FF2B5EF4-FFF2-40B4-BE49-F238E27FC236}">
              <a16:creationId xmlns:a16="http://schemas.microsoft.com/office/drawing/2014/main" id="{00000000-0008-0000-1300-00008F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0" name="TextBox 137">
          <a:extLst>
            <a:ext uri="{FF2B5EF4-FFF2-40B4-BE49-F238E27FC236}">
              <a16:creationId xmlns:a16="http://schemas.microsoft.com/office/drawing/2014/main" id="{00000000-0008-0000-1300-000090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1" name="TextBox 138">
          <a:extLst>
            <a:ext uri="{FF2B5EF4-FFF2-40B4-BE49-F238E27FC236}">
              <a16:creationId xmlns:a16="http://schemas.microsoft.com/office/drawing/2014/main" id="{00000000-0008-0000-1300-000091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2" name="TextBox 139">
          <a:extLst>
            <a:ext uri="{FF2B5EF4-FFF2-40B4-BE49-F238E27FC236}">
              <a16:creationId xmlns:a16="http://schemas.microsoft.com/office/drawing/2014/main" id="{00000000-0008-0000-1300-000092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3" name="TextBox 140">
          <a:extLst>
            <a:ext uri="{FF2B5EF4-FFF2-40B4-BE49-F238E27FC236}">
              <a16:creationId xmlns:a16="http://schemas.microsoft.com/office/drawing/2014/main" id="{00000000-0008-0000-1300-000093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4" name="TextBox 403">
          <a:extLst>
            <a:ext uri="{FF2B5EF4-FFF2-40B4-BE49-F238E27FC236}">
              <a16:creationId xmlns:a16="http://schemas.microsoft.com/office/drawing/2014/main" id="{00000000-0008-0000-1300-000094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5" name="TextBox 404">
          <a:extLst>
            <a:ext uri="{FF2B5EF4-FFF2-40B4-BE49-F238E27FC236}">
              <a16:creationId xmlns:a16="http://schemas.microsoft.com/office/drawing/2014/main" id="{00000000-0008-0000-1300-000095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6" name="TextBox 137">
          <a:extLst>
            <a:ext uri="{FF2B5EF4-FFF2-40B4-BE49-F238E27FC236}">
              <a16:creationId xmlns:a16="http://schemas.microsoft.com/office/drawing/2014/main" id="{00000000-0008-0000-1300-000096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7" name="TextBox 138">
          <a:extLst>
            <a:ext uri="{FF2B5EF4-FFF2-40B4-BE49-F238E27FC236}">
              <a16:creationId xmlns:a16="http://schemas.microsoft.com/office/drawing/2014/main" id="{00000000-0008-0000-1300-000097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8" name="TextBox 139">
          <a:extLst>
            <a:ext uri="{FF2B5EF4-FFF2-40B4-BE49-F238E27FC236}">
              <a16:creationId xmlns:a16="http://schemas.microsoft.com/office/drawing/2014/main" id="{00000000-0008-0000-1300-000098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35</xdr:row>
      <xdr:rowOff>0</xdr:rowOff>
    </xdr:from>
    <xdr:ext cx="184731" cy="264560"/>
    <xdr:sp macro="" textlink="">
      <xdr:nvSpPr>
        <xdr:cNvPr id="409" name="TextBox 140">
          <a:extLst>
            <a:ext uri="{FF2B5EF4-FFF2-40B4-BE49-F238E27FC236}">
              <a16:creationId xmlns:a16="http://schemas.microsoft.com/office/drawing/2014/main" id="{00000000-0008-0000-1300-000099010000}"/>
            </a:ext>
          </a:extLst>
        </xdr:cNvPr>
        <xdr:cNvSpPr txBox="1"/>
      </xdr:nvSpPr>
      <xdr:spPr>
        <a:xfrm>
          <a:off x="36088320" y="2080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0" name="TextBox 409">
          <a:extLst>
            <a:ext uri="{FF2B5EF4-FFF2-40B4-BE49-F238E27FC236}">
              <a16:creationId xmlns:a16="http://schemas.microsoft.com/office/drawing/2014/main" id="{962D4052-C3D4-4343-A3DF-383016252F0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1" name="TextBox 410">
          <a:extLst>
            <a:ext uri="{FF2B5EF4-FFF2-40B4-BE49-F238E27FC236}">
              <a16:creationId xmlns:a16="http://schemas.microsoft.com/office/drawing/2014/main" id="{AF2BDB15-B7E2-4C54-9865-0BAC2A2E778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2" name="TextBox 411">
          <a:extLst>
            <a:ext uri="{FF2B5EF4-FFF2-40B4-BE49-F238E27FC236}">
              <a16:creationId xmlns:a16="http://schemas.microsoft.com/office/drawing/2014/main" id="{6F855766-35B3-4CBF-B64E-3300AC9F2C2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3" name="TextBox 412">
          <a:extLst>
            <a:ext uri="{FF2B5EF4-FFF2-40B4-BE49-F238E27FC236}">
              <a16:creationId xmlns:a16="http://schemas.microsoft.com/office/drawing/2014/main" id="{C7286E23-C4ED-429A-AA82-3700B276E1A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4" name="TextBox 413">
          <a:extLst>
            <a:ext uri="{FF2B5EF4-FFF2-40B4-BE49-F238E27FC236}">
              <a16:creationId xmlns:a16="http://schemas.microsoft.com/office/drawing/2014/main" id="{2343CE3C-EDA0-4978-9D6D-0B72BE8096B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5" name="TextBox 414">
          <a:extLst>
            <a:ext uri="{FF2B5EF4-FFF2-40B4-BE49-F238E27FC236}">
              <a16:creationId xmlns:a16="http://schemas.microsoft.com/office/drawing/2014/main" id="{98C45694-E064-4A57-B9AB-4F6A581C85A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6" name="TextBox 415">
          <a:extLst>
            <a:ext uri="{FF2B5EF4-FFF2-40B4-BE49-F238E27FC236}">
              <a16:creationId xmlns:a16="http://schemas.microsoft.com/office/drawing/2014/main" id="{C91A59FC-E03D-49E0-A25D-1F476FB8D8F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7" name="TextBox 416">
          <a:extLst>
            <a:ext uri="{FF2B5EF4-FFF2-40B4-BE49-F238E27FC236}">
              <a16:creationId xmlns:a16="http://schemas.microsoft.com/office/drawing/2014/main" id="{F1AF9FFD-AC47-4C6B-B2F6-568B27C044E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8" name="TextBox 417">
          <a:extLst>
            <a:ext uri="{FF2B5EF4-FFF2-40B4-BE49-F238E27FC236}">
              <a16:creationId xmlns:a16="http://schemas.microsoft.com/office/drawing/2014/main" id="{A3C6A27D-90D7-4466-8302-60B55A41572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19" name="TextBox 418">
          <a:extLst>
            <a:ext uri="{FF2B5EF4-FFF2-40B4-BE49-F238E27FC236}">
              <a16:creationId xmlns:a16="http://schemas.microsoft.com/office/drawing/2014/main" id="{14B7877E-D33C-447A-AF9F-4F9406F0754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0" name="TextBox 419">
          <a:extLst>
            <a:ext uri="{FF2B5EF4-FFF2-40B4-BE49-F238E27FC236}">
              <a16:creationId xmlns:a16="http://schemas.microsoft.com/office/drawing/2014/main" id="{51F7848F-2628-4863-88D8-A30F036B350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1" name="TextBox 420">
          <a:extLst>
            <a:ext uri="{FF2B5EF4-FFF2-40B4-BE49-F238E27FC236}">
              <a16:creationId xmlns:a16="http://schemas.microsoft.com/office/drawing/2014/main" id="{54156D7E-875C-4651-BF1D-881961267A3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2" name="TextBox 137">
          <a:extLst>
            <a:ext uri="{FF2B5EF4-FFF2-40B4-BE49-F238E27FC236}">
              <a16:creationId xmlns:a16="http://schemas.microsoft.com/office/drawing/2014/main" id="{A3239609-46C6-4EED-B0F0-4CCDA32E528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3" name="TextBox 138">
          <a:extLst>
            <a:ext uri="{FF2B5EF4-FFF2-40B4-BE49-F238E27FC236}">
              <a16:creationId xmlns:a16="http://schemas.microsoft.com/office/drawing/2014/main" id="{B2C04FFA-C243-42D9-AE42-68057E3ED52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4" name="TextBox 139">
          <a:extLst>
            <a:ext uri="{FF2B5EF4-FFF2-40B4-BE49-F238E27FC236}">
              <a16:creationId xmlns:a16="http://schemas.microsoft.com/office/drawing/2014/main" id="{9A325A6B-12C2-444D-95DB-EE942D7C1CC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5" name="TextBox 140">
          <a:extLst>
            <a:ext uri="{FF2B5EF4-FFF2-40B4-BE49-F238E27FC236}">
              <a16:creationId xmlns:a16="http://schemas.microsoft.com/office/drawing/2014/main" id="{5211CEDD-3E33-4BD8-ACA6-BE0CD2C59B8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6" name="TextBox 425">
          <a:extLst>
            <a:ext uri="{FF2B5EF4-FFF2-40B4-BE49-F238E27FC236}">
              <a16:creationId xmlns:a16="http://schemas.microsoft.com/office/drawing/2014/main" id="{E2089F8E-0D9E-470D-BC20-4E1EF694DC9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7" name="TextBox 426">
          <a:extLst>
            <a:ext uri="{FF2B5EF4-FFF2-40B4-BE49-F238E27FC236}">
              <a16:creationId xmlns:a16="http://schemas.microsoft.com/office/drawing/2014/main" id="{5AE3FFEA-6503-4983-803A-6E4B2B6389D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8" name="TextBox 137">
          <a:extLst>
            <a:ext uri="{FF2B5EF4-FFF2-40B4-BE49-F238E27FC236}">
              <a16:creationId xmlns:a16="http://schemas.microsoft.com/office/drawing/2014/main" id="{AB91DF52-C331-4F1A-87A7-DCC1A84C119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29" name="TextBox 138">
          <a:extLst>
            <a:ext uri="{FF2B5EF4-FFF2-40B4-BE49-F238E27FC236}">
              <a16:creationId xmlns:a16="http://schemas.microsoft.com/office/drawing/2014/main" id="{687092EC-9A3A-46EE-960F-ABAFEAE17B2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0" name="TextBox 139">
          <a:extLst>
            <a:ext uri="{FF2B5EF4-FFF2-40B4-BE49-F238E27FC236}">
              <a16:creationId xmlns:a16="http://schemas.microsoft.com/office/drawing/2014/main" id="{63578B74-B44E-4B50-ACD0-C2357F449C5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1" name="TextBox 140">
          <a:extLst>
            <a:ext uri="{FF2B5EF4-FFF2-40B4-BE49-F238E27FC236}">
              <a16:creationId xmlns:a16="http://schemas.microsoft.com/office/drawing/2014/main" id="{394DE4C8-AB50-42CF-8F02-5F82C0882B1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2" name="TextBox 431">
          <a:extLst>
            <a:ext uri="{FF2B5EF4-FFF2-40B4-BE49-F238E27FC236}">
              <a16:creationId xmlns:a16="http://schemas.microsoft.com/office/drawing/2014/main" id="{FDB48510-E1A2-4EFB-B2B1-D010F1C3882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3" name="TextBox 432">
          <a:extLst>
            <a:ext uri="{FF2B5EF4-FFF2-40B4-BE49-F238E27FC236}">
              <a16:creationId xmlns:a16="http://schemas.microsoft.com/office/drawing/2014/main" id="{ED2C85AE-1A65-41C7-B236-437A70B35F2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4" name="TextBox 137">
          <a:extLst>
            <a:ext uri="{FF2B5EF4-FFF2-40B4-BE49-F238E27FC236}">
              <a16:creationId xmlns:a16="http://schemas.microsoft.com/office/drawing/2014/main" id="{EC9BCC3C-8AEF-40A4-8BF4-D10E4FADCD4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5" name="TextBox 138">
          <a:extLst>
            <a:ext uri="{FF2B5EF4-FFF2-40B4-BE49-F238E27FC236}">
              <a16:creationId xmlns:a16="http://schemas.microsoft.com/office/drawing/2014/main" id="{E5DD6852-3FF9-4FC3-8DA2-CDC6AFB6C5A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6" name="TextBox 139">
          <a:extLst>
            <a:ext uri="{FF2B5EF4-FFF2-40B4-BE49-F238E27FC236}">
              <a16:creationId xmlns:a16="http://schemas.microsoft.com/office/drawing/2014/main" id="{2905E851-6A89-4851-883A-4AA8B94698D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7" name="TextBox 140">
          <a:extLst>
            <a:ext uri="{FF2B5EF4-FFF2-40B4-BE49-F238E27FC236}">
              <a16:creationId xmlns:a16="http://schemas.microsoft.com/office/drawing/2014/main" id="{684D76D9-1443-4642-BB79-B7AC6BFD46F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8" name="TextBox 437">
          <a:extLst>
            <a:ext uri="{FF2B5EF4-FFF2-40B4-BE49-F238E27FC236}">
              <a16:creationId xmlns:a16="http://schemas.microsoft.com/office/drawing/2014/main" id="{A30995C7-E475-41D6-9A96-6A65C8F63F7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39" name="TextBox 438">
          <a:extLst>
            <a:ext uri="{FF2B5EF4-FFF2-40B4-BE49-F238E27FC236}">
              <a16:creationId xmlns:a16="http://schemas.microsoft.com/office/drawing/2014/main" id="{23BD7FDD-488A-4A9D-B059-C80E1E5A580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0" name="TextBox 137">
          <a:extLst>
            <a:ext uri="{FF2B5EF4-FFF2-40B4-BE49-F238E27FC236}">
              <a16:creationId xmlns:a16="http://schemas.microsoft.com/office/drawing/2014/main" id="{38476460-DB9C-4F95-AA77-F6E3105B3AE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1" name="TextBox 138">
          <a:extLst>
            <a:ext uri="{FF2B5EF4-FFF2-40B4-BE49-F238E27FC236}">
              <a16:creationId xmlns:a16="http://schemas.microsoft.com/office/drawing/2014/main" id="{4C0BA8F6-B2EF-40DF-8BE3-C828CBE7D02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2" name="TextBox 139">
          <a:extLst>
            <a:ext uri="{FF2B5EF4-FFF2-40B4-BE49-F238E27FC236}">
              <a16:creationId xmlns:a16="http://schemas.microsoft.com/office/drawing/2014/main" id="{1C6015FE-C5A7-4683-B6C8-AF003B6A27C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3" name="TextBox 140">
          <a:extLst>
            <a:ext uri="{FF2B5EF4-FFF2-40B4-BE49-F238E27FC236}">
              <a16:creationId xmlns:a16="http://schemas.microsoft.com/office/drawing/2014/main" id="{4BD24BD1-B263-4324-A1A8-347073CBC83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4" name="TextBox 443">
          <a:extLst>
            <a:ext uri="{FF2B5EF4-FFF2-40B4-BE49-F238E27FC236}">
              <a16:creationId xmlns:a16="http://schemas.microsoft.com/office/drawing/2014/main" id="{1E9B4F66-1463-4104-88BC-40C0F9AAFF2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5" name="TextBox 444">
          <a:extLst>
            <a:ext uri="{FF2B5EF4-FFF2-40B4-BE49-F238E27FC236}">
              <a16:creationId xmlns:a16="http://schemas.microsoft.com/office/drawing/2014/main" id="{ECDC1716-CDAE-4895-A8F4-E7AD21683C8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6" name="TextBox 445">
          <a:extLst>
            <a:ext uri="{FF2B5EF4-FFF2-40B4-BE49-F238E27FC236}">
              <a16:creationId xmlns:a16="http://schemas.microsoft.com/office/drawing/2014/main" id="{A14EED3C-4DD4-4D64-89E7-DBE8C2ACAE6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7" name="TextBox 446">
          <a:extLst>
            <a:ext uri="{FF2B5EF4-FFF2-40B4-BE49-F238E27FC236}">
              <a16:creationId xmlns:a16="http://schemas.microsoft.com/office/drawing/2014/main" id="{C79FA8AD-BD78-4767-82EA-06A6B13E0DE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8" name="TextBox 447">
          <a:extLst>
            <a:ext uri="{FF2B5EF4-FFF2-40B4-BE49-F238E27FC236}">
              <a16:creationId xmlns:a16="http://schemas.microsoft.com/office/drawing/2014/main" id="{84C9180C-1039-456B-B086-5125FD7FA69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49" name="TextBox 448">
          <a:extLst>
            <a:ext uri="{FF2B5EF4-FFF2-40B4-BE49-F238E27FC236}">
              <a16:creationId xmlns:a16="http://schemas.microsoft.com/office/drawing/2014/main" id="{319AA359-FEB1-4325-A313-F5EC2AACD73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0" name="TextBox 449">
          <a:extLst>
            <a:ext uri="{FF2B5EF4-FFF2-40B4-BE49-F238E27FC236}">
              <a16:creationId xmlns:a16="http://schemas.microsoft.com/office/drawing/2014/main" id="{1F72ED70-4213-4E1F-92B0-A9E1F534DA3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1" name="TextBox 450">
          <a:extLst>
            <a:ext uri="{FF2B5EF4-FFF2-40B4-BE49-F238E27FC236}">
              <a16:creationId xmlns:a16="http://schemas.microsoft.com/office/drawing/2014/main" id="{7A5168D5-75AB-4B2C-9189-4AA8F17FBDB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2" name="TextBox 451">
          <a:extLst>
            <a:ext uri="{FF2B5EF4-FFF2-40B4-BE49-F238E27FC236}">
              <a16:creationId xmlns:a16="http://schemas.microsoft.com/office/drawing/2014/main" id="{5E4047E0-F995-43F1-A111-F1ACB2CB2B9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3" name="TextBox 452">
          <a:extLst>
            <a:ext uri="{FF2B5EF4-FFF2-40B4-BE49-F238E27FC236}">
              <a16:creationId xmlns:a16="http://schemas.microsoft.com/office/drawing/2014/main" id="{88E5E3C5-BD36-4023-B0C6-8C823F4948D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4" name="TextBox 453">
          <a:extLst>
            <a:ext uri="{FF2B5EF4-FFF2-40B4-BE49-F238E27FC236}">
              <a16:creationId xmlns:a16="http://schemas.microsoft.com/office/drawing/2014/main" id="{EBFCA6A5-F275-4C25-BBA2-53FF4F1EEF6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5" name="TextBox 454">
          <a:extLst>
            <a:ext uri="{FF2B5EF4-FFF2-40B4-BE49-F238E27FC236}">
              <a16:creationId xmlns:a16="http://schemas.microsoft.com/office/drawing/2014/main" id="{533D25C5-3966-4299-978C-B129748071E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6" name="TextBox 137">
          <a:extLst>
            <a:ext uri="{FF2B5EF4-FFF2-40B4-BE49-F238E27FC236}">
              <a16:creationId xmlns:a16="http://schemas.microsoft.com/office/drawing/2014/main" id="{0D1D82B6-BF9F-4CC4-9C63-415C866E288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7" name="TextBox 138">
          <a:extLst>
            <a:ext uri="{FF2B5EF4-FFF2-40B4-BE49-F238E27FC236}">
              <a16:creationId xmlns:a16="http://schemas.microsoft.com/office/drawing/2014/main" id="{5BFB678F-D586-4E47-856C-BE4D41CE523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8" name="TextBox 139">
          <a:extLst>
            <a:ext uri="{FF2B5EF4-FFF2-40B4-BE49-F238E27FC236}">
              <a16:creationId xmlns:a16="http://schemas.microsoft.com/office/drawing/2014/main" id="{39A06A4B-F4E8-4150-90B9-3EBD98012FC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59" name="TextBox 140">
          <a:extLst>
            <a:ext uri="{FF2B5EF4-FFF2-40B4-BE49-F238E27FC236}">
              <a16:creationId xmlns:a16="http://schemas.microsoft.com/office/drawing/2014/main" id="{BE1AA73E-4AB5-4F88-AC49-67A44693399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0" name="TextBox 459">
          <a:extLst>
            <a:ext uri="{FF2B5EF4-FFF2-40B4-BE49-F238E27FC236}">
              <a16:creationId xmlns:a16="http://schemas.microsoft.com/office/drawing/2014/main" id="{6B3233E1-EBEC-415F-A2AC-539182A061F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1" name="TextBox 460">
          <a:extLst>
            <a:ext uri="{FF2B5EF4-FFF2-40B4-BE49-F238E27FC236}">
              <a16:creationId xmlns:a16="http://schemas.microsoft.com/office/drawing/2014/main" id="{BA294F76-CB8E-4C6E-A81D-C2E32726779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2" name="TextBox 137">
          <a:extLst>
            <a:ext uri="{FF2B5EF4-FFF2-40B4-BE49-F238E27FC236}">
              <a16:creationId xmlns:a16="http://schemas.microsoft.com/office/drawing/2014/main" id="{7F2DBDEC-B3E0-4231-A63D-21D62E7AA14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3" name="TextBox 138">
          <a:extLst>
            <a:ext uri="{FF2B5EF4-FFF2-40B4-BE49-F238E27FC236}">
              <a16:creationId xmlns:a16="http://schemas.microsoft.com/office/drawing/2014/main" id="{484DC072-A60A-4734-95AA-8762740B334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4" name="TextBox 139">
          <a:extLst>
            <a:ext uri="{FF2B5EF4-FFF2-40B4-BE49-F238E27FC236}">
              <a16:creationId xmlns:a16="http://schemas.microsoft.com/office/drawing/2014/main" id="{3883BA61-1A5F-4DB0-B023-844C534A328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5" name="TextBox 140">
          <a:extLst>
            <a:ext uri="{FF2B5EF4-FFF2-40B4-BE49-F238E27FC236}">
              <a16:creationId xmlns:a16="http://schemas.microsoft.com/office/drawing/2014/main" id="{5FA0A8DF-F285-4044-8F04-78B96B15894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6" name="TextBox 465">
          <a:extLst>
            <a:ext uri="{FF2B5EF4-FFF2-40B4-BE49-F238E27FC236}">
              <a16:creationId xmlns:a16="http://schemas.microsoft.com/office/drawing/2014/main" id="{BB64B413-7C9B-4B3F-A00B-579F7805B65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7" name="TextBox 466">
          <a:extLst>
            <a:ext uri="{FF2B5EF4-FFF2-40B4-BE49-F238E27FC236}">
              <a16:creationId xmlns:a16="http://schemas.microsoft.com/office/drawing/2014/main" id="{A4161810-9660-4E8D-B041-BA5119100F0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8" name="TextBox 137">
          <a:extLst>
            <a:ext uri="{FF2B5EF4-FFF2-40B4-BE49-F238E27FC236}">
              <a16:creationId xmlns:a16="http://schemas.microsoft.com/office/drawing/2014/main" id="{9A214F0D-6197-4E6E-AC53-B6578F1F372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69" name="TextBox 138">
          <a:extLst>
            <a:ext uri="{FF2B5EF4-FFF2-40B4-BE49-F238E27FC236}">
              <a16:creationId xmlns:a16="http://schemas.microsoft.com/office/drawing/2014/main" id="{660A6A8B-00C4-4F47-B4CD-412F923D1D2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0" name="TextBox 139">
          <a:extLst>
            <a:ext uri="{FF2B5EF4-FFF2-40B4-BE49-F238E27FC236}">
              <a16:creationId xmlns:a16="http://schemas.microsoft.com/office/drawing/2014/main" id="{500A2B0A-0887-4517-8FAA-73B376898DC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1" name="TextBox 140">
          <a:extLst>
            <a:ext uri="{FF2B5EF4-FFF2-40B4-BE49-F238E27FC236}">
              <a16:creationId xmlns:a16="http://schemas.microsoft.com/office/drawing/2014/main" id="{CB7FEE9C-A03A-41D7-A619-F9DFFE73308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2" name="TextBox 471">
          <a:extLst>
            <a:ext uri="{FF2B5EF4-FFF2-40B4-BE49-F238E27FC236}">
              <a16:creationId xmlns:a16="http://schemas.microsoft.com/office/drawing/2014/main" id="{1F3CABF6-A911-4FF6-8558-6C4362E1B47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3" name="TextBox 472">
          <a:extLst>
            <a:ext uri="{FF2B5EF4-FFF2-40B4-BE49-F238E27FC236}">
              <a16:creationId xmlns:a16="http://schemas.microsoft.com/office/drawing/2014/main" id="{A989DB8F-9AC6-41AC-B01D-8FEB175FD1F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4" name="TextBox 137">
          <a:extLst>
            <a:ext uri="{FF2B5EF4-FFF2-40B4-BE49-F238E27FC236}">
              <a16:creationId xmlns:a16="http://schemas.microsoft.com/office/drawing/2014/main" id="{636B49E8-20F2-4BB6-BFFA-8F39C7AE51F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5" name="TextBox 138">
          <a:extLst>
            <a:ext uri="{FF2B5EF4-FFF2-40B4-BE49-F238E27FC236}">
              <a16:creationId xmlns:a16="http://schemas.microsoft.com/office/drawing/2014/main" id="{5794D570-9591-4E1D-B52A-8F6E70E90F9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6" name="TextBox 139">
          <a:extLst>
            <a:ext uri="{FF2B5EF4-FFF2-40B4-BE49-F238E27FC236}">
              <a16:creationId xmlns:a16="http://schemas.microsoft.com/office/drawing/2014/main" id="{D0573AF3-AABD-4103-AE23-BB5133F9BEC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7" name="TextBox 140">
          <a:extLst>
            <a:ext uri="{FF2B5EF4-FFF2-40B4-BE49-F238E27FC236}">
              <a16:creationId xmlns:a16="http://schemas.microsoft.com/office/drawing/2014/main" id="{F19BA581-3B47-44AA-95C7-4FD424E172C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8" name="TextBox 477">
          <a:extLst>
            <a:ext uri="{FF2B5EF4-FFF2-40B4-BE49-F238E27FC236}">
              <a16:creationId xmlns:a16="http://schemas.microsoft.com/office/drawing/2014/main" id="{95B707C6-74F6-4655-8C90-2F327C00090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79" name="TextBox 478">
          <a:extLst>
            <a:ext uri="{FF2B5EF4-FFF2-40B4-BE49-F238E27FC236}">
              <a16:creationId xmlns:a16="http://schemas.microsoft.com/office/drawing/2014/main" id="{012A52E3-CA49-4200-83F8-85F61418765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0" name="TextBox 479">
          <a:extLst>
            <a:ext uri="{FF2B5EF4-FFF2-40B4-BE49-F238E27FC236}">
              <a16:creationId xmlns:a16="http://schemas.microsoft.com/office/drawing/2014/main" id="{78AC46BC-59C0-4FC1-80B1-6AA86F2F825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1" name="TextBox 480">
          <a:extLst>
            <a:ext uri="{FF2B5EF4-FFF2-40B4-BE49-F238E27FC236}">
              <a16:creationId xmlns:a16="http://schemas.microsoft.com/office/drawing/2014/main" id="{D61C4397-1FCB-42A4-A57F-9B315ACE774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2" name="TextBox 481">
          <a:extLst>
            <a:ext uri="{FF2B5EF4-FFF2-40B4-BE49-F238E27FC236}">
              <a16:creationId xmlns:a16="http://schemas.microsoft.com/office/drawing/2014/main" id="{118E41E1-3DBB-4A5C-8484-D828E8E96D0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3" name="TextBox 482">
          <a:extLst>
            <a:ext uri="{FF2B5EF4-FFF2-40B4-BE49-F238E27FC236}">
              <a16:creationId xmlns:a16="http://schemas.microsoft.com/office/drawing/2014/main" id="{E71062EF-3666-47DE-89CE-17E77423575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4" name="TextBox 483">
          <a:extLst>
            <a:ext uri="{FF2B5EF4-FFF2-40B4-BE49-F238E27FC236}">
              <a16:creationId xmlns:a16="http://schemas.microsoft.com/office/drawing/2014/main" id="{E01329F9-C85F-4938-8F39-802F735E5F4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5" name="TextBox 484">
          <a:extLst>
            <a:ext uri="{FF2B5EF4-FFF2-40B4-BE49-F238E27FC236}">
              <a16:creationId xmlns:a16="http://schemas.microsoft.com/office/drawing/2014/main" id="{DC91E43A-BA6F-464A-B35A-86A6FD99B53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6" name="TextBox 485">
          <a:extLst>
            <a:ext uri="{FF2B5EF4-FFF2-40B4-BE49-F238E27FC236}">
              <a16:creationId xmlns:a16="http://schemas.microsoft.com/office/drawing/2014/main" id="{7254B7AF-9497-453B-B890-92FB6F6FF24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7" name="TextBox 486">
          <a:extLst>
            <a:ext uri="{FF2B5EF4-FFF2-40B4-BE49-F238E27FC236}">
              <a16:creationId xmlns:a16="http://schemas.microsoft.com/office/drawing/2014/main" id="{AC055A87-CC07-4B6E-8514-098B08012C4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8" name="TextBox 487">
          <a:extLst>
            <a:ext uri="{FF2B5EF4-FFF2-40B4-BE49-F238E27FC236}">
              <a16:creationId xmlns:a16="http://schemas.microsoft.com/office/drawing/2014/main" id="{2E8FC000-B1E4-41F2-821A-373FB92A346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89" name="TextBox 488">
          <a:extLst>
            <a:ext uri="{FF2B5EF4-FFF2-40B4-BE49-F238E27FC236}">
              <a16:creationId xmlns:a16="http://schemas.microsoft.com/office/drawing/2014/main" id="{30A57010-7720-43F7-A1BC-DC0CA9A00A1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0" name="TextBox 137">
          <a:extLst>
            <a:ext uri="{FF2B5EF4-FFF2-40B4-BE49-F238E27FC236}">
              <a16:creationId xmlns:a16="http://schemas.microsoft.com/office/drawing/2014/main" id="{638CB2DA-9F2E-4337-8ABE-40B7D03F088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1" name="TextBox 138">
          <a:extLst>
            <a:ext uri="{FF2B5EF4-FFF2-40B4-BE49-F238E27FC236}">
              <a16:creationId xmlns:a16="http://schemas.microsoft.com/office/drawing/2014/main" id="{B56E0DB8-DDBC-4BDE-A2D6-ACB1856D356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2" name="TextBox 139">
          <a:extLst>
            <a:ext uri="{FF2B5EF4-FFF2-40B4-BE49-F238E27FC236}">
              <a16:creationId xmlns:a16="http://schemas.microsoft.com/office/drawing/2014/main" id="{4BE16CA1-A8EA-4744-98AB-8F86EB30556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3" name="TextBox 140">
          <a:extLst>
            <a:ext uri="{FF2B5EF4-FFF2-40B4-BE49-F238E27FC236}">
              <a16:creationId xmlns:a16="http://schemas.microsoft.com/office/drawing/2014/main" id="{A90F7A52-73B0-4124-8F10-1BAAD10BD2B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4" name="TextBox 493">
          <a:extLst>
            <a:ext uri="{FF2B5EF4-FFF2-40B4-BE49-F238E27FC236}">
              <a16:creationId xmlns:a16="http://schemas.microsoft.com/office/drawing/2014/main" id="{5D2E62D6-0CDA-4A06-905D-47C356864B5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5" name="TextBox 494">
          <a:extLst>
            <a:ext uri="{FF2B5EF4-FFF2-40B4-BE49-F238E27FC236}">
              <a16:creationId xmlns:a16="http://schemas.microsoft.com/office/drawing/2014/main" id="{DF39246B-3194-4D03-B968-052B1D2F61B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6" name="TextBox 137">
          <a:extLst>
            <a:ext uri="{FF2B5EF4-FFF2-40B4-BE49-F238E27FC236}">
              <a16:creationId xmlns:a16="http://schemas.microsoft.com/office/drawing/2014/main" id="{94E063C2-8631-41A6-A385-DC490DE0DAD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7" name="TextBox 138">
          <a:extLst>
            <a:ext uri="{FF2B5EF4-FFF2-40B4-BE49-F238E27FC236}">
              <a16:creationId xmlns:a16="http://schemas.microsoft.com/office/drawing/2014/main" id="{E7E649EB-5F90-4DAF-88FA-1EA3B3582DE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8" name="TextBox 139">
          <a:extLst>
            <a:ext uri="{FF2B5EF4-FFF2-40B4-BE49-F238E27FC236}">
              <a16:creationId xmlns:a16="http://schemas.microsoft.com/office/drawing/2014/main" id="{63A79A37-C21F-4C7D-96BA-981059999C0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499" name="TextBox 140">
          <a:extLst>
            <a:ext uri="{FF2B5EF4-FFF2-40B4-BE49-F238E27FC236}">
              <a16:creationId xmlns:a16="http://schemas.microsoft.com/office/drawing/2014/main" id="{483E87E6-0CAB-4614-8D34-57169736BA6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0" name="TextBox 499">
          <a:extLst>
            <a:ext uri="{FF2B5EF4-FFF2-40B4-BE49-F238E27FC236}">
              <a16:creationId xmlns:a16="http://schemas.microsoft.com/office/drawing/2014/main" id="{56CD0520-167F-4FAA-B70F-EF2451F50D9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1" name="TextBox 500">
          <a:extLst>
            <a:ext uri="{FF2B5EF4-FFF2-40B4-BE49-F238E27FC236}">
              <a16:creationId xmlns:a16="http://schemas.microsoft.com/office/drawing/2014/main" id="{452D466D-8853-4128-99F6-171E0C90190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2" name="TextBox 137">
          <a:extLst>
            <a:ext uri="{FF2B5EF4-FFF2-40B4-BE49-F238E27FC236}">
              <a16:creationId xmlns:a16="http://schemas.microsoft.com/office/drawing/2014/main" id="{1B40AC43-5BA1-4C6F-9313-1CA1609CA9F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3" name="TextBox 138">
          <a:extLst>
            <a:ext uri="{FF2B5EF4-FFF2-40B4-BE49-F238E27FC236}">
              <a16:creationId xmlns:a16="http://schemas.microsoft.com/office/drawing/2014/main" id="{DF860B17-C429-4137-B300-B900D9CB948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4" name="TextBox 139">
          <a:extLst>
            <a:ext uri="{FF2B5EF4-FFF2-40B4-BE49-F238E27FC236}">
              <a16:creationId xmlns:a16="http://schemas.microsoft.com/office/drawing/2014/main" id="{E35DF4CE-763D-4C6B-9929-4505C44BD2C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5" name="TextBox 140">
          <a:extLst>
            <a:ext uri="{FF2B5EF4-FFF2-40B4-BE49-F238E27FC236}">
              <a16:creationId xmlns:a16="http://schemas.microsoft.com/office/drawing/2014/main" id="{16C865F6-9CB7-4F24-8837-A3CD7121AA1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6" name="TextBox 505">
          <a:extLst>
            <a:ext uri="{FF2B5EF4-FFF2-40B4-BE49-F238E27FC236}">
              <a16:creationId xmlns:a16="http://schemas.microsoft.com/office/drawing/2014/main" id="{68B0E40B-B502-4CA8-B523-5D2C223AA67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7" name="TextBox 506">
          <a:extLst>
            <a:ext uri="{FF2B5EF4-FFF2-40B4-BE49-F238E27FC236}">
              <a16:creationId xmlns:a16="http://schemas.microsoft.com/office/drawing/2014/main" id="{9278A9CC-77D5-4FE7-8D3E-E8F84149AFF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8" name="TextBox 137">
          <a:extLst>
            <a:ext uri="{FF2B5EF4-FFF2-40B4-BE49-F238E27FC236}">
              <a16:creationId xmlns:a16="http://schemas.microsoft.com/office/drawing/2014/main" id="{4F8B4254-5D13-47A5-9931-C80F5C87444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09" name="TextBox 138">
          <a:extLst>
            <a:ext uri="{FF2B5EF4-FFF2-40B4-BE49-F238E27FC236}">
              <a16:creationId xmlns:a16="http://schemas.microsoft.com/office/drawing/2014/main" id="{E9259613-D173-4E9F-A2E0-554BD2A1BE9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0" name="TextBox 139">
          <a:extLst>
            <a:ext uri="{FF2B5EF4-FFF2-40B4-BE49-F238E27FC236}">
              <a16:creationId xmlns:a16="http://schemas.microsoft.com/office/drawing/2014/main" id="{B61C468C-8C50-45FD-A198-F84C6874734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1" name="TextBox 140">
          <a:extLst>
            <a:ext uri="{FF2B5EF4-FFF2-40B4-BE49-F238E27FC236}">
              <a16:creationId xmlns:a16="http://schemas.microsoft.com/office/drawing/2014/main" id="{6F94061B-39D5-4D48-B420-85437251AE8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2" name="TextBox 511">
          <a:extLst>
            <a:ext uri="{FF2B5EF4-FFF2-40B4-BE49-F238E27FC236}">
              <a16:creationId xmlns:a16="http://schemas.microsoft.com/office/drawing/2014/main" id="{64CEE032-D03D-45D4-925D-99E371944B3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3" name="TextBox 512">
          <a:extLst>
            <a:ext uri="{FF2B5EF4-FFF2-40B4-BE49-F238E27FC236}">
              <a16:creationId xmlns:a16="http://schemas.microsoft.com/office/drawing/2014/main" id="{24E607FB-D1D8-473F-9A95-EAB9B9FBD12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4" name="TextBox 513">
          <a:extLst>
            <a:ext uri="{FF2B5EF4-FFF2-40B4-BE49-F238E27FC236}">
              <a16:creationId xmlns:a16="http://schemas.microsoft.com/office/drawing/2014/main" id="{EB4217DD-1ECC-4483-ADF4-339679A46C2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5" name="TextBox 514">
          <a:extLst>
            <a:ext uri="{FF2B5EF4-FFF2-40B4-BE49-F238E27FC236}">
              <a16:creationId xmlns:a16="http://schemas.microsoft.com/office/drawing/2014/main" id="{A801F2AD-DDCF-4EB5-A4DE-D5107240FF0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6" name="TextBox 515">
          <a:extLst>
            <a:ext uri="{FF2B5EF4-FFF2-40B4-BE49-F238E27FC236}">
              <a16:creationId xmlns:a16="http://schemas.microsoft.com/office/drawing/2014/main" id="{C9B8E19E-1455-47D5-829B-9A581FC4451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7" name="TextBox 516">
          <a:extLst>
            <a:ext uri="{FF2B5EF4-FFF2-40B4-BE49-F238E27FC236}">
              <a16:creationId xmlns:a16="http://schemas.microsoft.com/office/drawing/2014/main" id="{19580D66-0E4B-4E6D-8F13-4F5826A5B16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8" name="TextBox 517">
          <a:extLst>
            <a:ext uri="{FF2B5EF4-FFF2-40B4-BE49-F238E27FC236}">
              <a16:creationId xmlns:a16="http://schemas.microsoft.com/office/drawing/2014/main" id="{5FA9DC07-B4E2-4B29-9240-2A9CA796A31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19" name="TextBox 518">
          <a:extLst>
            <a:ext uri="{FF2B5EF4-FFF2-40B4-BE49-F238E27FC236}">
              <a16:creationId xmlns:a16="http://schemas.microsoft.com/office/drawing/2014/main" id="{CA48B048-3C2B-413D-8167-C7C700AB665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0" name="TextBox 519">
          <a:extLst>
            <a:ext uri="{FF2B5EF4-FFF2-40B4-BE49-F238E27FC236}">
              <a16:creationId xmlns:a16="http://schemas.microsoft.com/office/drawing/2014/main" id="{37E8E20E-7EF9-4BAB-9E57-2101518CC09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1" name="TextBox 520">
          <a:extLst>
            <a:ext uri="{FF2B5EF4-FFF2-40B4-BE49-F238E27FC236}">
              <a16:creationId xmlns:a16="http://schemas.microsoft.com/office/drawing/2014/main" id="{A6EA4CA6-0E07-48B6-8172-8B543F810A9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2" name="TextBox 521">
          <a:extLst>
            <a:ext uri="{FF2B5EF4-FFF2-40B4-BE49-F238E27FC236}">
              <a16:creationId xmlns:a16="http://schemas.microsoft.com/office/drawing/2014/main" id="{9425ACDB-3591-4C7B-A0CF-8137D03C7BD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3" name="TextBox 522">
          <a:extLst>
            <a:ext uri="{FF2B5EF4-FFF2-40B4-BE49-F238E27FC236}">
              <a16:creationId xmlns:a16="http://schemas.microsoft.com/office/drawing/2014/main" id="{66EEFF68-BC74-488B-9C1A-25B2B04F076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4" name="TextBox 137">
          <a:extLst>
            <a:ext uri="{FF2B5EF4-FFF2-40B4-BE49-F238E27FC236}">
              <a16:creationId xmlns:a16="http://schemas.microsoft.com/office/drawing/2014/main" id="{91F7E65A-0991-478D-B11E-B7DE86A19D4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5" name="TextBox 138">
          <a:extLst>
            <a:ext uri="{FF2B5EF4-FFF2-40B4-BE49-F238E27FC236}">
              <a16:creationId xmlns:a16="http://schemas.microsoft.com/office/drawing/2014/main" id="{779B9A1A-4669-404E-A51C-40A099D2CBD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6" name="TextBox 139">
          <a:extLst>
            <a:ext uri="{FF2B5EF4-FFF2-40B4-BE49-F238E27FC236}">
              <a16:creationId xmlns:a16="http://schemas.microsoft.com/office/drawing/2014/main" id="{8C186D46-B8A9-4F52-80B6-66D0DDFE3C9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7" name="TextBox 140">
          <a:extLst>
            <a:ext uri="{FF2B5EF4-FFF2-40B4-BE49-F238E27FC236}">
              <a16:creationId xmlns:a16="http://schemas.microsoft.com/office/drawing/2014/main" id="{D2CC836D-2A09-427E-854E-2D287438613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8" name="TextBox 527">
          <a:extLst>
            <a:ext uri="{FF2B5EF4-FFF2-40B4-BE49-F238E27FC236}">
              <a16:creationId xmlns:a16="http://schemas.microsoft.com/office/drawing/2014/main" id="{4F7758AB-23F6-42F4-A700-3BFF87C4DED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29" name="TextBox 528">
          <a:extLst>
            <a:ext uri="{FF2B5EF4-FFF2-40B4-BE49-F238E27FC236}">
              <a16:creationId xmlns:a16="http://schemas.microsoft.com/office/drawing/2014/main" id="{87CEAA28-9110-4557-A010-3C9F317355B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0" name="TextBox 137">
          <a:extLst>
            <a:ext uri="{FF2B5EF4-FFF2-40B4-BE49-F238E27FC236}">
              <a16:creationId xmlns:a16="http://schemas.microsoft.com/office/drawing/2014/main" id="{9A607760-975E-4244-95D1-365BEE7C365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1" name="TextBox 138">
          <a:extLst>
            <a:ext uri="{FF2B5EF4-FFF2-40B4-BE49-F238E27FC236}">
              <a16:creationId xmlns:a16="http://schemas.microsoft.com/office/drawing/2014/main" id="{F8A15790-C8A2-4087-8CBE-29B85428851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2" name="TextBox 139">
          <a:extLst>
            <a:ext uri="{FF2B5EF4-FFF2-40B4-BE49-F238E27FC236}">
              <a16:creationId xmlns:a16="http://schemas.microsoft.com/office/drawing/2014/main" id="{24A3FFAD-FE9F-4C5E-A370-86789298C0B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3" name="TextBox 140">
          <a:extLst>
            <a:ext uri="{FF2B5EF4-FFF2-40B4-BE49-F238E27FC236}">
              <a16:creationId xmlns:a16="http://schemas.microsoft.com/office/drawing/2014/main" id="{27C5A36C-2EA4-4AB2-9C4B-2D3FDA5053D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4" name="TextBox 533">
          <a:extLst>
            <a:ext uri="{FF2B5EF4-FFF2-40B4-BE49-F238E27FC236}">
              <a16:creationId xmlns:a16="http://schemas.microsoft.com/office/drawing/2014/main" id="{8D46B392-7FBA-4F48-BD2B-4EE2A117A51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5" name="TextBox 534">
          <a:extLst>
            <a:ext uri="{FF2B5EF4-FFF2-40B4-BE49-F238E27FC236}">
              <a16:creationId xmlns:a16="http://schemas.microsoft.com/office/drawing/2014/main" id="{D32782AF-3024-4E2B-94E7-BCEB4265628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6" name="TextBox 137">
          <a:extLst>
            <a:ext uri="{FF2B5EF4-FFF2-40B4-BE49-F238E27FC236}">
              <a16:creationId xmlns:a16="http://schemas.microsoft.com/office/drawing/2014/main" id="{47A89C14-0B3E-49DF-9315-F07B51B4C7C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7" name="TextBox 138">
          <a:extLst>
            <a:ext uri="{FF2B5EF4-FFF2-40B4-BE49-F238E27FC236}">
              <a16:creationId xmlns:a16="http://schemas.microsoft.com/office/drawing/2014/main" id="{71189389-0257-4616-BCA3-2E6620026E4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8" name="TextBox 139">
          <a:extLst>
            <a:ext uri="{FF2B5EF4-FFF2-40B4-BE49-F238E27FC236}">
              <a16:creationId xmlns:a16="http://schemas.microsoft.com/office/drawing/2014/main" id="{D427253D-E2BF-4582-AB7F-0EF9DAF4230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39" name="TextBox 140">
          <a:extLst>
            <a:ext uri="{FF2B5EF4-FFF2-40B4-BE49-F238E27FC236}">
              <a16:creationId xmlns:a16="http://schemas.microsoft.com/office/drawing/2014/main" id="{312D2D50-930A-4A0E-AC81-A16877E10B3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0" name="TextBox 539">
          <a:extLst>
            <a:ext uri="{FF2B5EF4-FFF2-40B4-BE49-F238E27FC236}">
              <a16:creationId xmlns:a16="http://schemas.microsoft.com/office/drawing/2014/main" id="{2D6539A5-D838-4787-89E1-D601B6E4916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1" name="TextBox 540">
          <a:extLst>
            <a:ext uri="{FF2B5EF4-FFF2-40B4-BE49-F238E27FC236}">
              <a16:creationId xmlns:a16="http://schemas.microsoft.com/office/drawing/2014/main" id="{ED46079A-F342-42A4-85FA-A798496B99C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2" name="TextBox 137">
          <a:extLst>
            <a:ext uri="{FF2B5EF4-FFF2-40B4-BE49-F238E27FC236}">
              <a16:creationId xmlns:a16="http://schemas.microsoft.com/office/drawing/2014/main" id="{106DED3A-B822-4EC9-8DC4-8AAC556AB5B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3" name="TextBox 138">
          <a:extLst>
            <a:ext uri="{FF2B5EF4-FFF2-40B4-BE49-F238E27FC236}">
              <a16:creationId xmlns:a16="http://schemas.microsoft.com/office/drawing/2014/main" id="{F290DE61-C3B8-430F-9F4A-4B1D007A97E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4" name="TextBox 139">
          <a:extLst>
            <a:ext uri="{FF2B5EF4-FFF2-40B4-BE49-F238E27FC236}">
              <a16:creationId xmlns:a16="http://schemas.microsoft.com/office/drawing/2014/main" id="{3492E620-77EF-488B-BE48-04B9E2DC928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545" name="TextBox 140">
          <a:extLst>
            <a:ext uri="{FF2B5EF4-FFF2-40B4-BE49-F238E27FC236}">
              <a16:creationId xmlns:a16="http://schemas.microsoft.com/office/drawing/2014/main" id="{E3EFD8F7-500E-4A21-888F-9BC4D39055C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46" name="TextBox 545">
          <a:extLst>
            <a:ext uri="{FF2B5EF4-FFF2-40B4-BE49-F238E27FC236}">
              <a16:creationId xmlns:a16="http://schemas.microsoft.com/office/drawing/2014/main" id="{BA573B5A-E740-4311-A0C8-9994F78E281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47" name="TextBox 546">
          <a:extLst>
            <a:ext uri="{FF2B5EF4-FFF2-40B4-BE49-F238E27FC236}">
              <a16:creationId xmlns:a16="http://schemas.microsoft.com/office/drawing/2014/main" id="{5D2BF2C2-22D4-4AB8-B415-A7A95D2BF1E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48" name="TextBox 547">
          <a:extLst>
            <a:ext uri="{FF2B5EF4-FFF2-40B4-BE49-F238E27FC236}">
              <a16:creationId xmlns:a16="http://schemas.microsoft.com/office/drawing/2014/main" id="{DAFCFFC3-F050-449E-967D-B83977F59CF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49" name="TextBox 548">
          <a:extLst>
            <a:ext uri="{FF2B5EF4-FFF2-40B4-BE49-F238E27FC236}">
              <a16:creationId xmlns:a16="http://schemas.microsoft.com/office/drawing/2014/main" id="{1C16737F-F57E-4EA5-9657-58CD3BD2D04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0" name="TextBox 549">
          <a:extLst>
            <a:ext uri="{FF2B5EF4-FFF2-40B4-BE49-F238E27FC236}">
              <a16:creationId xmlns:a16="http://schemas.microsoft.com/office/drawing/2014/main" id="{E81F23AD-4D59-4674-A098-14ECE96AB1C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1" name="TextBox 550">
          <a:extLst>
            <a:ext uri="{FF2B5EF4-FFF2-40B4-BE49-F238E27FC236}">
              <a16:creationId xmlns:a16="http://schemas.microsoft.com/office/drawing/2014/main" id="{9DD32DA4-DF4B-4FC3-A5FD-BC7938F81DC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2" name="TextBox 551">
          <a:extLst>
            <a:ext uri="{FF2B5EF4-FFF2-40B4-BE49-F238E27FC236}">
              <a16:creationId xmlns:a16="http://schemas.microsoft.com/office/drawing/2014/main" id="{EB4A748D-BCB5-4929-92B7-5C2A9031C3D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3" name="TextBox 552">
          <a:extLst>
            <a:ext uri="{FF2B5EF4-FFF2-40B4-BE49-F238E27FC236}">
              <a16:creationId xmlns:a16="http://schemas.microsoft.com/office/drawing/2014/main" id="{C4B9D6DB-0EA8-4BE9-A459-624A5D46F51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4" name="TextBox 553">
          <a:extLst>
            <a:ext uri="{FF2B5EF4-FFF2-40B4-BE49-F238E27FC236}">
              <a16:creationId xmlns:a16="http://schemas.microsoft.com/office/drawing/2014/main" id="{1DB4ED7F-230B-4D1C-ADF7-BB8547A63E1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5" name="TextBox 554">
          <a:extLst>
            <a:ext uri="{FF2B5EF4-FFF2-40B4-BE49-F238E27FC236}">
              <a16:creationId xmlns:a16="http://schemas.microsoft.com/office/drawing/2014/main" id="{A2BD3A6C-4C92-4A08-AE47-F74F24C324E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6" name="TextBox 555">
          <a:extLst>
            <a:ext uri="{FF2B5EF4-FFF2-40B4-BE49-F238E27FC236}">
              <a16:creationId xmlns:a16="http://schemas.microsoft.com/office/drawing/2014/main" id="{2FE119D8-BFDB-4AD6-8825-CE1FCD8F499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7" name="TextBox 556">
          <a:extLst>
            <a:ext uri="{FF2B5EF4-FFF2-40B4-BE49-F238E27FC236}">
              <a16:creationId xmlns:a16="http://schemas.microsoft.com/office/drawing/2014/main" id="{DE6A2DD3-86EC-4143-A49F-AB676658675A}"/>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8" name="TextBox 137">
          <a:extLst>
            <a:ext uri="{FF2B5EF4-FFF2-40B4-BE49-F238E27FC236}">
              <a16:creationId xmlns:a16="http://schemas.microsoft.com/office/drawing/2014/main" id="{C5EA53CE-B5C5-45A6-B4DF-34076225161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59" name="TextBox 138">
          <a:extLst>
            <a:ext uri="{FF2B5EF4-FFF2-40B4-BE49-F238E27FC236}">
              <a16:creationId xmlns:a16="http://schemas.microsoft.com/office/drawing/2014/main" id="{9C047B46-4A49-419A-A77F-585318091E7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0" name="TextBox 139">
          <a:extLst>
            <a:ext uri="{FF2B5EF4-FFF2-40B4-BE49-F238E27FC236}">
              <a16:creationId xmlns:a16="http://schemas.microsoft.com/office/drawing/2014/main" id="{2D2F8775-9B57-47D9-817C-1CEF90C9A5B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1" name="TextBox 140">
          <a:extLst>
            <a:ext uri="{FF2B5EF4-FFF2-40B4-BE49-F238E27FC236}">
              <a16:creationId xmlns:a16="http://schemas.microsoft.com/office/drawing/2014/main" id="{AD8AE713-8929-449D-8E80-CCDAFF8BBD9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2" name="TextBox 561">
          <a:extLst>
            <a:ext uri="{FF2B5EF4-FFF2-40B4-BE49-F238E27FC236}">
              <a16:creationId xmlns:a16="http://schemas.microsoft.com/office/drawing/2014/main" id="{76962524-CC00-47B4-8828-E4861D70059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3" name="TextBox 562">
          <a:extLst>
            <a:ext uri="{FF2B5EF4-FFF2-40B4-BE49-F238E27FC236}">
              <a16:creationId xmlns:a16="http://schemas.microsoft.com/office/drawing/2014/main" id="{EDBD232D-4026-4C5B-A28A-8B96142C9B8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4" name="TextBox 137">
          <a:extLst>
            <a:ext uri="{FF2B5EF4-FFF2-40B4-BE49-F238E27FC236}">
              <a16:creationId xmlns:a16="http://schemas.microsoft.com/office/drawing/2014/main" id="{B05A63C0-67AD-401B-8002-47483AE1297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5" name="TextBox 138">
          <a:extLst>
            <a:ext uri="{FF2B5EF4-FFF2-40B4-BE49-F238E27FC236}">
              <a16:creationId xmlns:a16="http://schemas.microsoft.com/office/drawing/2014/main" id="{F17462E5-7D33-4B4C-BFBD-9FB2E816294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6" name="TextBox 139">
          <a:extLst>
            <a:ext uri="{FF2B5EF4-FFF2-40B4-BE49-F238E27FC236}">
              <a16:creationId xmlns:a16="http://schemas.microsoft.com/office/drawing/2014/main" id="{FDFF23AE-BE33-494D-B83E-37E1602B880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7" name="TextBox 140">
          <a:extLst>
            <a:ext uri="{FF2B5EF4-FFF2-40B4-BE49-F238E27FC236}">
              <a16:creationId xmlns:a16="http://schemas.microsoft.com/office/drawing/2014/main" id="{9373AE6D-9AA2-4665-ACB4-BFDA4914029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8" name="TextBox 567">
          <a:extLst>
            <a:ext uri="{FF2B5EF4-FFF2-40B4-BE49-F238E27FC236}">
              <a16:creationId xmlns:a16="http://schemas.microsoft.com/office/drawing/2014/main" id="{CE6D9693-696B-4C57-88FD-F899DFED315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69" name="TextBox 568">
          <a:extLst>
            <a:ext uri="{FF2B5EF4-FFF2-40B4-BE49-F238E27FC236}">
              <a16:creationId xmlns:a16="http://schemas.microsoft.com/office/drawing/2014/main" id="{95815A41-022D-4C78-AF32-78CF8EAE5FA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0" name="TextBox 137">
          <a:extLst>
            <a:ext uri="{FF2B5EF4-FFF2-40B4-BE49-F238E27FC236}">
              <a16:creationId xmlns:a16="http://schemas.microsoft.com/office/drawing/2014/main" id="{2FECE883-7F12-465C-9D8B-6F149639D17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1" name="TextBox 138">
          <a:extLst>
            <a:ext uri="{FF2B5EF4-FFF2-40B4-BE49-F238E27FC236}">
              <a16:creationId xmlns:a16="http://schemas.microsoft.com/office/drawing/2014/main" id="{AEE12F7A-DF24-4D75-96E8-2C129C46C8E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2" name="TextBox 139">
          <a:extLst>
            <a:ext uri="{FF2B5EF4-FFF2-40B4-BE49-F238E27FC236}">
              <a16:creationId xmlns:a16="http://schemas.microsoft.com/office/drawing/2014/main" id="{6104A897-C491-4FCA-834A-0F2F2FAED76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3" name="TextBox 140">
          <a:extLst>
            <a:ext uri="{FF2B5EF4-FFF2-40B4-BE49-F238E27FC236}">
              <a16:creationId xmlns:a16="http://schemas.microsoft.com/office/drawing/2014/main" id="{46BFF825-EFD2-4C0D-98CF-C219CF8AE69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4" name="TextBox 573">
          <a:extLst>
            <a:ext uri="{FF2B5EF4-FFF2-40B4-BE49-F238E27FC236}">
              <a16:creationId xmlns:a16="http://schemas.microsoft.com/office/drawing/2014/main" id="{81DD5F81-1E08-4982-A439-32DF4B33C08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5" name="TextBox 574">
          <a:extLst>
            <a:ext uri="{FF2B5EF4-FFF2-40B4-BE49-F238E27FC236}">
              <a16:creationId xmlns:a16="http://schemas.microsoft.com/office/drawing/2014/main" id="{85C736BB-C0D3-4483-B14B-7303F74AB77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6" name="TextBox 137">
          <a:extLst>
            <a:ext uri="{FF2B5EF4-FFF2-40B4-BE49-F238E27FC236}">
              <a16:creationId xmlns:a16="http://schemas.microsoft.com/office/drawing/2014/main" id="{CA6C7C48-E521-4FDA-931E-D9E46099703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7" name="TextBox 138">
          <a:extLst>
            <a:ext uri="{FF2B5EF4-FFF2-40B4-BE49-F238E27FC236}">
              <a16:creationId xmlns:a16="http://schemas.microsoft.com/office/drawing/2014/main" id="{D6D10011-3353-4AED-9D30-7914D6A8A51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8" name="TextBox 139">
          <a:extLst>
            <a:ext uri="{FF2B5EF4-FFF2-40B4-BE49-F238E27FC236}">
              <a16:creationId xmlns:a16="http://schemas.microsoft.com/office/drawing/2014/main" id="{8C0C96BC-7ECE-490F-A4A0-94457BB4967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79" name="TextBox 140">
          <a:extLst>
            <a:ext uri="{FF2B5EF4-FFF2-40B4-BE49-F238E27FC236}">
              <a16:creationId xmlns:a16="http://schemas.microsoft.com/office/drawing/2014/main" id="{D81CDEE6-E78F-4AFC-A933-EC4AC9DB4A1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0" name="TextBox 579">
          <a:extLst>
            <a:ext uri="{FF2B5EF4-FFF2-40B4-BE49-F238E27FC236}">
              <a16:creationId xmlns:a16="http://schemas.microsoft.com/office/drawing/2014/main" id="{B30207AA-D9EA-436A-9D33-5F25B158AE2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1" name="TextBox 580">
          <a:extLst>
            <a:ext uri="{FF2B5EF4-FFF2-40B4-BE49-F238E27FC236}">
              <a16:creationId xmlns:a16="http://schemas.microsoft.com/office/drawing/2014/main" id="{11ADEEFF-6496-4A69-A320-9E8F2701507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2" name="TextBox 581">
          <a:extLst>
            <a:ext uri="{FF2B5EF4-FFF2-40B4-BE49-F238E27FC236}">
              <a16:creationId xmlns:a16="http://schemas.microsoft.com/office/drawing/2014/main" id="{2B8DF5A8-C3F9-41BA-BF45-B69266F7F56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3" name="TextBox 582">
          <a:extLst>
            <a:ext uri="{FF2B5EF4-FFF2-40B4-BE49-F238E27FC236}">
              <a16:creationId xmlns:a16="http://schemas.microsoft.com/office/drawing/2014/main" id="{7ADA6991-B241-4004-8713-20F7FB47599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4" name="TextBox 583">
          <a:extLst>
            <a:ext uri="{FF2B5EF4-FFF2-40B4-BE49-F238E27FC236}">
              <a16:creationId xmlns:a16="http://schemas.microsoft.com/office/drawing/2014/main" id="{6BE89E1D-8B27-4C17-A766-B389ABA72F3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5" name="TextBox 584">
          <a:extLst>
            <a:ext uri="{FF2B5EF4-FFF2-40B4-BE49-F238E27FC236}">
              <a16:creationId xmlns:a16="http://schemas.microsoft.com/office/drawing/2014/main" id="{3C84979B-49A2-4D2D-B82D-17967D09388A}"/>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6" name="TextBox 585">
          <a:extLst>
            <a:ext uri="{FF2B5EF4-FFF2-40B4-BE49-F238E27FC236}">
              <a16:creationId xmlns:a16="http://schemas.microsoft.com/office/drawing/2014/main" id="{C91CA2BA-192A-4BE9-89AC-64CAA9669AF8}"/>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7" name="TextBox 586">
          <a:extLst>
            <a:ext uri="{FF2B5EF4-FFF2-40B4-BE49-F238E27FC236}">
              <a16:creationId xmlns:a16="http://schemas.microsoft.com/office/drawing/2014/main" id="{B96C1A9E-28C3-4E23-A8AA-ED38C86CCC2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8" name="TextBox 587">
          <a:extLst>
            <a:ext uri="{FF2B5EF4-FFF2-40B4-BE49-F238E27FC236}">
              <a16:creationId xmlns:a16="http://schemas.microsoft.com/office/drawing/2014/main" id="{31421DB3-8FAA-4011-9FDF-BB16245BAACA}"/>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89" name="TextBox 588">
          <a:extLst>
            <a:ext uri="{FF2B5EF4-FFF2-40B4-BE49-F238E27FC236}">
              <a16:creationId xmlns:a16="http://schemas.microsoft.com/office/drawing/2014/main" id="{891EAE91-9120-43E5-AA06-2F2EA9601B08}"/>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0" name="TextBox 589">
          <a:extLst>
            <a:ext uri="{FF2B5EF4-FFF2-40B4-BE49-F238E27FC236}">
              <a16:creationId xmlns:a16="http://schemas.microsoft.com/office/drawing/2014/main" id="{95913763-0580-465F-B14D-ADFD1F12C4C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1" name="TextBox 590">
          <a:extLst>
            <a:ext uri="{FF2B5EF4-FFF2-40B4-BE49-F238E27FC236}">
              <a16:creationId xmlns:a16="http://schemas.microsoft.com/office/drawing/2014/main" id="{A4E6DA5B-6550-4D57-BEF5-D2F233ED37D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2" name="TextBox 137">
          <a:extLst>
            <a:ext uri="{FF2B5EF4-FFF2-40B4-BE49-F238E27FC236}">
              <a16:creationId xmlns:a16="http://schemas.microsoft.com/office/drawing/2014/main" id="{A5B9C6CF-3CE9-41BB-A81C-11188399477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3" name="TextBox 138">
          <a:extLst>
            <a:ext uri="{FF2B5EF4-FFF2-40B4-BE49-F238E27FC236}">
              <a16:creationId xmlns:a16="http://schemas.microsoft.com/office/drawing/2014/main" id="{4C8299F6-8057-491D-99B2-3236F815D28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4" name="TextBox 139">
          <a:extLst>
            <a:ext uri="{FF2B5EF4-FFF2-40B4-BE49-F238E27FC236}">
              <a16:creationId xmlns:a16="http://schemas.microsoft.com/office/drawing/2014/main" id="{310C1D7F-60B7-4150-9688-BC36B4B8859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5" name="TextBox 140">
          <a:extLst>
            <a:ext uri="{FF2B5EF4-FFF2-40B4-BE49-F238E27FC236}">
              <a16:creationId xmlns:a16="http://schemas.microsoft.com/office/drawing/2014/main" id="{53FD8562-FC48-4AC5-B0BE-9C21EA36CE4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6" name="TextBox 595">
          <a:extLst>
            <a:ext uri="{FF2B5EF4-FFF2-40B4-BE49-F238E27FC236}">
              <a16:creationId xmlns:a16="http://schemas.microsoft.com/office/drawing/2014/main" id="{AD0254CB-AF6A-4BFC-895A-F059FBAD5D3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7" name="TextBox 596">
          <a:extLst>
            <a:ext uri="{FF2B5EF4-FFF2-40B4-BE49-F238E27FC236}">
              <a16:creationId xmlns:a16="http://schemas.microsoft.com/office/drawing/2014/main" id="{840CE6AF-99E0-4156-9BD1-DF516B242A48}"/>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8" name="TextBox 137">
          <a:extLst>
            <a:ext uri="{FF2B5EF4-FFF2-40B4-BE49-F238E27FC236}">
              <a16:creationId xmlns:a16="http://schemas.microsoft.com/office/drawing/2014/main" id="{8847D4D7-3D73-40F7-AB0C-23BE7CA52E3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599" name="TextBox 138">
          <a:extLst>
            <a:ext uri="{FF2B5EF4-FFF2-40B4-BE49-F238E27FC236}">
              <a16:creationId xmlns:a16="http://schemas.microsoft.com/office/drawing/2014/main" id="{27839BE7-F6DB-404E-B332-5CE392B3339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0" name="TextBox 139">
          <a:extLst>
            <a:ext uri="{FF2B5EF4-FFF2-40B4-BE49-F238E27FC236}">
              <a16:creationId xmlns:a16="http://schemas.microsoft.com/office/drawing/2014/main" id="{27515AF0-54A7-4E2B-86D5-57AA3616A0D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1" name="TextBox 140">
          <a:extLst>
            <a:ext uri="{FF2B5EF4-FFF2-40B4-BE49-F238E27FC236}">
              <a16:creationId xmlns:a16="http://schemas.microsoft.com/office/drawing/2014/main" id="{B4538E9A-C0F9-4781-A9D9-F006E3680D0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2" name="TextBox 601">
          <a:extLst>
            <a:ext uri="{FF2B5EF4-FFF2-40B4-BE49-F238E27FC236}">
              <a16:creationId xmlns:a16="http://schemas.microsoft.com/office/drawing/2014/main" id="{C3D7ABD5-8398-4F56-92C7-C516F3DD7C0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3" name="TextBox 602">
          <a:extLst>
            <a:ext uri="{FF2B5EF4-FFF2-40B4-BE49-F238E27FC236}">
              <a16:creationId xmlns:a16="http://schemas.microsoft.com/office/drawing/2014/main" id="{5DC91BD1-BC90-4C5E-934C-8307627E3C8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4" name="TextBox 137">
          <a:extLst>
            <a:ext uri="{FF2B5EF4-FFF2-40B4-BE49-F238E27FC236}">
              <a16:creationId xmlns:a16="http://schemas.microsoft.com/office/drawing/2014/main" id="{9A157F7A-DEC5-4D15-8DEE-FEA354E95BA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5" name="TextBox 138">
          <a:extLst>
            <a:ext uri="{FF2B5EF4-FFF2-40B4-BE49-F238E27FC236}">
              <a16:creationId xmlns:a16="http://schemas.microsoft.com/office/drawing/2014/main" id="{038C6513-10CD-474C-BEE5-A874E64862B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6" name="TextBox 139">
          <a:extLst>
            <a:ext uri="{FF2B5EF4-FFF2-40B4-BE49-F238E27FC236}">
              <a16:creationId xmlns:a16="http://schemas.microsoft.com/office/drawing/2014/main" id="{CB89A8AE-4A6D-41E9-806C-6DADA40914D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7" name="TextBox 140">
          <a:extLst>
            <a:ext uri="{FF2B5EF4-FFF2-40B4-BE49-F238E27FC236}">
              <a16:creationId xmlns:a16="http://schemas.microsoft.com/office/drawing/2014/main" id="{5486AEEB-EE95-4627-A851-895D6C230F5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8" name="TextBox 607">
          <a:extLst>
            <a:ext uri="{FF2B5EF4-FFF2-40B4-BE49-F238E27FC236}">
              <a16:creationId xmlns:a16="http://schemas.microsoft.com/office/drawing/2014/main" id="{A728FC02-0C57-4D43-A87B-CA0D5060836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09" name="TextBox 608">
          <a:extLst>
            <a:ext uri="{FF2B5EF4-FFF2-40B4-BE49-F238E27FC236}">
              <a16:creationId xmlns:a16="http://schemas.microsoft.com/office/drawing/2014/main" id="{DA59D274-4A3E-4D71-8B03-40B747111BD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10" name="TextBox 137">
          <a:extLst>
            <a:ext uri="{FF2B5EF4-FFF2-40B4-BE49-F238E27FC236}">
              <a16:creationId xmlns:a16="http://schemas.microsoft.com/office/drawing/2014/main" id="{1C674F11-47EF-449B-97C6-9BFB084231E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11" name="TextBox 138">
          <a:extLst>
            <a:ext uri="{FF2B5EF4-FFF2-40B4-BE49-F238E27FC236}">
              <a16:creationId xmlns:a16="http://schemas.microsoft.com/office/drawing/2014/main" id="{DE505EB7-0A66-47F0-BD68-B4BFE815DA2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12" name="TextBox 139">
          <a:extLst>
            <a:ext uri="{FF2B5EF4-FFF2-40B4-BE49-F238E27FC236}">
              <a16:creationId xmlns:a16="http://schemas.microsoft.com/office/drawing/2014/main" id="{F8F1D88D-BCFD-4BB0-BA91-DA380E56E52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613" name="TextBox 140">
          <a:extLst>
            <a:ext uri="{FF2B5EF4-FFF2-40B4-BE49-F238E27FC236}">
              <a16:creationId xmlns:a16="http://schemas.microsoft.com/office/drawing/2014/main" id="{46F04466-ADCB-406A-BC6E-645C3C76EF7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4" name="TextBox 613">
          <a:extLst>
            <a:ext uri="{FF2B5EF4-FFF2-40B4-BE49-F238E27FC236}">
              <a16:creationId xmlns:a16="http://schemas.microsoft.com/office/drawing/2014/main" id="{2BB78A6E-E362-48F1-AE5C-1089AB8D5D1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5" name="TextBox 614">
          <a:extLst>
            <a:ext uri="{FF2B5EF4-FFF2-40B4-BE49-F238E27FC236}">
              <a16:creationId xmlns:a16="http://schemas.microsoft.com/office/drawing/2014/main" id="{4EA08FE1-2B1B-4D7B-993F-EBB5CD55C82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6" name="TextBox 615">
          <a:extLst>
            <a:ext uri="{FF2B5EF4-FFF2-40B4-BE49-F238E27FC236}">
              <a16:creationId xmlns:a16="http://schemas.microsoft.com/office/drawing/2014/main" id="{82F5A328-6750-4584-B8FC-3B5870D99C3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7" name="TextBox 616">
          <a:extLst>
            <a:ext uri="{FF2B5EF4-FFF2-40B4-BE49-F238E27FC236}">
              <a16:creationId xmlns:a16="http://schemas.microsoft.com/office/drawing/2014/main" id="{0952FF2E-D038-4620-80FE-B110517DA7A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8" name="TextBox 617">
          <a:extLst>
            <a:ext uri="{FF2B5EF4-FFF2-40B4-BE49-F238E27FC236}">
              <a16:creationId xmlns:a16="http://schemas.microsoft.com/office/drawing/2014/main" id="{B25EF120-2E5C-4ADC-A010-8E74CD7598D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19" name="TextBox 618">
          <a:extLst>
            <a:ext uri="{FF2B5EF4-FFF2-40B4-BE49-F238E27FC236}">
              <a16:creationId xmlns:a16="http://schemas.microsoft.com/office/drawing/2014/main" id="{D2304F84-7715-4CD2-973E-CF7E55E74ED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0" name="TextBox 619">
          <a:extLst>
            <a:ext uri="{FF2B5EF4-FFF2-40B4-BE49-F238E27FC236}">
              <a16:creationId xmlns:a16="http://schemas.microsoft.com/office/drawing/2014/main" id="{DD11BAA9-AA13-494D-A195-E9569FAA026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1" name="TextBox 620">
          <a:extLst>
            <a:ext uri="{FF2B5EF4-FFF2-40B4-BE49-F238E27FC236}">
              <a16:creationId xmlns:a16="http://schemas.microsoft.com/office/drawing/2014/main" id="{ABFB332F-2FCE-4D61-B077-0C894E88CF0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2" name="TextBox 621">
          <a:extLst>
            <a:ext uri="{FF2B5EF4-FFF2-40B4-BE49-F238E27FC236}">
              <a16:creationId xmlns:a16="http://schemas.microsoft.com/office/drawing/2014/main" id="{15C2E36E-402D-403D-B1B5-1A97E41BB17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3" name="TextBox 622">
          <a:extLst>
            <a:ext uri="{FF2B5EF4-FFF2-40B4-BE49-F238E27FC236}">
              <a16:creationId xmlns:a16="http://schemas.microsoft.com/office/drawing/2014/main" id="{1A0FE7EC-DFF6-4577-A17D-5929A7E1080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4" name="TextBox 623">
          <a:extLst>
            <a:ext uri="{FF2B5EF4-FFF2-40B4-BE49-F238E27FC236}">
              <a16:creationId xmlns:a16="http://schemas.microsoft.com/office/drawing/2014/main" id="{63CFC4FB-7688-449A-8E26-D3DB68E9243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5" name="TextBox 624">
          <a:extLst>
            <a:ext uri="{FF2B5EF4-FFF2-40B4-BE49-F238E27FC236}">
              <a16:creationId xmlns:a16="http://schemas.microsoft.com/office/drawing/2014/main" id="{796DF905-9DDD-4584-B482-15ECB35A255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6" name="TextBox 137">
          <a:extLst>
            <a:ext uri="{FF2B5EF4-FFF2-40B4-BE49-F238E27FC236}">
              <a16:creationId xmlns:a16="http://schemas.microsoft.com/office/drawing/2014/main" id="{643F06C0-0CEA-4D7B-BBAA-833B2760338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7" name="TextBox 138">
          <a:extLst>
            <a:ext uri="{FF2B5EF4-FFF2-40B4-BE49-F238E27FC236}">
              <a16:creationId xmlns:a16="http://schemas.microsoft.com/office/drawing/2014/main" id="{37294C23-A1F9-42DF-8530-C6D572F42B6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8" name="TextBox 139">
          <a:extLst>
            <a:ext uri="{FF2B5EF4-FFF2-40B4-BE49-F238E27FC236}">
              <a16:creationId xmlns:a16="http://schemas.microsoft.com/office/drawing/2014/main" id="{3B0D019B-2490-4369-82FF-84D037C70AA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29" name="TextBox 140">
          <a:extLst>
            <a:ext uri="{FF2B5EF4-FFF2-40B4-BE49-F238E27FC236}">
              <a16:creationId xmlns:a16="http://schemas.microsoft.com/office/drawing/2014/main" id="{AA3C7C74-E93D-4E9E-8A20-944DD2DDF1A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0" name="TextBox 629">
          <a:extLst>
            <a:ext uri="{FF2B5EF4-FFF2-40B4-BE49-F238E27FC236}">
              <a16:creationId xmlns:a16="http://schemas.microsoft.com/office/drawing/2014/main" id="{743A6433-59C1-4C92-852C-C0D640AA991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1" name="TextBox 630">
          <a:extLst>
            <a:ext uri="{FF2B5EF4-FFF2-40B4-BE49-F238E27FC236}">
              <a16:creationId xmlns:a16="http://schemas.microsoft.com/office/drawing/2014/main" id="{3E910B6D-EE39-4709-9FCD-FB050462DC2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2" name="TextBox 137">
          <a:extLst>
            <a:ext uri="{FF2B5EF4-FFF2-40B4-BE49-F238E27FC236}">
              <a16:creationId xmlns:a16="http://schemas.microsoft.com/office/drawing/2014/main" id="{D9D49485-491D-46B8-AE5A-7F7D08F5428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3" name="TextBox 138">
          <a:extLst>
            <a:ext uri="{FF2B5EF4-FFF2-40B4-BE49-F238E27FC236}">
              <a16:creationId xmlns:a16="http://schemas.microsoft.com/office/drawing/2014/main" id="{8E1B805B-7226-4043-BEA9-743AC3A04E5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4" name="TextBox 139">
          <a:extLst>
            <a:ext uri="{FF2B5EF4-FFF2-40B4-BE49-F238E27FC236}">
              <a16:creationId xmlns:a16="http://schemas.microsoft.com/office/drawing/2014/main" id="{B532DA20-F4C5-4E3E-8FBD-77076F07DD3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5" name="TextBox 140">
          <a:extLst>
            <a:ext uri="{FF2B5EF4-FFF2-40B4-BE49-F238E27FC236}">
              <a16:creationId xmlns:a16="http://schemas.microsoft.com/office/drawing/2014/main" id="{BC92921A-6770-4986-BB1A-C68EDB30B94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6" name="TextBox 635">
          <a:extLst>
            <a:ext uri="{FF2B5EF4-FFF2-40B4-BE49-F238E27FC236}">
              <a16:creationId xmlns:a16="http://schemas.microsoft.com/office/drawing/2014/main" id="{5364CB00-8532-47FE-BF12-E209413DF6E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7" name="TextBox 636">
          <a:extLst>
            <a:ext uri="{FF2B5EF4-FFF2-40B4-BE49-F238E27FC236}">
              <a16:creationId xmlns:a16="http://schemas.microsoft.com/office/drawing/2014/main" id="{6D86217E-3651-410F-8FC6-63D62282E88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8" name="TextBox 137">
          <a:extLst>
            <a:ext uri="{FF2B5EF4-FFF2-40B4-BE49-F238E27FC236}">
              <a16:creationId xmlns:a16="http://schemas.microsoft.com/office/drawing/2014/main" id="{A0017280-FFEC-4446-A6D1-50E8FF9747B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39" name="TextBox 138">
          <a:extLst>
            <a:ext uri="{FF2B5EF4-FFF2-40B4-BE49-F238E27FC236}">
              <a16:creationId xmlns:a16="http://schemas.microsoft.com/office/drawing/2014/main" id="{90F86FFB-25B7-4643-809B-D6428477099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0" name="TextBox 139">
          <a:extLst>
            <a:ext uri="{FF2B5EF4-FFF2-40B4-BE49-F238E27FC236}">
              <a16:creationId xmlns:a16="http://schemas.microsoft.com/office/drawing/2014/main" id="{93C63F99-F4CD-4891-8C7D-842C733738B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1" name="TextBox 140">
          <a:extLst>
            <a:ext uri="{FF2B5EF4-FFF2-40B4-BE49-F238E27FC236}">
              <a16:creationId xmlns:a16="http://schemas.microsoft.com/office/drawing/2014/main" id="{EB53896E-F37B-4DAB-9BB2-4FB42346F0F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2" name="TextBox 641">
          <a:extLst>
            <a:ext uri="{FF2B5EF4-FFF2-40B4-BE49-F238E27FC236}">
              <a16:creationId xmlns:a16="http://schemas.microsoft.com/office/drawing/2014/main" id="{A5C8EB4A-88CE-40F9-9CA0-46BC85C4DDB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3" name="TextBox 642">
          <a:extLst>
            <a:ext uri="{FF2B5EF4-FFF2-40B4-BE49-F238E27FC236}">
              <a16:creationId xmlns:a16="http://schemas.microsoft.com/office/drawing/2014/main" id="{C3D9279E-5A58-40B1-ABFB-76B49E0B14A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4" name="TextBox 137">
          <a:extLst>
            <a:ext uri="{FF2B5EF4-FFF2-40B4-BE49-F238E27FC236}">
              <a16:creationId xmlns:a16="http://schemas.microsoft.com/office/drawing/2014/main" id="{D12D97A7-143E-4385-BD4E-50A509FD588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5" name="TextBox 138">
          <a:extLst>
            <a:ext uri="{FF2B5EF4-FFF2-40B4-BE49-F238E27FC236}">
              <a16:creationId xmlns:a16="http://schemas.microsoft.com/office/drawing/2014/main" id="{21D17527-21CB-4842-8588-C2C90D7EE63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6" name="TextBox 139">
          <a:extLst>
            <a:ext uri="{FF2B5EF4-FFF2-40B4-BE49-F238E27FC236}">
              <a16:creationId xmlns:a16="http://schemas.microsoft.com/office/drawing/2014/main" id="{DA939DDC-246D-4D84-BD28-FA4DD5B2BAA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7" name="TextBox 140">
          <a:extLst>
            <a:ext uri="{FF2B5EF4-FFF2-40B4-BE49-F238E27FC236}">
              <a16:creationId xmlns:a16="http://schemas.microsoft.com/office/drawing/2014/main" id="{2DC2C72E-A418-43EB-81B9-689C5188F9F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8" name="TextBox 647">
          <a:extLst>
            <a:ext uri="{FF2B5EF4-FFF2-40B4-BE49-F238E27FC236}">
              <a16:creationId xmlns:a16="http://schemas.microsoft.com/office/drawing/2014/main" id="{D99C7757-22CA-40CB-ABAA-E76866218D1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49" name="TextBox 648">
          <a:extLst>
            <a:ext uri="{FF2B5EF4-FFF2-40B4-BE49-F238E27FC236}">
              <a16:creationId xmlns:a16="http://schemas.microsoft.com/office/drawing/2014/main" id="{C51B10E6-F03B-49C3-B295-67DB6761824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0" name="TextBox 649">
          <a:extLst>
            <a:ext uri="{FF2B5EF4-FFF2-40B4-BE49-F238E27FC236}">
              <a16:creationId xmlns:a16="http://schemas.microsoft.com/office/drawing/2014/main" id="{AFA70085-08CD-4536-B65E-63E30C2CDFA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1" name="TextBox 650">
          <a:extLst>
            <a:ext uri="{FF2B5EF4-FFF2-40B4-BE49-F238E27FC236}">
              <a16:creationId xmlns:a16="http://schemas.microsoft.com/office/drawing/2014/main" id="{574AC0B5-ED6B-4873-9C35-C2AF5A27EEB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2" name="TextBox 651">
          <a:extLst>
            <a:ext uri="{FF2B5EF4-FFF2-40B4-BE49-F238E27FC236}">
              <a16:creationId xmlns:a16="http://schemas.microsoft.com/office/drawing/2014/main" id="{684BD230-4A56-4906-B80D-1AFCC6062A6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3" name="TextBox 652">
          <a:extLst>
            <a:ext uri="{FF2B5EF4-FFF2-40B4-BE49-F238E27FC236}">
              <a16:creationId xmlns:a16="http://schemas.microsoft.com/office/drawing/2014/main" id="{3F82419C-53EA-44C3-95BD-DB8A7BFF9C4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4" name="TextBox 653">
          <a:extLst>
            <a:ext uri="{FF2B5EF4-FFF2-40B4-BE49-F238E27FC236}">
              <a16:creationId xmlns:a16="http://schemas.microsoft.com/office/drawing/2014/main" id="{F15E4464-6ECC-4CD8-BF3F-2D16B3076BF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5" name="TextBox 654">
          <a:extLst>
            <a:ext uri="{FF2B5EF4-FFF2-40B4-BE49-F238E27FC236}">
              <a16:creationId xmlns:a16="http://schemas.microsoft.com/office/drawing/2014/main" id="{04F5B58B-39DE-4927-8100-5D37D6835F2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6" name="TextBox 655">
          <a:extLst>
            <a:ext uri="{FF2B5EF4-FFF2-40B4-BE49-F238E27FC236}">
              <a16:creationId xmlns:a16="http://schemas.microsoft.com/office/drawing/2014/main" id="{B3ADE377-1E53-4424-BBAD-412FD831F64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7" name="TextBox 656">
          <a:extLst>
            <a:ext uri="{FF2B5EF4-FFF2-40B4-BE49-F238E27FC236}">
              <a16:creationId xmlns:a16="http://schemas.microsoft.com/office/drawing/2014/main" id="{966ADDB2-E097-49DE-95A6-DBDE5F11D46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8" name="TextBox 657">
          <a:extLst>
            <a:ext uri="{FF2B5EF4-FFF2-40B4-BE49-F238E27FC236}">
              <a16:creationId xmlns:a16="http://schemas.microsoft.com/office/drawing/2014/main" id="{AD77EA4C-12AC-4DC4-834B-603670529C7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59" name="TextBox 658">
          <a:extLst>
            <a:ext uri="{FF2B5EF4-FFF2-40B4-BE49-F238E27FC236}">
              <a16:creationId xmlns:a16="http://schemas.microsoft.com/office/drawing/2014/main" id="{9FD4A22F-6493-490C-80DC-F15D291BE18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0" name="TextBox 137">
          <a:extLst>
            <a:ext uri="{FF2B5EF4-FFF2-40B4-BE49-F238E27FC236}">
              <a16:creationId xmlns:a16="http://schemas.microsoft.com/office/drawing/2014/main" id="{E35D2E4B-655B-40F6-9B55-B09340E31D2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1" name="TextBox 138">
          <a:extLst>
            <a:ext uri="{FF2B5EF4-FFF2-40B4-BE49-F238E27FC236}">
              <a16:creationId xmlns:a16="http://schemas.microsoft.com/office/drawing/2014/main" id="{1B4EBBF2-F9C9-4D28-B420-6C02AD9B1F6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2" name="TextBox 139">
          <a:extLst>
            <a:ext uri="{FF2B5EF4-FFF2-40B4-BE49-F238E27FC236}">
              <a16:creationId xmlns:a16="http://schemas.microsoft.com/office/drawing/2014/main" id="{76001BA2-2547-426D-8AC3-C14FF98E6F6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3" name="TextBox 140">
          <a:extLst>
            <a:ext uri="{FF2B5EF4-FFF2-40B4-BE49-F238E27FC236}">
              <a16:creationId xmlns:a16="http://schemas.microsoft.com/office/drawing/2014/main" id="{FEC8D038-EBF5-4098-84DE-5172F731A78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4" name="TextBox 663">
          <a:extLst>
            <a:ext uri="{FF2B5EF4-FFF2-40B4-BE49-F238E27FC236}">
              <a16:creationId xmlns:a16="http://schemas.microsoft.com/office/drawing/2014/main" id="{CE874A7E-A418-466D-A6B2-2BE19E978B6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5" name="TextBox 664">
          <a:extLst>
            <a:ext uri="{FF2B5EF4-FFF2-40B4-BE49-F238E27FC236}">
              <a16:creationId xmlns:a16="http://schemas.microsoft.com/office/drawing/2014/main" id="{E8C81CF3-7199-4D10-89B7-AFDC8E424A6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6" name="TextBox 137">
          <a:extLst>
            <a:ext uri="{FF2B5EF4-FFF2-40B4-BE49-F238E27FC236}">
              <a16:creationId xmlns:a16="http://schemas.microsoft.com/office/drawing/2014/main" id="{56C179CE-7695-491D-BF6F-B6262BB9FA8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7" name="TextBox 138">
          <a:extLst>
            <a:ext uri="{FF2B5EF4-FFF2-40B4-BE49-F238E27FC236}">
              <a16:creationId xmlns:a16="http://schemas.microsoft.com/office/drawing/2014/main" id="{216DAA53-7B32-450C-B987-FA3DE33262D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8" name="TextBox 139">
          <a:extLst>
            <a:ext uri="{FF2B5EF4-FFF2-40B4-BE49-F238E27FC236}">
              <a16:creationId xmlns:a16="http://schemas.microsoft.com/office/drawing/2014/main" id="{3563AA38-F1A1-4632-8FE4-E9F298B3CB3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69" name="TextBox 140">
          <a:extLst>
            <a:ext uri="{FF2B5EF4-FFF2-40B4-BE49-F238E27FC236}">
              <a16:creationId xmlns:a16="http://schemas.microsoft.com/office/drawing/2014/main" id="{03C08E46-47FF-4F68-8AEF-EC6558C4472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0" name="TextBox 669">
          <a:extLst>
            <a:ext uri="{FF2B5EF4-FFF2-40B4-BE49-F238E27FC236}">
              <a16:creationId xmlns:a16="http://schemas.microsoft.com/office/drawing/2014/main" id="{D183D3BB-1953-4B89-B080-D7BCFDDB65E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1" name="TextBox 670">
          <a:extLst>
            <a:ext uri="{FF2B5EF4-FFF2-40B4-BE49-F238E27FC236}">
              <a16:creationId xmlns:a16="http://schemas.microsoft.com/office/drawing/2014/main" id="{0082C2AF-1F87-48C5-B35D-218673747E7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2" name="TextBox 137">
          <a:extLst>
            <a:ext uri="{FF2B5EF4-FFF2-40B4-BE49-F238E27FC236}">
              <a16:creationId xmlns:a16="http://schemas.microsoft.com/office/drawing/2014/main" id="{CADFEE4C-D54A-45BE-BE45-220B5BDA5A2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3" name="TextBox 138">
          <a:extLst>
            <a:ext uri="{FF2B5EF4-FFF2-40B4-BE49-F238E27FC236}">
              <a16:creationId xmlns:a16="http://schemas.microsoft.com/office/drawing/2014/main" id="{2D5F3524-FD6B-4F9A-930E-776B536DF29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4" name="TextBox 139">
          <a:extLst>
            <a:ext uri="{FF2B5EF4-FFF2-40B4-BE49-F238E27FC236}">
              <a16:creationId xmlns:a16="http://schemas.microsoft.com/office/drawing/2014/main" id="{2A6FD8A8-41D8-4E68-A160-374082205ED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5" name="TextBox 140">
          <a:extLst>
            <a:ext uri="{FF2B5EF4-FFF2-40B4-BE49-F238E27FC236}">
              <a16:creationId xmlns:a16="http://schemas.microsoft.com/office/drawing/2014/main" id="{2EFD7068-EBDC-4FFA-88FF-214DE02AB5F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6" name="TextBox 675">
          <a:extLst>
            <a:ext uri="{FF2B5EF4-FFF2-40B4-BE49-F238E27FC236}">
              <a16:creationId xmlns:a16="http://schemas.microsoft.com/office/drawing/2014/main" id="{F37FFA40-4127-478C-A49F-6F1CC5B5E4C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7" name="TextBox 676">
          <a:extLst>
            <a:ext uri="{FF2B5EF4-FFF2-40B4-BE49-F238E27FC236}">
              <a16:creationId xmlns:a16="http://schemas.microsoft.com/office/drawing/2014/main" id="{1A70A37A-803D-4F66-BF6B-8E67F67796D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8" name="TextBox 137">
          <a:extLst>
            <a:ext uri="{FF2B5EF4-FFF2-40B4-BE49-F238E27FC236}">
              <a16:creationId xmlns:a16="http://schemas.microsoft.com/office/drawing/2014/main" id="{E38C9F19-5F47-44BF-95B2-E3D08F72961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79" name="TextBox 138">
          <a:extLst>
            <a:ext uri="{FF2B5EF4-FFF2-40B4-BE49-F238E27FC236}">
              <a16:creationId xmlns:a16="http://schemas.microsoft.com/office/drawing/2014/main" id="{55F46589-BDF1-4F48-B43B-7FC8D91A7FE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0" name="TextBox 139">
          <a:extLst>
            <a:ext uri="{FF2B5EF4-FFF2-40B4-BE49-F238E27FC236}">
              <a16:creationId xmlns:a16="http://schemas.microsoft.com/office/drawing/2014/main" id="{FE8C1B84-0A87-4E2F-8DEF-033384CAA3E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1" name="TextBox 140">
          <a:extLst>
            <a:ext uri="{FF2B5EF4-FFF2-40B4-BE49-F238E27FC236}">
              <a16:creationId xmlns:a16="http://schemas.microsoft.com/office/drawing/2014/main" id="{046C06AC-CB2D-4BF2-BC98-1FD338E0BC9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2" name="TextBox 681">
          <a:extLst>
            <a:ext uri="{FF2B5EF4-FFF2-40B4-BE49-F238E27FC236}">
              <a16:creationId xmlns:a16="http://schemas.microsoft.com/office/drawing/2014/main" id="{064DBADF-8EBB-4F82-9F4B-07393897338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3" name="TextBox 682">
          <a:extLst>
            <a:ext uri="{FF2B5EF4-FFF2-40B4-BE49-F238E27FC236}">
              <a16:creationId xmlns:a16="http://schemas.microsoft.com/office/drawing/2014/main" id="{9934E5D6-6C04-48A5-A97D-365523EE6EE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4" name="TextBox 683">
          <a:extLst>
            <a:ext uri="{FF2B5EF4-FFF2-40B4-BE49-F238E27FC236}">
              <a16:creationId xmlns:a16="http://schemas.microsoft.com/office/drawing/2014/main" id="{8CE4C9BC-5539-42E9-BDC3-30C5A4D718D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5" name="TextBox 684">
          <a:extLst>
            <a:ext uri="{FF2B5EF4-FFF2-40B4-BE49-F238E27FC236}">
              <a16:creationId xmlns:a16="http://schemas.microsoft.com/office/drawing/2014/main" id="{5F478F06-936D-4120-9F87-150281281C2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6" name="TextBox 685">
          <a:extLst>
            <a:ext uri="{FF2B5EF4-FFF2-40B4-BE49-F238E27FC236}">
              <a16:creationId xmlns:a16="http://schemas.microsoft.com/office/drawing/2014/main" id="{BB5F9E6F-A191-420D-B253-A7AB1CA052BD}"/>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7" name="TextBox 686">
          <a:extLst>
            <a:ext uri="{FF2B5EF4-FFF2-40B4-BE49-F238E27FC236}">
              <a16:creationId xmlns:a16="http://schemas.microsoft.com/office/drawing/2014/main" id="{8F1A6D32-B573-4E89-9F67-DC20C7F0CA6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8" name="TextBox 687">
          <a:extLst>
            <a:ext uri="{FF2B5EF4-FFF2-40B4-BE49-F238E27FC236}">
              <a16:creationId xmlns:a16="http://schemas.microsoft.com/office/drawing/2014/main" id="{34F750A5-73CA-430C-8EC5-608D214C2CC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89" name="TextBox 688">
          <a:extLst>
            <a:ext uri="{FF2B5EF4-FFF2-40B4-BE49-F238E27FC236}">
              <a16:creationId xmlns:a16="http://schemas.microsoft.com/office/drawing/2014/main" id="{297A2C05-52A4-4569-B5A3-0E98C662A27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0" name="TextBox 689">
          <a:extLst>
            <a:ext uri="{FF2B5EF4-FFF2-40B4-BE49-F238E27FC236}">
              <a16:creationId xmlns:a16="http://schemas.microsoft.com/office/drawing/2014/main" id="{68814402-9542-4598-8792-C06CE0B3751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1" name="TextBox 690">
          <a:extLst>
            <a:ext uri="{FF2B5EF4-FFF2-40B4-BE49-F238E27FC236}">
              <a16:creationId xmlns:a16="http://schemas.microsoft.com/office/drawing/2014/main" id="{2A715C4D-9BA0-47A4-9B80-1EB1306D06D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2" name="TextBox 691">
          <a:extLst>
            <a:ext uri="{FF2B5EF4-FFF2-40B4-BE49-F238E27FC236}">
              <a16:creationId xmlns:a16="http://schemas.microsoft.com/office/drawing/2014/main" id="{2C4DB772-2344-4B45-97B8-F2E3B8D205BA}"/>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3" name="TextBox 692">
          <a:extLst>
            <a:ext uri="{FF2B5EF4-FFF2-40B4-BE49-F238E27FC236}">
              <a16:creationId xmlns:a16="http://schemas.microsoft.com/office/drawing/2014/main" id="{6696CAB1-99C2-4A44-B903-2B9BDECA568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4" name="TextBox 137">
          <a:extLst>
            <a:ext uri="{FF2B5EF4-FFF2-40B4-BE49-F238E27FC236}">
              <a16:creationId xmlns:a16="http://schemas.microsoft.com/office/drawing/2014/main" id="{17775427-30EA-4F33-83B0-0F24904B71A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5" name="TextBox 138">
          <a:extLst>
            <a:ext uri="{FF2B5EF4-FFF2-40B4-BE49-F238E27FC236}">
              <a16:creationId xmlns:a16="http://schemas.microsoft.com/office/drawing/2014/main" id="{640899A8-041E-4844-894F-1D343ABA463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6" name="TextBox 139">
          <a:extLst>
            <a:ext uri="{FF2B5EF4-FFF2-40B4-BE49-F238E27FC236}">
              <a16:creationId xmlns:a16="http://schemas.microsoft.com/office/drawing/2014/main" id="{13494B37-192C-4EEE-97D7-64B41331730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7" name="TextBox 140">
          <a:extLst>
            <a:ext uri="{FF2B5EF4-FFF2-40B4-BE49-F238E27FC236}">
              <a16:creationId xmlns:a16="http://schemas.microsoft.com/office/drawing/2014/main" id="{2AC275F7-4A1E-4258-81CA-43608F52B65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8" name="TextBox 697">
          <a:extLst>
            <a:ext uri="{FF2B5EF4-FFF2-40B4-BE49-F238E27FC236}">
              <a16:creationId xmlns:a16="http://schemas.microsoft.com/office/drawing/2014/main" id="{AAD70AE6-42DC-4E43-BA5F-24195E8951B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699" name="TextBox 698">
          <a:extLst>
            <a:ext uri="{FF2B5EF4-FFF2-40B4-BE49-F238E27FC236}">
              <a16:creationId xmlns:a16="http://schemas.microsoft.com/office/drawing/2014/main" id="{33128C84-2603-4831-A306-FFE1918C6D3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0" name="TextBox 137">
          <a:extLst>
            <a:ext uri="{FF2B5EF4-FFF2-40B4-BE49-F238E27FC236}">
              <a16:creationId xmlns:a16="http://schemas.microsoft.com/office/drawing/2014/main" id="{4E7D778C-5DDD-427C-88EA-D08A7F56C58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1" name="TextBox 138">
          <a:extLst>
            <a:ext uri="{FF2B5EF4-FFF2-40B4-BE49-F238E27FC236}">
              <a16:creationId xmlns:a16="http://schemas.microsoft.com/office/drawing/2014/main" id="{883AD9CD-6652-4EC9-9621-7B02D4EFEA5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2" name="TextBox 139">
          <a:extLst>
            <a:ext uri="{FF2B5EF4-FFF2-40B4-BE49-F238E27FC236}">
              <a16:creationId xmlns:a16="http://schemas.microsoft.com/office/drawing/2014/main" id="{32348585-C54B-486D-A50F-890B1B0F545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3" name="TextBox 140">
          <a:extLst>
            <a:ext uri="{FF2B5EF4-FFF2-40B4-BE49-F238E27FC236}">
              <a16:creationId xmlns:a16="http://schemas.microsoft.com/office/drawing/2014/main" id="{EB25CC02-4C07-4AB7-8CBE-7EB61752976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4" name="TextBox 703">
          <a:extLst>
            <a:ext uri="{FF2B5EF4-FFF2-40B4-BE49-F238E27FC236}">
              <a16:creationId xmlns:a16="http://schemas.microsoft.com/office/drawing/2014/main" id="{5CE510A1-A14F-466F-AECD-1A57416AA54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5" name="TextBox 704">
          <a:extLst>
            <a:ext uri="{FF2B5EF4-FFF2-40B4-BE49-F238E27FC236}">
              <a16:creationId xmlns:a16="http://schemas.microsoft.com/office/drawing/2014/main" id="{E1B82D94-A0C3-4BD0-AEA7-DB3D69D13EB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6" name="TextBox 137">
          <a:extLst>
            <a:ext uri="{FF2B5EF4-FFF2-40B4-BE49-F238E27FC236}">
              <a16:creationId xmlns:a16="http://schemas.microsoft.com/office/drawing/2014/main" id="{59663E97-C245-4BC7-BF84-0EF09C3C992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7" name="TextBox 138">
          <a:extLst>
            <a:ext uri="{FF2B5EF4-FFF2-40B4-BE49-F238E27FC236}">
              <a16:creationId xmlns:a16="http://schemas.microsoft.com/office/drawing/2014/main" id="{0D35B635-7330-4E55-A3DF-FA010B068EF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8" name="TextBox 139">
          <a:extLst>
            <a:ext uri="{FF2B5EF4-FFF2-40B4-BE49-F238E27FC236}">
              <a16:creationId xmlns:a16="http://schemas.microsoft.com/office/drawing/2014/main" id="{5472ABE1-32F5-446F-BA2B-E8D3895EB86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09" name="TextBox 140">
          <a:extLst>
            <a:ext uri="{FF2B5EF4-FFF2-40B4-BE49-F238E27FC236}">
              <a16:creationId xmlns:a16="http://schemas.microsoft.com/office/drawing/2014/main" id="{03FC8523-94BA-40EB-926D-FB7A7CF9043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0" name="TextBox 709">
          <a:extLst>
            <a:ext uri="{FF2B5EF4-FFF2-40B4-BE49-F238E27FC236}">
              <a16:creationId xmlns:a16="http://schemas.microsoft.com/office/drawing/2014/main" id="{656B8FBD-2712-4C6A-B3F9-876650E00715}"/>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1" name="TextBox 710">
          <a:extLst>
            <a:ext uri="{FF2B5EF4-FFF2-40B4-BE49-F238E27FC236}">
              <a16:creationId xmlns:a16="http://schemas.microsoft.com/office/drawing/2014/main" id="{CDFF2F0A-3E25-4416-816B-D2F617BEAD01}"/>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2" name="TextBox 137">
          <a:extLst>
            <a:ext uri="{FF2B5EF4-FFF2-40B4-BE49-F238E27FC236}">
              <a16:creationId xmlns:a16="http://schemas.microsoft.com/office/drawing/2014/main" id="{6A99D8EE-0D3F-4C4B-88DB-301B7AFE402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3" name="TextBox 138">
          <a:extLst>
            <a:ext uri="{FF2B5EF4-FFF2-40B4-BE49-F238E27FC236}">
              <a16:creationId xmlns:a16="http://schemas.microsoft.com/office/drawing/2014/main" id="{3E4E0926-6217-4336-833C-54B38731C47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4" name="TextBox 139">
          <a:extLst>
            <a:ext uri="{FF2B5EF4-FFF2-40B4-BE49-F238E27FC236}">
              <a16:creationId xmlns:a16="http://schemas.microsoft.com/office/drawing/2014/main" id="{BBD7DE3D-5242-44DC-BE08-B623BFD2F19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5" name="TextBox 140">
          <a:extLst>
            <a:ext uri="{FF2B5EF4-FFF2-40B4-BE49-F238E27FC236}">
              <a16:creationId xmlns:a16="http://schemas.microsoft.com/office/drawing/2014/main" id="{9E3FFE47-82ED-46A9-B4CC-1D631BCFE5F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6" name="TextBox 715">
          <a:extLst>
            <a:ext uri="{FF2B5EF4-FFF2-40B4-BE49-F238E27FC236}">
              <a16:creationId xmlns:a16="http://schemas.microsoft.com/office/drawing/2014/main" id="{C0DFD733-503E-4C14-AAEB-761853D74E8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7" name="TextBox 716">
          <a:extLst>
            <a:ext uri="{FF2B5EF4-FFF2-40B4-BE49-F238E27FC236}">
              <a16:creationId xmlns:a16="http://schemas.microsoft.com/office/drawing/2014/main" id="{56ACAFEA-B251-4886-A0BF-5FAB6964C2E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8" name="TextBox 717">
          <a:extLst>
            <a:ext uri="{FF2B5EF4-FFF2-40B4-BE49-F238E27FC236}">
              <a16:creationId xmlns:a16="http://schemas.microsoft.com/office/drawing/2014/main" id="{58363493-30D3-4FF5-96BF-4228B1AB2A6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19" name="TextBox 718">
          <a:extLst>
            <a:ext uri="{FF2B5EF4-FFF2-40B4-BE49-F238E27FC236}">
              <a16:creationId xmlns:a16="http://schemas.microsoft.com/office/drawing/2014/main" id="{9C7A8B5E-800A-4098-9956-EA940DE1A65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0" name="TextBox 719">
          <a:extLst>
            <a:ext uri="{FF2B5EF4-FFF2-40B4-BE49-F238E27FC236}">
              <a16:creationId xmlns:a16="http://schemas.microsoft.com/office/drawing/2014/main" id="{47522875-A445-4888-B802-6166BFC7590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1" name="TextBox 720">
          <a:extLst>
            <a:ext uri="{FF2B5EF4-FFF2-40B4-BE49-F238E27FC236}">
              <a16:creationId xmlns:a16="http://schemas.microsoft.com/office/drawing/2014/main" id="{24C34A3F-55D8-4F2D-9D16-2BC9B7D4EE7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2" name="TextBox 721">
          <a:extLst>
            <a:ext uri="{FF2B5EF4-FFF2-40B4-BE49-F238E27FC236}">
              <a16:creationId xmlns:a16="http://schemas.microsoft.com/office/drawing/2014/main" id="{0A87473C-63F1-4D1C-97E1-A827EBA4B716}"/>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3" name="TextBox 722">
          <a:extLst>
            <a:ext uri="{FF2B5EF4-FFF2-40B4-BE49-F238E27FC236}">
              <a16:creationId xmlns:a16="http://schemas.microsoft.com/office/drawing/2014/main" id="{BD35F5F3-60B6-4C3B-983D-E1354D28A89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4" name="TextBox 723">
          <a:extLst>
            <a:ext uri="{FF2B5EF4-FFF2-40B4-BE49-F238E27FC236}">
              <a16:creationId xmlns:a16="http://schemas.microsoft.com/office/drawing/2014/main" id="{33ACE429-0BAC-4554-AEC0-51F923E4150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5" name="TextBox 724">
          <a:extLst>
            <a:ext uri="{FF2B5EF4-FFF2-40B4-BE49-F238E27FC236}">
              <a16:creationId xmlns:a16="http://schemas.microsoft.com/office/drawing/2014/main" id="{115D6EF6-8465-4950-BDF8-C48449E02BE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6" name="TextBox 725">
          <a:extLst>
            <a:ext uri="{FF2B5EF4-FFF2-40B4-BE49-F238E27FC236}">
              <a16:creationId xmlns:a16="http://schemas.microsoft.com/office/drawing/2014/main" id="{BD38730C-5FC7-40F6-9C1B-9462EC881E6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7" name="TextBox 726">
          <a:extLst>
            <a:ext uri="{FF2B5EF4-FFF2-40B4-BE49-F238E27FC236}">
              <a16:creationId xmlns:a16="http://schemas.microsoft.com/office/drawing/2014/main" id="{F271D18B-F832-4FB1-95C2-719F43634F1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8" name="TextBox 137">
          <a:extLst>
            <a:ext uri="{FF2B5EF4-FFF2-40B4-BE49-F238E27FC236}">
              <a16:creationId xmlns:a16="http://schemas.microsoft.com/office/drawing/2014/main" id="{A4FD82E0-2208-4C5D-B2F7-BCC894523AF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29" name="TextBox 138">
          <a:extLst>
            <a:ext uri="{FF2B5EF4-FFF2-40B4-BE49-F238E27FC236}">
              <a16:creationId xmlns:a16="http://schemas.microsoft.com/office/drawing/2014/main" id="{DBBCB045-59D3-4556-A27F-DD5EC1150CE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0" name="TextBox 139">
          <a:extLst>
            <a:ext uri="{FF2B5EF4-FFF2-40B4-BE49-F238E27FC236}">
              <a16:creationId xmlns:a16="http://schemas.microsoft.com/office/drawing/2014/main" id="{E3D9D152-1041-43BA-8569-95AE92CA02A4}"/>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1" name="TextBox 140">
          <a:extLst>
            <a:ext uri="{FF2B5EF4-FFF2-40B4-BE49-F238E27FC236}">
              <a16:creationId xmlns:a16="http://schemas.microsoft.com/office/drawing/2014/main" id="{0E427B0E-328E-4EF0-B575-618F79A0041C}"/>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2" name="TextBox 731">
          <a:extLst>
            <a:ext uri="{FF2B5EF4-FFF2-40B4-BE49-F238E27FC236}">
              <a16:creationId xmlns:a16="http://schemas.microsoft.com/office/drawing/2014/main" id="{CF58BE2D-EEEA-422F-8EE7-9A17FD7550A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3" name="TextBox 732">
          <a:extLst>
            <a:ext uri="{FF2B5EF4-FFF2-40B4-BE49-F238E27FC236}">
              <a16:creationId xmlns:a16="http://schemas.microsoft.com/office/drawing/2014/main" id="{B01170B2-0424-4756-9E09-F13A72EA2EB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4" name="TextBox 137">
          <a:extLst>
            <a:ext uri="{FF2B5EF4-FFF2-40B4-BE49-F238E27FC236}">
              <a16:creationId xmlns:a16="http://schemas.microsoft.com/office/drawing/2014/main" id="{D9359BD5-074A-4B99-8ABC-AC3DA0F4225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5" name="TextBox 138">
          <a:extLst>
            <a:ext uri="{FF2B5EF4-FFF2-40B4-BE49-F238E27FC236}">
              <a16:creationId xmlns:a16="http://schemas.microsoft.com/office/drawing/2014/main" id="{51674886-C55A-438F-BD5C-48FFDACF6232}"/>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6" name="TextBox 139">
          <a:extLst>
            <a:ext uri="{FF2B5EF4-FFF2-40B4-BE49-F238E27FC236}">
              <a16:creationId xmlns:a16="http://schemas.microsoft.com/office/drawing/2014/main" id="{4A6EC527-86EC-4962-8FD8-19290647E54F}"/>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7" name="TextBox 140">
          <a:extLst>
            <a:ext uri="{FF2B5EF4-FFF2-40B4-BE49-F238E27FC236}">
              <a16:creationId xmlns:a16="http://schemas.microsoft.com/office/drawing/2014/main" id="{652AEB80-6FD0-48B0-A488-92043194FAB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8" name="TextBox 737">
          <a:extLst>
            <a:ext uri="{FF2B5EF4-FFF2-40B4-BE49-F238E27FC236}">
              <a16:creationId xmlns:a16="http://schemas.microsoft.com/office/drawing/2014/main" id="{738E47C0-C3B0-4FA5-B7F4-EE9C4389720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39" name="TextBox 738">
          <a:extLst>
            <a:ext uri="{FF2B5EF4-FFF2-40B4-BE49-F238E27FC236}">
              <a16:creationId xmlns:a16="http://schemas.microsoft.com/office/drawing/2014/main" id="{4EA466E4-E8EC-4500-A2C0-BC8F82F70B5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0" name="TextBox 137">
          <a:extLst>
            <a:ext uri="{FF2B5EF4-FFF2-40B4-BE49-F238E27FC236}">
              <a16:creationId xmlns:a16="http://schemas.microsoft.com/office/drawing/2014/main" id="{0DEBCD1B-8A12-4B1C-80B2-9C39E715518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1" name="TextBox 138">
          <a:extLst>
            <a:ext uri="{FF2B5EF4-FFF2-40B4-BE49-F238E27FC236}">
              <a16:creationId xmlns:a16="http://schemas.microsoft.com/office/drawing/2014/main" id="{7DD1E8D9-1516-4E45-AEA7-340EED8C8107}"/>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2" name="TextBox 139">
          <a:extLst>
            <a:ext uri="{FF2B5EF4-FFF2-40B4-BE49-F238E27FC236}">
              <a16:creationId xmlns:a16="http://schemas.microsoft.com/office/drawing/2014/main" id="{F9432CB6-7827-4E07-AFE5-883BC8410B70}"/>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3" name="TextBox 140">
          <a:extLst>
            <a:ext uri="{FF2B5EF4-FFF2-40B4-BE49-F238E27FC236}">
              <a16:creationId xmlns:a16="http://schemas.microsoft.com/office/drawing/2014/main" id="{ED344944-AA21-4B22-978F-F193586D1D6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4" name="TextBox 743">
          <a:extLst>
            <a:ext uri="{FF2B5EF4-FFF2-40B4-BE49-F238E27FC236}">
              <a16:creationId xmlns:a16="http://schemas.microsoft.com/office/drawing/2014/main" id="{0047CD48-5702-45A4-AE6C-A9C628036C9E}"/>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5" name="TextBox 744">
          <a:extLst>
            <a:ext uri="{FF2B5EF4-FFF2-40B4-BE49-F238E27FC236}">
              <a16:creationId xmlns:a16="http://schemas.microsoft.com/office/drawing/2014/main" id="{7949AD66-654A-4C8D-98D7-F22CE792C5C8}"/>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6" name="TextBox 137">
          <a:extLst>
            <a:ext uri="{FF2B5EF4-FFF2-40B4-BE49-F238E27FC236}">
              <a16:creationId xmlns:a16="http://schemas.microsoft.com/office/drawing/2014/main" id="{F905F074-D811-498E-AA27-D09DDE5F35A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7" name="TextBox 138">
          <a:extLst>
            <a:ext uri="{FF2B5EF4-FFF2-40B4-BE49-F238E27FC236}">
              <a16:creationId xmlns:a16="http://schemas.microsoft.com/office/drawing/2014/main" id="{43B9F256-034E-430D-A44B-A3CDF5046913}"/>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8" name="TextBox 139">
          <a:extLst>
            <a:ext uri="{FF2B5EF4-FFF2-40B4-BE49-F238E27FC236}">
              <a16:creationId xmlns:a16="http://schemas.microsoft.com/office/drawing/2014/main" id="{82C4A6B1-EA70-4138-8390-A66DF79ABB1B}"/>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56</xdr:col>
      <xdr:colOff>0</xdr:colOff>
      <xdr:row>34</xdr:row>
      <xdr:rowOff>0</xdr:rowOff>
    </xdr:from>
    <xdr:ext cx="184731" cy="264560"/>
    <xdr:sp macro="" textlink="">
      <xdr:nvSpPr>
        <xdr:cNvPr id="749" name="TextBox 140">
          <a:extLst>
            <a:ext uri="{FF2B5EF4-FFF2-40B4-BE49-F238E27FC236}">
              <a16:creationId xmlns:a16="http://schemas.microsoft.com/office/drawing/2014/main" id="{FFC7B5CB-F19A-4FC0-BD48-C3649947AD09}"/>
            </a:ext>
          </a:extLst>
        </xdr:cNvPr>
        <xdr:cNvSpPr txBox="1"/>
      </xdr:nvSpPr>
      <xdr:spPr>
        <a:xfrm>
          <a:off x="400177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0" name="TextBox 749">
          <a:extLst>
            <a:ext uri="{FF2B5EF4-FFF2-40B4-BE49-F238E27FC236}">
              <a16:creationId xmlns:a16="http://schemas.microsoft.com/office/drawing/2014/main" id="{5F8417A2-71E2-44E4-BA4B-74FB528AEA2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1" name="TextBox 750">
          <a:extLst>
            <a:ext uri="{FF2B5EF4-FFF2-40B4-BE49-F238E27FC236}">
              <a16:creationId xmlns:a16="http://schemas.microsoft.com/office/drawing/2014/main" id="{A6C58CC7-2663-4968-895A-44AE2C762D2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2" name="TextBox 751">
          <a:extLst>
            <a:ext uri="{FF2B5EF4-FFF2-40B4-BE49-F238E27FC236}">
              <a16:creationId xmlns:a16="http://schemas.microsoft.com/office/drawing/2014/main" id="{932A81FF-1827-42D4-A416-464EB9AB641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3" name="TextBox 752">
          <a:extLst>
            <a:ext uri="{FF2B5EF4-FFF2-40B4-BE49-F238E27FC236}">
              <a16:creationId xmlns:a16="http://schemas.microsoft.com/office/drawing/2014/main" id="{E974FB69-CD2D-4659-9606-3232410C97C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4" name="TextBox 753">
          <a:extLst>
            <a:ext uri="{FF2B5EF4-FFF2-40B4-BE49-F238E27FC236}">
              <a16:creationId xmlns:a16="http://schemas.microsoft.com/office/drawing/2014/main" id="{C74D6D06-346B-4151-9277-122092814DA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5" name="TextBox 754">
          <a:extLst>
            <a:ext uri="{FF2B5EF4-FFF2-40B4-BE49-F238E27FC236}">
              <a16:creationId xmlns:a16="http://schemas.microsoft.com/office/drawing/2014/main" id="{8D819457-9331-4F41-9309-862CDBA7379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6" name="TextBox 755">
          <a:extLst>
            <a:ext uri="{FF2B5EF4-FFF2-40B4-BE49-F238E27FC236}">
              <a16:creationId xmlns:a16="http://schemas.microsoft.com/office/drawing/2014/main" id="{3D70B434-44D1-4F0A-A698-93DFF017242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7" name="TextBox 756">
          <a:extLst>
            <a:ext uri="{FF2B5EF4-FFF2-40B4-BE49-F238E27FC236}">
              <a16:creationId xmlns:a16="http://schemas.microsoft.com/office/drawing/2014/main" id="{E7F53B3D-47B1-4158-B84E-5C6ABAFF6B9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8" name="TextBox 757">
          <a:extLst>
            <a:ext uri="{FF2B5EF4-FFF2-40B4-BE49-F238E27FC236}">
              <a16:creationId xmlns:a16="http://schemas.microsoft.com/office/drawing/2014/main" id="{8D9B6C84-48FC-4BB0-A5FD-DE5B1185961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59" name="TextBox 758">
          <a:extLst>
            <a:ext uri="{FF2B5EF4-FFF2-40B4-BE49-F238E27FC236}">
              <a16:creationId xmlns:a16="http://schemas.microsoft.com/office/drawing/2014/main" id="{DC6AC551-543C-4CA2-925C-DC80D8E198E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0" name="TextBox 759">
          <a:extLst>
            <a:ext uri="{FF2B5EF4-FFF2-40B4-BE49-F238E27FC236}">
              <a16:creationId xmlns:a16="http://schemas.microsoft.com/office/drawing/2014/main" id="{A1CF5149-FB27-40AC-AFEC-FEAD4EA6109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1" name="TextBox 760">
          <a:extLst>
            <a:ext uri="{FF2B5EF4-FFF2-40B4-BE49-F238E27FC236}">
              <a16:creationId xmlns:a16="http://schemas.microsoft.com/office/drawing/2014/main" id="{A7598E28-6161-4555-9751-291ABB68B50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2" name="TextBox 137">
          <a:extLst>
            <a:ext uri="{FF2B5EF4-FFF2-40B4-BE49-F238E27FC236}">
              <a16:creationId xmlns:a16="http://schemas.microsoft.com/office/drawing/2014/main" id="{AA06567A-0B04-4D2F-805B-633EDF7D3D5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3" name="TextBox 138">
          <a:extLst>
            <a:ext uri="{FF2B5EF4-FFF2-40B4-BE49-F238E27FC236}">
              <a16:creationId xmlns:a16="http://schemas.microsoft.com/office/drawing/2014/main" id="{32E03496-572D-4666-9DEE-9B2AAAF513B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4" name="TextBox 139">
          <a:extLst>
            <a:ext uri="{FF2B5EF4-FFF2-40B4-BE49-F238E27FC236}">
              <a16:creationId xmlns:a16="http://schemas.microsoft.com/office/drawing/2014/main" id="{814DA7EC-8D47-4DE9-A151-F42544977863}"/>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5" name="TextBox 140">
          <a:extLst>
            <a:ext uri="{FF2B5EF4-FFF2-40B4-BE49-F238E27FC236}">
              <a16:creationId xmlns:a16="http://schemas.microsoft.com/office/drawing/2014/main" id="{58C1C1B4-60B5-46B4-A12E-1A496EADBBE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6" name="TextBox 765">
          <a:extLst>
            <a:ext uri="{FF2B5EF4-FFF2-40B4-BE49-F238E27FC236}">
              <a16:creationId xmlns:a16="http://schemas.microsoft.com/office/drawing/2014/main" id="{F4514C6D-6AF5-436C-8C07-D25FB739346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7" name="TextBox 766">
          <a:extLst>
            <a:ext uri="{FF2B5EF4-FFF2-40B4-BE49-F238E27FC236}">
              <a16:creationId xmlns:a16="http://schemas.microsoft.com/office/drawing/2014/main" id="{E20FF939-98DA-4EB1-9925-7441E256A6C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8" name="TextBox 137">
          <a:extLst>
            <a:ext uri="{FF2B5EF4-FFF2-40B4-BE49-F238E27FC236}">
              <a16:creationId xmlns:a16="http://schemas.microsoft.com/office/drawing/2014/main" id="{989344AC-845B-4AAE-A3CB-1F1511B7C5E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69" name="TextBox 138">
          <a:extLst>
            <a:ext uri="{FF2B5EF4-FFF2-40B4-BE49-F238E27FC236}">
              <a16:creationId xmlns:a16="http://schemas.microsoft.com/office/drawing/2014/main" id="{3E928DA3-BBD7-454D-AD96-BFB9FEE4C90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0" name="TextBox 139">
          <a:extLst>
            <a:ext uri="{FF2B5EF4-FFF2-40B4-BE49-F238E27FC236}">
              <a16:creationId xmlns:a16="http://schemas.microsoft.com/office/drawing/2014/main" id="{ED1B25A4-A489-4723-9666-275B3ED541C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1" name="TextBox 140">
          <a:extLst>
            <a:ext uri="{FF2B5EF4-FFF2-40B4-BE49-F238E27FC236}">
              <a16:creationId xmlns:a16="http://schemas.microsoft.com/office/drawing/2014/main" id="{4F76054D-065B-42F8-9B8F-EF2CE76A280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2" name="TextBox 771">
          <a:extLst>
            <a:ext uri="{FF2B5EF4-FFF2-40B4-BE49-F238E27FC236}">
              <a16:creationId xmlns:a16="http://schemas.microsoft.com/office/drawing/2014/main" id="{2A006911-AD53-4686-99D0-580D656BC88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3" name="TextBox 772">
          <a:extLst>
            <a:ext uri="{FF2B5EF4-FFF2-40B4-BE49-F238E27FC236}">
              <a16:creationId xmlns:a16="http://schemas.microsoft.com/office/drawing/2014/main" id="{007CCB75-162F-4FF1-9A1F-57DD16B40C0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4" name="TextBox 137">
          <a:extLst>
            <a:ext uri="{FF2B5EF4-FFF2-40B4-BE49-F238E27FC236}">
              <a16:creationId xmlns:a16="http://schemas.microsoft.com/office/drawing/2014/main" id="{DFF798EB-1C22-417F-9392-0D16A5C6A37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5" name="TextBox 138">
          <a:extLst>
            <a:ext uri="{FF2B5EF4-FFF2-40B4-BE49-F238E27FC236}">
              <a16:creationId xmlns:a16="http://schemas.microsoft.com/office/drawing/2014/main" id="{0B9FAA3D-5BD0-491E-9ECA-82BB90449EF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6" name="TextBox 139">
          <a:extLst>
            <a:ext uri="{FF2B5EF4-FFF2-40B4-BE49-F238E27FC236}">
              <a16:creationId xmlns:a16="http://schemas.microsoft.com/office/drawing/2014/main" id="{99F18512-7894-4F2F-9250-C9797507CAF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7" name="TextBox 140">
          <a:extLst>
            <a:ext uri="{FF2B5EF4-FFF2-40B4-BE49-F238E27FC236}">
              <a16:creationId xmlns:a16="http://schemas.microsoft.com/office/drawing/2014/main" id="{B9B883BA-04D0-4E26-B155-D93834BE30C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8" name="TextBox 777">
          <a:extLst>
            <a:ext uri="{FF2B5EF4-FFF2-40B4-BE49-F238E27FC236}">
              <a16:creationId xmlns:a16="http://schemas.microsoft.com/office/drawing/2014/main" id="{7283A463-873E-4B14-B02F-64F2C296E4D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79" name="TextBox 778">
          <a:extLst>
            <a:ext uri="{FF2B5EF4-FFF2-40B4-BE49-F238E27FC236}">
              <a16:creationId xmlns:a16="http://schemas.microsoft.com/office/drawing/2014/main" id="{07B4F801-54C9-4F8E-A9A7-91BAD9FC0A6C}"/>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0" name="TextBox 137">
          <a:extLst>
            <a:ext uri="{FF2B5EF4-FFF2-40B4-BE49-F238E27FC236}">
              <a16:creationId xmlns:a16="http://schemas.microsoft.com/office/drawing/2014/main" id="{824D32A7-078E-430E-BF67-2AB6A75151B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1" name="TextBox 138">
          <a:extLst>
            <a:ext uri="{FF2B5EF4-FFF2-40B4-BE49-F238E27FC236}">
              <a16:creationId xmlns:a16="http://schemas.microsoft.com/office/drawing/2014/main" id="{9FE2B591-DFE7-42F4-BD71-64830752644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2" name="TextBox 139">
          <a:extLst>
            <a:ext uri="{FF2B5EF4-FFF2-40B4-BE49-F238E27FC236}">
              <a16:creationId xmlns:a16="http://schemas.microsoft.com/office/drawing/2014/main" id="{FA835266-19A4-40BB-8C24-35386F5FC2C8}"/>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3" name="TextBox 140">
          <a:extLst>
            <a:ext uri="{FF2B5EF4-FFF2-40B4-BE49-F238E27FC236}">
              <a16:creationId xmlns:a16="http://schemas.microsoft.com/office/drawing/2014/main" id="{D85E919A-289D-40AC-A8C3-D7F031A8300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4" name="TextBox 783">
          <a:extLst>
            <a:ext uri="{FF2B5EF4-FFF2-40B4-BE49-F238E27FC236}">
              <a16:creationId xmlns:a16="http://schemas.microsoft.com/office/drawing/2014/main" id="{F7E71C15-99D3-4BE2-A89D-C10B45EED0D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5" name="TextBox 784">
          <a:extLst>
            <a:ext uri="{FF2B5EF4-FFF2-40B4-BE49-F238E27FC236}">
              <a16:creationId xmlns:a16="http://schemas.microsoft.com/office/drawing/2014/main" id="{11380195-EBBC-4D1F-8E07-B9E37757065A}"/>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6" name="TextBox 785">
          <a:extLst>
            <a:ext uri="{FF2B5EF4-FFF2-40B4-BE49-F238E27FC236}">
              <a16:creationId xmlns:a16="http://schemas.microsoft.com/office/drawing/2014/main" id="{4F875589-3751-42BF-913A-CE1C6C36C5F8}"/>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7" name="TextBox 786">
          <a:extLst>
            <a:ext uri="{FF2B5EF4-FFF2-40B4-BE49-F238E27FC236}">
              <a16:creationId xmlns:a16="http://schemas.microsoft.com/office/drawing/2014/main" id="{443DC9CB-B8B9-4E6D-A9CC-A83C2F7EB17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8" name="TextBox 787">
          <a:extLst>
            <a:ext uri="{FF2B5EF4-FFF2-40B4-BE49-F238E27FC236}">
              <a16:creationId xmlns:a16="http://schemas.microsoft.com/office/drawing/2014/main" id="{A40FE126-D9EE-499D-B267-CA7A1EDDA1B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89" name="TextBox 788">
          <a:extLst>
            <a:ext uri="{FF2B5EF4-FFF2-40B4-BE49-F238E27FC236}">
              <a16:creationId xmlns:a16="http://schemas.microsoft.com/office/drawing/2014/main" id="{3DC71D0B-E784-433A-A276-43003E1B7B6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0" name="TextBox 789">
          <a:extLst>
            <a:ext uri="{FF2B5EF4-FFF2-40B4-BE49-F238E27FC236}">
              <a16:creationId xmlns:a16="http://schemas.microsoft.com/office/drawing/2014/main" id="{1644C60C-1A65-4903-9559-E9FA5EFCA717}"/>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1" name="TextBox 790">
          <a:extLst>
            <a:ext uri="{FF2B5EF4-FFF2-40B4-BE49-F238E27FC236}">
              <a16:creationId xmlns:a16="http://schemas.microsoft.com/office/drawing/2014/main" id="{50DDAF27-7424-4345-B9D3-A39A95A30836}"/>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2" name="TextBox 791">
          <a:extLst>
            <a:ext uri="{FF2B5EF4-FFF2-40B4-BE49-F238E27FC236}">
              <a16:creationId xmlns:a16="http://schemas.microsoft.com/office/drawing/2014/main" id="{C42BCC81-9BAA-4994-843B-BC6778D3596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3" name="TextBox 792">
          <a:extLst>
            <a:ext uri="{FF2B5EF4-FFF2-40B4-BE49-F238E27FC236}">
              <a16:creationId xmlns:a16="http://schemas.microsoft.com/office/drawing/2014/main" id="{B20C3A31-A36A-4F1D-A597-A1CB5F13C5A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4" name="TextBox 793">
          <a:extLst>
            <a:ext uri="{FF2B5EF4-FFF2-40B4-BE49-F238E27FC236}">
              <a16:creationId xmlns:a16="http://schemas.microsoft.com/office/drawing/2014/main" id="{C019F249-062C-46B9-A9F0-56F37BB2D3C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5" name="TextBox 794">
          <a:extLst>
            <a:ext uri="{FF2B5EF4-FFF2-40B4-BE49-F238E27FC236}">
              <a16:creationId xmlns:a16="http://schemas.microsoft.com/office/drawing/2014/main" id="{16F7F901-339F-4A81-B05B-FE29F68B3ABA}"/>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6" name="TextBox 137">
          <a:extLst>
            <a:ext uri="{FF2B5EF4-FFF2-40B4-BE49-F238E27FC236}">
              <a16:creationId xmlns:a16="http://schemas.microsoft.com/office/drawing/2014/main" id="{CC0B7EFF-E443-498A-9B43-074F2E7CF57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7" name="TextBox 138">
          <a:extLst>
            <a:ext uri="{FF2B5EF4-FFF2-40B4-BE49-F238E27FC236}">
              <a16:creationId xmlns:a16="http://schemas.microsoft.com/office/drawing/2014/main" id="{AD493E15-26ED-4392-842B-A6A9814D376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8" name="TextBox 139">
          <a:extLst>
            <a:ext uri="{FF2B5EF4-FFF2-40B4-BE49-F238E27FC236}">
              <a16:creationId xmlns:a16="http://schemas.microsoft.com/office/drawing/2014/main" id="{BBB1BF47-B530-4BFD-9B7C-D25D09A575C1}"/>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799" name="TextBox 140">
          <a:extLst>
            <a:ext uri="{FF2B5EF4-FFF2-40B4-BE49-F238E27FC236}">
              <a16:creationId xmlns:a16="http://schemas.microsoft.com/office/drawing/2014/main" id="{1A6E3B64-7ADE-46A7-991B-AE8106B5BB6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0" name="TextBox 799">
          <a:extLst>
            <a:ext uri="{FF2B5EF4-FFF2-40B4-BE49-F238E27FC236}">
              <a16:creationId xmlns:a16="http://schemas.microsoft.com/office/drawing/2014/main" id="{A14BED91-F4B7-4A59-A7D6-C99C8ED0A48F}"/>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1" name="TextBox 800">
          <a:extLst>
            <a:ext uri="{FF2B5EF4-FFF2-40B4-BE49-F238E27FC236}">
              <a16:creationId xmlns:a16="http://schemas.microsoft.com/office/drawing/2014/main" id="{123DF6E7-C13E-4CD8-A562-A1DEFF6CF52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2" name="TextBox 137">
          <a:extLst>
            <a:ext uri="{FF2B5EF4-FFF2-40B4-BE49-F238E27FC236}">
              <a16:creationId xmlns:a16="http://schemas.microsoft.com/office/drawing/2014/main" id="{FB5F9CC2-E9FC-423C-B1D2-821E88F1F50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3" name="TextBox 138">
          <a:extLst>
            <a:ext uri="{FF2B5EF4-FFF2-40B4-BE49-F238E27FC236}">
              <a16:creationId xmlns:a16="http://schemas.microsoft.com/office/drawing/2014/main" id="{253578B3-6D99-4A69-92FF-BE9199E61B1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4" name="TextBox 139">
          <a:extLst>
            <a:ext uri="{FF2B5EF4-FFF2-40B4-BE49-F238E27FC236}">
              <a16:creationId xmlns:a16="http://schemas.microsoft.com/office/drawing/2014/main" id="{B0B12986-F226-4CD6-A5FA-B42E1FC79382}"/>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5" name="TextBox 140">
          <a:extLst>
            <a:ext uri="{FF2B5EF4-FFF2-40B4-BE49-F238E27FC236}">
              <a16:creationId xmlns:a16="http://schemas.microsoft.com/office/drawing/2014/main" id="{AC98D7A0-559C-4B5A-9F75-75470FDBE32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6" name="TextBox 805">
          <a:extLst>
            <a:ext uri="{FF2B5EF4-FFF2-40B4-BE49-F238E27FC236}">
              <a16:creationId xmlns:a16="http://schemas.microsoft.com/office/drawing/2014/main" id="{DAB1C6A0-5B2D-4A8A-B2B1-AA4A5E22A5F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7" name="TextBox 806">
          <a:extLst>
            <a:ext uri="{FF2B5EF4-FFF2-40B4-BE49-F238E27FC236}">
              <a16:creationId xmlns:a16="http://schemas.microsoft.com/office/drawing/2014/main" id="{AC3D0245-826F-4795-9BEB-48104EF45E1D}"/>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8" name="TextBox 137">
          <a:extLst>
            <a:ext uri="{FF2B5EF4-FFF2-40B4-BE49-F238E27FC236}">
              <a16:creationId xmlns:a16="http://schemas.microsoft.com/office/drawing/2014/main" id="{446EC436-0E32-4B59-ADD0-A9FE7FA0121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09" name="TextBox 138">
          <a:extLst>
            <a:ext uri="{FF2B5EF4-FFF2-40B4-BE49-F238E27FC236}">
              <a16:creationId xmlns:a16="http://schemas.microsoft.com/office/drawing/2014/main" id="{155F0CFE-88A9-4B84-A6D9-FC444EE7247E}"/>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0" name="TextBox 139">
          <a:extLst>
            <a:ext uri="{FF2B5EF4-FFF2-40B4-BE49-F238E27FC236}">
              <a16:creationId xmlns:a16="http://schemas.microsoft.com/office/drawing/2014/main" id="{0FA54770-DE67-473C-87EE-08D6DC3B7CE4}"/>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1" name="TextBox 140">
          <a:extLst>
            <a:ext uri="{FF2B5EF4-FFF2-40B4-BE49-F238E27FC236}">
              <a16:creationId xmlns:a16="http://schemas.microsoft.com/office/drawing/2014/main" id="{817E4963-3E80-4166-AF6C-47E2CE9D275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2" name="TextBox 811">
          <a:extLst>
            <a:ext uri="{FF2B5EF4-FFF2-40B4-BE49-F238E27FC236}">
              <a16:creationId xmlns:a16="http://schemas.microsoft.com/office/drawing/2014/main" id="{04A3DC46-D4DF-4F7E-B344-8E510C1E9B3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3" name="TextBox 812">
          <a:extLst>
            <a:ext uri="{FF2B5EF4-FFF2-40B4-BE49-F238E27FC236}">
              <a16:creationId xmlns:a16="http://schemas.microsoft.com/office/drawing/2014/main" id="{3E05872A-E182-41A3-B45E-89A95564C795}"/>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4" name="TextBox 137">
          <a:extLst>
            <a:ext uri="{FF2B5EF4-FFF2-40B4-BE49-F238E27FC236}">
              <a16:creationId xmlns:a16="http://schemas.microsoft.com/office/drawing/2014/main" id="{78E5A6F5-F0B0-45E2-BC83-E23751722E00}"/>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5" name="TextBox 138">
          <a:extLst>
            <a:ext uri="{FF2B5EF4-FFF2-40B4-BE49-F238E27FC236}">
              <a16:creationId xmlns:a16="http://schemas.microsoft.com/office/drawing/2014/main" id="{BC68DC8F-4953-4349-B670-419BFC0102D9}"/>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6" name="TextBox 139">
          <a:extLst>
            <a:ext uri="{FF2B5EF4-FFF2-40B4-BE49-F238E27FC236}">
              <a16:creationId xmlns:a16="http://schemas.microsoft.com/office/drawing/2014/main" id="{C9CFF222-4759-4FB4-9B4A-768D8F1A8AB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55</xdr:col>
      <xdr:colOff>0</xdr:colOff>
      <xdr:row>34</xdr:row>
      <xdr:rowOff>0</xdr:rowOff>
    </xdr:from>
    <xdr:ext cx="184731" cy="264560"/>
    <xdr:sp macro="" textlink="">
      <xdr:nvSpPr>
        <xdr:cNvPr id="817" name="TextBox 140">
          <a:extLst>
            <a:ext uri="{FF2B5EF4-FFF2-40B4-BE49-F238E27FC236}">
              <a16:creationId xmlns:a16="http://schemas.microsoft.com/office/drawing/2014/main" id="{85205E02-85C4-4395-ACCE-CEAF838F9AEB}"/>
            </a:ext>
          </a:extLst>
        </xdr:cNvPr>
        <xdr:cNvSpPr txBox="1"/>
      </xdr:nvSpPr>
      <xdr:spPr>
        <a:xfrm>
          <a:off x="368744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cell>
        </row>
        <row r="198">
          <cell r="A198" t="str">
            <v/>
          </cell>
          <cell r="B198" t="str">
            <v xml:space="preserve">Foundation work of </v>
          </cell>
          <cell r="C198">
            <v>0</v>
          </cell>
          <cell r="D198">
            <v>0</v>
          </cell>
          <cell r="E198">
            <v>0</v>
          </cell>
          <cell r="F198">
            <v>0</v>
          </cell>
          <cell r="G198">
            <v>0</v>
          </cell>
          <cell r="H198">
            <v>0</v>
          </cell>
          <cell r="I198" t="str">
            <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D1">
            <v>0</v>
          </cell>
        </row>
      </sheetData>
      <sheetData sheetId="37">
        <row r="1">
          <cell r="D1">
            <v>0</v>
          </cell>
        </row>
      </sheetData>
      <sheetData sheetId="38">
        <row r="1">
          <cell r="D1">
            <v>0</v>
          </cell>
        </row>
      </sheetData>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zoomScale="80" zoomScaleNormal="80" zoomScaleSheetLayoutView="80" workbookViewId="0">
      <selection activeCell="G18" sqref="G18"/>
    </sheetView>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742" t="s">
        <v>779</v>
      </c>
      <c r="C2" s="1743"/>
      <c r="D2" s="1743"/>
      <c r="E2" s="30"/>
      <c r="F2" s="30"/>
      <c r="G2" s="30"/>
      <c r="H2" s="30"/>
      <c r="I2" s="30"/>
      <c r="J2" s="30"/>
      <c r="K2" s="30"/>
      <c r="L2" s="30"/>
      <c r="M2" s="30"/>
      <c r="N2" s="30"/>
    </row>
    <row r="3" spans="2:14" s="5" customFormat="1" ht="15.5" customHeight="1" x14ac:dyDescent="0.3">
      <c r="B3" s="1744" t="s">
        <v>1051</v>
      </c>
      <c r="C3" s="1745"/>
      <c r="D3" s="1745"/>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746" t="s">
        <v>339</v>
      </c>
      <c r="C6" s="1749" t="s">
        <v>15</v>
      </c>
      <c r="D6" s="1749" t="s">
        <v>5</v>
      </c>
    </row>
    <row r="7" spans="2:14" x14ac:dyDescent="0.25">
      <c r="B7" s="1747"/>
      <c r="C7" s="1749"/>
      <c r="D7" s="1749"/>
    </row>
    <row r="8" spans="2:14" x14ac:dyDescent="0.25">
      <c r="B8" s="1748"/>
      <c r="C8" s="1750"/>
      <c r="D8" s="1750"/>
    </row>
    <row r="9" spans="2:14" ht="15.5" x14ac:dyDescent="0.25">
      <c r="B9" s="122">
        <v>1</v>
      </c>
      <c r="C9" s="121" t="s">
        <v>52</v>
      </c>
      <c r="D9" s="853" t="s">
        <v>13</v>
      </c>
    </row>
    <row r="10" spans="2:14" ht="15.5" x14ac:dyDescent="0.25">
      <c r="B10" s="122">
        <f>B9+1</f>
        <v>2</v>
      </c>
      <c r="C10" s="121" t="s">
        <v>369</v>
      </c>
      <c r="D10" s="853" t="s">
        <v>370</v>
      </c>
    </row>
    <row r="11" spans="2:14" ht="15.5" x14ac:dyDescent="0.25">
      <c r="B11" s="122">
        <f>B10+1</f>
        <v>3</v>
      </c>
      <c r="C11" s="121" t="s">
        <v>388</v>
      </c>
      <c r="D11" s="853" t="s">
        <v>54</v>
      </c>
    </row>
    <row r="12" spans="2:14" ht="15.5" x14ac:dyDescent="0.25">
      <c r="B12" s="122">
        <f>B11+1</f>
        <v>4</v>
      </c>
      <c r="C12" s="121" t="s">
        <v>53</v>
      </c>
      <c r="D12" s="853" t="s">
        <v>55</v>
      </c>
    </row>
    <row r="13" spans="2:14" ht="15.5" x14ac:dyDescent="0.25">
      <c r="B13" s="122">
        <f>B12+1</f>
        <v>5</v>
      </c>
      <c r="C13" s="121" t="s">
        <v>308</v>
      </c>
      <c r="D13" s="853" t="s">
        <v>57</v>
      </c>
    </row>
    <row r="14" spans="2:14" ht="15.5" x14ac:dyDescent="0.25">
      <c r="B14" s="122">
        <f t="shared" ref="B14:B41" si="0">B13+1</f>
        <v>6</v>
      </c>
      <c r="C14" s="121" t="s">
        <v>56</v>
      </c>
      <c r="D14" s="853" t="s">
        <v>59</v>
      </c>
    </row>
    <row r="15" spans="2:14" ht="15.5" x14ac:dyDescent="0.25">
      <c r="B15" s="122">
        <f t="shared" si="0"/>
        <v>7</v>
      </c>
      <c r="C15" s="121" t="s">
        <v>58</v>
      </c>
      <c r="D15" s="853" t="s">
        <v>61</v>
      </c>
    </row>
    <row r="16" spans="2:14" ht="15.5" x14ac:dyDescent="0.25">
      <c r="B16" s="122">
        <f t="shared" si="0"/>
        <v>8</v>
      </c>
      <c r="C16" s="123" t="s">
        <v>355</v>
      </c>
      <c r="D16" s="853" t="s">
        <v>63</v>
      </c>
    </row>
    <row r="17" spans="2:4" ht="15.5" x14ac:dyDescent="0.25">
      <c r="B17" s="122">
        <f t="shared" si="0"/>
        <v>9</v>
      </c>
      <c r="C17" s="123" t="s">
        <v>60</v>
      </c>
      <c r="D17" s="853" t="s">
        <v>354</v>
      </c>
    </row>
    <row r="18" spans="2:4" ht="15.5" x14ac:dyDescent="0.25">
      <c r="B18" s="122">
        <f t="shared" si="0"/>
        <v>10</v>
      </c>
      <c r="C18" s="121" t="s">
        <v>62</v>
      </c>
      <c r="D18" s="853" t="s">
        <v>387</v>
      </c>
    </row>
    <row r="19" spans="2:4" ht="15.5" x14ac:dyDescent="0.25">
      <c r="B19" s="122">
        <f t="shared" si="0"/>
        <v>11</v>
      </c>
      <c r="C19" s="123" t="s">
        <v>64</v>
      </c>
      <c r="D19" s="853" t="s">
        <v>39</v>
      </c>
    </row>
    <row r="20" spans="2:4" ht="15.5" x14ac:dyDescent="0.25">
      <c r="B20" s="122">
        <f t="shared" si="0"/>
        <v>12</v>
      </c>
      <c r="C20" s="123" t="s">
        <v>651</v>
      </c>
      <c r="D20" s="853" t="s">
        <v>65</v>
      </c>
    </row>
    <row r="21" spans="2:4" ht="15.5" x14ac:dyDescent="0.25">
      <c r="B21" s="122">
        <f t="shared" si="0"/>
        <v>13</v>
      </c>
      <c r="C21" s="123" t="s">
        <v>178</v>
      </c>
      <c r="D21" s="853" t="s">
        <v>66</v>
      </c>
    </row>
    <row r="22" spans="2:4" ht="15.5" x14ac:dyDescent="0.25">
      <c r="B22" s="122">
        <f t="shared" si="0"/>
        <v>14</v>
      </c>
      <c r="C22" s="123" t="s">
        <v>649</v>
      </c>
      <c r="D22" s="853" t="s">
        <v>67</v>
      </c>
    </row>
    <row r="23" spans="2:4" ht="15.5" x14ac:dyDescent="0.25">
      <c r="B23" s="122">
        <f t="shared" si="0"/>
        <v>15</v>
      </c>
      <c r="C23" s="121" t="s">
        <v>650</v>
      </c>
      <c r="D23" s="853" t="s">
        <v>68</v>
      </c>
    </row>
    <row r="24" spans="2:4" ht="15.5" x14ac:dyDescent="0.25">
      <c r="B24" s="122">
        <f t="shared" si="0"/>
        <v>16</v>
      </c>
      <c r="C24" s="121" t="s">
        <v>482</v>
      </c>
      <c r="D24" s="853" t="s">
        <v>40</v>
      </c>
    </row>
    <row r="25" spans="2:4" ht="15.5" x14ac:dyDescent="0.25">
      <c r="B25" s="122">
        <f t="shared" si="0"/>
        <v>17</v>
      </c>
      <c r="C25" s="121" t="s">
        <v>14</v>
      </c>
      <c r="D25" s="853" t="s">
        <v>394</v>
      </c>
    </row>
    <row r="26" spans="2:4" ht="15.5" x14ac:dyDescent="0.25">
      <c r="B26" s="122">
        <f t="shared" si="0"/>
        <v>18</v>
      </c>
      <c r="C26" s="121" t="s">
        <v>309</v>
      </c>
      <c r="D26" s="853" t="s">
        <v>395</v>
      </c>
    </row>
    <row r="27" spans="2:4" ht="15.5" x14ac:dyDescent="0.25">
      <c r="B27" s="122">
        <f t="shared" si="0"/>
        <v>19</v>
      </c>
      <c r="C27" s="121" t="s">
        <v>47</v>
      </c>
      <c r="D27" s="853" t="s">
        <v>483</v>
      </c>
    </row>
    <row r="28" spans="2:4" ht="15.5" x14ac:dyDescent="0.25">
      <c r="B28" s="122">
        <f t="shared" si="0"/>
        <v>20</v>
      </c>
      <c r="C28" s="121" t="s">
        <v>1052</v>
      </c>
      <c r="D28" s="853" t="s">
        <v>69</v>
      </c>
    </row>
    <row r="29" spans="2:4" ht="46.5" x14ac:dyDescent="0.25">
      <c r="B29" s="122">
        <f t="shared" si="0"/>
        <v>21</v>
      </c>
      <c r="C29" s="854" t="s">
        <v>1053</v>
      </c>
      <c r="D29" s="853" t="s">
        <v>1054</v>
      </c>
    </row>
    <row r="30" spans="2:4" ht="15.5" x14ac:dyDescent="0.25">
      <c r="B30" s="122">
        <f t="shared" si="0"/>
        <v>22</v>
      </c>
      <c r="C30" s="121" t="s">
        <v>1055</v>
      </c>
      <c r="D30" s="853" t="s">
        <v>1056</v>
      </c>
    </row>
    <row r="31" spans="2:4" ht="15.5" x14ac:dyDescent="0.25">
      <c r="B31" s="122">
        <f t="shared" si="0"/>
        <v>23</v>
      </c>
      <c r="C31" s="123" t="s">
        <v>32</v>
      </c>
      <c r="D31" s="853" t="s">
        <v>70</v>
      </c>
    </row>
    <row r="32" spans="2:4" ht="15.5" x14ac:dyDescent="0.25">
      <c r="B32" s="122">
        <f t="shared" si="0"/>
        <v>24</v>
      </c>
      <c r="C32" s="121" t="s">
        <v>41</v>
      </c>
      <c r="D32" s="853" t="s">
        <v>72</v>
      </c>
    </row>
    <row r="33" spans="2:4" ht="15.5" x14ac:dyDescent="0.25">
      <c r="B33" s="122">
        <f t="shared" si="0"/>
        <v>25</v>
      </c>
      <c r="C33" s="121" t="s">
        <v>71</v>
      </c>
      <c r="D33" s="853" t="s">
        <v>73</v>
      </c>
    </row>
    <row r="34" spans="2:4" ht="15.5" x14ac:dyDescent="0.25">
      <c r="B34" s="122">
        <f t="shared" si="0"/>
        <v>26</v>
      </c>
      <c r="C34" s="123" t="s">
        <v>674</v>
      </c>
      <c r="D34" s="853" t="s">
        <v>74</v>
      </c>
    </row>
    <row r="35" spans="2:4" ht="15.5" x14ac:dyDescent="0.25">
      <c r="B35" s="122">
        <f t="shared" si="0"/>
        <v>27</v>
      </c>
      <c r="C35" s="221" t="s">
        <v>439</v>
      </c>
      <c r="D35" s="853" t="s">
        <v>310</v>
      </c>
    </row>
    <row r="36" spans="2:4" ht="15.5" x14ac:dyDescent="0.25">
      <c r="B36" s="122">
        <f t="shared" si="0"/>
        <v>28</v>
      </c>
      <c r="C36" s="123" t="s">
        <v>312</v>
      </c>
      <c r="D36" s="853" t="s">
        <v>311</v>
      </c>
    </row>
    <row r="37" spans="2:4" ht="15.5" x14ac:dyDescent="0.25">
      <c r="B37" s="122">
        <f t="shared" si="0"/>
        <v>29</v>
      </c>
      <c r="C37" s="121" t="s">
        <v>445</v>
      </c>
      <c r="D37" s="853" t="s">
        <v>438</v>
      </c>
    </row>
    <row r="38" spans="2:4" ht="15.5" x14ac:dyDescent="0.25">
      <c r="B38" s="122">
        <f t="shared" si="0"/>
        <v>30</v>
      </c>
      <c r="C38" s="121" t="s">
        <v>321</v>
      </c>
      <c r="D38" s="853" t="s">
        <v>75</v>
      </c>
    </row>
    <row r="39" spans="2:4" ht="15.5" x14ac:dyDescent="0.25">
      <c r="B39" s="122">
        <f t="shared" si="0"/>
        <v>31</v>
      </c>
      <c r="C39" s="121" t="s">
        <v>313</v>
      </c>
      <c r="D39" s="853" t="s">
        <v>76</v>
      </c>
    </row>
    <row r="40" spans="2:4" ht="15.5" x14ac:dyDescent="0.25">
      <c r="B40" s="122">
        <f t="shared" si="0"/>
        <v>32</v>
      </c>
      <c r="C40" s="121" t="s">
        <v>88</v>
      </c>
      <c r="D40" s="853" t="s">
        <v>322</v>
      </c>
    </row>
    <row r="41" spans="2:4" ht="15.5" x14ac:dyDescent="0.25">
      <c r="B41" s="122">
        <f t="shared" si="0"/>
        <v>33</v>
      </c>
      <c r="C41" s="121" t="s">
        <v>314</v>
      </c>
      <c r="D41" s="853" t="s">
        <v>348</v>
      </c>
    </row>
    <row r="42" spans="2:4" ht="15.5" x14ac:dyDescent="0.25">
      <c r="B42" s="855"/>
      <c r="C42" s="856" t="s">
        <v>1057</v>
      </c>
      <c r="D42" s="857"/>
    </row>
    <row r="43" spans="2:4" ht="15.5" x14ac:dyDescent="0.25">
      <c r="B43" s="122">
        <f>B41+1</f>
        <v>34</v>
      </c>
      <c r="C43" s="121" t="s">
        <v>1058</v>
      </c>
      <c r="D43" s="853" t="s">
        <v>1059</v>
      </c>
    </row>
    <row r="44" spans="2:4" ht="15.5" x14ac:dyDescent="0.25">
      <c r="B44" s="122">
        <f>B43+1</f>
        <v>35</v>
      </c>
      <c r="C44" s="121" t="s">
        <v>1060</v>
      </c>
      <c r="D44" s="853" t="s">
        <v>1061</v>
      </c>
    </row>
    <row r="45" spans="2:4" ht="15.5" x14ac:dyDescent="0.25">
      <c r="B45" s="122">
        <f>B44+1</f>
        <v>36</v>
      </c>
      <c r="C45" s="121" t="s">
        <v>1062</v>
      </c>
      <c r="D45" s="853" t="s">
        <v>1063</v>
      </c>
    </row>
    <row r="46" spans="2:4" ht="15.5" x14ac:dyDescent="0.25">
      <c r="B46" s="122">
        <f t="shared" ref="B46:B55" si="1">B45+1</f>
        <v>37</v>
      </c>
      <c r="C46" s="121" t="s">
        <v>1064</v>
      </c>
      <c r="D46" s="853" t="s">
        <v>1065</v>
      </c>
    </row>
    <row r="47" spans="2:4" ht="15.5" x14ac:dyDescent="0.25">
      <c r="B47" s="122">
        <f t="shared" si="1"/>
        <v>38</v>
      </c>
      <c r="C47" s="121" t="s">
        <v>1066</v>
      </c>
      <c r="D47" s="853" t="s">
        <v>1067</v>
      </c>
    </row>
    <row r="48" spans="2:4" ht="15.5" x14ac:dyDescent="0.25">
      <c r="B48" s="122">
        <f t="shared" si="1"/>
        <v>39</v>
      </c>
      <c r="C48" s="121" t="s">
        <v>1068</v>
      </c>
      <c r="D48" s="853" t="s">
        <v>1069</v>
      </c>
    </row>
    <row r="49" spans="2:4" ht="15.5" x14ac:dyDescent="0.25">
      <c r="B49" s="122">
        <f t="shared" si="1"/>
        <v>40</v>
      </c>
      <c r="C49" s="121" t="s">
        <v>1070</v>
      </c>
      <c r="D49" s="853" t="s">
        <v>1071</v>
      </c>
    </row>
    <row r="50" spans="2:4" ht="15.5" x14ac:dyDescent="0.25">
      <c r="B50" s="122">
        <f t="shared" si="1"/>
        <v>41</v>
      </c>
      <c r="C50" s="121" t="s">
        <v>1072</v>
      </c>
      <c r="D50" s="853" t="s">
        <v>1073</v>
      </c>
    </row>
    <row r="51" spans="2:4" ht="15.5" x14ac:dyDescent="0.25">
      <c r="B51" s="122">
        <f t="shared" si="1"/>
        <v>42</v>
      </c>
      <c r="C51" s="121" t="s">
        <v>1074</v>
      </c>
      <c r="D51" s="853" t="s">
        <v>1075</v>
      </c>
    </row>
    <row r="52" spans="2:4" ht="15.5" x14ac:dyDescent="0.25">
      <c r="B52" s="122">
        <f t="shared" si="1"/>
        <v>43</v>
      </c>
      <c r="C52" s="282" t="s">
        <v>1076</v>
      </c>
      <c r="D52" s="283" t="s">
        <v>1077</v>
      </c>
    </row>
    <row r="53" spans="2:4" ht="15.5" x14ac:dyDescent="0.25">
      <c r="B53" s="122">
        <f t="shared" si="1"/>
        <v>44</v>
      </c>
      <c r="C53" s="282" t="s">
        <v>1078</v>
      </c>
      <c r="D53" s="283" t="s">
        <v>1079</v>
      </c>
    </row>
    <row r="54" spans="2:4" ht="15.5" x14ac:dyDescent="0.25">
      <c r="B54" s="122">
        <f t="shared" si="1"/>
        <v>45</v>
      </c>
      <c r="C54" s="282" t="s">
        <v>555</v>
      </c>
      <c r="D54" s="283" t="s">
        <v>556</v>
      </c>
    </row>
    <row r="55" spans="2:4" ht="15.5" x14ac:dyDescent="0.25">
      <c r="B55" s="858">
        <f t="shared" si="1"/>
        <v>46</v>
      </c>
      <c r="C55" s="859" t="s">
        <v>627</v>
      </c>
      <c r="D55" s="860" t="s">
        <v>1080</v>
      </c>
    </row>
    <row r="56" spans="2:4" ht="15.5" x14ac:dyDescent="0.25">
      <c r="B56" s="122">
        <f>B55+1</f>
        <v>47</v>
      </c>
      <c r="C56" s="282" t="s">
        <v>1081</v>
      </c>
      <c r="D56" s="283" t="s">
        <v>1082</v>
      </c>
    </row>
    <row r="57" spans="2:4" x14ac:dyDescent="0.25">
      <c r="B57" s="99">
        <v>48</v>
      </c>
      <c r="C57" s="24" t="s">
        <v>1083</v>
      </c>
      <c r="D57" s="24" t="s">
        <v>1084</v>
      </c>
    </row>
    <row r="58" spans="2:4" x14ac:dyDescent="0.25">
      <c r="B58" s="284" t="s">
        <v>1085</v>
      </c>
    </row>
  </sheetData>
  <mergeCells count="5">
    <mergeCell ref="B2:D2"/>
    <mergeCell ref="B3:D3"/>
    <mergeCell ref="B6:B8"/>
    <mergeCell ref="C6:C8"/>
    <mergeCell ref="D6:D8"/>
  </mergeCells>
  <phoneticPr fontId="21"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G26" sqref="G26"/>
    </sheetView>
  </sheetViews>
  <sheetFormatPr defaultColWidth="9.36328125" defaultRowHeight="14" x14ac:dyDescent="0.25"/>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x14ac:dyDescent="0.25">
      <c r="B2" s="1758" t="str">
        <f>Index!B2</f>
        <v xml:space="preserve">      Maharashtra State Power Generation Company Ltd.</v>
      </c>
      <c r="C2" s="1758"/>
      <c r="D2" s="1758"/>
      <c r="E2" s="1758"/>
      <c r="F2" s="1758"/>
      <c r="G2" s="1758"/>
      <c r="H2" s="1758"/>
      <c r="I2" s="1758"/>
      <c r="J2" s="1758"/>
      <c r="K2" s="1791" t="str">
        <f>B2</f>
        <v xml:space="preserve">      Maharashtra State Power Generation Company Ltd.</v>
      </c>
      <c r="L2" s="1791"/>
      <c r="M2" s="1791"/>
      <c r="N2" s="1791"/>
      <c r="O2" s="1791"/>
      <c r="P2" s="1791"/>
      <c r="Q2" s="1791"/>
      <c r="R2" s="1791"/>
      <c r="S2" s="1791"/>
      <c r="T2" s="1791"/>
      <c r="U2" s="1791"/>
    </row>
    <row r="3" spans="2:21" x14ac:dyDescent="0.25">
      <c r="B3" s="1758" t="str">
        <f>Index!B3</f>
        <v>MYT Petition Formats for Parli Units 6 &amp; 7</v>
      </c>
      <c r="C3" s="1758"/>
      <c r="D3" s="1758"/>
      <c r="E3" s="1758"/>
      <c r="F3" s="1758"/>
      <c r="G3" s="1758"/>
      <c r="H3" s="1758"/>
      <c r="I3" s="1758"/>
      <c r="J3" s="1758"/>
      <c r="K3" s="1791" t="str">
        <f>B3</f>
        <v>MYT Petition Formats for Parli Units 6 &amp; 7</v>
      </c>
      <c r="L3" s="1791"/>
      <c r="M3" s="1791"/>
      <c r="N3" s="1791"/>
      <c r="O3" s="1791"/>
      <c r="P3" s="1791"/>
      <c r="Q3" s="1791"/>
      <c r="R3" s="1791"/>
      <c r="S3" s="1791"/>
      <c r="T3" s="1791"/>
      <c r="U3" s="1791"/>
    </row>
    <row r="4" spans="2:21" x14ac:dyDescent="0.25">
      <c r="B4" s="1758" t="s">
        <v>457</v>
      </c>
      <c r="C4" s="1758"/>
      <c r="D4" s="1758"/>
      <c r="E4" s="1758"/>
      <c r="F4" s="1758"/>
      <c r="G4" s="1758"/>
      <c r="H4" s="1758"/>
      <c r="I4" s="1758"/>
      <c r="J4" s="1758"/>
      <c r="K4" s="1791" t="str">
        <f>B4</f>
        <v>Form 2.6: Capacity Charge &amp; Energy Charge Rate - Hydel Generation</v>
      </c>
      <c r="L4" s="1791"/>
      <c r="M4" s="1791"/>
      <c r="N4" s="1791"/>
      <c r="O4" s="1791"/>
      <c r="P4" s="1791"/>
      <c r="Q4" s="1791"/>
      <c r="R4" s="1791"/>
      <c r="S4" s="1791"/>
      <c r="T4" s="1791"/>
      <c r="U4" s="1791"/>
    </row>
    <row r="6" spans="2:21" x14ac:dyDescent="0.25">
      <c r="B6" s="154"/>
      <c r="C6" s="155"/>
      <c r="D6" s="156"/>
      <c r="E6" s="156"/>
      <c r="F6" s="156"/>
      <c r="G6" s="156"/>
      <c r="H6" s="156"/>
      <c r="I6" s="156"/>
      <c r="J6" s="156"/>
      <c r="U6" s="21"/>
    </row>
    <row r="7" spans="2:21" ht="13.75" customHeight="1" x14ac:dyDescent="0.25">
      <c r="B7" s="1792" t="s">
        <v>339</v>
      </c>
      <c r="C7" s="1794" t="s">
        <v>36</v>
      </c>
      <c r="D7" s="1794" t="s">
        <v>453</v>
      </c>
      <c r="E7" s="1754" t="s">
        <v>506</v>
      </c>
      <c r="F7" s="1755"/>
      <c r="G7" s="1756"/>
      <c r="H7" s="1754" t="s">
        <v>507</v>
      </c>
      <c r="I7" s="1755"/>
      <c r="J7" s="1756"/>
      <c r="K7" s="1754" t="s">
        <v>508</v>
      </c>
      <c r="L7" s="1755"/>
      <c r="M7" s="1755"/>
      <c r="N7" s="1755"/>
      <c r="O7" s="1756"/>
      <c r="P7" s="1757" t="s">
        <v>967</v>
      </c>
      <c r="Q7" s="1757"/>
      <c r="R7" s="1757"/>
      <c r="S7" s="1757"/>
      <c r="T7" s="1757"/>
      <c r="U7" s="1752" t="s">
        <v>26</v>
      </c>
    </row>
    <row r="8" spans="2:21" ht="42" x14ac:dyDescent="0.25">
      <c r="B8" s="1792"/>
      <c r="C8" s="1794"/>
      <c r="D8" s="1794"/>
      <c r="E8" s="369" t="s">
        <v>974</v>
      </c>
      <c r="F8" s="291" t="s">
        <v>78</v>
      </c>
      <c r="G8" s="291" t="s">
        <v>814</v>
      </c>
      <c r="H8" s="369" t="s">
        <v>974</v>
      </c>
      <c r="I8" s="291" t="s">
        <v>78</v>
      </c>
      <c r="J8" s="369" t="s">
        <v>814</v>
      </c>
      <c r="K8" s="369" t="s">
        <v>974</v>
      </c>
      <c r="L8" s="291" t="s">
        <v>443</v>
      </c>
      <c r="M8" s="291" t="s">
        <v>447</v>
      </c>
      <c r="N8" s="291" t="s">
        <v>79</v>
      </c>
      <c r="O8" s="291" t="s">
        <v>450</v>
      </c>
      <c r="P8" s="672" t="s">
        <v>968</v>
      </c>
      <c r="Q8" s="672" t="s">
        <v>969</v>
      </c>
      <c r="R8" s="672" t="s">
        <v>970</v>
      </c>
      <c r="S8" s="672" t="s">
        <v>971</v>
      </c>
      <c r="T8" s="672" t="s">
        <v>972</v>
      </c>
      <c r="U8" s="1752"/>
    </row>
    <row r="9" spans="2:21" x14ac:dyDescent="0.25">
      <c r="B9" s="1793"/>
      <c r="C9" s="1764"/>
      <c r="D9" s="1764"/>
      <c r="E9" s="291" t="s">
        <v>80</v>
      </c>
      <c r="F9" s="291" t="s">
        <v>81</v>
      </c>
      <c r="G9" s="291" t="s">
        <v>676</v>
      </c>
      <c r="H9" s="291" t="s">
        <v>390</v>
      </c>
      <c r="I9" s="291" t="s">
        <v>408</v>
      </c>
      <c r="J9" s="291" t="s">
        <v>454</v>
      </c>
      <c r="K9" s="291" t="s">
        <v>654</v>
      </c>
      <c r="L9" s="291" t="s">
        <v>590</v>
      </c>
      <c r="M9" s="291" t="s">
        <v>591</v>
      </c>
      <c r="N9" s="291" t="s">
        <v>678</v>
      </c>
      <c r="O9" s="291" t="s">
        <v>679</v>
      </c>
      <c r="P9" s="660" t="s">
        <v>21</v>
      </c>
      <c r="Q9" s="660" t="s">
        <v>21</v>
      </c>
      <c r="R9" s="660" t="s">
        <v>21</v>
      </c>
      <c r="S9" s="660" t="s">
        <v>21</v>
      </c>
      <c r="T9" s="660" t="s">
        <v>21</v>
      </c>
      <c r="U9" s="1753"/>
    </row>
    <row r="10" spans="2:21" s="65" customFormat="1" x14ac:dyDescent="0.25">
      <c r="B10" s="157">
        <v>1</v>
      </c>
      <c r="C10" s="158" t="s">
        <v>456</v>
      </c>
      <c r="D10" s="165" t="s">
        <v>351</v>
      </c>
      <c r="E10" s="1813" t="s">
        <v>772</v>
      </c>
      <c r="F10" s="1814"/>
      <c r="G10" s="1814"/>
      <c r="H10" s="1814"/>
      <c r="I10" s="1814"/>
      <c r="J10" s="1814"/>
      <c r="K10" s="1819" t="str">
        <f>E10</f>
        <v>Not Applicable for Thermal Power Plant</v>
      </c>
      <c r="L10" s="1819"/>
      <c r="M10" s="1819"/>
      <c r="N10" s="1819"/>
      <c r="O10" s="1819"/>
      <c r="P10" s="1819"/>
      <c r="Q10" s="1819"/>
      <c r="R10" s="1819"/>
      <c r="S10" s="1819"/>
      <c r="T10" s="1819"/>
      <c r="U10" s="1820"/>
    </row>
    <row r="11" spans="2:21" s="65" customFormat="1" x14ac:dyDescent="0.25">
      <c r="B11" s="157">
        <f>B10+1</f>
        <v>2</v>
      </c>
      <c r="C11" s="158" t="s">
        <v>418</v>
      </c>
      <c r="D11" s="165" t="s">
        <v>352</v>
      </c>
      <c r="E11" s="1815"/>
      <c r="F11" s="1816"/>
      <c r="G11" s="1816"/>
      <c r="H11" s="1816"/>
      <c r="I11" s="1816"/>
      <c r="J11" s="1816"/>
      <c r="K11" s="1821"/>
      <c r="L11" s="1821"/>
      <c r="M11" s="1821"/>
      <c r="N11" s="1821"/>
      <c r="O11" s="1821"/>
      <c r="P11" s="1821"/>
      <c r="Q11" s="1821"/>
      <c r="R11" s="1821"/>
      <c r="S11" s="1821"/>
      <c r="T11" s="1821"/>
      <c r="U11" s="1822"/>
    </row>
    <row r="12" spans="2:21" s="65" customFormat="1" x14ac:dyDescent="0.25">
      <c r="B12" s="157">
        <f t="shared" ref="B12:B18" si="0">B11+1</f>
        <v>3</v>
      </c>
      <c r="C12" s="158" t="s">
        <v>362</v>
      </c>
      <c r="D12" s="165" t="s">
        <v>356</v>
      </c>
      <c r="E12" s="1815"/>
      <c r="F12" s="1816"/>
      <c r="G12" s="1816"/>
      <c r="H12" s="1816"/>
      <c r="I12" s="1816"/>
      <c r="J12" s="1816"/>
      <c r="K12" s="1821"/>
      <c r="L12" s="1821"/>
      <c r="M12" s="1821"/>
      <c r="N12" s="1821"/>
      <c r="O12" s="1821"/>
      <c r="P12" s="1821"/>
      <c r="Q12" s="1821"/>
      <c r="R12" s="1821"/>
      <c r="S12" s="1821"/>
      <c r="T12" s="1821"/>
      <c r="U12" s="1822"/>
    </row>
    <row r="13" spans="2:21" x14ac:dyDescent="0.25">
      <c r="B13" s="157">
        <f t="shared" si="0"/>
        <v>4</v>
      </c>
      <c r="C13" s="159" t="s">
        <v>458</v>
      </c>
      <c r="D13" s="165" t="s">
        <v>455</v>
      </c>
      <c r="E13" s="1815"/>
      <c r="F13" s="1816"/>
      <c r="G13" s="1816"/>
      <c r="H13" s="1816"/>
      <c r="I13" s="1816"/>
      <c r="J13" s="1816"/>
      <c r="K13" s="1821"/>
      <c r="L13" s="1821"/>
      <c r="M13" s="1821"/>
      <c r="N13" s="1821"/>
      <c r="O13" s="1821"/>
      <c r="P13" s="1821"/>
      <c r="Q13" s="1821"/>
      <c r="R13" s="1821"/>
      <c r="S13" s="1821"/>
      <c r="T13" s="1821"/>
      <c r="U13" s="1822"/>
    </row>
    <row r="14" spans="2:21" x14ac:dyDescent="0.25">
      <c r="B14" s="157"/>
      <c r="C14" s="160"/>
      <c r="D14" s="165"/>
      <c r="E14" s="1815"/>
      <c r="F14" s="1816"/>
      <c r="G14" s="1816"/>
      <c r="H14" s="1816"/>
      <c r="I14" s="1816"/>
      <c r="J14" s="1816"/>
      <c r="K14" s="1821"/>
      <c r="L14" s="1821"/>
      <c r="M14" s="1821"/>
      <c r="N14" s="1821"/>
      <c r="O14" s="1821"/>
      <c r="P14" s="1821"/>
      <c r="Q14" s="1821"/>
      <c r="R14" s="1821"/>
      <c r="S14" s="1821"/>
      <c r="T14" s="1821"/>
      <c r="U14" s="1822"/>
    </row>
    <row r="15" spans="2:21" x14ac:dyDescent="0.25">
      <c r="B15" s="157">
        <v>5</v>
      </c>
      <c r="C15" s="158" t="s">
        <v>363</v>
      </c>
      <c r="D15" s="165" t="s">
        <v>353</v>
      </c>
      <c r="E15" s="1815"/>
      <c r="F15" s="1816"/>
      <c r="G15" s="1816"/>
      <c r="H15" s="1816"/>
      <c r="I15" s="1816"/>
      <c r="J15" s="1816"/>
      <c r="K15" s="1821"/>
      <c r="L15" s="1821"/>
      <c r="M15" s="1821"/>
      <c r="N15" s="1821"/>
      <c r="O15" s="1821"/>
      <c r="P15" s="1821"/>
      <c r="Q15" s="1821"/>
      <c r="R15" s="1821"/>
      <c r="S15" s="1821"/>
      <c r="T15" s="1821"/>
      <c r="U15" s="1822"/>
    </row>
    <row r="16" spans="2:21" s="96" customFormat="1" x14ac:dyDescent="0.25">
      <c r="B16" s="157">
        <f t="shared" si="0"/>
        <v>6</v>
      </c>
      <c r="C16" s="158" t="s">
        <v>364</v>
      </c>
      <c r="D16" s="165" t="s">
        <v>358</v>
      </c>
      <c r="E16" s="1815"/>
      <c r="F16" s="1816"/>
      <c r="G16" s="1816"/>
      <c r="H16" s="1816"/>
      <c r="I16" s="1816"/>
      <c r="J16" s="1816"/>
      <c r="K16" s="1821"/>
      <c r="L16" s="1821"/>
      <c r="M16" s="1821"/>
      <c r="N16" s="1821"/>
      <c r="O16" s="1821"/>
      <c r="P16" s="1821"/>
      <c r="Q16" s="1821"/>
      <c r="R16" s="1821"/>
      <c r="S16" s="1821"/>
      <c r="T16" s="1821"/>
      <c r="U16" s="1822"/>
    </row>
    <row r="17" spans="2:21" s="96" customFormat="1" x14ac:dyDescent="0.25">
      <c r="B17" s="157">
        <f t="shared" si="0"/>
        <v>7</v>
      </c>
      <c r="C17" s="158" t="s">
        <v>365</v>
      </c>
      <c r="D17" s="165" t="s">
        <v>359</v>
      </c>
      <c r="E17" s="1815"/>
      <c r="F17" s="1816"/>
      <c r="G17" s="1816"/>
      <c r="H17" s="1816"/>
      <c r="I17" s="1816"/>
      <c r="J17" s="1816"/>
      <c r="K17" s="1821"/>
      <c r="L17" s="1821"/>
      <c r="M17" s="1821"/>
      <c r="N17" s="1821"/>
      <c r="O17" s="1821"/>
      <c r="P17" s="1821"/>
      <c r="Q17" s="1821"/>
      <c r="R17" s="1821"/>
      <c r="S17" s="1821"/>
      <c r="T17" s="1821"/>
      <c r="U17" s="1822"/>
    </row>
    <row r="18" spans="2:21" s="96" customFormat="1" x14ac:dyDescent="0.25">
      <c r="B18" s="157">
        <f t="shared" si="0"/>
        <v>8</v>
      </c>
      <c r="C18" s="166" t="s">
        <v>366</v>
      </c>
      <c r="D18" s="165" t="s">
        <v>360</v>
      </c>
      <c r="E18" s="1817"/>
      <c r="F18" s="1818"/>
      <c r="G18" s="1818"/>
      <c r="H18" s="1818"/>
      <c r="I18" s="1818"/>
      <c r="J18" s="1818"/>
      <c r="K18" s="1823"/>
      <c r="L18" s="1823"/>
      <c r="M18" s="1823"/>
      <c r="N18" s="1823"/>
      <c r="O18" s="1823"/>
      <c r="P18" s="1823"/>
      <c r="Q18" s="1823"/>
      <c r="R18" s="1823"/>
      <c r="S18" s="1823"/>
      <c r="T18" s="1823"/>
      <c r="U18" s="1824"/>
    </row>
    <row r="19" spans="2:21" s="96" customFormat="1" x14ac:dyDescent="0.25">
      <c r="B19" s="90"/>
      <c r="C19" s="90"/>
    </row>
    <row r="20" spans="2:21" s="96" customFormat="1" x14ac:dyDescent="0.25">
      <c r="B20" s="173"/>
      <c r="C20" s="161"/>
      <c r="D20" s="161"/>
      <c r="E20" s="161"/>
      <c r="F20" s="161"/>
      <c r="G20" s="161"/>
      <c r="H20" s="161"/>
      <c r="I20" s="161"/>
      <c r="J20" s="161"/>
    </row>
    <row r="21" spans="2:21" s="96" customFormat="1" ht="16" x14ac:dyDescent="0.25">
      <c r="B21" s="162"/>
      <c r="C21" s="163"/>
      <c r="D21" s="164"/>
      <c r="E21" s="92"/>
      <c r="F21" s="92"/>
      <c r="G21" s="92"/>
      <c r="H21" s="92"/>
      <c r="I21" s="92"/>
      <c r="J21" s="92"/>
    </row>
    <row r="22" spans="2:21" s="96" customFormat="1" ht="18" customHeight="1" x14ac:dyDescent="0.3">
      <c r="B22" s="7"/>
      <c r="C22" s="162"/>
      <c r="D22" s="162"/>
      <c r="E22" s="162"/>
      <c r="F22" s="162"/>
      <c r="G22" s="162"/>
      <c r="H22" s="162"/>
      <c r="I22" s="162"/>
      <c r="J22" s="162"/>
    </row>
  </sheetData>
  <mergeCells count="16">
    <mergeCell ref="E10:J18"/>
    <mergeCell ref="K10:U18"/>
    <mergeCell ref="U7:U9"/>
    <mergeCell ref="K7:O7"/>
    <mergeCell ref="P7:T7"/>
    <mergeCell ref="B7:B9"/>
    <mergeCell ref="C7:C9"/>
    <mergeCell ref="D7:D9"/>
    <mergeCell ref="E7:G7"/>
    <mergeCell ref="H7:J7"/>
    <mergeCell ref="B2:J2"/>
    <mergeCell ref="B3:J3"/>
    <mergeCell ref="B4:J4"/>
    <mergeCell ref="K2:U2"/>
    <mergeCell ref="K3:U3"/>
    <mergeCell ref="K4:U4"/>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758" t="str">
        <f>Index!B2</f>
        <v xml:space="preserve">      Maharashtra State Power Generation Company Ltd.</v>
      </c>
      <c r="C2" s="1811"/>
      <c r="D2" s="1811"/>
      <c r="E2" s="1811"/>
      <c r="F2" s="1811"/>
      <c r="G2" s="1811"/>
      <c r="H2" s="1811"/>
      <c r="I2" s="1811"/>
      <c r="J2" s="1811"/>
      <c r="K2" s="1811"/>
      <c r="L2" s="1811"/>
      <c r="M2" s="1811"/>
    </row>
    <row r="3" spans="2:14" x14ac:dyDescent="0.3">
      <c r="B3" s="1758" t="str">
        <f>Index!B3</f>
        <v>MYT Petition Formats for Parli Units 6 &amp; 7</v>
      </c>
      <c r="C3" s="1811"/>
      <c r="D3" s="1811"/>
      <c r="E3" s="1811"/>
      <c r="F3" s="1811"/>
      <c r="G3" s="1811"/>
      <c r="H3" s="1811"/>
      <c r="I3" s="1811"/>
      <c r="J3" s="1811"/>
      <c r="K3" s="1811"/>
      <c r="L3" s="1811"/>
      <c r="M3" s="1811"/>
    </row>
    <row r="4" spans="2:14" x14ac:dyDescent="0.3">
      <c r="B4" s="1759" t="s">
        <v>385</v>
      </c>
      <c r="C4" s="1811"/>
      <c r="D4" s="1811"/>
      <c r="E4" s="1811"/>
      <c r="F4" s="1811"/>
      <c r="G4" s="1811"/>
      <c r="H4" s="1811"/>
      <c r="I4" s="1811"/>
      <c r="J4" s="1811"/>
      <c r="K4" s="1811"/>
      <c r="L4" s="1811"/>
      <c r="M4" s="1811"/>
    </row>
    <row r="6" spans="2:14" x14ac:dyDescent="0.3">
      <c r="B6" s="6" t="s">
        <v>1016</v>
      </c>
    </row>
    <row r="7" spans="2:14" x14ac:dyDescent="0.3">
      <c r="B7" s="53"/>
      <c r="C7" s="17"/>
      <c r="D7" s="18"/>
      <c r="E7" s="18"/>
      <c r="F7" s="21" t="s">
        <v>10</v>
      </c>
      <c r="G7" s="18"/>
      <c r="H7" s="18"/>
      <c r="I7" s="18"/>
      <c r="J7" s="18"/>
      <c r="K7" s="18"/>
      <c r="L7" s="18"/>
      <c r="M7" s="18"/>
      <c r="N7" s="18"/>
    </row>
    <row r="8" spans="2:14" s="35" customFormat="1" ht="15.75" customHeight="1" x14ac:dyDescent="0.3">
      <c r="B8" s="1798" t="s">
        <v>339</v>
      </c>
      <c r="C8" s="1800" t="s">
        <v>36</v>
      </c>
      <c r="D8" s="1800" t="s">
        <v>144</v>
      </c>
      <c r="E8" s="1754" t="s">
        <v>506</v>
      </c>
      <c r="F8" s="1756"/>
      <c r="G8" s="1800" t="s">
        <v>144</v>
      </c>
      <c r="H8" s="1754" t="s">
        <v>507</v>
      </c>
      <c r="I8" s="1756"/>
      <c r="J8" s="1800" t="s">
        <v>144</v>
      </c>
      <c r="K8" s="1754" t="s">
        <v>508</v>
      </c>
      <c r="L8" s="1756"/>
    </row>
    <row r="9" spans="2:14" s="35" customFormat="1" ht="26.25" customHeight="1" x14ac:dyDescent="0.3">
      <c r="B9" s="1799"/>
      <c r="C9" s="1801"/>
      <c r="D9" s="1801"/>
      <c r="E9" s="369" t="s">
        <v>815</v>
      </c>
      <c r="F9" s="253" t="s">
        <v>816</v>
      </c>
      <c r="G9" s="1801"/>
      <c r="H9" s="718" t="s">
        <v>815</v>
      </c>
      <c r="I9" s="718" t="s">
        <v>816</v>
      </c>
      <c r="J9" s="1801"/>
      <c r="K9" s="718" t="s">
        <v>815</v>
      </c>
      <c r="L9" s="718" t="s">
        <v>816</v>
      </c>
    </row>
    <row r="10" spans="2:14" s="6" customFormat="1" x14ac:dyDescent="0.3">
      <c r="B10" s="137">
        <v>1</v>
      </c>
      <c r="C10" s="60" t="s">
        <v>378</v>
      </c>
      <c r="D10" s="1825" t="s">
        <v>772</v>
      </c>
      <c r="E10" s="1826"/>
      <c r="F10" s="1827"/>
      <c r="G10" s="1825" t="s">
        <v>772</v>
      </c>
      <c r="H10" s="1826"/>
      <c r="I10" s="1827"/>
      <c r="J10" s="1825" t="s">
        <v>772</v>
      </c>
      <c r="K10" s="1826"/>
      <c r="L10" s="1827"/>
    </row>
    <row r="11" spans="2:14" s="6" customFormat="1" x14ac:dyDescent="0.3">
      <c r="B11" s="137">
        <v>2</v>
      </c>
      <c r="C11" s="60" t="s">
        <v>148</v>
      </c>
      <c r="D11" s="1828"/>
      <c r="E11" s="1829"/>
      <c r="F11" s="1830"/>
      <c r="G11" s="1828"/>
      <c r="H11" s="1829"/>
      <c r="I11" s="1830"/>
      <c r="J11" s="1828"/>
      <c r="K11" s="1829"/>
      <c r="L11" s="1830"/>
    </row>
    <row r="12" spans="2:14" s="6" customFormat="1" x14ac:dyDescent="0.3">
      <c r="B12" s="137">
        <v>3</v>
      </c>
      <c r="C12" s="60" t="s">
        <v>149</v>
      </c>
      <c r="D12" s="1828"/>
      <c r="E12" s="1829"/>
      <c r="F12" s="1830"/>
      <c r="G12" s="1828"/>
      <c r="H12" s="1829"/>
      <c r="I12" s="1830"/>
      <c r="J12" s="1828"/>
      <c r="K12" s="1829"/>
      <c r="L12" s="1830"/>
    </row>
    <row r="13" spans="2:14" x14ac:dyDescent="0.3">
      <c r="B13" s="137">
        <v>4</v>
      </c>
      <c r="C13" s="139" t="s">
        <v>150</v>
      </c>
      <c r="D13" s="1828"/>
      <c r="E13" s="1829"/>
      <c r="F13" s="1830"/>
      <c r="G13" s="1828"/>
      <c r="H13" s="1829"/>
      <c r="I13" s="1830"/>
      <c r="J13" s="1828"/>
      <c r="K13" s="1829"/>
      <c r="L13" s="1830"/>
    </row>
    <row r="14" spans="2:14" x14ac:dyDescent="0.3">
      <c r="B14" s="10"/>
      <c r="C14" s="9"/>
      <c r="D14" s="1828"/>
      <c r="E14" s="1829"/>
      <c r="F14" s="1830"/>
      <c r="G14" s="1828"/>
      <c r="H14" s="1829"/>
      <c r="I14" s="1830"/>
      <c r="J14" s="1828"/>
      <c r="K14" s="1829"/>
      <c r="L14" s="1830"/>
    </row>
    <row r="15" spans="2:14" ht="14" customHeight="1" x14ac:dyDescent="0.3">
      <c r="B15" s="140">
        <v>5</v>
      </c>
      <c r="C15" s="61" t="s">
        <v>151</v>
      </c>
      <c r="D15" s="1828"/>
      <c r="E15" s="1829"/>
      <c r="F15" s="1830"/>
      <c r="G15" s="1828"/>
      <c r="H15" s="1829"/>
      <c r="I15" s="1830"/>
      <c r="J15" s="1828"/>
      <c r="K15" s="1829"/>
      <c r="L15" s="1830"/>
    </row>
    <row r="16" spans="2:14" s="1" customFormat="1" ht="17.25" customHeight="1" x14ac:dyDescent="0.3">
      <c r="B16" s="141">
        <v>6</v>
      </c>
      <c r="C16" s="60" t="s">
        <v>380</v>
      </c>
      <c r="D16" s="1828"/>
      <c r="E16" s="1829"/>
      <c r="F16" s="1830"/>
      <c r="G16" s="1828"/>
      <c r="H16" s="1829"/>
      <c r="I16" s="1830"/>
      <c r="J16" s="1828"/>
      <c r="K16" s="1829"/>
      <c r="L16" s="1830"/>
    </row>
    <row r="17" spans="2:14" s="1" customFormat="1" x14ac:dyDescent="0.3">
      <c r="B17" s="137">
        <v>7</v>
      </c>
      <c r="C17" s="61" t="s">
        <v>86</v>
      </c>
      <c r="D17" s="1828"/>
      <c r="E17" s="1829"/>
      <c r="F17" s="1830"/>
      <c r="G17" s="1828"/>
      <c r="H17" s="1829"/>
      <c r="I17" s="1830"/>
      <c r="J17" s="1828"/>
      <c r="K17" s="1829"/>
      <c r="L17" s="1830"/>
    </row>
    <row r="18" spans="2:14" s="1" customFormat="1" x14ac:dyDescent="0.3">
      <c r="B18" s="137"/>
      <c r="C18" s="61"/>
      <c r="D18" s="1828"/>
      <c r="E18" s="1829"/>
      <c r="F18" s="1830"/>
      <c r="G18" s="1828"/>
      <c r="H18" s="1829"/>
      <c r="I18" s="1830"/>
      <c r="J18" s="1828"/>
      <c r="K18" s="1829"/>
      <c r="L18" s="1830"/>
    </row>
    <row r="19" spans="2:14" s="1" customFormat="1" x14ac:dyDescent="0.3">
      <c r="B19" s="157">
        <v>8</v>
      </c>
      <c r="C19" s="61" t="s">
        <v>484</v>
      </c>
      <c r="D19" s="1831"/>
      <c r="E19" s="1832"/>
      <c r="F19" s="1833"/>
      <c r="G19" s="1831"/>
      <c r="H19" s="1832"/>
      <c r="I19" s="1833"/>
      <c r="J19" s="1831"/>
      <c r="K19" s="1832"/>
      <c r="L19" s="1833"/>
    </row>
    <row r="20" spans="2:14" s="1" customFormat="1" hidden="1" x14ac:dyDescent="0.3">
      <c r="B20" s="6" t="s">
        <v>160</v>
      </c>
      <c r="C20" s="36"/>
    </row>
    <row r="21" spans="2:14" s="1" customFormat="1" hidden="1" x14ac:dyDescent="0.3">
      <c r="B21" s="5">
        <v>1</v>
      </c>
      <c r="C21" s="7" t="s">
        <v>709</v>
      </c>
    </row>
    <row r="22" spans="2:14" s="1" customFormat="1" hidden="1" x14ac:dyDescent="0.3">
      <c r="B22" s="5">
        <v>2</v>
      </c>
      <c r="C22" s="7" t="s">
        <v>452</v>
      </c>
    </row>
    <row r="23" spans="2:14" s="1" customFormat="1" hidden="1" x14ac:dyDescent="0.3">
      <c r="B23" s="5">
        <v>3</v>
      </c>
      <c r="C23" s="47" t="s">
        <v>159</v>
      </c>
    </row>
    <row r="24" spans="2:14" s="1" customFormat="1" x14ac:dyDescent="0.3">
      <c r="B24" s="5"/>
      <c r="C24" s="47"/>
    </row>
    <row r="25" spans="2:14" x14ac:dyDescent="0.3">
      <c r="B25" s="6" t="s">
        <v>1007</v>
      </c>
    </row>
    <row r="26" spans="2:14" x14ac:dyDescent="0.3">
      <c r="B26" s="53"/>
      <c r="C26" s="17"/>
      <c r="D26" s="18"/>
      <c r="E26" s="18"/>
      <c r="F26" s="18"/>
      <c r="G26" s="18"/>
      <c r="H26" s="18"/>
    </row>
    <row r="27" spans="2:14" s="35" customFormat="1" ht="15.75" customHeight="1" x14ac:dyDescent="0.3">
      <c r="B27" s="1798" t="s">
        <v>339</v>
      </c>
      <c r="C27" s="1800" t="s">
        <v>36</v>
      </c>
      <c r="D27" s="1760" t="s">
        <v>379</v>
      </c>
      <c r="E27" s="1754" t="s">
        <v>968</v>
      </c>
      <c r="F27" s="1755"/>
      <c r="G27" s="1754" t="s">
        <v>969</v>
      </c>
      <c r="H27" s="1755"/>
      <c r="I27" s="1754" t="s">
        <v>970</v>
      </c>
      <c r="J27" s="1755"/>
      <c r="K27" s="1754" t="s">
        <v>971</v>
      </c>
      <c r="L27" s="1755"/>
      <c r="M27" s="1754" t="s">
        <v>972</v>
      </c>
      <c r="N27" s="1755"/>
    </row>
    <row r="28" spans="2:14" s="6" customFormat="1" ht="35" customHeight="1" x14ac:dyDescent="0.3">
      <c r="B28" s="1799"/>
      <c r="C28" s="1801"/>
      <c r="D28" s="1795"/>
      <c r="E28" s="369" t="s">
        <v>815</v>
      </c>
      <c r="F28" s="369" t="s">
        <v>816</v>
      </c>
      <c r="G28" s="369" t="s">
        <v>815</v>
      </c>
      <c r="H28" s="369" t="s">
        <v>816</v>
      </c>
      <c r="I28" s="369" t="s">
        <v>815</v>
      </c>
      <c r="J28" s="369" t="s">
        <v>816</v>
      </c>
      <c r="K28" s="369" t="s">
        <v>815</v>
      </c>
      <c r="L28" s="369" t="s">
        <v>816</v>
      </c>
      <c r="M28" s="369" t="s">
        <v>815</v>
      </c>
      <c r="N28" s="369" t="s">
        <v>816</v>
      </c>
    </row>
    <row r="29" spans="2:14" s="6" customFormat="1" x14ac:dyDescent="0.3">
      <c r="B29" s="137">
        <v>1</v>
      </c>
      <c r="C29" s="60" t="s">
        <v>378</v>
      </c>
      <c r="D29" s="138"/>
      <c r="E29" s="1834" t="s">
        <v>772</v>
      </c>
      <c r="F29" s="1835"/>
      <c r="G29" s="1835"/>
      <c r="H29" s="1835"/>
      <c r="I29" s="1835"/>
      <c r="J29" s="1835"/>
      <c r="K29" s="1835"/>
      <c r="L29" s="1835"/>
      <c r="M29" s="1835"/>
      <c r="N29" s="1836"/>
    </row>
    <row r="30" spans="2:14" s="6" customFormat="1" x14ac:dyDescent="0.3">
      <c r="B30" s="137">
        <v>2</v>
      </c>
      <c r="C30" s="60" t="s">
        <v>148</v>
      </c>
      <c r="D30" s="138"/>
      <c r="E30" s="1837"/>
      <c r="F30" s="1838"/>
      <c r="G30" s="1838"/>
      <c r="H30" s="1838"/>
      <c r="I30" s="1838"/>
      <c r="J30" s="1838"/>
      <c r="K30" s="1838"/>
      <c r="L30" s="1838"/>
      <c r="M30" s="1838"/>
      <c r="N30" s="1839"/>
    </row>
    <row r="31" spans="2:14" x14ac:dyDescent="0.3">
      <c r="B31" s="137">
        <v>3</v>
      </c>
      <c r="C31" s="60" t="s">
        <v>710</v>
      </c>
      <c r="D31" s="138"/>
      <c r="E31" s="1837"/>
      <c r="F31" s="1838"/>
      <c r="G31" s="1838"/>
      <c r="H31" s="1838"/>
      <c r="I31" s="1838"/>
      <c r="J31" s="1838"/>
      <c r="K31" s="1838"/>
      <c r="L31" s="1838"/>
      <c r="M31" s="1838"/>
      <c r="N31" s="1839"/>
    </row>
    <row r="32" spans="2:14" x14ac:dyDescent="0.3">
      <c r="B32" s="137">
        <v>4</v>
      </c>
      <c r="C32" s="139" t="s">
        <v>150</v>
      </c>
      <c r="D32" s="138"/>
      <c r="E32" s="1837"/>
      <c r="F32" s="1838"/>
      <c r="G32" s="1838"/>
      <c r="H32" s="1838"/>
      <c r="I32" s="1838"/>
      <c r="J32" s="1838"/>
      <c r="K32" s="1838"/>
      <c r="L32" s="1838"/>
      <c r="M32" s="1838"/>
      <c r="N32" s="1839"/>
    </row>
    <row r="33" spans="2:14" ht="14" customHeight="1" x14ac:dyDescent="0.3">
      <c r="B33" s="10"/>
      <c r="C33" s="9"/>
      <c r="D33" s="138"/>
      <c r="E33" s="1837"/>
      <c r="F33" s="1838"/>
      <c r="G33" s="1838"/>
      <c r="H33" s="1838"/>
      <c r="I33" s="1838"/>
      <c r="J33" s="1838"/>
      <c r="K33" s="1838"/>
      <c r="L33" s="1838"/>
      <c r="M33" s="1838"/>
      <c r="N33" s="1839"/>
    </row>
    <row r="34" spans="2:14" s="1" customFormat="1" x14ac:dyDescent="0.3">
      <c r="B34" s="140">
        <v>5</v>
      </c>
      <c r="C34" s="61" t="s">
        <v>151</v>
      </c>
      <c r="D34" s="138"/>
      <c r="E34" s="1837"/>
      <c r="F34" s="1838"/>
      <c r="G34" s="1838"/>
      <c r="H34" s="1838"/>
      <c r="I34" s="1838"/>
      <c r="J34" s="1838"/>
      <c r="K34" s="1838"/>
      <c r="L34" s="1838"/>
      <c r="M34" s="1838"/>
      <c r="N34" s="1839"/>
    </row>
    <row r="35" spans="2:14" s="1" customFormat="1" x14ac:dyDescent="0.3">
      <c r="B35" s="149">
        <v>6</v>
      </c>
      <c r="C35" s="60" t="s">
        <v>380</v>
      </c>
      <c r="D35" s="138"/>
      <c r="E35" s="1837"/>
      <c r="F35" s="1838"/>
      <c r="G35" s="1838"/>
      <c r="H35" s="1838"/>
      <c r="I35" s="1838"/>
      <c r="J35" s="1838"/>
      <c r="K35" s="1838"/>
      <c r="L35" s="1838"/>
      <c r="M35" s="1838"/>
      <c r="N35" s="1839"/>
    </row>
    <row r="36" spans="2:14" s="1" customFormat="1" x14ac:dyDescent="0.3">
      <c r="B36" s="137">
        <v>7</v>
      </c>
      <c r="C36" s="61" t="s">
        <v>86</v>
      </c>
      <c r="D36" s="9"/>
      <c r="E36" s="1840"/>
      <c r="F36" s="1841"/>
      <c r="G36" s="1841"/>
      <c r="H36" s="1841"/>
      <c r="I36" s="1841"/>
      <c r="J36" s="1841"/>
      <c r="K36" s="1841"/>
      <c r="L36" s="1841"/>
      <c r="M36" s="1841"/>
      <c r="N36" s="1842"/>
    </row>
    <row r="37" spans="2:14" s="1" customFormat="1" x14ac:dyDescent="0.3">
      <c r="B37" s="5"/>
      <c r="C37" s="36"/>
    </row>
    <row r="38" spans="2:14" s="1" customFormat="1" x14ac:dyDescent="0.3">
      <c r="B38" s="54"/>
      <c r="C38" s="7"/>
      <c r="D38" s="48"/>
      <c r="E38" s="48"/>
      <c r="F38" s="48"/>
      <c r="G38" s="11"/>
      <c r="H38" s="11"/>
      <c r="I38" s="7"/>
    </row>
    <row r="39" spans="2:14" s="1" customFormat="1" ht="18" customHeight="1" x14ac:dyDescent="0.3">
      <c r="B39" s="47"/>
      <c r="C39" s="45"/>
      <c r="D39" s="47"/>
      <c r="E39" s="47"/>
      <c r="F39" s="47"/>
      <c r="G39" s="47"/>
      <c r="H39" s="47"/>
      <c r="I39" s="7"/>
    </row>
    <row r="40" spans="2:14" s="1" customFormat="1" ht="13.5" customHeight="1" x14ac:dyDescent="0.3">
      <c r="B40" s="47"/>
      <c r="C40" s="45"/>
      <c r="D40" s="47"/>
      <c r="E40" s="47"/>
      <c r="F40" s="47"/>
      <c r="G40" s="47"/>
      <c r="H40" s="47"/>
      <c r="I40" s="7"/>
    </row>
    <row r="41" spans="2:14" x14ac:dyDescent="0.3">
      <c r="B41" s="47"/>
      <c r="C41" s="47"/>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6"/>
      <c r="I43" s="7"/>
    </row>
    <row r="44" spans="2:14" x14ac:dyDescent="0.3">
      <c r="B44" s="7"/>
      <c r="C44" s="7"/>
      <c r="D44" s="7"/>
      <c r="E44" s="7"/>
      <c r="F44" s="7"/>
      <c r="G44" s="7"/>
      <c r="H44" s="7"/>
      <c r="I44" s="7"/>
    </row>
    <row r="45" spans="2:14" x14ac:dyDescent="0.3">
      <c r="B45" s="7"/>
      <c r="C45" s="7"/>
    </row>
  </sheetData>
  <mergeCells count="23">
    <mergeCell ref="E29:N36"/>
    <mergeCell ref="G8:G9"/>
    <mergeCell ref="H8:I8"/>
    <mergeCell ref="G10:I19"/>
    <mergeCell ref="J8:J9"/>
    <mergeCell ref="K8:L8"/>
    <mergeCell ref="J10:L19"/>
    <mergeCell ref="K27:L27"/>
    <mergeCell ref="M27:N27"/>
    <mergeCell ref="B27:B28"/>
    <mergeCell ref="B2:M2"/>
    <mergeCell ref="B3:M3"/>
    <mergeCell ref="B4:M4"/>
    <mergeCell ref="D8:D9"/>
    <mergeCell ref="E8:F8"/>
    <mergeCell ref="C8:C9"/>
    <mergeCell ref="B8:B9"/>
    <mergeCell ref="D27:D28"/>
    <mergeCell ref="C27:C28"/>
    <mergeCell ref="E27:F27"/>
    <mergeCell ref="G27:H27"/>
    <mergeCell ref="I27:J27"/>
    <mergeCell ref="D10:F19"/>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A7" sqref="A7"/>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758" t="str">
        <f>Index!B2</f>
        <v xml:space="preserve">      Maharashtra State Power Generation Company Ltd.</v>
      </c>
      <c r="C2" s="1811"/>
      <c r="D2" s="1811"/>
      <c r="E2" s="1811"/>
      <c r="F2" s="1811"/>
      <c r="G2" s="1811"/>
      <c r="H2" s="1811"/>
      <c r="I2" s="1811"/>
      <c r="J2" s="1811"/>
      <c r="K2" s="1811"/>
      <c r="L2" s="1811"/>
      <c r="M2" s="1811"/>
      <c r="N2" s="1811"/>
      <c r="O2" s="1811"/>
      <c r="P2" s="1811"/>
    </row>
    <row r="3" spans="2:16" x14ac:dyDescent="0.3">
      <c r="B3" s="1758" t="str">
        <f>Index!B3</f>
        <v>MYT Petition Formats for Parli Units 6 &amp; 7</v>
      </c>
      <c r="C3" s="1811"/>
      <c r="D3" s="1811"/>
      <c r="E3" s="1811"/>
      <c r="F3" s="1811"/>
      <c r="G3" s="1811"/>
      <c r="H3" s="1811"/>
      <c r="I3" s="1811"/>
      <c r="J3" s="1811"/>
      <c r="K3" s="1811"/>
      <c r="L3" s="1811"/>
      <c r="M3" s="1811"/>
      <c r="N3" s="1811"/>
      <c r="O3" s="1811"/>
      <c r="P3" s="1811"/>
    </row>
    <row r="4" spans="2:16" x14ac:dyDescent="0.3">
      <c r="B4" s="1759" t="s">
        <v>386</v>
      </c>
      <c r="C4" s="1811"/>
      <c r="D4" s="1811"/>
      <c r="E4" s="1811"/>
      <c r="F4" s="1811"/>
      <c r="G4" s="1811"/>
      <c r="H4" s="1811"/>
      <c r="I4" s="1811"/>
      <c r="J4" s="1811"/>
      <c r="K4" s="1811"/>
      <c r="L4" s="1811"/>
      <c r="M4" s="1811"/>
      <c r="N4" s="1811"/>
      <c r="O4" s="1811"/>
      <c r="P4" s="1811"/>
    </row>
    <row r="5" spans="2:16" x14ac:dyDescent="0.3">
      <c r="C5" s="19"/>
      <c r="D5" s="19"/>
      <c r="E5" s="19"/>
      <c r="F5" s="19"/>
      <c r="G5" s="19"/>
    </row>
    <row r="6" spans="2:16" x14ac:dyDescent="0.3">
      <c r="B6" s="53"/>
      <c r="C6" s="17"/>
      <c r="D6" s="17"/>
      <c r="E6" s="17"/>
      <c r="F6" s="17"/>
      <c r="G6" s="17"/>
      <c r="H6" s="18"/>
      <c r="I6" s="18"/>
      <c r="J6" s="18"/>
    </row>
    <row r="7" spans="2:16" s="35" customFormat="1" x14ac:dyDescent="0.3">
      <c r="B7" s="1792" t="s">
        <v>6</v>
      </c>
      <c r="C7" s="1794" t="s">
        <v>36</v>
      </c>
      <c r="D7" s="1852" t="s">
        <v>506</v>
      </c>
      <c r="E7" s="1853"/>
      <c r="F7" s="1852" t="s">
        <v>507</v>
      </c>
      <c r="G7" s="1853"/>
      <c r="H7" s="1754" t="s">
        <v>508</v>
      </c>
      <c r="I7" s="1755"/>
      <c r="J7" s="1755"/>
      <c r="K7" s="1755"/>
      <c r="L7" s="1754" t="s">
        <v>507</v>
      </c>
      <c r="M7" s="1756"/>
      <c r="N7" s="1754" t="s">
        <v>508</v>
      </c>
      <c r="O7" s="1756"/>
      <c r="P7" s="1760" t="s">
        <v>26</v>
      </c>
    </row>
    <row r="8" spans="2:16" s="36" customFormat="1" ht="28" x14ac:dyDescent="0.25">
      <c r="B8" s="1792"/>
      <c r="C8" s="1794"/>
      <c r="D8" s="229" t="s">
        <v>707</v>
      </c>
      <c r="E8" s="229" t="s">
        <v>78</v>
      </c>
      <c r="F8" s="291" t="s">
        <v>448</v>
      </c>
      <c r="G8" s="291" t="s">
        <v>78</v>
      </c>
      <c r="H8" s="291" t="s">
        <v>448</v>
      </c>
      <c r="I8" s="209" t="s">
        <v>443</v>
      </c>
      <c r="J8" s="209" t="s">
        <v>447</v>
      </c>
      <c r="K8" s="209" t="s">
        <v>79</v>
      </c>
      <c r="L8" s="291" t="s">
        <v>448</v>
      </c>
      <c r="M8" s="291" t="s">
        <v>675</v>
      </c>
      <c r="N8" s="291" t="s">
        <v>448</v>
      </c>
      <c r="O8" s="291" t="s">
        <v>675</v>
      </c>
      <c r="P8" s="1761"/>
    </row>
    <row r="9" spans="2:16" s="36" customFormat="1" ht="24.75" customHeight="1" x14ac:dyDescent="0.25">
      <c r="B9" s="1793"/>
      <c r="C9" s="1764"/>
      <c r="D9" s="229" t="s">
        <v>80</v>
      </c>
      <c r="E9" s="229" t="s">
        <v>81</v>
      </c>
      <c r="F9" s="291" t="s">
        <v>459</v>
      </c>
      <c r="G9" s="291" t="s">
        <v>390</v>
      </c>
      <c r="H9" s="209" t="s">
        <v>409</v>
      </c>
      <c r="I9" s="209" t="s">
        <v>410</v>
      </c>
      <c r="J9" s="209" t="s">
        <v>501</v>
      </c>
      <c r="K9" s="209" t="s">
        <v>502</v>
      </c>
      <c r="L9" s="229" t="s">
        <v>590</v>
      </c>
      <c r="M9" s="229" t="s">
        <v>591</v>
      </c>
      <c r="N9" s="229" t="s">
        <v>592</v>
      </c>
      <c r="O9" s="229" t="s">
        <v>593</v>
      </c>
      <c r="P9" s="1795"/>
    </row>
    <row r="10" spans="2:16" s="36" customFormat="1" ht="28.25" customHeight="1" x14ac:dyDescent="0.25">
      <c r="B10" s="153">
        <v>1</v>
      </c>
      <c r="C10" s="62" t="s">
        <v>333</v>
      </c>
      <c r="D10" s="1843" t="s">
        <v>773</v>
      </c>
      <c r="E10" s="1844"/>
      <c r="F10" s="1844"/>
      <c r="G10" s="1844"/>
      <c r="H10" s="1844"/>
      <c r="I10" s="1844"/>
      <c r="J10" s="1844"/>
      <c r="K10" s="1844"/>
      <c r="L10" s="1844"/>
      <c r="M10" s="1844"/>
      <c r="N10" s="1844"/>
      <c r="O10" s="1844"/>
      <c r="P10" s="1845"/>
    </row>
    <row r="11" spans="2:16" s="6" customFormat="1" x14ac:dyDescent="0.3">
      <c r="B11" s="150" t="s">
        <v>161</v>
      </c>
      <c r="C11" s="58" t="s">
        <v>162</v>
      </c>
      <c r="D11" s="1846"/>
      <c r="E11" s="1847"/>
      <c r="F11" s="1847"/>
      <c r="G11" s="1847"/>
      <c r="H11" s="1847"/>
      <c r="I11" s="1847"/>
      <c r="J11" s="1847"/>
      <c r="K11" s="1847"/>
      <c r="L11" s="1847"/>
      <c r="M11" s="1847"/>
      <c r="N11" s="1847"/>
      <c r="O11" s="1847"/>
      <c r="P11" s="1848"/>
    </row>
    <row r="12" spans="2:16" s="6" customFormat="1" x14ac:dyDescent="0.3">
      <c r="B12" s="137"/>
      <c r="C12" s="59" t="s">
        <v>163</v>
      </c>
      <c r="D12" s="1846"/>
      <c r="E12" s="1847"/>
      <c r="F12" s="1847"/>
      <c r="G12" s="1847"/>
      <c r="H12" s="1847"/>
      <c r="I12" s="1847"/>
      <c r="J12" s="1847"/>
      <c r="K12" s="1847"/>
      <c r="L12" s="1847"/>
      <c r="M12" s="1847"/>
      <c r="N12" s="1847"/>
      <c r="O12" s="1847"/>
      <c r="P12" s="1848"/>
    </row>
    <row r="13" spans="2:16" s="6" customFormat="1" x14ac:dyDescent="0.3">
      <c r="B13" s="137"/>
      <c r="C13" s="59" t="s">
        <v>164</v>
      </c>
      <c r="D13" s="1846"/>
      <c r="E13" s="1847"/>
      <c r="F13" s="1847"/>
      <c r="G13" s="1847"/>
      <c r="H13" s="1847"/>
      <c r="I13" s="1847"/>
      <c r="J13" s="1847"/>
      <c r="K13" s="1847"/>
      <c r="L13" s="1847"/>
      <c r="M13" s="1847"/>
      <c r="N13" s="1847"/>
      <c r="O13" s="1847"/>
      <c r="P13" s="1848"/>
    </row>
    <row r="14" spans="2:16" s="6" customFormat="1" x14ac:dyDescent="0.3">
      <c r="B14" s="137"/>
      <c r="C14" s="59" t="s">
        <v>165</v>
      </c>
      <c r="D14" s="1846"/>
      <c r="E14" s="1847"/>
      <c r="F14" s="1847"/>
      <c r="G14" s="1847"/>
      <c r="H14" s="1847"/>
      <c r="I14" s="1847"/>
      <c r="J14" s="1847"/>
      <c r="K14" s="1847"/>
      <c r="L14" s="1847"/>
      <c r="M14" s="1847"/>
      <c r="N14" s="1847"/>
      <c r="O14" s="1847"/>
      <c r="P14" s="1848"/>
    </row>
    <row r="15" spans="2:16" s="6" customFormat="1" x14ac:dyDescent="0.3">
      <c r="B15" s="137"/>
      <c r="C15" s="60"/>
      <c r="D15" s="1846"/>
      <c r="E15" s="1847"/>
      <c r="F15" s="1847"/>
      <c r="G15" s="1847"/>
      <c r="H15" s="1847"/>
      <c r="I15" s="1847"/>
      <c r="J15" s="1847"/>
      <c r="K15" s="1847"/>
      <c r="L15" s="1847"/>
      <c r="M15" s="1847"/>
      <c r="N15" s="1847"/>
      <c r="O15" s="1847"/>
      <c r="P15" s="1848"/>
    </row>
    <row r="16" spans="2:16" s="6" customFormat="1" x14ac:dyDescent="0.3">
      <c r="B16" s="150" t="s">
        <v>166</v>
      </c>
      <c r="C16" s="61" t="s">
        <v>167</v>
      </c>
      <c r="D16" s="1846"/>
      <c r="E16" s="1847"/>
      <c r="F16" s="1847"/>
      <c r="G16" s="1847"/>
      <c r="H16" s="1847"/>
      <c r="I16" s="1847"/>
      <c r="J16" s="1847"/>
      <c r="K16" s="1847"/>
      <c r="L16" s="1847"/>
      <c r="M16" s="1847"/>
      <c r="N16" s="1847"/>
      <c r="O16" s="1847"/>
      <c r="P16" s="1848"/>
    </row>
    <row r="17" spans="2:16" s="6" customFormat="1" x14ac:dyDescent="0.3">
      <c r="B17" s="137"/>
      <c r="C17" s="59" t="s">
        <v>163</v>
      </c>
      <c r="D17" s="1846"/>
      <c r="E17" s="1847"/>
      <c r="F17" s="1847"/>
      <c r="G17" s="1847"/>
      <c r="H17" s="1847"/>
      <c r="I17" s="1847"/>
      <c r="J17" s="1847"/>
      <c r="K17" s="1847"/>
      <c r="L17" s="1847"/>
      <c r="M17" s="1847"/>
      <c r="N17" s="1847"/>
      <c r="O17" s="1847"/>
      <c r="P17" s="1848"/>
    </row>
    <row r="18" spans="2:16" x14ac:dyDescent="0.3">
      <c r="B18" s="137"/>
      <c r="C18" s="59" t="s">
        <v>164</v>
      </c>
      <c r="D18" s="1846"/>
      <c r="E18" s="1847"/>
      <c r="F18" s="1847"/>
      <c r="G18" s="1847"/>
      <c r="H18" s="1847"/>
      <c r="I18" s="1847"/>
      <c r="J18" s="1847"/>
      <c r="K18" s="1847"/>
      <c r="L18" s="1847"/>
      <c r="M18" s="1847"/>
      <c r="N18" s="1847"/>
      <c r="O18" s="1847"/>
      <c r="P18" s="1848"/>
    </row>
    <row r="19" spans="2:16" x14ac:dyDescent="0.3">
      <c r="B19" s="10"/>
      <c r="C19" s="59" t="s">
        <v>168</v>
      </c>
      <c r="D19" s="1846"/>
      <c r="E19" s="1847"/>
      <c r="F19" s="1847"/>
      <c r="G19" s="1847"/>
      <c r="H19" s="1847"/>
      <c r="I19" s="1847"/>
      <c r="J19" s="1847"/>
      <c r="K19" s="1847"/>
      <c r="L19" s="1847"/>
      <c r="M19" s="1847"/>
      <c r="N19" s="1847"/>
      <c r="O19" s="1847"/>
      <c r="P19" s="1848"/>
    </row>
    <row r="20" spans="2:16" x14ac:dyDescent="0.3">
      <c r="B20" s="10"/>
      <c r="C20" s="61"/>
      <c r="D20" s="1846"/>
      <c r="E20" s="1847"/>
      <c r="F20" s="1847"/>
      <c r="G20" s="1847"/>
      <c r="H20" s="1847"/>
      <c r="I20" s="1847"/>
      <c r="J20" s="1847"/>
      <c r="K20" s="1847"/>
      <c r="L20" s="1847"/>
      <c r="M20" s="1847"/>
      <c r="N20" s="1847"/>
      <c r="O20" s="1847"/>
      <c r="P20" s="1848"/>
    </row>
    <row r="21" spans="2:16" s="1" customFormat="1" ht="17.25" customHeight="1" x14ac:dyDescent="0.3">
      <c r="B21" s="141">
        <v>2</v>
      </c>
      <c r="C21" s="62" t="s">
        <v>334</v>
      </c>
      <c r="D21" s="1846"/>
      <c r="E21" s="1847"/>
      <c r="F21" s="1847"/>
      <c r="G21" s="1847"/>
      <c r="H21" s="1847"/>
      <c r="I21" s="1847"/>
      <c r="J21" s="1847"/>
      <c r="K21" s="1847"/>
      <c r="L21" s="1847"/>
      <c r="M21" s="1847"/>
      <c r="N21" s="1847"/>
      <c r="O21" s="1847"/>
      <c r="P21" s="1848"/>
    </row>
    <row r="22" spans="2:16" s="1" customFormat="1" ht="17.25" customHeight="1" x14ac:dyDescent="0.3">
      <c r="B22" s="141"/>
      <c r="C22" s="62" t="s">
        <v>169</v>
      </c>
      <c r="D22" s="1846"/>
      <c r="E22" s="1847"/>
      <c r="F22" s="1847"/>
      <c r="G22" s="1847"/>
      <c r="H22" s="1847"/>
      <c r="I22" s="1847"/>
      <c r="J22" s="1847"/>
      <c r="K22" s="1847"/>
      <c r="L22" s="1847"/>
      <c r="M22" s="1847"/>
      <c r="N22" s="1847"/>
      <c r="O22" s="1847"/>
      <c r="P22" s="1848"/>
    </row>
    <row r="23" spans="2:16" s="1" customFormat="1" ht="17.25" customHeight="1" x14ac:dyDescent="0.3">
      <c r="B23" s="141"/>
      <c r="C23" s="62" t="s">
        <v>169</v>
      </c>
      <c r="D23" s="1846"/>
      <c r="E23" s="1847"/>
      <c r="F23" s="1847"/>
      <c r="G23" s="1847"/>
      <c r="H23" s="1847"/>
      <c r="I23" s="1847"/>
      <c r="J23" s="1847"/>
      <c r="K23" s="1847"/>
      <c r="L23" s="1847"/>
      <c r="M23" s="1847"/>
      <c r="N23" s="1847"/>
      <c r="O23" s="1847"/>
      <c r="P23" s="1848"/>
    </row>
    <row r="24" spans="2:16" s="1" customFormat="1" x14ac:dyDescent="0.3">
      <c r="B24" s="137"/>
      <c r="C24" s="61" t="s">
        <v>170</v>
      </c>
      <c r="D24" s="1849"/>
      <c r="E24" s="1850"/>
      <c r="F24" s="1850"/>
      <c r="G24" s="1850"/>
      <c r="H24" s="1850"/>
      <c r="I24" s="1850"/>
      <c r="J24" s="1850"/>
      <c r="K24" s="1850"/>
      <c r="L24" s="1850"/>
      <c r="M24" s="1850"/>
      <c r="N24" s="1850"/>
      <c r="O24" s="1850"/>
      <c r="P24" s="1851"/>
    </row>
    <row r="25" spans="2:16" s="1" customFormat="1" x14ac:dyDescent="0.3">
      <c r="B25" s="5"/>
      <c r="C25" s="36"/>
      <c r="D25" s="36"/>
      <c r="E25" s="36"/>
      <c r="F25" s="36"/>
      <c r="G25" s="36"/>
    </row>
    <row r="26" spans="2:16" s="1" customFormat="1" x14ac:dyDescent="0.3">
      <c r="B26" s="54"/>
      <c r="C26" s="7"/>
      <c r="D26" s="7"/>
      <c r="E26" s="7"/>
      <c r="F26" s="7"/>
      <c r="G26" s="7"/>
      <c r="H26" s="7"/>
      <c r="I26" s="7"/>
      <c r="J26" s="7"/>
      <c r="K26" s="7"/>
    </row>
    <row r="27" spans="2:16" s="1" customFormat="1" x14ac:dyDescent="0.3">
      <c r="B27" s="42"/>
      <c r="C27" s="42"/>
      <c r="D27" s="42"/>
      <c r="E27" s="42"/>
      <c r="F27" s="42"/>
      <c r="G27" s="42"/>
      <c r="H27" s="48"/>
      <c r="I27" s="11"/>
      <c r="J27" s="11"/>
      <c r="K27" s="7"/>
    </row>
    <row r="28" spans="2:16" s="1" customFormat="1" x14ac:dyDescent="0.3">
      <c r="B28" s="7"/>
      <c r="C28" s="42"/>
      <c r="D28" s="42"/>
      <c r="E28" s="42"/>
      <c r="F28" s="42"/>
      <c r="G28" s="42"/>
      <c r="H28" s="42"/>
      <c r="I28" s="42"/>
      <c r="J28" s="42"/>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6"/>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G10" sqref="G10"/>
    </sheetView>
  </sheetViews>
  <sheetFormatPr defaultColWidth="9.36328125" defaultRowHeight="14" x14ac:dyDescent="0.3"/>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3"/>
    </row>
    <row r="2" spans="2:27" x14ac:dyDescent="0.3">
      <c r="B2" s="1821" t="str">
        <f>Index!B2</f>
        <v xml:space="preserve">      Maharashtra State Power Generation Company Ltd.</v>
      </c>
      <c r="C2" s="1821"/>
      <c r="D2" s="1821"/>
      <c r="E2" s="1821"/>
      <c r="F2" s="1821"/>
      <c r="G2" s="1821"/>
      <c r="H2" s="1821"/>
      <c r="I2" s="1821"/>
      <c r="J2" s="1821"/>
      <c r="K2" s="1821"/>
      <c r="L2" s="1821"/>
      <c r="M2" s="607"/>
      <c r="N2" s="1821" t="s">
        <v>779</v>
      </c>
      <c r="O2" s="1821"/>
      <c r="P2" s="1821"/>
      <c r="Q2" s="1821"/>
      <c r="R2" s="1821"/>
      <c r="S2" s="1821"/>
      <c r="T2" s="1821"/>
      <c r="U2" s="1821"/>
      <c r="V2" s="1821"/>
      <c r="W2" s="1821"/>
      <c r="X2" s="1821"/>
      <c r="Y2" s="551"/>
      <c r="Z2" s="551"/>
      <c r="AA2" s="551"/>
    </row>
    <row r="3" spans="2:27" x14ac:dyDescent="0.3">
      <c r="B3" s="1821" t="str">
        <f>Index!B3</f>
        <v>MYT Petition Formats for Parli Units 6 &amp; 7</v>
      </c>
      <c r="C3" s="1821"/>
      <c r="D3" s="1821"/>
      <c r="E3" s="1821"/>
      <c r="F3" s="1821"/>
      <c r="G3" s="1821"/>
      <c r="H3" s="1821"/>
      <c r="I3" s="1821"/>
      <c r="J3" s="1821"/>
      <c r="K3" s="1821"/>
      <c r="L3" s="1821"/>
      <c r="M3" s="607"/>
      <c r="N3" s="1821" t="s">
        <v>780</v>
      </c>
      <c r="O3" s="1821"/>
      <c r="P3" s="1821"/>
      <c r="Q3" s="1821"/>
      <c r="R3" s="1821"/>
      <c r="S3" s="1821"/>
      <c r="T3" s="1821"/>
      <c r="U3" s="1821"/>
      <c r="V3" s="1821"/>
      <c r="W3" s="1821"/>
      <c r="X3" s="1821"/>
      <c r="Y3" s="551"/>
      <c r="Z3" s="551"/>
      <c r="AA3" s="551"/>
    </row>
    <row r="4" spans="2:27" x14ac:dyDescent="0.3">
      <c r="B4" s="1821" t="s">
        <v>648</v>
      </c>
      <c r="C4" s="1821"/>
      <c r="D4" s="1821"/>
      <c r="E4" s="1821"/>
      <c r="F4" s="1821"/>
      <c r="G4" s="1821"/>
      <c r="H4" s="1821"/>
      <c r="I4" s="1821"/>
      <c r="J4" s="1821"/>
      <c r="K4" s="1821"/>
      <c r="L4" s="1821"/>
      <c r="M4" s="607"/>
      <c r="N4" s="1821" t="s">
        <v>929</v>
      </c>
      <c r="O4" s="1821"/>
      <c r="P4" s="1821"/>
      <c r="Q4" s="1821"/>
      <c r="R4" s="1821"/>
      <c r="S4" s="1821"/>
      <c r="T4" s="1821"/>
      <c r="U4" s="1821"/>
      <c r="V4" s="1821"/>
      <c r="W4" s="1821"/>
      <c r="X4" s="1821"/>
      <c r="Y4" s="551"/>
      <c r="Z4" s="551"/>
      <c r="AA4" s="551"/>
    </row>
    <row r="5" spans="2:27" x14ac:dyDescent="0.3">
      <c r="C5" s="63"/>
      <c r="D5" s="63"/>
      <c r="E5" s="63"/>
      <c r="F5" s="63"/>
      <c r="G5" s="63"/>
      <c r="H5" s="63"/>
      <c r="I5" s="63"/>
      <c r="J5" s="63"/>
      <c r="K5" s="63"/>
      <c r="L5" s="63"/>
      <c r="M5" s="63"/>
      <c r="N5" s="63"/>
      <c r="O5" s="63"/>
      <c r="P5" s="63"/>
      <c r="Q5" s="63"/>
      <c r="R5" s="63"/>
      <c r="S5" s="63"/>
      <c r="T5" s="63"/>
      <c r="U5" s="63"/>
      <c r="V5" s="63"/>
      <c r="W5" s="63"/>
    </row>
    <row r="6" spans="2:27" x14ac:dyDescent="0.3">
      <c r="X6" s="21" t="s">
        <v>10</v>
      </c>
    </row>
    <row r="7" spans="2:27" s="35" customFormat="1" ht="15" customHeight="1" x14ac:dyDescent="0.3">
      <c r="B7" s="1854" t="s">
        <v>339</v>
      </c>
      <c r="C7" s="1855" t="s">
        <v>36</v>
      </c>
      <c r="D7" s="1769" t="s">
        <v>5</v>
      </c>
      <c r="E7" s="1769" t="s">
        <v>506</v>
      </c>
      <c r="F7" s="1769"/>
      <c r="G7" s="1769"/>
      <c r="H7" s="1769"/>
      <c r="I7" s="1769" t="s">
        <v>507</v>
      </c>
      <c r="J7" s="1769"/>
      <c r="K7" s="1769"/>
      <c r="L7" s="1769"/>
      <c r="M7" s="1769" t="s">
        <v>508</v>
      </c>
      <c r="N7" s="1769"/>
      <c r="O7" s="1769"/>
      <c r="P7" s="1769"/>
      <c r="Q7" s="1769"/>
      <c r="R7" s="1769"/>
      <c r="S7" s="1757" t="s">
        <v>967</v>
      </c>
      <c r="T7" s="1757"/>
      <c r="U7" s="1757"/>
      <c r="V7" s="1757"/>
      <c r="W7" s="1757"/>
      <c r="X7" s="1769" t="s">
        <v>26</v>
      </c>
    </row>
    <row r="8" spans="2:27" s="36" customFormat="1" ht="35.4" customHeight="1" x14ac:dyDescent="0.25">
      <c r="B8" s="1854"/>
      <c r="C8" s="1855"/>
      <c r="D8" s="1769"/>
      <c r="E8" s="1211" t="s">
        <v>1561</v>
      </c>
      <c r="F8" s="1211" t="s">
        <v>916</v>
      </c>
      <c r="G8" s="1211" t="s">
        <v>78</v>
      </c>
      <c r="H8" s="1211" t="s">
        <v>449</v>
      </c>
      <c r="I8" s="1211" t="s">
        <v>1561</v>
      </c>
      <c r="J8" s="1211" t="s">
        <v>916</v>
      </c>
      <c r="K8" s="1211" t="s">
        <v>78</v>
      </c>
      <c r="L8" s="1211" t="s">
        <v>449</v>
      </c>
      <c r="M8" s="1211" t="s">
        <v>1561</v>
      </c>
      <c r="N8" s="1211" t="s">
        <v>916</v>
      </c>
      <c r="O8" s="1211" t="s">
        <v>443</v>
      </c>
      <c r="P8" s="1211" t="s">
        <v>447</v>
      </c>
      <c r="Q8" s="1211" t="s">
        <v>79</v>
      </c>
      <c r="R8" s="1211" t="s">
        <v>450</v>
      </c>
      <c r="S8" s="672" t="s">
        <v>968</v>
      </c>
      <c r="T8" s="672" t="s">
        <v>969</v>
      </c>
      <c r="U8" s="672" t="s">
        <v>970</v>
      </c>
      <c r="V8" s="672" t="s">
        <v>971</v>
      </c>
      <c r="W8" s="672" t="s">
        <v>972</v>
      </c>
      <c r="X8" s="1769"/>
    </row>
    <row r="9" spans="2:27" s="36" customFormat="1" ht="15.75" customHeight="1" x14ac:dyDescent="0.25">
      <c r="B9" s="1854"/>
      <c r="C9" s="1855"/>
      <c r="D9" s="1769"/>
      <c r="E9" s="1211" t="s">
        <v>80</v>
      </c>
      <c r="F9" s="1211" t="s">
        <v>81</v>
      </c>
      <c r="G9" s="1211" t="s">
        <v>1562</v>
      </c>
      <c r="H9" s="1211" t="s">
        <v>1563</v>
      </c>
      <c r="I9" s="1211" t="s">
        <v>1523</v>
      </c>
      <c r="J9" s="1211" t="s">
        <v>509</v>
      </c>
      <c r="K9" s="1211" t="s">
        <v>409</v>
      </c>
      <c r="L9" s="1211" t="s">
        <v>1564</v>
      </c>
      <c r="M9" s="1211" t="s">
        <v>589</v>
      </c>
      <c r="N9" s="1211" t="s">
        <v>654</v>
      </c>
      <c r="O9" s="1211" t="s">
        <v>590</v>
      </c>
      <c r="P9" s="1211" t="s">
        <v>591</v>
      </c>
      <c r="Q9" s="1211" t="s">
        <v>678</v>
      </c>
      <c r="R9" s="1211" t="s">
        <v>679</v>
      </c>
      <c r="S9" s="660" t="s">
        <v>21</v>
      </c>
      <c r="T9" s="660" t="s">
        <v>21</v>
      </c>
      <c r="U9" s="660" t="s">
        <v>21</v>
      </c>
      <c r="V9" s="660" t="s">
        <v>21</v>
      </c>
      <c r="W9" s="660" t="s">
        <v>21</v>
      </c>
      <c r="X9" s="1770"/>
    </row>
    <row r="10" spans="2:27" s="92" customFormat="1" ht="18.649999999999999" customHeight="1" x14ac:dyDescent="0.3">
      <c r="B10" s="174">
        <v>1</v>
      </c>
      <c r="C10" s="490" t="s">
        <v>172</v>
      </c>
      <c r="D10" s="175" t="s">
        <v>65</v>
      </c>
      <c r="E10" s="175"/>
      <c r="F10" s="562">
        <f>SUM(F11:F13)</f>
        <v>162.23377476541765</v>
      </c>
      <c r="G10" s="562">
        <f>SUM(G11:G13)</f>
        <v>231.52353457908899</v>
      </c>
      <c r="H10" s="562">
        <f>G10-F10</f>
        <v>69.289759813671338</v>
      </c>
      <c r="I10" s="562"/>
      <c r="J10" s="562">
        <f>SUM(J11:J13)</f>
        <v>168.18200254460265</v>
      </c>
      <c r="K10" s="1150">
        <f>SUM(K11:K13)</f>
        <v>224.66911402125544</v>
      </c>
      <c r="L10" s="562">
        <f>K10-J10</f>
        <v>56.487111476652785</v>
      </c>
      <c r="M10" s="1149"/>
      <c r="N10" s="562">
        <f>SUM(N11:N13)</f>
        <v>174.35411454799481</v>
      </c>
      <c r="O10" s="562">
        <f>'F3.1'!M10/2</f>
        <v>107.8</v>
      </c>
      <c r="P10" s="562">
        <f>'F3.1'!M10/2</f>
        <v>107.8</v>
      </c>
      <c r="Q10" s="491">
        <f>O10+P10</f>
        <v>215.6</v>
      </c>
      <c r="R10" s="1149">
        <f>Q10-N10</f>
        <v>41.245885452005183</v>
      </c>
      <c r="S10" s="1149">
        <f>S11</f>
        <v>206.65</v>
      </c>
      <c r="T10" s="1149">
        <f t="shared" ref="T10:W10" si="0">T11</f>
        <v>215.6</v>
      </c>
      <c r="U10" s="1149">
        <f t="shared" si="0"/>
        <v>224.95</v>
      </c>
      <c r="V10" s="1149">
        <f t="shared" si="0"/>
        <v>234.7</v>
      </c>
      <c r="W10" s="1149">
        <f t="shared" si="0"/>
        <v>244.85</v>
      </c>
      <c r="X10" s="657"/>
    </row>
    <row r="11" spans="2:27" s="92" customFormat="1" ht="18.649999999999999" customHeight="1" x14ac:dyDescent="0.25">
      <c r="B11" s="174">
        <f>B10+1</f>
        <v>2</v>
      </c>
      <c r="C11" s="91" t="s">
        <v>173</v>
      </c>
      <c r="D11" s="175" t="s">
        <v>66</v>
      </c>
      <c r="E11" s="1856">
        <v>162.12025360492515</v>
      </c>
      <c r="F11" s="1859">
        <v>162.23377476541765</v>
      </c>
      <c r="G11" s="824">
        <f>'F3.2'!D36</f>
        <v>111.15927988879903</v>
      </c>
      <c r="H11" s="1859">
        <f>SUM(G11:G13)-F11</f>
        <v>69.289759813671338</v>
      </c>
      <c r="I11" s="1856">
        <v>168.01126542537887</v>
      </c>
      <c r="J11" s="1859">
        <v>168.18200254460265</v>
      </c>
      <c r="K11" s="824">
        <f>'F3.2'!E36</f>
        <v>136.46594561295629</v>
      </c>
      <c r="L11" s="1859">
        <f>SUM(K11:K13)-J11</f>
        <v>56.487111476652785</v>
      </c>
      <c r="M11" s="1856">
        <v>174.12161066241438</v>
      </c>
      <c r="N11" s="1859">
        <v>174.35411454799481</v>
      </c>
      <c r="O11" s="824">
        <f>'F3.2'!F36</f>
        <v>54.883701330618052</v>
      </c>
      <c r="P11" s="824">
        <f>'F3.2'!G36</f>
        <v>68.814760980675914</v>
      </c>
      <c r="Q11" s="824">
        <f>SUM(O11:P11)</f>
        <v>123.69846231129397</v>
      </c>
      <c r="R11" s="1859">
        <f>SUM(Q11:Q13)-N11</f>
        <v>46.938520516399194</v>
      </c>
      <c r="S11" s="1861">
        <f>'F3.1'!$K$10</f>
        <v>206.65</v>
      </c>
      <c r="T11" s="1861">
        <f>'F3.1'!$M$10</f>
        <v>215.6</v>
      </c>
      <c r="U11" s="1861">
        <f>'F3.1'!$O$10</f>
        <v>224.95</v>
      </c>
      <c r="V11" s="1861">
        <f>'F3.1'!$Q$10</f>
        <v>234.7</v>
      </c>
      <c r="W11" s="1861">
        <f>'F3.1'!$S$10</f>
        <v>244.85</v>
      </c>
      <c r="X11" s="1860"/>
    </row>
    <row r="12" spans="2:27" s="92" customFormat="1" ht="18.649999999999999" customHeight="1" x14ac:dyDescent="0.25">
      <c r="B12" s="174">
        <v>3</v>
      </c>
      <c r="C12" s="91" t="s">
        <v>175</v>
      </c>
      <c r="D12" s="175" t="s">
        <v>67</v>
      </c>
      <c r="E12" s="1857"/>
      <c r="F12" s="1859"/>
      <c r="G12" s="824">
        <f>'F3.3'!D44</f>
        <v>31.330109511775689</v>
      </c>
      <c r="H12" s="1859"/>
      <c r="I12" s="1857"/>
      <c r="J12" s="1859"/>
      <c r="K12" s="824">
        <f>'F3.3'!E44</f>
        <v>25.651795272078463</v>
      </c>
      <c r="L12" s="1859"/>
      <c r="M12" s="1857"/>
      <c r="N12" s="1859"/>
      <c r="O12" s="824">
        <f>'F3.3'!F44</f>
        <v>13.044765426045242</v>
      </c>
      <c r="P12" s="824">
        <f>'F3.3'!G44</f>
        <v>20.001654326271442</v>
      </c>
      <c r="Q12" s="824">
        <f>SUM(O12:P12)</f>
        <v>33.04641975231668</v>
      </c>
      <c r="R12" s="1859"/>
      <c r="S12" s="1862"/>
      <c r="T12" s="1862"/>
      <c r="U12" s="1862"/>
      <c r="V12" s="1862"/>
      <c r="W12" s="1862"/>
      <c r="X12" s="1860"/>
    </row>
    <row r="13" spans="2:27" s="92" customFormat="1" ht="18.649999999999999" customHeight="1" x14ac:dyDescent="0.25">
      <c r="B13" s="174">
        <v>4</v>
      </c>
      <c r="C13" s="91" t="s">
        <v>174</v>
      </c>
      <c r="D13" s="175" t="s">
        <v>68</v>
      </c>
      <c r="E13" s="1858"/>
      <c r="F13" s="1859"/>
      <c r="G13" s="824">
        <f>'F3.4'!D21</f>
        <v>89.034145178514251</v>
      </c>
      <c r="H13" s="1859"/>
      <c r="I13" s="1858"/>
      <c r="J13" s="1859"/>
      <c r="K13" s="824">
        <f>'F3.4'!E21</f>
        <v>62.55137313622069</v>
      </c>
      <c r="L13" s="1859"/>
      <c r="M13" s="1858"/>
      <c r="N13" s="1859"/>
      <c r="O13" s="824">
        <f>'F3.4'!F21</f>
        <v>33.442205417540464</v>
      </c>
      <c r="P13" s="824">
        <f>'F3.4'!G21</f>
        <v>31.105547583242902</v>
      </c>
      <c r="Q13" s="824">
        <f>SUM(O13:P13)</f>
        <v>64.547753000783359</v>
      </c>
      <c r="R13" s="1859"/>
      <c r="S13" s="1863"/>
      <c r="T13" s="1863"/>
      <c r="U13" s="1863"/>
      <c r="V13" s="1863"/>
      <c r="W13" s="1863"/>
      <c r="X13" s="1860"/>
    </row>
    <row r="14" spans="2:27" s="92" customFormat="1" ht="18.649999999999999" customHeight="1" x14ac:dyDescent="0.25">
      <c r="B14" s="174">
        <v>5</v>
      </c>
      <c r="C14" s="550" t="s">
        <v>778</v>
      </c>
      <c r="D14" s="175"/>
      <c r="E14" s="1151"/>
      <c r="F14" s="562"/>
      <c r="G14" s="824"/>
      <c r="H14" s="562"/>
      <c r="I14" s="1151"/>
      <c r="J14" s="562">
        <f>K14</f>
        <v>16.570900378181779</v>
      </c>
      <c r="K14" s="824">
        <v>16.570900378181779</v>
      </c>
      <c r="L14" s="562"/>
      <c r="M14" s="1151"/>
      <c r="N14" s="562">
        <f>Q14</f>
        <v>17.292832237483033</v>
      </c>
      <c r="O14" s="824">
        <v>8.6464161187415165</v>
      </c>
      <c r="P14" s="824">
        <f>O14</f>
        <v>8.6464161187415165</v>
      </c>
      <c r="Q14" s="824">
        <f>SUM(O14:P14)</f>
        <v>17.292832237483033</v>
      </c>
      <c r="R14" s="562"/>
      <c r="S14" s="562">
        <f>'F3.1'!$K$13</f>
        <v>18.046215955016468</v>
      </c>
      <c r="T14" s="562">
        <f>'F3.1'!$M$13</f>
        <v>18.83242177005538</v>
      </c>
      <c r="U14" s="562">
        <f>'F3.1'!$O$13</f>
        <v>19.652879618049109</v>
      </c>
      <c r="V14" s="562">
        <f>'F3.1'!$Q$13</f>
        <v>20.509081731361114</v>
      </c>
      <c r="W14" s="562">
        <f>'F3.1'!$S$13</f>
        <v>21.402585353311409</v>
      </c>
      <c r="X14" s="1860"/>
    </row>
    <row r="15" spans="2:27" s="92" customFormat="1" ht="18.649999999999999" customHeight="1" x14ac:dyDescent="0.25">
      <c r="B15" s="174">
        <f>B14+1</f>
        <v>6</v>
      </c>
      <c r="C15" s="91" t="s">
        <v>176</v>
      </c>
      <c r="D15" s="175"/>
      <c r="E15" s="1152"/>
      <c r="F15" s="1152"/>
      <c r="G15" s="1152">
        <f>'F3.3'!D45+'F3.2'!D37</f>
        <v>0</v>
      </c>
      <c r="H15" s="1152">
        <f>G15-F15</f>
        <v>0</v>
      </c>
      <c r="I15" s="1152"/>
      <c r="J15" s="1152"/>
      <c r="K15" s="1152">
        <f>'F3.3'!E45+'F3.2'!E37</f>
        <v>0</v>
      </c>
      <c r="L15" s="1152">
        <f>K15-J15</f>
        <v>0</v>
      </c>
      <c r="M15" s="1152"/>
      <c r="N15" s="824"/>
      <c r="O15" s="1152">
        <f>'F3.3'!F45+'F3.2'!F37</f>
        <v>0</v>
      </c>
      <c r="P15" s="1152">
        <f>'F3.3'!G45+'F3.2'!G37</f>
        <v>0</v>
      </c>
      <c r="Q15" s="824">
        <f>O15+P15</f>
        <v>0</v>
      </c>
      <c r="R15" s="824">
        <f>Q15-N15</f>
        <v>0</v>
      </c>
      <c r="S15" s="824"/>
      <c r="T15" s="824"/>
      <c r="U15" s="824"/>
      <c r="V15" s="824"/>
      <c r="W15" s="824"/>
      <c r="X15" s="91"/>
    </row>
    <row r="16" spans="2:27" s="92" customFormat="1" ht="18.649999999999999" customHeight="1" x14ac:dyDescent="0.25">
      <c r="B16" s="174">
        <v>7</v>
      </c>
      <c r="C16" s="91" t="s">
        <v>579</v>
      </c>
      <c r="D16" s="175"/>
      <c r="E16" s="1152"/>
      <c r="F16" s="1152"/>
      <c r="G16" s="1152"/>
      <c r="H16" s="1152">
        <f>G16-F16</f>
        <v>0</v>
      </c>
      <c r="I16" s="1152"/>
      <c r="J16" s="1152"/>
      <c r="K16" s="1152"/>
      <c r="L16" s="1152">
        <f>K16-J16</f>
        <v>0</v>
      </c>
      <c r="M16" s="1152"/>
      <c r="N16" s="824"/>
      <c r="O16" s="824"/>
      <c r="P16" s="824"/>
      <c r="Q16" s="824">
        <f>O16+P16</f>
        <v>0</v>
      </c>
      <c r="R16" s="824">
        <f>Q16-N16</f>
        <v>0</v>
      </c>
      <c r="S16" s="824"/>
      <c r="T16" s="824"/>
      <c r="U16" s="824"/>
      <c r="V16" s="824"/>
      <c r="W16" s="824"/>
      <c r="X16" s="91"/>
    </row>
    <row r="17" spans="1:24" s="551" customFormat="1" ht="33.65" customHeight="1" x14ac:dyDescent="0.25">
      <c r="B17" s="174">
        <v>8</v>
      </c>
      <c r="C17" s="176" t="s">
        <v>389</v>
      </c>
      <c r="D17" s="177"/>
      <c r="E17" s="1153">
        <f>SUM(E11:E14)-E15+E16</f>
        <v>162.12025360492515</v>
      </c>
      <c r="F17" s="1153">
        <f>SUM(F11:F14)-F15+F16</f>
        <v>162.23377476541765</v>
      </c>
      <c r="G17" s="1153">
        <f>SUM(G11:G14)-G15+G16</f>
        <v>231.52353457908899</v>
      </c>
      <c r="H17" s="1153">
        <f t="shared" ref="H17:W17" si="1">SUM(H11:H14)-H15+H16</f>
        <v>69.289759813671338</v>
      </c>
      <c r="I17" s="1153">
        <f t="shared" si="1"/>
        <v>168.01126542537887</v>
      </c>
      <c r="J17" s="1153">
        <f t="shared" si="1"/>
        <v>184.75290292278444</v>
      </c>
      <c r="K17" s="1153">
        <f t="shared" si="1"/>
        <v>241.24001439943723</v>
      </c>
      <c r="L17" s="1153">
        <f t="shared" si="1"/>
        <v>56.487111476652785</v>
      </c>
      <c r="M17" s="1153">
        <f t="shared" si="1"/>
        <v>174.12161066241438</v>
      </c>
      <c r="N17" s="1153">
        <f t="shared" si="1"/>
        <v>191.64694678547784</v>
      </c>
      <c r="O17" s="1153">
        <f t="shared" si="1"/>
        <v>110.01708829294527</v>
      </c>
      <c r="P17" s="1153">
        <f t="shared" si="1"/>
        <v>128.56837900893177</v>
      </c>
      <c r="Q17" s="1153">
        <f t="shared" si="1"/>
        <v>238.58546730187703</v>
      </c>
      <c r="R17" s="1153">
        <f t="shared" si="1"/>
        <v>46.938520516399194</v>
      </c>
      <c r="S17" s="1153">
        <f>SUM(S11:S14)-S15+S16</f>
        <v>224.69621595501647</v>
      </c>
      <c r="T17" s="1153">
        <f t="shared" si="1"/>
        <v>234.43242177005538</v>
      </c>
      <c r="U17" s="1153">
        <f t="shared" si="1"/>
        <v>244.60287961804909</v>
      </c>
      <c r="V17" s="1153">
        <f t="shared" si="1"/>
        <v>255.2090817313611</v>
      </c>
      <c r="W17" s="1153">
        <f t="shared" si="1"/>
        <v>266.25258535331142</v>
      </c>
      <c r="X17" s="178"/>
    </row>
    <row r="18" spans="1:24" s="1" customFormat="1" ht="15.75" customHeight="1" x14ac:dyDescent="0.3">
      <c r="A18" s="5"/>
      <c r="B18" s="5"/>
      <c r="G18" s="596"/>
      <c r="H18" s="597"/>
      <c r="I18" s="597"/>
      <c r="J18" s="2"/>
      <c r="K18" s="596"/>
      <c r="L18" s="2"/>
      <c r="X18" s="5"/>
    </row>
    <row r="19" spans="1:24" x14ac:dyDescent="0.3">
      <c r="B19" s="1154"/>
      <c r="C19" s="1154" t="s">
        <v>36</v>
      </c>
      <c r="D19" s="1154" t="s">
        <v>508</v>
      </c>
      <c r="E19" s="1155" t="str">
        <f>S8</f>
        <v>FY 2025-26</v>
      </c>
      <c r="F19" s="1155" t="str">
        <f>T8</f>
        <v>FY 2026-27</v>
      </c>
      <c r="G19" s="1155" t="str">
        <f>U8</f>
        <v>FY 2027-28</v>
      </c>
      <c r="H19" s="1155" t="str">
        <f>V8</f>
        <v>FY 2028-29</v>
      </c>
      <c r="I19" s="1155" t="str">
        <f>W8</f>
        <v>FY 2029-30</v>
      </c>
      <c r="K19" s="590"/>
    </row>
    <row r="20" spans="1:24" ht="28" x14ac:dyDescent="0.3">
      <c r="B20" s="10"/>
      <c r="C20" s="1156" t="s">
        <v>1515</v>
      </c>
      <c r="D20" s="9"/>
      <c r="E20" s="9"/>
      <c r="F20" s="9"/>
      <c r="G20" s="9"/>
      <c r="H20" s="9"/>
      <c r="I20" s="9"/>
    </row>
    <row r="21" spans="1:24" x14ac:dyDescent="0.3">
      <c r="B21" s="9"/>
      <c r="C21" s="9" t="s">
        <v>1516</v>
      </c>
      <c r="D21" s="1073">
        <v>0</v>
      </c>
      <c r="E21" s="1073">
        <v>154.16</v>
      </c>
      <c r="F21" s="1073">
        <v>0</v>
      </c>
      <c r="G21" s="1073">
        <v>0</v>
      </c>
      <c r="H21" s="1073">
        <v>0</v>
      </c>
      <c r="I21" s="1073">
        <v>0</v>
      </c>
    </row>
    <row r="22" spans="1:24" x14ac:dyDescent="0.3">
      <c r="B22" s="9"/>
      <c r="C22" s="9" t="s">
        <v>1517</v>
      </c>
      <c r="D22" s="9"/>
      <c r="E22" s="9"/>
      <c r="F22" s="9"/>
      <c r="G22" s="9"/>
      <c r="H22" s="9"/>
      <c r="I22" s="9"/>
    </row>
    <row r="23" spans="1:24" x14ac:dyDescent="0.3">
      <c r="B23" s="40"/>
      <c r="C23" s="40" t="s">
        <v>1518</v>
      </c>
      <c r="D23" s="1205">
        <f>D21</f>
        <v>0</v>
      </c>
      <c r="E23" s="1157">
        <f>D23+SUM(E21:E22)</f>
        <v>154.16</v>
      </c>
      <c r="F23" s="1157">
        <f>E23+SUM(F21:F22)</f>
        <v>154.16</v>
      </c>
      <c r="G23" s="1157">
        <f>F23+SUM(G21:G22)</f>
        <v>154.16</v>
      </c>
      <c r="H23" s="1157">
        <f>G23+SUM(H21:H22)</f>
        <v>154.16</v>
      </c>
      <c r="I23" s="1157">
        <f>H23+SUM(I21:I22)</f>
        <v>154.16</v>
      </c>
    </row>
    <row r="24" spans="1:24" x14ac:dyDescent="0.3">
      <c r="A24" s="1146">
        <v>4.3299999999999998E-2</v>
      </c>
      <c r="B24" s="1158">
        <v>0.02</v>
      </c>
      <c r="C24" s="40" t="s">
        <v>1515</v>
      </c>
      <c r="D24" s="1157">
        <f>D23*$B$24*(59/365)</f>
        <v>0</v>
      </c>
      <c r="E24" s="1157">
        <f>E23*$B$24*274/365</f>
        <v>2.3145117808219182</v>
      </c>
      <c r="F24" s="1157">
        <f>F23*$B$24*(1+$A$24)</f>
        <v>3.2167025599999999</v>
      </c>
      <c r="G24" s="1157">
        <f>G23*$B$24*(1+$A$24)^2</f>
        <v>3.3559857808479996</v>
      </c>
      <c r="H24" s="1157">
        <f>H23*$B$24*(1+$A$24)^3</f>
        <v>3.5012999651587173</v>
      </c>
      <c r="I24" s="1157">
        <f>I23*$B$24*(1+$A$24)^4</f>
        <v>3.6529062536500905</v>
      </c>
    </row>
  </sheetData>
  <mergeCells count="29">
    <mergeCell ref="X7:X9"/>
    <mergeCell ref="X11:X14"/>
    <mergeCell ref="I7:L7"/>
    <mergeCell ref="M7:R7"/>
    <mergeCell ref="S7:W7"/>
    <mergeCell ref="I11:I13"/>
    <mergeCell ref="J11:J13"/>
    <mergeCell ref="L11:L13"/>
    <mergeCell ref="M11:M13"/>
    <mergeCell ref="N11:N13"/>
    <mergeCell ref="R11:R13"/>
    <mergeCell ref="S11:S13"/>
    <mergeCell ref="T11:T13"/>
    <mergeCell ref="U11:U13"/>
    <mergeCell ref="V11:V13"/>
    <mergeCell ref="W11:W13"/>
    <mergeCell ref="B2:L2"/>
    <mergeCell ref="B3:L3"/>
    <mergeCell ref="B4:L4"/>
    <mergeCell ref="N2:X2"/>
    <mergeCell ref="N3:X3"/>
    <mergeCell ref="N4:X4"/>
    <mergeCell ref="B7:B9"/>
    <mergeCell ref="E7:H7"/>
    <mergeCell ref="D7:D9"/>
    <mergeCell ref="C7:C9"/>
    <mergeCell ref="E11:E13"/>
    <mergeCell ref="F11:F13"/>
    <mergeCell ref="H11:H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22" activePane="bottomRight" state="frozen"/>
      <selection pane="topRight" activeCell="D1" sqref="D1"/>
      <selection pane="bottomLeft" activeCell="A10" sqref="A10"/>
      <selection pane="bottomRight" activeCell="E27" sqref="E27"/>
    </sheetView>
  </sheetViews>
  <sheetFormatPr defaultColWidth="9.36328125" defaultRowHeight="14" x14ac:dyDescent="0.3"/>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x14ac:dyDescent="0.3">
      <c r="B1" s="1758" t="str">
        <f>Index!B2</f>
        <v xml:space="preserve">      Maharashtra State Power Generation Company Ltd.</v>
      </c>
      <c r="C1" s="1758"/>
      <c r="D1" s="1758"/>
      <c r="E1" s="1758"/>
      <c r="F1" s="1758"/>
      <c r="G1" s="1758"/>
      <c r="H1" s="1758"/>
      <c r="I1" s="1758"/>
      <c r="J1" s="1758"/>
      <c r="K1" s="1758"/>
      <c r="L1" s="1758"/>
      <c r="M1" s="1758"/>
      <c r="N1" s="1758"/>
      <c r="O1" s="1758"/>
      <c r="P1" s="1758"/>
      <c r="Q1" s="1758"/>
      <c r="R1" s="1758"/>
      <c r="S1" s="226"/>
      <c r="T1" s="226"/>
      <c r="U1" s="185"/>
      <c r="V1" s="210"/>
    </row>
    <row r="2" spans="2:29" x14ac:dyDescent="0.3">
      <c r="B2" s="1758" t="str">
        <f>Index!B3</f>
        <v>MYT Petition Formats for Parli Units 6 &amp; 7</v>
      </c>
      <c r="C2" s="1758"/>
      <c r="D2" s="1758"/>
      <c r="E2" s="1758"/>
      <c r="F2" s="1758"/>
      <c r="G2" s="1758"/>
      <c r="H2" s="1758"/>
      <c r="I2" s="1758"/>
      <c r="J2" s="1758"/>
      <c r="K2" s="1758"/>
      <c r="L2" s="1758"/>
      <c r="M2" s="1758"/>
      <c r="N2" s="1758"/>
      <c r="O2" s="1758"/>
      <c r="P2" s="1758"/>
      <c r="Q2" s="1758"/>
      <c r="R2" s="1758"/>
      <c r="S2" s="227"/>
      <c r="T2" s="227"/>
      <c r="U2" s="65"/>
      <c r="V2" s="211"/>
    </row>
    <row r="3" spans="2:29" x14ac:dyDescent="0.3">
      <c r="B3" s="1759" t="s">
        <v>652</v>
      </c>
      <c r="C3" s="1759"/>
      <c r="D3" s="1759"/>
      <c r="E3" s="1759"/>
      <c r="F3" s="1759"/>
      <c r="G3" s="1759"/>
      <c r="H3" s="1759"/>
      <c r="I3" s="1759"/>
      <c r="J3" s="1759"/>
      <c r="K3" s="1759"/>
      <c r="L3" s="1759"/>
      <c r="M3" s="1759"/>
      <c r="N3" s="1759"/>
      <c r="O3" s="1759"/>
      <c r="P3" s="1759"/>
      <c r="Q3" s="1759"/>
      <c r="R3" s="1759"/>
      <c r="S3" s="227"/>
      <c r="T3" s="227"/>
      <c r="U3" s="65"/>
      <c r="V3" s="211"/>
    </row>
    <row r="4" spans="2:29" x14ac:dyDescent="0.3">
      <c r="B4" s="93"/>
      <c r="C4" s="93"/>
      <c r="D4" s="605"/>
      <c r="E4" s="93"/>
      <c r="F4" s="93"/>
      <c r="G4" s="93"/>
      <c r="H4" s="605"/>
      <c r="I4" s="93"/>
      <c r="J4" s="93"/>
      <c r="K4" s="288"/>
      <c r="L4" s="605"/>
      <c r="M4" s="288"/>
      <c r="N4" s="288"/>
      <c r="O4" s="288"/>
      <c r="P4" s="605"/>
      <c r="Q4" s="93"/>
      <c r="R4" s="93"/>
      <c r="S4" s="227"/>
      <c r="T4" s="227"/>
      <c r="U4" s="93"/>
      <c r="V4" s="211"/>
    </row>
    <row r="5" spans="2:29" s="2" customFormat="1" x14ac:dyDescent="0.3">
      <c r="B5" s="1869" t="s">
        <v>177</v>
      </c>
      <c r="C5" s="1869"/>
      <c r="D5" s="1869"/>
      <c r="E5" s="1869"/>
      <c r="F5" s="1869"/>
      <c r="G5" s="1869"/>
      <c r="H5" s="1869"/>
      <c r="I5" s="1869"/>
      <c r="J5" s="1869"/>
      <c r="K5" s="1869"/>
      <c r="L5" s="1869"/>
      <c r="M5" s="1869"/>
      <c r="N5" s="1869"/>
      <c r="O5" s="1869"/>
      <c r="P5" s="1869"/>
      <c r="Q5" s="1869"/>
      <c r="R5" s="1869"/>
      <c r="S5" s="1869"/>
      <c r="T5" s="1869"/>
      <c r="U5" s="1869"/>
      <c r="V5" s="746"/>
    </row>
    <row r="6" spans="2:29" x14ac:dyDescent="0.3">
      <c r="T6" s="21" t="s">
        <v>10</v>
      </c>
      <c r="V6" s="21"/>
    </row>
    <row r="7" spans="2:29" s="96" customFormat="1" ht="18" customHeight="1" x14ac:dyDescent="0.25">
      <c r="B7" s="1854" t="s">
        <v>339</v>
      </c>
      <c r="C7" s="1854" t="s">
        <v>36</v>
      </c>
      <c r="D7" s="1870" t="s">
        <v>1519</v>
      </c>
      <c r="E7" s="1871"/>
      <c r="F7" s="1871"/>
      <c r="G7" s="1871"/>
      <c r="H7" s="1872"/>
      <c r="I7" s="1854" t="s">
        <v>1520</v>
      </c>
      <c r="J7" s="1133" t="s">
        <v>1521</v>
      </c>
      <c r="K7" s="1855" t="s">
        <v>967</v>
      </c>
      <c r="L7" s="1855"/>
      <c r="M7" s="1855"/>
      <c r="N7" s="1855"/>
      <c r="O7" s="1855"/>
      <c r="P7" s="1855"/>
      <c r="Q7" s="1855"/>
      <c r="R7" s="1855"/>
      <c r="S7" s="1855"/>
      <c r="T7" s="1855"/>
      <c r="U7" s="1873" t="s">
        <v>26</v>
      </c>
      <c r="X7" s="551"/>
      <c r="Y7" s="551"/>
      <c r="Z7" s="1829"/>
      <c r="AA7" s="92"/>
      <c r="AB7" s="92"/>
      <c r="AC7" s="92"/>
    </row>
    <row r="8" spans="2:29" s="96" customFormat="1" ht="42" customHeight="1" x14ac:dyDescent="0.25">
      <c r="B8" s="1854"/>
      <c r="C8" s="1854"/>
      <c r="D8" s="1133" t="s">
        <v>324</v>
      </c>
      <c r="E8" s="1133" t="s">
        <v>504</v>
      </c>
      <c r="F8" s="1133" t="s">
        <v>505</v>
      </c>
      <c r="G8" s="1133" t="s">
        <v>506</v>
      </c>
      <c r="H8" s="1133" t="s">
        <v>507</v>
      </c>
      <c r="I8" s="1854"/>
      <c r="J8" s="1133" t="s">
        <v>508</v>
      </c>
      <c r="K8" s="1876" t="s">
        <v>968</v>
      </c>
      <c r="L8" s="1877"/>
      <c r="M8" s="1876" t="s">
        <v>969</v>
      </c>
      <c r="N8" s="1877"/>
      <c r="O8" s="1876" t="s">
        <v>970</v>
      </c>
      <c r="P8" s="1877"/>
      <c r="Q8" s="1876" t="s">
        <v>971</v>
      </c>
      <c r="R8" s="1877"/>
      <c r="S8" s="1876" t="s">
        <v>972</v>
      </c>
      <c r="T8" s="1877"/>
      <c r="U8" s="1874"/>
      <c r="V8" s="357"/>
      <c r="W8" s="357"/>
      <c r="X8" s="1821"/>
      <c r="Y8" s="1821"/>
      <c r="Z8" s="1829"/>
      <c r="AA8" s="92"/>
      <c r="AB8" s="92"/>
      <c r="AC8" s="92"/>
    </row>
    <row r="9" spans="2:29" s="96" customFormat="1" ht="16" customHeight="1" x14ac:dyDescent="0.25">
      <c r="B9" s="1854"/>
      <c r="C9" s="1854"/>
      <c r="D9" s="1128" t="s">
        <v>80</v>
      </c>
      <c r="E9" s="1128" t="s">
        <v>81</v>
      </c>
      <c r="F9" s="1128" t="s">
        <v>1522</v>
      </c>
      <c r="G9" s="1128" t="s">
        <v>390</v>
      </c>
      <c r="H9" s="1128" t="s">
        <v>1523</v>
      </c>
      <c r="I9" s="1128" t="s">
        <v>1524</v>
      </c>
      <c r="J9" s="1159" t="s">
        <v>409</v>
      </c>
      <c r="K9" s="1133" t="s">
        <v>987</v>
      </c>
      <c r="L9" s="1128" t="s">
        <v>21</v>
      </c>
      <c r="M9" s="1133" t="s">
        <v>987</v>
      </c>
      <c r="N9" s="1128" t="s">
        <v>21</v>
      </c>
      <c r="O9" s="1133" t="s">
        <v>987</v>
      </c>
      <c r="P9" s="1128" t="s">
        <v>21</v>
      </c>
      <c r="Q9" s="1133" t="s">
        <v>987</v>
      </c>
      <c r="R9" s="1128" t="s">
        <v>21</v>
      </c>
      <c r="S9" s="1133" t="s">
        <v>987</v>
      </c>
      <c r="T9" s="1128" t="s">
        <v>21</v>
      </c>
      <c r="U9" s="1875"/>
      <c r="V9" s="492" t="s">
        <v>412</v>
      </c>
      <c r="W9" s="493" t="s">
        <v>1018</v>
      </c>
      <c r="X9" s="1129"/>
      <c r="Y9" s="1130"/>
      <c r="Z9" s="1829"/>
      <c r="AA9" s="1167"/>
      <c r="AB9" s="1168"/>
      <c r="AC9" s="1173"/>
    </row>
    <row r="10" spans="2:29" s="2" customFormat="1" x14ac:dyDescent="0.3">
      <c r="B10" s="423">
        <v>1</v>
      </c>
      <c r="C10" s="91" t="s">
        <v>178</v>
      </c>
      <c r="D10" s="1885"/>
      <c r="E10" s="1881"/>
      <c r="F10" s="1881"/>
      <c r="G10" s="1881"/>
      <c r="H10" s="1888"/>
      <c r="I10" s="1881"/>
      <c r="J10" s="1884"/>
      <c r="K10" s="1880">
        <f>E51</f>
        <v>206.65</v>
      </c>
      <c r="L10" s="1880">
        <f>K10</f>
        <v>206.65</v>
      </c>
      <c r="M10" s="1880">
        <f>F51</f>
        <v>215.6</v>
      </c>
      <c r="N10" s="1880">
        <f>M10</f>
        <v>215.6</v>
      </c>
      <c r="O10" s="1880">
        <f>G51</f>
        <v>224.95</v>
      </c>
      <c r="P10" s="1880">
        <f>O10</f>
        <v>224.95</v>
      </c>
      <c r="Q10" s="1880">
        <f>H51</f>
        <v>234.7</v>
      </c>
      <c r="R10" s="1880">
        <f>Q10</f>
        <v>234.7</v>
      </c>
      <c r="S10" s="1880">
        <f>I51</f>
        <v>244.85</v>
      </c>
      <c r="T10" s="1880">
        <f>S10</f>
        <v>244.85</v>
      </c>
      <c r="U10" s="3"/>
      <c r="V10" s="747" t="s">
        <v>506</v>
      </c>
      <c r="W10" s="748">
        <v>4.8836443567319074E-2</v>
      </c>
      <c r="X10" s="424"/>
      <c r="Y10" s="692"/>
      <c r="Z10" s="424"/>
      <c r="AA10" s="337"/>
      <c r="AB10" s="1169"/>
      <c r="AC10" s="1169"/>
    </row>
    <row r="11" spans="2:29" s="358" customFormat="1" ht="29" customHeight="1" x14ac:dyDescent="0.3">
      <c r="B11" s="423">
        <f>B10+1</f>
        <v>2</v>
      </c>
      <c r="C11" s="545" t="s">
        <v>393</v>
      </c>
      <c r="D11" s="1886"/>
      <c r="E11" s="1882"/>
      <c r="F11" s="1882"/>
      <c r="G11" s="1882"/>
      <c r="H11" s="1889"/>
      <c r="I11" s="1882"/>
      <c r="J11" s="1884"/>
      <c r="K11" s="1880"/>
      <c r="L11" s="1880"/>
      <c r="M11" s="1880"/>
      <c r="N11" s="1880"/>
      <c r="O11" s="1880"/>
      <c r="P11" s="1880"/>
      <c r="Q11" s="1880"/>
      <c r="R11" s="1880"/>
      <c r="S11" s="1880"/>
      <c r="T11" s="1880"/>
      <c r="U11" s="599"/>
      <c r="V11" s="747" t="s">
        <v>507</v>
      </c>
      <c r="W11" s="752">
        <v>4.3566242197182838E-2</v>
      </c>
      <c r="X11" s="424"/>
      <c r="Y11" s="692"/>
      <c r="Z11" s="424"/>
      <c r="AA11" s="337"/>
      <c r="AB11" s="1174"/>
      <c r="AC11" s="1169"/>
    </row>
    <row r="12" spans="2:29" s="2" customFormat="1" x14ac:dyDescent="0.3">
      <c r="B12" s="423">
        <f t="shared" ref="B12:B16" si="0">B11+1</f>
        <v>3</v>
      </c>
      <c r="C12" s="91" t="s">
        <v>460</v>
      </c>
      <c r="D12" s="1886"/>
      <c r="E12" s="1882"/>
      <c r="F12" s="1882"/>
      <c r="G12" s="1882"/>
      <c r="H12" s="1889"/>
      <c r="I12" s="1882"/>
      <c r="J12" s="1884"/>
      <c r="K12" s="1880"/>
      <c r="L12" s="1880"/>
      <c r="M12" s="1880"/>
      <c r="N12" s="1880"/>
      <c r="O12" s="1880"/>
      <c r="P12" s="1880"/>
      <c r="Q12" s="1880"/>
      <c r="R12" s="1880"/>
      <c r="S12" s="1880"/>
      <c r="T12" s="1880"/>
      <c r="U12" s="599"/>
      <c r="V12" s="747" t="s">
        <v>508</v>
      </c>
      <c r="W12" s="749">
        <f>W11</f>
        <v>4.3566242197182838E-2</v>
      </c>
      <c r="X12" s="424"/>
      <c r="Y12" s="692"/>
      <c r="Z12" s="424"/>
      <c r="AA12" s="337"/>
      <c r="AB12" s="1170"/>
      <c r="AC12" s="1169"/>
    </row>
    <row r="13" spans="2:29" s="2" customFormat="1" x14ac:dyDescent="0.3">
      <c r="B13" s="423">
        <f t="shared" si="0"/>
        <v>4</v>
      </c>
      <c r="C13" s="553" t="s">
        <v>1017</v>
      </c>
      <c r="D13" s="1887"/>
      <c r="E13" s="1883"/>
      <c r="F13" s="1883"/>
      <c r="G13" s="1883"/>
      <c r="H13" s="1890"/>
      <c r="I13" s="1883"/>
      <c r="J13" s="1160"/>
      <c r="K13" s="491">
        <f>'F3'!Q14*(1+W$13)</f>
        <v>18.046215955016468</v>
      </c>
      <c r="L13" s="491">
        <f>K13</f>
        <v>18.046215955016468</v>
      </c>
      <c r="M13" s="491">
        <f>K13*(1+W$14)</f>
        <v>18.83242177005538</v>
      </c>
      <c r="N13" s="491">
        <f>M13</f>
        <v>18.83242177005538</v>
      </c>
      <c r="O13" s="491">
        <f>M13*(1+W$15)</f>
        <v>19.652879618049109</v>
      </c>
      <c r="P13" s="491">
        <f>O13</f>
        <v>19.652879618049109</v>
      </c>
      <c r="Q13" s="491">
        <f>O13*(1+W$16)</f>
        <v>20.509081731361114</v>
      </c>
      <c r="R13" s="491">
        <f>Q13</f>
        <v>20.509081731361114</v>
      </c>
      <c r="S13" s="1161">
        <f>Q13*(1+W$17)</f>
        <v>21.402585353311409</v>
      </c>
      <c r="T13" s="491">
        <f>S13</f>
        <v>21.402585353311409</v>
      </c>
      <c r="U13" s="599"/>
      <c r="V13" s="747" t="s">
        <v>968</v>
      </c>
      <c r="W13" s="556">
        <f>W12</f>
        <v>4.3566242197182838E-2</v>
      </c>
      <c r="X13" s="424"/>
      <c r="Y13" s="692"/>
      <c r="Z13" s="424"/>
      <c r="AA13" s="337"/>
      <c r="AB13" s="1170"/>
      <c r="AC13" s="1169"/>
    </row>
    <row r="14" spans="2:29" s="466" customFormat="1" x14ac:dyDescent="0.3">
      <c r="B14" s="423">
        <f t="shared" si="0"/>
        <v>5</v>
      </c>
      <c r="C14" s="178" t="s">
        <v>179</v>
      </c>
      <c r="D14" s="1162"/>
      <c r="E14" s="1162"/>
      <c r="F14" s="1162"/>
      <c r="G14" s="1162"/>
      <c r="H14" s="1162"/>
      <c r="I14" s="1162"/>
      <c r="J14" s="1162"/>
      <c r="K14" s="1162">
        <f t="shared" ref="K14:T14" si="1">SUM(K10:K13)</f>
        <v>224.69621595501647</v>
      </c>
      <c r="L14" s="1162">
        <f t="shared" si="1"/>
        <v>224.69621595501647</v>
      </c>
      <c r="M14" s="1162">
        <f t="shared" si="1"/>
        <v>234.43242177005538</v>
      </c>
      <c r="N14" s="1162">
        <f>SUM(N10:N13)</f>
        <v>234.43242177005538</v>
      </c>
      <c r="O14" s="1162">
        <f t="shared" si="1"/>
        <v>244.60287961804909</v>
      </c>
      <c r="P14" s="1162">
        <f t="shared" si="1"/>
        <v>244.60287961804909</v>
      </c>
      <c r="Q14" s="1162">
        <f t="shared" si="1"/>
        <v>255.2090817313611</v>
      </c>
      <c r="R14" s="1162">
        <f t="shared" si="1"/>
        <v>255.2090817313611</v>
      </c>
      <c r="S14" s="1162">
        <f t="shared" si="1"/>
        <v>266.25258535331142</v>
      </c>
      <c r="T14" s="1162">
        <f t="shared" si="1"/>
        <v>266.25258535331142</v>
      </c>
      <c r="U14" s="4"/>
      <c r="V14" s="747" t="s">
        <v>969</v>
      </c>
      <c r="W14" s="1163">
        <f>W12</f>
        <v>4.3566242197182838E-2</v>
      </c>
      <c r="X14" s="1171"/>
      <c r="Y14" s="1171"/>
      <c r="Z14" s="419"/>
      <c r="AA14" s="419"/>
      <c r="AB14" s="419"/>
      <c r="AC14" s="419"/>
    </row>
    <row r="15" spans="2:29" s="2" customFormat="1" x14ac:dyDescent="0.3">
      <c r="B15" s="423">
        <f t="shared" si="0"/>
        <v>6</v>
      </c>
      <c r="C15" s="91" t="s">
        <v>337</v>
      </c>
      <c r="D15" s="824"/>
      <c r="E15" s="824"/>
      <c r="F15" s="824"/>
      <c r="G15" s="824"/>
      <c r="H15" s="824"/>
      <c r="I15" s="1164"/>
      <c r="J15" s="91"/>
      <c r="K15" s="824"/>
      <c r="L15" s="824"/>
      <c r="M15" s="824"/>
      <c r="N15" s="824"/>
      <c r="O15" s="824"/>
      <c r="P15" s="824"/>
      <c r="Q15" s="824"/>
      <c r="R15" s="824"/>
      <c r="S15" s="824"/>
      <c r="T15" s="824"/>
      <c r="U15" s="3"/>
      <c r="V15" s="747" t="s">
        <v>970</v>
      </c>
      <c r="W15" s="1163">
        <f>W12</f>
        <v>4.3566242197182838E-2</v>
      </c>
      <c r="X15" s="1172"/>
      <c r="Y15" s="1172"/>
      <c r="Z15" s="11"/>
      <c r="AA15" s="11"/>
      <c r="AB15" s="11"/>
      <c r="AC15" s="11"/>
    </row>
    <row r="16" spans="2:29" x14ac:dyDescent="0.3">
      <c r="B16" s="423">
        <f t="shared" si="0"/>
        <v>7</v>
      </c>
      <c r="C16" s="545" t="s">
        <v>338</v>
      </c>
      <c r="D16" s="1165"/>
      <c r="E16" s="1165"/>
      <c r="F16" s="1165"/>
      <c r="G16" s="1165"/>
      <c r="H16" s="1165"/>
      <c r="I16" s="1166"/>
      <c r="J16" s="1165"/>
      <c r="K16" s="1165">
        <f t="shared" ref="K16:T16" si="2">SUM(K14:K15)</f>
        <v>224.69621595501647</v>
      </c>
      <c r="L16" s="1165">
        <f t="shared" si="2"/>
        <v>224.69621595501647</v>
      </c>
      <c r="M16" s="1165">
        <f t="shared" si="2"/>
        <v>234.43242177005538</v>
      </c>
      <c r="N16" s="1165">
        <f t="shared" si="2"/>
        <v>234.43242177005538</v>
      </c>
      <c r="O16" s="1165">
        <f t="shared" si="2"/>
        <v>244.60287961804909</v>
      </c>
      <c r="P16" s="1165">
        <f t="shared" si="2"/>
        <v>244.60287961804909</v>
      </c>
      <c r="Q16" s="1165">
        <f t="shared" si="2"/>
        <v>255.2090817313611</v>
      </c>
      <c r="R16" s="1165">
        <f t="shared" si="2"/>
        <v>255.2090817313611</v>
      </c>
      <c r="S16" s="1165">
        <f t="shared" si="2"/>
        <v>266.25258535331142</v>
      </c>
      <c r="T16" s="1165">
        <f t="shared" si="2"/>
        <v>266.25258535331142</v>
      </c>
      <c r="V16" s="747" t="s">
        <v>971</v>
      </c>
      <c r="W16" s="1163">
        <f>W12</f>
        <v>4.3566242197182838E-2</v>
      </c>
      <c r="X16" s="1171"/>
      <c r="Y16" s="1171"/>
      <c r="Z16" s="11"/>
      <c r="AA16" s="11"/>
      <c r="AB16" s="11"/>
      <c r="AC16" s="11"/>
    </row>
    <row r="17" spans="2:29" x14ac:dyDescent="0.3">
      <c r="C17" s="2"/>
      <c r="D17" s="2"/>
      <c r="E17" s="2"/>
      <c r="F17" s="2"/>
      <c r="G17" s="2"/>
      <c r="H17" s="2"/>
      <c r="I17" s="2"/>
      <c r="J17" s="2"/>
      <c r="K17" s="2"/>
      <c r="L17" s="2"/>
      <c r="M17" s="2"/>
      <c r="N17" s="2"/>
      <c r="O17" s="2"/>
      <c r="P17" s="2"/>
      <c r="Q17" s="2"/>
      <c r="R17" s="2"/>
      <c r="S17" s="2"/>
      <c r="V17" s="747" t="s">
        <v>972</v>
      </c>
      <c r="W17" s="1163">
        <f>W13</f>
        <v>4.3566242197182838E-2</v>
      </c>
      <c r="X17" s="11"/>
      <c r="Y17" s="11"/>
      <c r="Z17" s="11"/>
      <c r="AA17" s="11"/>
      <c r="AB17" s="11"/>
      <c r="AC17" s="11"/>
    </row>
    <row r="18" spans="2:29" x14ac:dyDescent="0.3">
      <c r="B18" s="44"/>
    </row>
    <row r="23" spans="2:29" x14ac:dyDescent="0.3">
      <c r="K23" s="21"/>
      <c r="L23" s="21"/>
      <c r="M23" s="21"/>
      <c r="N23" s="21"/>
      <c r="O23" s="21"/>
      <c r="P23" s="21"/>
      <c r="X23" s="21" t="s">
        <v>10</v>
      </c>
    </row>
    <row r="24" spans="2:29" ht="18" customHeight="1" x14ac:dyDescent="0.3">
      <c r="B24" s="1854" t="s">
        <v>339</v>
      </c>
      <c r="C24" s="1854" t="s">
        <v>36</v>
      </c>
      <c r="D24" s="1175"/>
      <c r="E24" s="1175"/>
      <c r="F24" s="1175"/>
      <c r="G24" s="1175"/>
      <c r="H24" s="1175"/>
      <c r="I24" s="1175"/>
      <c r="J24" s="1870" t="s">
        <v>1525</v>
      </c>
      <c r="K24" s="1871"/>
      <c r="L24" s="1871"/>
      <c r="M24" s="1871"/>
      <c r="N24" s="1872"/>
      <c r="O24" s="1176" t="s">
        <v>26</v>
      </c>
      <c r="P24" s="1181"/>
      <c r="Q24" s="1181"/>
      <c r="R24" s="1181"/>
      <c r="S24" s="1181"/>
      <c r="T24" s="57"/>
    </row>
    <row r="25" spans="2:29" ht="15" x14ac:dyDescent="0.3">
      <c r="B25" s="1854"/>
      <c r="C25" s="1864"/>
      <c r="D25" s="1864" t="s">
        <v>506</v>
      </c>
      <c r="E25" s="1864"/>
      <c r="F25" s="1864" t="s">
        <v>507</v>
      </c>
      <c r="G25" s="1864"/>
      <c r="H25" s="1864" t="s">
        <v>508</v>
      </c>
      <c r="I25" s="1864"/>
      <c r="J25" s="1134" t="s">
        <v>968</v>
      </c>
      <c r="K25" s="1127" t="s">
        <v>969</v>
      </c>
      <c r="L25" s="1127" t="s">
        <v>970</v>
      </c>
      <c r="M25" s="1127" t="s">
        <v>971</v>
      </c>
      <c r="N25" s="1127" t="s">
        <v>972</v>
      </c>
      <c r="O25" s="1177"/>
      <c r="P25" s="1182"/>
      <c r="Q25" s="1182"/>
      <c r="R25" s="1182"/>
      <c r="S25" s="1182"/>
      <c r="T25" s="57"/>
    </row>
    <row r="26" spans="2:29" x14ac:dyDescent="0.3">
      <c r="B26" s="1854"/>
      <c r="C26" s="1864"/>
      <c r="D26" s="1132" t="s">
        <v>966</v>
      </c>
      <c r="E26" s="1132" t="s">
        <v>7</v>
      </c>
      <c r="F26" s="1132" t="s">
        <v>966</v>
      </c>
      <c r="G26" s="1132" t="s">
        <v>7</v>
      </c>
      <c r="H26" s="1132" t="s">
        <v>966</v>
      </c>
      <c r="I26" s="1126" t="s">
        <v>21</v>
      </c>
      <c r="J26" s="1126" t="s">
        <v>21</v>
      </c>
      <c r="K26" s="1126" t="s">
        <v>21</v>
      </c>
      <c r="L26" s="1126" t="s">
        <v>21</v>
      </c>
      <c r="M26" s="1126" t="s">
        <v>21</v>
      </c>
      <c r="N26" s="1126" t="s">
        <v>21</v>
      </c>
      <c r="O26" s="1178"/>
      <c r="P26" s="1130"/>
      <c r="Q26" s="1130"/>
      <c r="R26" s="1130"/>
      <c r="S26" s="1130"/>
      <c r="T26" s="57"/>
    </row>
    <row r="27" spans="2:29" s="2" customFormat="1" x14ac:dyDescent="0.3">
      <c r="B27" s="464">
        <v>1</v>
      </c>
      <c r="C27" s="3" t="s">
        <v>573</v>
      </c>
      <c r="D27" s="1179">
        <v>13.62</v>
      </c>
      <c r="E27" s="1179">
        <v>15.2799575</v>
      </c>
      <c r="F27" s="1179">
        <v>13.62</v>
      </c>
      <c r="G27" s="1179">
        <v>37.994283340999999</v>
      </c>
      <c r="H27" s="1179">
        <v>13.62</v>
      </c>
      <c r="I27" s="1179">
        <v>37.994283340999999</v>
      </c>
      <c r="J27" s="823">
        <v>74.333333333333329</v>
      </c>
      <c r="K27" s="823">
        <v>74.333333333333329</v>
      </c>
      <c r="L27" s="823">
        <v>74.333333333333329</v>
      </c>
      <c r="M27" s="823">
        <v>74.333333333333329</v>
      </c>
      <c r="N27" s="823">
        <v>74.333333333333329</v>
      </c>
      <c r="O27" s="1180"/>
      <c r="P27" s="707"/>
      <c r="Q27" s="674"/>
      <c r="R27" s="707"/>
      <c r="S27" s="674"/>
      <c r="T27" s="11"/>
    </row>
    <row r="28" spans="2:29" x14ac:dyDescent="0.3">
      <c r="S28" s="587"/>
      <c r="T28" s="587"/>
    </row>
    <row r="29" spans="2:29" x14ac:dyDescent="0.3">
      <c r="B29" s="1" t="s">
        <v>712</v>
      </c>
    </row>
    <row r="31" spans="2:29" x14ac:dyDescent="0.3">
      <c r="B31" s="1865" t="s">
        <v>461</v>
      </c>
      <c r="C31" s="1865"/>
      <c r="D31" s="1865"/>
      <c r="E31" s="1865"/>
      <c r="F31" s="1865"/>
      <c r="G31" s="1865"/>
      <c r="H31" s="1865"/>
      <c r="I31" s="1865"/>
      <c r="J31" s="1865"/>
      <c r="K31" s="298"/>
      <c r="L31" s="608"/>
      <c r="M31" s="298"/>
      <c r="N31" s="298"/>
      <c r="O31" s="298"/>
      <c r="P31" s="608"/>
      <c r="Q31" s="130"/>
    </row>
    <row r="33" spans="2:25" ht="15" customHeight="1" x14ac:dyDescent="0.3">
      <c r="B33" s="1854" t="s">
        <v>339</v>
      </c>
      <c r="C33" s="1854" t="s">
        <v>36</v>
      </c>
      <c r="D33" s="1854" t="s">
        <v>180</v>
      </c>
      <c r="E33" s="1757" t="s">
        <v>967</v>
      </c>
      <c r="F33" s="1757"/>
      <c r="G33" s="1757"/>
      <c r="H33" s="1757"/>
      <c r="I33" s="1757"/>
      <c r="J33" s="1866" t="s">
        <v>26</v>
      </c>
      <c r="K33" s="57"/>
      <c r="L33" s="57"/>
      <c r="M33" s="57"/>
      <c r="N33" s="57"/>
      <c r="O33" s="57"/>
      <c r="P33" s="57"/>
      <c r="Q33" s="57"/>
      <c r="R33" s="1181"/>
      <c r="S33" s="1181"/>
      <c r="T33" s="1181"/>
      <c r="U33" s="1181"/>
      <c r="V33" s="1181"/>
      <c r="W33" s="1829"/>
      <c r="X33" s="57"/>
      <c r="Y33" s="57"/>
    </row>
    <row r="34" spans="2:25" ht="15" x14ac:dyDescent="0.3">
      <c r="B34" s="1854"/>
      <c r="C34" s="1864"/>
      <c r="D34" s="1864"/>
      <c r="E34" s="1127" t="s">
        <v>968</v>
      </c>
      <c r="F34" s="1127" t="s">
        <v>969</v>
      </c>
      <c r="G34" s="1127" t="s">
        <v>970</v>
      </c>
      <c r="H34" s="1127" t="s">
        <v>971</v>
      </c>
      <c r="I34" s="1127" t="s">
        <v>972</v>
      </c>
      <c r="J34" s="1866"/>
      <c r="K34" s="1130"/>
      <c r="L34" s="1130"/>
      <c r="M34" s="1130"/>
      <c r="N34" s="1130"/>
      <c r="O34" s="1130"/>
      <c r="P34" s="1130"/>
      <c r="Q34" s="1130"/>
      <c r="R34" s="1182"/>
      <c r="S34" s="1182"/>
      <c r="T34" s="1182"/>
      <c r="U34" s="1182"/>
      <c r="V34" s="1182"/>
      <c r="W34" s="1829"/>
      <c r="X34" s="667"/>
      <c r="Y34" s="667"/>
    </row>
    <row r="35" spans="2:25" x14ac:dyDescent="0.3">
      <c r="B35" s="1854"/>
      <c r="C35" s="1864"/>
      <c r="D35" s="1864"/>
      <c r="E35" s="1126" t="s">
        <v>21</v>
      </c>
      <c r="F35" s="1126" t="s">
        <v>21</v>
      </c>
      <c r="G35" s="1126" t="s">
        <v>21</v>
      </c>
      <c r="H35" s="1126" t="s">
        <v>21</v>
      </c>
      <c r="I35" s="1126" t="s">
        <v>21</v>
      </c>
      <c r="J35" s="1878"/>
      <c r="K35" s="1130"/>
      <c r="L35" s="1130"/>
      <c r="M35" s="1130"/>
      <c r="N35" s="1130"/>
      <c r="O35" s="1130"/>
      <c r="P35" s="1130"/>
      <c r="Q35" s="1130"/>
      <c r="R35" s="1130"/>
      <c r="S35" s="1130"/>
      <c r="T35" s="1130"/>
      <c r="U35" s="1130"/>
      <c r="V35" s="1130"/>
      <c r="W35" s="1879"/>
      <c r="X35" s="667"/>
      <c r="Y35" s="667"/>
    </row>
    <row r="36" spans="2:25" x14ac:dyDescent="0.3">
      <c r="B36" s="131" t="s">
        <v>171</v>
      </c>
      <c r="C36" s="109" t="s">
        <v>181</v>
      </c>
      <c r="D36" s="9"/>
      <c r="E36" s="9"/>
      <c r="F36" s="9"/>
      <c r="G36" s="9"/>
      <c r="H36" s="9"/>
      <c r="I36" s="268"/>
      <c r="J36" s="1183"/>
      <c r="K36" s="11"/>
      <c r="L36" s="11"/>
      <c r="M36" s="11"/>
      <c r="N36" s="11"/>
      <c r="O36" s="11"/>
      <c r="P36" s="11"/>
      <c r="Q36" s="11"/>
      <c r="R36" s="11"/>
      <c r="S36" s="11"/>
      <c r="T36" s="11"/>
      <c r="U36" s="11"/>
      <c r="V36" s="11"/>
      <c r="W36" s="11"/>
      <c r="X36" s="11"/>
      <c r="Y36" s="11"/>
    </row>
    <row r="37" spans="2:25" x14ac:dyDescent="0.3">
      <c r="B37" s="132">
        <v>1</v>
      </c>
      <c r="C37" s="3" t="s">
        <v>182</v>
      </c>
      <c r="D37" s="3" t="s">
        <v>464</v>
      </c>
      <c r="E37" s="1073">
        <v>41.33</v>
      </c>
      <c r="F37" s="9">
        <v>43.12</v>
      </c>
      <c r="G37" s="9">
        <v>44.99</v>
      </c>
      <c r="H37" s="9">
        <v>46.94</v>
      </c>
      <c r="I37" s="1184">
        <v>48.97</v>
      </c>
      <c r="J37" s="1183"/>
      <c r="K37" s="674"/>
      <c r="L37" s="674"/>
      <c r="M37" s="674"/>
      <c r="N37" s="674"/>
      <c r="O37" s="674"/>
      <c r="P37" s="674"/>
      <c r="Q37" s="674"/>
      <c r="R37" s="11"/>
      <c r="S37" s="11"/>
      <c r="T37" s="11"/>
      <c r="U37" s="11"/>
      <c r="V37" s="674"/>
      <c r="W37" s="11"/>
      <c r="X37" s="674"/>
      <c r="Y37" s="674"/>
    </row>
    <row r="38" spans="2:25" x14ac:dyDescent="0.3">
      <c r="B38" s="132">
        <v>2</v>
      </c>
      <c r="C38" s="3" t="s">
        <v>325</v>
      </c>
      <c r="D38" s="3" t="s">
        <v>464</v>
      </c>
      <c r="E38" s="1073">
        <v>30.24</v>
      </c>
      <c r="F38" s="9">
        <v>31.35</v>
      </c>
      <c r="G38" s="9">
        <v>32.49</v>
      </c>
      <c r="H38" s="9">
        <v>33.659999999999997</v>
      </c>
      <c r="I38" s="1184">
        <v>34.86</v>
      </c>
      <c r="J38" s="1183"/>
      <c r="K38" s="674"/>
      <c r="L38" s="674"/>
      <c r="M38" s="674"/>
      <c r="N38" s="674"/>
      <c r="O38" s="674"/>
      <c r="P38" s="674"/>
      <c r="Q38" s="674"/>
      <c r="R38" s="11"/>
      <c r="S38" s="11"/>
      <c r="T38" s="11"/>
      <c r="U38" s="11"/>
      <c r="V38" s="674"/>
      <c r="W38" s="11"/>
      <c r="X38" s="674"/>
      <c r="Y38" s="674"/>
    </row>
    <row r="39" spans="2:25" x14ac:dyDescent="0.3">
      <c r="B39" s="132">
        <v>3</v>
      </c>
      <c r="C39" s="3" t="s">
        <v>183</v>
      </c>
      <c r="D39" s="3" t="s">
        <v>464</v>
      </c>
      <c r="E39" s="1073">
        <v>28.6</v>
      </c>
      <c r="F39" s="9">
        <v>31.1</v>
      </c>
      <c r="G39" s="9">
        <v>31.68</v>
      </c>
      <c r="H39" s="9">
        <v>33.340000000000003</v>
      </c>
      <c r="I39" s="1184">
        <v>35.090000000000003</v>
      </c>
      <c r="J39" s="1183"/>
      <c r="K39" s="674"/>
      <c r="L39" s="674"/>
      <c r="M39" s="674"/>
      <c r="N39" s="674"/>
      <c r="O39" s="674"/>
      <c r="P39" s="674"/>
      <c r="Q39" s="674"/>
      <c r="R39" s="11"/>
      <c r="S39" s="11"/>
      <c r="T39" s="11"/>
      <c r="U39" s="11"/>
      <c r="V39" s="674"/>
      <c r="W39" s="11"/>
      <c r="X39" s="674"/>
      <c r="Y39" s="674"/>
    </row>
    <row r="40" spans="2:25" x14ac:dyDescent="0.3">
      <c r="B40" s="132">
        <v>4</v>
      </c>
      <c r="C40" s="3" t="s">
        <v>580</v>
      </c>
      <c r="D40" s="3" t="s">
        <v>464</v>
      </c>
      <c r="E40" s="9">
        <v>24.21</v>
      </c>
      <c r="F40" s="9">
        <v>25.26</v>
      </c>
      <c r="G40" s="9">
        <v>26.36</v>
      </c>
      <c r="H40" s="9">
        <v>27.5</v>
      </c>
      <c r="I40" s="1184">
        <v>28.69</v>
      </c>
      <c r="J40" s="1183"/>
      <c r="K40" s="674"/>
      <c r="L40" s="674"/>
      <c r="M40" s="674"/>
      <c r="N40" s="674"/>
      <c r="O40" s="674"/>
      <c r="P40" s="674"/>
      <c r="Q40" s="674"/>
      <c r="R40" s="11"/>
      <c r="S40" s="11"/>
      <c r="T40" s="11"/>
      <c r="U40" s="11"/>
      <c r="V40" s="674"/>
      <c r="W40" s="11"/>
      <c r="X40" s="674"/>
      <c r="Y40" s="674"/>
    </row>
    <row r="41" spans="2:25" x14ac:dyDescent="0.3">
      <c r="B41" s="132">
        <v>5</v>
      </c>
      <c r="C41" s="3" t="s">
        <v>581</v>
      </c>
      <c r="D41" s="3" t="s">
        <v>464</v>
      </c>
      <c r="E41" s="9"/>
      <c r="F41" s="9"/>
      <c r="G41" s="9"/>
      <c r="H41" s="9"/>
      <c r="I41" s="1184"/>
      <c r="J41" s="1183"/>
      <c r="K41" s="674"/>
      <c r="L41" s="674"/>
      <c r="M41" s="674"/>
      <c r="N41" s="674"/>
      <c r="O41" s="674"/>
      <c r="P41" s="674"/>
      <c r="Q41" s="674"/>
      <c r="R41" s="11"/>
      <c r="S41" s="11"/>
      <c r="T41" s="11"/>
      <c r="U41" s="11"/>
      <c r="V41" s="674"/>
      <c r="W41" s="11"/>
      <c r="X41" s="674"/>
      <c r="Y41" s="674"/>
    </row>
    <row r="42" spans="2:25" x14ac:dyDescent="0.3">
      <c r="B42" s="132"/>
      <c r="C42" s="3"/>
      <c r="D42" s="3"/>
      <c r="E42" s="9"/>
      <c r="F42" s="9"/>
      <c r="G42" s="9"/>
      <c r="H42" s="9"/>
      <c r="I42" s="1184"/>
      <c r="J42" s="1183"/>
      <c r="K42" s="674"/>
      <c r="L42" s="674"/>
      <c r="M42" s="674"/>
      <c r="N42" s="674"/>
      <c r="O42" s="674"/>
      <c r="P42" s="674"/>
      <c r="Q42" s="674"/>
      <c r="R42" s="11"/>
      <c r="S42" s="11"/>
      <c r="T42" s="11"/>
      <c r="U42" s="11"/>
      <c r="V42" s="674"/>
      <c r="W42" s="11"/>
      <c r="X42" s="674"/>
      <c r="Y42" s="674"/>
    </row>
    <row r="43" spans="2:25" x14ac:dyDescent="0.3">
      <c r="B43" s="131" t="s">
        <v>184</v>
      </c>
      <c r="C43" s="602" t="s">
        <v>462</v>
      </c>
      <c r="D43" s="3"/>
      <c r="E43" s="9"/>
      <c r="F43" s="9"/>
      <c r="G43" s="9"/>
      <c r="H43" s="9"/>
      <c r="I43" s="1184"/>
      <c r="J43" s="1183"/>
      <c r="K43" s="674"/>
      <c r="L43" s="674"/>
      <c r="M43" s="674"/>
      <c r="N43" s="674"/>
      <c r="O43" s="674"/>
      <c r="P43" s="674"/>
      <c r="Q43" s="674"/>
      <c r="R43" s="11"/>
      <c r="S43" s="11"/>
      <c r="T43" s="11"/>
      <c r="U43" s="11"/>
      <c r="V43" s="674"/>
      <c r="W43" s="11"/>
      <c r="X43" s="674"/>
      <c r="Y43" s="674"/>
    </row>
    <row r="44" spans="2:25" x14ac:dyDescent="0.3">
      <c r="B44" s="132">
        <v>1</v>
      </c>
      <c r="C44" s="3" t="s">
        <v>182</v>
      </c>
      <c r="D44" s="3" t="s">
        <v>96</v>
      </c>
      <c r="E44" s="9">
        <f>2*250</f>
        <v>500</v>
      </c>
      <c r="F44" s="9">
        <f t="shared" ref="F44:I44" si="3">2*250</f>
        <v>500</v>
      </c>
      <c r="G44" s="9">
        <f t="shared" si="3"/>
        <v>500</v>
      </c>
      <c r="H44" s="9">
        <f t="shared" si="3"/>
        <v>500</v>
      </c>
      <c r="I44" s="9">
        <f t="shared" si="3"/>
        <v>500</v>
      </c>
      <c r="J44" s="1183"/>
      <c r="K44" s="674"/>
      <c r="L44" s="674"/>
      <c r="M44" s="674"/>
      <c r="N44" s="674"/>
      <c r="O44" s="674"/>
      <c r="P44" s="674"/>
      <c r="Q44" s="674"/>
      <c r="R44" s="11"/>
      <c r="S44" s="11"/>
      <c r="T44" s="11"/>
      <c r="U44" s="11"/>
      <c r="V44" s="674"/>
      <c r="W44" s="11"/>
      <c r="X44" s="674"/>
      <c r="Y44" s="674"/>
    </row>
    <row r="45" spans="2:25" x14ac:dyDescent="0.3">
      <c r="B45" s="132">
        <v>2</v>
      </c>
      <c r="C45" s="3" t="s">
        <v>325</v>
      </c>
      <c r="D45" s="3" t="s">
        <v>96</v>
      </c>
      <c r="E45" s="9"/>
      <c r="F45" s="9"/>
      <c r="G45" s="9"/>
      <c r="H45" s="9"/>
      <c r="I45" s="1184"/>
      <c r="J45" s="1183"/>
      <c r="K45" s="674"/>
      <c r="L45" s="674"/>
      <c r="M45" s="674"/>
      <c r="N45" s="674"/>
      <c r="O45" s="674"/>
      <c r="P45" s="674"/>
      <c r="Q45" s="674"/>
      <c r="R45" s="11"/>
      <c r="S45" s="11"/>
      <c r="T45" s="11"/>
      <c r="U45" s="11"/>
      <c r="V45" s="674"/>
      <c r="W45" s="11"/>
      <c r="X45" s="674"/>
      <c r="Y45" s="674"/>
    </row>
    <row r="46" spans="2:25" x14ac:dyDescent="0.3">
      <c r="B46" s="132">
        <v>3</v>
      </c>
      <c r="C46" s="3" t="s">
        <v>183</v>
      </c>
      <c r="D46" s="3" t="s">
        <v>96</v>
      </c>
      <c r="E46" s="9"/>
      <c r="F46" s="9"/>
      <c r="G46" s="9"/>
      <c r="H46" s="9"/>
      <c r="I46" s="1184"/>
      <c r="J46" s="1183"/>
      <c r="K46" s="674"/>
      <c r="L46" s="674"/>
      <c r="M46" s="674"/>
      <c r="N46" s="674"/>
      <c r="O46" s="674"/>
      <c r="P46" s="674"/>
      <c r="Q46" s="674"/>
      <c r="R46" s="11"/>
      <c r="S46" s="11"/>
      <c r="T46" s="11"/>
      <c r="U46" s="11"/>
      <c r="V46" s="674"/>
      <c r="W46" s="11"/>
      <c r="X46" s="674"/>
      <c r="Y46" s="674"/>
    </row>
    <row r="47" spans="2:25" x14ac:dyDescent="0.3">
      <c r="B47" s="132">
        <v>4</v>
      </c>
      <c r="C47" s="3" t="s">
        <v>582</v>
      </c>
      <c r="D47" s="3" t="s">
        <v>96</v>
      </c>
      <c r="E47" s="9"/>
      <c r="F47" s="9"/>
      <c r="G47" s="9"/>
      <c r="H47" s="9"/>
      <c r="I47" s="1184"/>
      <c r="J47" s="1183"/>
      <c r="K47" s="674"/>
      <c r="L47" s="674"/>
      <c r="M47" s="674"/>
      <c r="N47" s="674"/>
      <c r="O47" s="674"/>
      <c r="P47" s="674"/>
      <c r="Q47" s="674"/>
      <c r="R47" s="11"/>
      <c r="S47" s="11"/>
      <c r="T47" s="11"/>
      <c r="U47" s="11"/>
      <c r="V47" s="674"/>
      <c r="W47" s="11"/>
      <c r="X47" s="674"/>
      <c r="Y47" s="674"/>
    </row>
    <row r="48" spans="2:25" x14ac:dyDescent="0.3">
      <c r="B48" s="132">
        <v>5</v>
      </c>
      <c r="C48" s="3" t="s">
        <v>581</v>
      </c>
      <c r="D48" s="3" t="s">
        <v>96</v>
      </c>
      <c r="E48" s="9"/>
      <c r="F48" s="9"/>
      <c r="G48" s="9"/>
      <c r="H48" s="9"/>
      <c r="I48" s="1184"/>
      <c r="J48" s="1183"/>
      <c r="K48" s="674"/>
      <c r="L48" s="674"/>
      <c r="M48" s="674"/>
      <c r="N48" s="674"/>
      <c r="O48" s="674"/>
      <c r="P48" s="674"/>
      <c r="Q48" s="674"/>
      <c r="R48" s="11"/>
      <c r="S48" s="11"/>
      <c r="T48" s="11"/>
      <c r="U48" s="11"/>
      <c r="V48" s="674"/>
      <c r="W48" s="11"/>
      <c r="X48" s="674"/>
      <c r="Y48" s="674"/>
    </row>
    <row r="49" spans="2:25" x14ac:dyDescent="0.3">
      <c r="B49" s="132"/>
      <c r="C49" s="3"/>
      <c r="D49" s="3"/>
      <c r="E49" s="9"/>
      <c r="F49" s="9"/>
      <c r="G49" s="9"/>
      <c r="H49" s="9"/>
      <c r="I49" s="1184"/>
      <c r="J49" s="1183"/>
      <c r="K49" s="674"/>
      <c r="L49" s="674"/>
      <c r="M49" s="674"/>
      <c r="N49" s="674"/>
      <c r="O49" s="674"/>
      <c r="P49" s="674"/>
      <c r="Q49" s="674"/>
      <c r="R49" s="11"/>
      <c r="S49" s="11"/>
      <c r="T49" s="11"/>
      <c r="U49" s="11"/>
      <c r="V49" s="674"/>
      <c r="W49" s="11"/>
      <c r="X49" s="674"/>
      <c r="Y49" s="674"/>
    </row>
    <row r="50" spans="2:25" x14ac:dyDescent="0.3">
      <c r="B50" s="131" t="s">
        <v>185</v>
      </c>
      <c r="C50" s="602" t="s">
        <v>463</v>
      </c>
      <c r="D50" s="3"/>
      <c r="E50" s="9"/>
      <c r="F50" s="9"/>
      <c r="G50" s="9"/>
      <c r="H50" s="9"/>
      <c r="I50" s="1184"/>
      <c r="J50" s="1183"/>
      <c r="K50" s="674"/>
      <c r="L50" s="674"/>
      <c r="M50" s="674"/>
      <c r="N50" s="674"/>
      <c r="O50" s="674"/>
      <c r="P50" s="674"/>
      <c r="Q50" s="674"/>
      <c r="R50" s="11"/>
      <c r="S50" s="11"/>
      <c r="T50" s="11"/>
      <c r="U50" s="11"/>
      <c r="V50" s="674"/>
      <c r="W50" s="11"/>
      <c r="X50" s="674"/>
      <c r="Y50" s="674"/>
    </row>
    <row r="51" spans="2:25" x14ac:dyDescent="0.3">
      <c r="B51" s="132">
        <v>1</v>
      </c>
      <c r="C51" s="3" t="s">
        <v>182</v>
      </c>
      <c r="D51" s="3" t="s">
        <v>441</v>
      </c>
      <c r="E51" s="1073">
        <f>E37*E44/100</f>
        <v>206.65</v>
      </c>
      <c r="F51" s="1073">
        <f t="shared" ref="F51:I51" si="4">F37*F44/100</f>
        <v>215.6</v>
      </c>
      <c r="G51" s="1073">
        <f t="shared" si="4"/>
        <v>224.95</v>
      </c>
      <c r="H51" s="1073">
        <f t="shared" si="4"/>
        <v>234.7</v>
      </c>
      <c r="I51" s="1073">
        <f t="shared" si="4"/>
        <v>244.85</v>
      </c>
      <c r="J51" s="1183"/>
      <c r="K51" s="674"/>
      <c r="L51" s="674"/>
      <c r="M51" s="674"/>
      <c r="N51" s="674"/>
      <c r="O51" s="674"/>
      <c r="P51" s="674"/>
      <c r="Q51" s="674"/>
      <c r="R51" s="11"/>
      <c r="S51" s="11"/>
      <c r="T51" s="11"/>
      <c r="U51" s="11"/>
      <c r="V51" s="674"/>
      <c r="W51" s="11"/>
      <c r="X51" s="674"/>
      <c r="Y51" s="674"/>
    </row>
    <row r="52" spans="2:25" x14ac:dyDescent="0.3">
      <c r="B52" s="132">
        <v>2</v>
      </c>
      <c r="C52" s="3" t="s">
        <v>325</v>
      </c>
      <c r="D52" s="3" t="s">
        <v>441</v>
      </c>
      <c r="E52" s="9"/>
      <c r="F52" s="9"/>
      <c r="G52" s="9"/>
      <c r="H52" s="9"/>
      <c r="I52" s="1184"/>
      <c r="J52" s="1183"/>
      <c r="K52" s="674"/>
      <c r="L52" s="674"/>
      <c r="M52" s="674"/>
      <c r="N52" s="674"/>
      <c r="O52" s="674"/>
      <c r="P52" s="674"/>
      <c r="Q52" s="674"/>
      <c r="R52" s="11"/>
      <c r="S52" s="11"/>
      <c r="T52" s="11"/>
      <c r="U52" s="11"/>
      <c r="V52" s="674"/>
      <c r="W52" s="11"/>
      <c r="X52" s="674"/>
      <c r="Y52" s="674"/>
    </row>
    <row r="53" spans="2:25" x14ac:dyDescent="0.3">
      <c r="B53" s="132">
        <v>3</v>
      </c>
      <c r="C53" s="3" t="s">
        <v>183</v>
      </c>
      <c r="D53" s="3" t="s">
        <v>441</v>
      </c>
      <c r="E53" s="9"/>
      <c r="F53" s="9"/>
      <c r="G53" s="9"/>
      <c r="H53" s="9"/>
      <c r="I53" s="1184"/>
      <c r="J53" s="1183"/>
      <c r="K53" s="674"/>
      <c r="L53" s="674"/>
      <c r="M53" s="674"/>
      <c r="N53" s="674"/>
      <c r="O53" s="674"/>
      <c r="P53" s="674"/>
      <c r="Q53" s="674"/>
      <c r="R53" s="11"/>
      <c r="S53" s="11"/>
      <c r="T53" s="11"/>
      <c r="U53" s="11"/>
      <c r="V53" s="674"/>
      <c r="W53" s="11"/>
      <c r="X53" s="674"/>
      <c r="Y53" s="674"/>
    </row>
    <row r="54" spans="2:25" x14ac:dyDescent="0.3">
      <c r="B54" s="132">
        <v>4</v>
      </c>
      <c r="C54" s="3" t="s">
        <v>582</v>
      </c>
      <c r="D54" s="3" t="s">
        <v>441</v>
      </c>
      <c r="E54" s="9"/>
      <c r="F54" s="9"/>
      <c r="G54" s="9"/>
      <c r="H54" s="9"/>
      <c r="I54" s="1184"/>
      <c r="J54" s="1183"/>
      <c r="K54" s="674"/>
      <c r="L54" s="674"/>
      <c r="M54" s="674"/>
      <c r="N54" s="674"/>
      <c r="O54" s="674"/>
      <c r="P54" s="674"/>
      <c r="Q54" s="674"/>
      <c r="R54" s="11"/>
      <c r="S54" s="11"/>
      <c r="T54" s="11"/>
      <c r="U54" s="11"/>
      <c r="V54" s="674"/>
      <c r="W54" s="11"/>
      <c r="X54" s="674"/>
      <c r="Y54" s="674"/>
    </row>
    <row r="55" spans="2:25" x14ac:dyDescent="0.3">
      <c r="B55" s="132">
        <v>5</v>
      </c>
      <c r="C55" s="3" t="s">
        <v>581</v>
      </c>
      <c r="D55" s="3" t="s">
        <v>441</v>
      </c>
      <c r="E55" s="9"/>
      <c r="F55" s="9"/>
      <c r="G55" s="9"/>
      <c r="H55" s="9"/>
      <c r="I55" s="1184"/>
      <c r="J55" s="1183"/>
      <c r="K55" s="674"/>
      <c r="L55" s="674"/>
      <c r="M55" s="674"/>
      <c r="N55" s="674"/>
      <c r="O55" s="674"/>
      <c r="P55" s="674"/>
      <c r="Q55" s="674"/>
      <c r="R55" s="11"/>
      <c r="S55" s="11"/>
      <c r="T55" s="11"/>
      <c r="U55" s="11"/>
      <c r="V55" s="674"/>
      <c r="W55" s="11"/>
      <c r="X55" s="674"/>
      <c r="Y55" s="674"/>
    </row>
    <row r="56" spans="2:25" x14ac:dyDescent="0.3">
      <c r="B56" s="50"/>
      <c r="C56" s="5"/>
      <c r="D56" s="5"/>
      <c r="E56" s="5"/>
      <c r="F56" s="5"/>
      <c r="G56" s="5"/>
      <c r="H56" s="5"/>
      <c r="I56" s="5"/>
      <c r="J56" s="5"/>
      <c r="K56" s="5"/>
      <c r="L56" s="5"/>
      <c r="M56" s="5"/>
      <c r="N56" s="5"/>
      <c r="O56" s="5"/>
      <c r="P56" s="5"/>
      <c r="Q56" s="5"/>
    </row>
    <row r="59" spans="2:25" x14ac:dyDescent="0.3">
      <c r="B59" s="1865" t="s">
        <v>574</v>
      </c>
      <c r="C59" s="1865"/>
      <c r="D59" s="1865"/>
      <c r="E59" s="1865"/>
      <c r="F59" s="1865"/>
      <c r="G59" s="1865"/>
      <c r="H59" s="1865"/>
      <c r="I59" s="1865"/>
      <c r="J59" s="1865"/>
      <c r="K59" s="298"/>
      <c r="L59" s="608"/>
      <c r="M59" s="298"/>
      <c r="N59" s="298"/>
      <c r="O59" s="298"/>
      <c r="P59" s="608"/>
    </row>
    <row r="60" spans="2:25" x14ac:dyDescent="0.3">
      <c r="K60" s="21"/>
      <c r="L60" s="21"/>
      <c r="M60" s="21"/>
      <c r="N60" s="21"/>
      <c r="O60" s="21"/>
      <c r="P60" s="21"/>
      <c r="T60" s="21" t="s">
        <v>10</v>
      </c>
    </row>
    <row r="61" spans="2:25" ht="15" x14ac:dyDescent="0.3">
      <c r="B61" s="1854" t="s">
        <v>339</v>
      </c>
      <c r="C61" s="1854" t="s">
        <v>36</v>
      </c>
      <c r="D61" s="1866" t="s">
        <v>506</v>
      </c>
      <c r="E61" s="1867"/>
      <c r="F61" s="1868"/>
      <c r="G61" s="1866" t="s">
        <v>507</v>
      </c>
      <c r="H61" s="1867"/>
      <c r="I61" s="1868"/>
      <c r="J61" s="1866" t="s">
        <v>508</v>
      </c>
      <c r="K61" s="1867"/>
      <c r="L61" s="1867"/>
      <c r="M61" s="1867"/>
      <c r="N61" s="1868"/>
      <c r="O61" s="1757" t="s">
        <v>967</v>
      </c>
      <c r="P61" s="1757"/>
      <c r="Q61" s="1757"/>
      <c r="R61" s="1757"/>
      <c r="S61" s="1757"/>
      <c r="T61" s="1769" t="s">
        <v>26</v>
      </c>
    </row>
    <row r="62" spans="2:25" ht="42" x14ac:dyDescent="0.3">
      <c r="B62" s="1854"/>
      <c r="C62" s="1864"/>
      <c r="D62" s="300" t="s">
        <v>448</v>
      </c>
      <c r="E62" s="295" t="s">
        <v>78</v>
      </c>
      <c r="F62" s="295" t="s">
        <v>449</v>
      </c>
      <c r="G62" s="300" t="s">
        <v>448</v>
      </c>
      <c r="H62" s="295" t="s">
        <v>78</v>
      </c>
      <c r="I62" s="295" t="s">
        <v>449</v>
      </c>
      <c r="J62" s="295" t="s">
        <v>448</v>
      </c>
      <c r="K62" s="295" t="s">
        <v>443</v>
      </c>
      <c r="L62" s="295" t="s">
        <v>447</v>
      </c>
      <c r="M62" s="295" t="s">
        <v>79</v>
      </c>
      <c r="N62" s="295" t="s">
        <v>450</v>
      </c>
      <c r="O62" s="672" t="s">
        <v>968</v>
      </c>
      <c r="P62" s="672" t="s">
        <v>969</v>
      </c>
      <c r="Q62" s="672" t="s">
        <v>970</v>
      </c>
      <c r="R62" s="672" t="s">
        <v>971</v>
      </c>
      <c r="S62" s="672" t="s">
        <v>972</v>
      </c>
      <c r="T62" s="1769"/>
    </row>
    <row r="63" spans="2:25" x14ac:dyDescent="0.3">
      <c r="B63" s="1854"/>
      <c r="C63" s="1864"/>
      <c r="D63" s="295" t="s">
        <v>80</v>
      </c>
      <c r="E63" s="295" t="s">
        <v>81</v>
      </c>
      <c r="F63" s="295" t="s">
        <v>676</v>
      </c>
      <c r="G63" s="295" t="s">
        <v>390</v>
      </c>
      <c r="H63" s="295" t="s">
        <v>408</v>
      </c>
      <c r="I63" s="295" t="s">
        <v>454</v>
      </c>
      <c r="J63" s="661" t="s">
        <v>409</v>
      </c>
      <c r="K63" s="661" t="s">
        <v>410</v>
      </c>
      <c r="L63" s="661" t="s">
        <v>589</v>
      </c>
      <c r="M63" s="661" t="s">
        <v>677</v>
      </c>
      <c r="N63" s="661" t="s">
        <v>503</v>
      </c>
      <c r="O63" s="660" t="s">
        <v>21</v>
      </c>
      <c r="P63" s="660" t="s">
        <v>21</v>
      </c>
      <c r="Q63" s="660" t="s">
        <v>21</v>
      </c>
      <c r="R63" s="660" t="s">
        <v>21</v>
      </c>
      <c r="S63" s="660" t="s">
        <v>21</v>
      </c>
      <c r="T63" s="1770"/>
    </row>
    <row r="64" spans="2:25" x14ac:dyDescent="0.3">
      <c r="B64" s="165">
        <v>1</v>
      </c>
      <c r="C64" s="38" t="s">
        <v>575</v>
      </c>
      <c r="D64" s="346"/>
      <c r="E64" s="443"/>
      <c r="F64" s="346">
        <f>E64-D64</f>
        <v>0</v>
      </c>
      <c r="G64" s="346"/>
      <c r="H64" s="346"/>
      <c r="I64" s="346">
        <f>H64-G64</f>
        <v>0</v>
      </c>
      <c r="J64" s="346"/>
      <c r="K64" s="346"/>
      <c r="L64" s="346"/>
      <c r="M64" s="346">
        <f>K64+L64</f>
        <v>0</v>
      </c>
      <c r="N64" s="346">
        <f>M64-J64</f>
        <v>0</v>
      </c>
      <c r="O64" s="346"/>
      <c r="P64" s="346"/>
      <c r="Q64" s="346"/>
      <c r="R64" s="346"/>
      <c r="S64" s="9"/>
      <c r="T64" s="346"/>
    </row>
    <row r="65" spans="2:20" x14ac:dyDescent="0.3">
      <c r="B65" s="132">
        <v>2</v>
      </c>
      <c r="C65" s="9" t="s">
        <v>576</v>
      </c>
      <c r="D65" s="346"/>
      <c r="E65" s="443"/>
      <c r="F65" s="346">
        <f>E65-D65</f>
        <v>0</v>
      </c>
      <c r="G65" s="346"/>
      <c r="H65" s="346"/>
      <c r="I65" s="346">
        <f>H65-G65</f>
        <v>0</v>
      </c>
      <c r="J65" s="346"/>
      <c r="K65" s="346"/>
      <c r="L65" s="346"/>
      <c r="M65" s="346">
        <f>K65+L65</f>
        <v>0</v>
      </c>
      <c r="N65" s="346">
        <f>M65-J65</f>
        <v>0</v>
      </c>
      <c r="O65" s="346"/>
      <c r="P65" s="346"/>
      <c r="Q65" s="346"/>
      <c r="R65" s="346"/>
      <c r="S65" s="9"/>
      <c r="T65" s="346"/>
    </row>
    <row r="66" spans="2:20" x14ac:dyDescent="0.3">
      <c r="B66" s="132">
        <v>3</v>
      </c>
      <c r="C66" s="9" t="s">
        <v>577</v>
      </c>
      <c r="D66" s="346"/>
      <c r="E66" s="443"/>
      <c r="F66" s="346">
        <f>E66-D66</f>
        <v>0</v>
      </c>
      <c r="G66" s="346"/>
      <c r="H66" s="346"/>
      <c r="I66" s="346">
        <f>H66-G66</f>
        <v>0</v>
      </c>
      <c r="J66" s="346"/>
      <c r="K66" s="346"/>
      <c r="L66" s="346"/>
      <c r="M66" s="346">
        <f>K66+L66</f>
        <v>0</v>
      </c>
      <c r="N66" s="346">
        <f>M66-J66</f>
        <v>0</v>
      </c>
      <c r="O66" s="346"/>
      <c r="P66" s="346"/>
      <c r="Q66" s="346"/>
      <c r="R66" s="346"/>
      <c r="S66" s="9"/>
      <c r="T66" s="346"/>
    </row>
    <row r="67" spans="2:20" x14ac:dyDescent="0.3">
      <c r="B67" s="132" t="s">
        <v>475</v>
      </c>
      <c r="C67" s="9"/>
      <c r="D67" s="346"/>
      <c r="E67" s="443"/>
      <c r="F67" s="346">
        <f>E67-D67</f>
        <v>0</v>
      </c>
      <c r="G67" s="346"/>
      <c r="H67" s="346"/>
      <c r="I67" s="346">
        <f>H67-G67</f>
        <v>0</v>
      </c>
      <c r="J67" s="346"/>
      <c r="K67" s="346"/>
      <c r="L67" s="346"/>
      <c r="M67" s="346">
        <f>K67+L67</f>
        <v>0</v>
      </c>
      <c r="N67" s="346">
        <f>M67-J67</f>
        <v>0</v>
      </c>
      <c r="O67" s="346"/>
      <c r="P67" s="346"/>
      <c r="Q67" s="346"/>
      <c r="R67" s="346"/>
      <c r="S67" s="9"/>
      <c r="T67" s="346"/>
    </row>
  </sheetData>
  <mergeCells count="55">
    <mergeCell ref="D10:D13"/>
    <mergeCell ref="E10:E13"/>
    <mergeCell ref="F10:F13"/>
    <mergeCell ref="G10:G13"/>
    <mergeCell ref="H10:H13"/>
    <mergeCell ref="W33:W35"/>
    <mergeCell ref="S10:S12"/>
    <mergeCell ref="T10:T12"/>
    <mergeCell ref="D25:E25"/>
    <mergeCell ref="F25:G25"/>
    <mergeCell ref="H25:I25"/>
    <mergeCell ref="I10:I13"/>
    <mergeCell ref="J10:J12"/>
    <mergeCell ref="P10:P12"/>
    <mergeCell ref="Q10:Q12"/>
    <mergeCell ref="R10:R12"/>
    <mergeCell ref="O10:O12"/>
    <mergeCell ref="N10:N12"/>
    <mergeCell ref="L10:L12"/>
    <mergeCell ref="K10:K12"/>
    <mergeCell ref="M10:M12"/>
    <mergeCell ref="T61:T63"/>
    <mergeCell ref="J24:N24"/>
    <mergeCell ref="O61:S61"/>
    <mergeCell ref="J61:N61"/>
    <mergeCell ref="E33:I33"/>
    <mergeCell ref="J33:J35"/>
    <mergeCell ref="Z7:Z9"/>
    <mergeCell ref="X8:Y8"/>
    <mergeCell ref="K7:T7"/>
    <mergeCell ref="U7:U9"/>
    <mergeCell ref="K8:L8"/>
    <mergeCell ref="M8:N8"/>
    <mergeCell ref="O8:P8"/>
    <mergeCell ref="Q8:R8"/>
    <mergeCell ref="S8:T8"/>
    <mergeCell ref="B1:R1"/>
    <mergeCell ref="B2:R2"/>
    <mergeCell ref="B3:R3"/>
    <mergeCell ref="B5:U5"/>
    <mergeCell ref="B7:B9"/>
    <mergeCell ref="C7:C9"/>
    <mergeCell ref="D7:H7"/>
    <mergeCell ref="I7:I8"/>
    <mergeCell ref="B24:B26"/>
    <mergeCell ref="C24:C26"/>
    <mergeCell ref="B61:B63"/>
    <mergeCell ref="C61:C63"/>
    <mergeCell ref="B59:J59"/>
    <mergeCell ref="B31:J31"/>
    <mergeCell ref="B33:B35"/>
    <mergeCell ref="C33:C35"/>
    <mergeCell ref="D33:D35"/>
    <mergeCell ref="D61:F61"/>
    <mergeCell ref="G61:I61"/>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M79"/>
  <sheetViews>
    <sheetView showGridLines="0" view="pageBreakPreview" zoomScale="75" zoomScaleNormal="75" zoomScaleSheetLayoutView="75" workbookViewId="0">
      <pane xSplit="3" ySplit="10" topLeftCell="D53" activePane="bottomRight" state="frozen"/>
      <selection activeCell="G26" sqref="G26"/>
      <selection pane="topRight" activeCell="G26" sqref="G26"/>
      <selection pane="bottomLeft" activeCell="G26" sqref="G26"/>
      <selection pane="bottomRight" activeCell="J55" sqref="J55"/>
    </sheetView>
  </sheetViews>
  <sheetFormatPr defaultColWidth="9.36328125" defaultRowHeight="14" x14ac:dyDescent="0.25"/>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3" x14ac:dyDescent="0.25">
      <c r="B2" s="1758" t="str">
        <f>Index!B2</f>
        <v xml:space="preserve">      Maharashtra State Power Generation Company Ltd.</v>
      </c>
      <c r="C2" s="1811"/>
      <c r="D2" s="1811"/>
      <c r="E2" s="1811"/>
      <c r="F2" s="1811"/>
      <c r="G2" s="1811"/>
      <c r="H2" s="1811"/>
      <c r="I2" s="666"/>
      <c r="J2" s="666"/>
      <c r="K2" s="666"/>
      <c r="L2" s="666"/>
      <c r="M2" s="666"/>
    </row>
    <row r="3" spans="2:13" s="5" customFormat="1" x14ac:dyDescent="0.3">
      <c r="B3" s="1758" t="str">
        <f>Index!B3</f>
        <v>MYT Petition Formats for Parli Units 6 &amp; 7</v>
      </c>
      <c r="C3" s="1811"/>
      <c r="D3" s="1811"/>
      <c r="E3" s="1811"/>
      <c r="F3" s="1811"/>
      <c r="G3" s="1811"/>
      <c r="H3" s="1811"/>
      <c r="I3" s="666"/>
      <c r="J3" s="666"/>
      <c r="K3" s="666"/>
      <c r="L3" s="666"/>
      <c r="M3" s="666"/>
    </row>
    <row r="4" spans="2:13" s="5" customFormat="1" x14ac:dyDescent="0.3">
      <c r="B4" s="1759" t="s">
        <v>186</v>
      </c>
      <c r="C4" s="1811"/>
      <c r="D4" s="1811"/>
      <c r="E4" s="1811"/>
      <c r="F4" s="1811"/>
      <c r="G4" s="1811"/>
      <c r="H4" s="1811"/>
      <c r="I4" s="666"/>
      <c r="J4" s="666"/>
      <c r="K4" s="666"/>
      <c r="L4" s="666"/>
      <c r="M4" s="666"/>
    </row>
    <row r="5" spans="2:13" s="5" customFormat="1" x14ac:dyDescent="0.3">
      <c r="C5" s="19"/>
      <c r="D5" s="19"/>
      <c r="E5" s="19"/>
      <c r="F5" s="18"/>
      <c r="G5" s="18"/>
      <c r="H5" s="18"/>
      <c r="I5" s="18"/>
      <c r="J5" s="18"/>
      <c r="K5" s="18"/>
      <c r="L5" s="18"/>
      <c r="M5" s="18"/>
    </row>
    <row r="6" spans="2:13" x14ac:dyDescent="0.25">
      <c r="B6" s="22" t="s">
        <v>187</v>
      </c>
    </row>
    <row r="7" spans="2:13" x14ac:dyDescent="0.25">
      <c r="H7" s="21" t="s">
        <v>10</v>
      </c>
      <c r="I7" s="21"/>
      <c r="J7" s="21"/>
      <c r="K7" s="21"/>
      <c r="L7" s="21"/>
    </row>
    <row r="8" spans="2:13" ht="12.75" customHeight="1" x14ac:dyDescent="0.25">
      <c r="B8" s="1763" t="s">
        <v>6</v>
      </c>
      <c r="C8" s="1763" t="s">
        <v>36</v>
      </c>
      <c r="D8" s="135" t="s">
        <v>506</v>
      </c>
      <c r="E8" s="291" t="s">
        <v>507</v>
      </c>
      <c r="F8" s="1752" t="s">
        <v>508</v>
      </c>
      <c r="G8" s="1752"/>
      <c r="H8" s="1752"/>
      <c r="I8" s="57"/>
      <c r="J8" s="1891"/>
    </row>
    <row r="9" spans="2:13" ht="28" x14ac:dyDescent="0.25">
      <c r="B9" s="1763"/>
      <c r="C9" s="1763"/>
      <c r="D9" s="135" t="s">
        <v>78</v>
      </c>
      <c r="E9" s="291" t="s">
        <v>78</v>
      </c>
      <c r="F9" s="186" t="s">
        <v>444</v>
      </c>
      <c r="G9" s="205" t="s">
        <v>447</v>
      </c>
      <c r="H9" s="135" t="s">
        <v>79</v>
      </c>
      <c r="I9" s="12"/>
      <c r="J9" s="1891"/>
    </row>
    <row r="10" spans="2:13" x14ac:dyDescent="0.25">
      <c r="B10" s="1892"/>
      <c r="C10" s="1763"/>
      <c r="D10" s="135" t="s">
        <v>80</v>
      </c>
      <c r="E10" s="291" t="s">
        <v>81</v>
      </c>
      <c r="F10" s="135" t="s">
        <v>390</v>
      </c>
      <c r="G10" s="135" t="s">
        <v>391</v>
      </c>
      <c r="H10" s="135" t="s">
        <v>392</v>
      </c>
      <c r="I10" s="12"/>
      <c r="J10" s="1891"/>
    </row>
    <row r="11" spans="2:13" x14ac:dyDescent="0.3">
      <c r="B11" s="99">
        <v>1</v>
      </c>
      <c r="C11" s="9" t="s">
        <v>188</v>
      </c>
      <c r="D11" s="346">
        <v>56.190093034232795</v>
      </c>
      <c r="E11" s="346">
        <v>57.320553873999998</v>
      </c>
      <c r="F11" s="346">
        <v>29.794445296070503</v>
      </c>
      <c r="G11" s="346">
        <v>33.809952258924625</v>
      </c>
      <c r="H11" s="307">
        <f t="shared" ref="H11:H35" si="0">F11+G11</f>
        <v>63.604397554995131</v>
      </c>
      <c r="I11" s="64"/>
      <c r="J11" s="64"/>
    </row>
    <row r="12" spans="2:13" x14ac:dyDescent="0.3">
      <c r="B12" s="99">
        <v>2</v>
      </c>
      <c r="C12" s="9" t="s">
        <v>189</v>
      </c>
      <c r="D12" s="346">
        <v>17.234855953743999</v>
      </c>
      <c r="E12" s="346">
        <v>18.894865374000002</v>
      </c>
      <c r="F12" s="346">
        <v>11.842309514686265</v>
      </c>
      <c r="G12" s="346">
        <v>13.659788357812594</v>
      </c>
      <c r="H12" s="307">
        <f t="shared" si="0"/>
        <v>25.502097872498858</v>
      </c>
      <c r="I12" s="64"/>
      <c r="J12" s="64"/>
    </row>
    <row r="13" spans="2:13" x14ac:dyDescent="0.25">
      <c r="B13" s="99">
        <v>3</v>
      </c>
      <c r="C13" s="24" t="s">
        <v>828</v>
      </c>
      <c r="D13" s="307">
        <v>5.5490794748691989</v>
      </c>
      <c r="E13" s="307">
        <v>5.7463081279999999</v>
      </c>
      <c r="F13" s="307">
        <v>2.773023366608423</v>
      </c>
      <c r="G13" s="307">
        <v>4.2046956891415359</v>
      </c>
      <c r="H13" s="307">
        <f t="shared" si="0"/>
        <v>6.9777190557499589</v>
      </c>
      <c r="I13" s="64"/>
      <c r="J13" s="64"/>
    </row>
    <row r="14" spans="2:13" x14ac:dyDescent="0.3">
      <c r="B14" s="99">
        <v>4</v>
      </c>
      <c r="C14" s="9" t="s">
        <v>190</v>
      </c>
      <c r="D14" s="346"/>
      <c r="E14" s="346"/>
      <c r="F14" s="346"/>
      <c r="G14" s="346"/>
      <c r="H14" s="307">
        <f t="shared" si="0"/>
        <v>0</v>
      </c>
      <c r="I14" s="64"/>
      <c r="J14" s="64"/>
    </row>
    <row r="15" spans="2:13" x14ac:dyDescent="0.3">
      <c r="B15" s="99">
        <v>5</v>
      </c>
      <c r="C15" s="9" t="s">
        <v>191</v>
      </c>
      <c r="D15" s="346"/>
      <c r="E15" s="346"/>
      <c r="F15" s="346"/>
      <c r="G15" s="346"/>
      <c r="H15" s="307">
        <f t="shared" si="0"/>
        <v>0</v>
      </c>
      <c r="I15" s="64"/>
      <c r="J15" s="64"/>
    </row>
    <row r="16" spans="2:13" x14ac:dyDescent="0.25">
      <c r="B16" s="99">
        <v>6</v>
      </c>
      <c r="C16" s="24" t="s">
        <v>192</v>
      </c>
      <c r="D16" s="307">
        <v>7.5935531319492506</v>
      </c>
      <c r="E16" s="307">
        <v>17.664465549712265</v>
      </c>
      <c r="F16" s="307">
        <v>3.7487015200659997</v>
      </c>
      <c r="G16" s="307">
        <v>4.3240272783960005</v>
      </c>
      <c r="H16" s="307">
        <f t="shared" si="0"/>
        <v>8.0727287984620002</v>
      </c>
      <c r="I16" s="64"/>
      <c r="J16" s="64"/>
    </row>
    <row r="17" spans="2:10" x14ac:dyDescent="0.3">
      <c r="B17" s="99">
        <v>7</v>
      </c>
      <c r="C17" s="9" t="s">
        <v>193</v>
      </c>
      <c r="D17" s="346"/>
      <c r="E17" s="346"/>
      <c r="F17" s="346"/>
      <c r="G17" s="346"/>
      <c r="H17" s="307">
        <f t="shared" si="0"/>
        <v>0</v>
      </c>
      <c r="I17" s="64"/>
      <c r="J17" s="64"/>
    </row>
    <row r="18" spans="2:10" x14ac:dyDescent="0.3">
      <c r="B18" s="99">
        <v>8</v>
      </c>
      <c r="C18" s="9" t="s">
        <v>194</v>
      </c>
      <c r="D18" s="346"/>
      <c r="E18" s="346"/>
      <c r="F18" s="346"/>
      <c r="G18" s="346"/>
      <c r="H18" s="307">
        <f t="shared" si="0"/>
        <v>0</v>
      </c>
      <c r="I18" s="64"/>
      <c r="J18" s="64"/>
    </row>
    <row r="19" spans="2:10" x14ac:dyDescent="0.3">
      <c r="B19" s="99">
        <v>9</v>
      </c>
      <c r="C19" s="9" t="s">
        <v>195</v>
      </c>
      <c r="D19" s="346"/>
      <c r="E19" s="346"/>
      <c r="F19" s="346"/>
      <c r="G19" s="346"/>
      <c r="H19" s="307">
        <f t="shared" si="0"/>
        <v>0</v>
      </c>
      <c r="I19" s="64"/>
      <c r="J19" s="64"/>
    </row>
    <row r="20" spans="2:10" x14ac:dyDescent="0.3">
      <c r="B20" s="99">
        <v>10</v>
      </c>
      <c r="C20" s="9" t="s">
        <v>196</v>
      </c>
      <c r="D20" s="346"/>
      <c r="E20" s="346"/>
      <c r="F20" s="346"/>
      <c r="G20" s="346"/>
      <c r="H20" s="307">
        <f t="shared" si="0"/>
        <v>0</v>
      </c>
      <c r="I20" s="64"/>
      <c r="J20" s="64"/>
    </row>
    <row r="21" spans="2:10" x14ac:dyDescent="0.3">
      <c r="B21" s="99">
        <v>11</v>
      </c>
      <c r="C21" s="9" t="s">
        <v>197</v>
      </c>
      <c r="D21" s="346"/>
      <c r="E21" s="346"/>
      <c r="F21" s="346"/>
      <c r="G21" s="346"/>
      <c r="H21" s="307">
        <f t="shared" si="0"/>
        <v>0</v>
      </c>
      <c r="I21" s="64"/>
      <c r="J21" s="64"/>
    </row>
    <row r="22" spans="2:10" x14ac:dyDescent="0.3">
      <c r="B22" s="99">
        <v>12</v>
      </c>
      <c r="C22" s="9" t="s">
        <v>198</v>
      </c>
      <c r="D22" s="346">
        <v>4.0312766223343992</v>
      </c>
      <c r="E22" s="346">
        <v>1.7665835653333335</v>
      </c>
      <c r="F22" s="346">
        <v>0.34830433714285719</v>
      </c>
      <c r="G22" s="346">
        <v>1.434122766857143</v>
      </c>
      <c r="H22" s="307">
        <f t="shared" si="0"/>
        <v>1.7824271040000002</v>
      </c>
      <c r="I22" s="64"/>
      <c r="J22" s="64"/>
    </row>
    <row r="23" spans="2:10" x14ac:dyDescent="0.3">
      <c r="B23" s="99">
        <v>13</v>
      </c>
      <c r="C23" s="9" t="s">
        <v>199</v>
      </c>
      <c r="D23" s="346"/>
      <c r="E23" s="346"/>
      <c r="F23" s="346"/>
      <c r="G23" s="346"/>
      <c r="H23" s="307">
        <f t="shared" si="0"/>
        <v>0</v>
      </c>
      <c r="I23" s="64"/>
      <c r="J23" s="64"/>
    </row>
    <row r="24" spans="2:10" x14ac:dyDescent="0.3">
      <c r="B24" s="99">
        <v>14</v>
      </c>
      <c r="C24" s="9" t="s">
        <v>200</v>
      </c>
      <c r="D24" s="346"/>
      <c r="E24" s="346"/>
      <c r="F24" s="346"/>
      <c r="G24" s="346"/>
      <c r="H24" s="307">
        <f t="shared" si="0"/>
        <v>0</v>
      </c>
      <c r="I24" s="64"/>
      <c r="J24" s="64"/>
    </row>
    <row r="25" spans="2:10" x14ac:dyDescent="0.3">
      <c r="B25" s="99">
        <v>15</v>
      </c>
      <c r="C25" s="9" t="s">
        <v>201</v>
      </c>
      <c r="D25" s="346"/>
      <c r="E25" s="346"/>
      <c r="F25" s="346"/>
      <c r="G25" s="346"/>
      <c r="H25" s="307">
        <f t="shared" si="0"/>
        <v>0</v>
      </c>
      <c r="I25" s="64"/>
      <c r="J25" s="64"/>
    </row>
    <row r="26" spans="2:10" x14ac:dyDescent="0.3">
      <c r="B26" s="99">
        <v>16</v>
      </c>
      <c r="C26" s="9" t="s">
        <v>202</v>
      </c>
      <c r="D26" s="346"/>
      <c r="E26" s="346"/>
      <c r="F26" s="346"/>
      <c r="G26" s="346"/>
      <c r="H26" s="307">
        <f t="shared" si="0"/>
        <v>0</v>
      </c>
      <c r="I26" s="64"/>
      <c r="J26" s="64"/>
    </row>
    <row r="27" spans="2:10" x14ac:dyDescent="0.3">
      <c r="B27" s="99">
        <v>17</v>
      </c>
      <c r="C27" s="9" t="s">
        <v>203</v>
      </c>
      <c r="D27" s="346"/>
      <c r="E27" s="346"/>
      <c r="F27" s="346"/>
      <c r="G27" s="346"/>
      <c r="H27" s="307">
        <f t="shared" si="0"/>
        <v>0</v>
      </c>
      <c r="I27" s="64"/>
      <c r="J27" s="64"/>
    </row>
    <row r="28" spans="2:10" x14ac:dyDescent="0.3">
      <c r="B28" s="99">
        <v>18</v>
      </c>
      <c r="C28" s="9" t="s">
        <v>204</v>
      </c>
      <c r="D28" s="346"/>
      <c r="E28" s="346"/>
      <c r="F28" s="346"/>
      <c r="G28" s="346"/>
      <c r="H28" s="307">
        <f t="shared" si="0"/>
        <v>0</v>
      </c>
      <c r="I28" s="64"/>
      <c r="J28" s="64"/>
    </row>
    <row r="29" spans="2:10" x14ac:dyDescent="0.3">
      <c r="B29" s="99">
        <f>+B28+0.1</f>
        <v>18.100000000000001</v>
      </c>
      <c r="C29" s="9" t="s">
        <v>205</v>
      </c>
      <c r="D29" s="346">
        <v>7.1366470904399995</v>
      </c>
      <c r="E29" s="346">
        <v>7.2558734000000005</v>
      </c>
      <c r="F29" s="346">
        <v>3.8894943432000004</v>
      </c>
      <c r="G29" s="346">
        <v>3.8912985432000013</v>
      </c>
      <c r="H29" s="307">
        <f t="shared" si="0"/>
        <v>7.7807928864000022</v>
      </c>
      <c r="I29" s="64"/>
      <c r="J29" s="64"/>
    </row>
    <row r="30" spans="2:10" x14ac:dyDescent="0.3">
      <c r="B30" s="99">
        <f>+B29+0.1</f>
        <v>18.200000000000003</v>
      </c>
      <c r="C30" s="9" t="s">
        <v>206</v>
      </c>
      <c r="D30" s="346"/>
      <c r="E30" s="346"/>
      <c r="F30" s="346"/>
      <c r="G30" s="346"/>
      <c r="H30" s="307">
        <f t="shared" si="0"/>
        <v>0</v>
      </c>
      <c r="I30" s="64"/>
      <c r="J30" s="64"/>
    </row>
    <row r="31" spans="2:10" x14ac:dyDescent="0.3">
      <c r="B31" s="99">
        <f>+B30+0.1</f>
        <v>18.300000000000004</v>
      </c>
      <c r="C31" s="9" t="s">
        <v>207</v>
      </c>
      <c r="D31" s="346"/>
      <c r="E31" s="346"/>
      <c r="F31" s="346"/>
      <c r="G31" s="346"/>
      <c r="H31" s="307">
        <f t="shared" si="0"/>
        <v>0</v>
      </c>
      <c r="I31" s="64"/>
      <c r="J31" s="64"/>
    </row>
    <row r="32" spans="2:10" x14ac:dyDescent="0.3">
      <c r="B32" s="99">
        <f>+B31+0.1</f>
        <v>18.400000000000006</v>
      </c>
      <c r="C32" s="9" t="s">
        <v>208</v>
      </c>
      <c r="D32" s="346">
        <v>5.3593392475602499</v>
      </c>
      <c r="E32" s="346">
        <v>13.974123404320176</v>
      </c>
      <c r="F32" s="346">
        <v>0.99952242670000069</v>
      </c>
      <c r="G32" s="346">
        <v>5.9971345602000046</v>
      </c>
      <c r="H32" s="307">
        <f t="shared" si="0"/>
        <v>6.996656986900005</v>
      </c>
      <c r="I32" s="64"/>
      <c r="J32" s="64"/>
    </row>
    <row r="33" spans="2:13" x14ac:dyDescent="0.3">
      <c r="B33" s="99">
        <v>19</v>
      </c>
      <c r="C33" s="9" t="s">
        <v>209</v>
      </c>
      <c r="D33" s="443">
        <v>6.219686703260674E-2</v>
      </c>
      <c r="E33" s="443">
        <v>0</v>
      </c>
      <c r="F33" s="443">
        <v>0</v>
      </c>
      <c r="G33" s="443">
        <v>0</v>
      </c>
      <c r="H33" s="307">
        <f t="shared" si="0"/>
        <v>0</v>
      </c>
      <c r="I33" s="64"/>
      <c r="J33" s="64"/>
    </row>
    <row r="34" spans="2:13" s="315" customFormat="1" x14ac:dyDescent="0.3">
      <c r="B34" s="237">
        <v>20</v>
      </c>
      <c r="C34" s="3" t="s">
        <v>804</v>
      </c>
      <c r="D34" s="443">
        <v>2.5487774872372002</v>
      </c>
      <c r="E34" s="443">
        <v>2.155557296</v>
      </c>
      <c r="F34" s="443">
        <v>1.4879005261439997</v>
      </c>
      <c r="G34" s="443">
        <v>1.4937415261439999</v>
      </c>
      <c r="H34" s="307">
        <f t="shared" si="0"/>
        <v>2.9816420522879996</v>
      </c>
      <c r="I34" s="64"/>
      <c r="J34" s="64"/>
    </row>
    <row r="35" spans="2:13" s="315" customFormat="1" x14ac:dyDescent="0.3">
      <c r="B35" s="237">
        <v>21</v>
      </c>
      <c r="C35" s="3" t="s">
        <v>806</v>
      </c>
      <c r="D35" s="443">
        <v>5.4534609793993312</v>
      </c>
      <c r="E35" s="443">
        <v>11.68761502159051</v>
      </c>
      <c r="F35" s="443">
        <v>0</v>
      </c>
      <c r="G35" s="443">
        <v>0</v>
      </c>
      <c r="H35" s="307">
        <f t="shared" si="0"/>
        <v>0</v>
      </c>
      <c r="I35" s="64"/>
      <c r="J35" s="64"/>
    </row>
    <row r="36" spans="2:13" s="315" customFormat="1" x14ac:dyDescent="0.3">
      <c r="B36" s="314">
        <f>B35+1</f>
        <v>22</v>
      </c>
      <c r="C36" s="4" t="s">
        <v>210</v>
      </c>
      <c r="D36" s="444">
        <f>SUM(D11:D35)</f>
        <v>111.15927988879903</v>
      </c>
      <c r="E36" s="444">
        <f t="shared" ref="E36:H36" si="1">SUM(E11:E35)</f>
        <v>136.46594561295629</v>
      </c>
      <c r="F36" s="444">
        <f t="shared" si="1"/>
        <v>54.883701330618052</v>
      </c>
      <c r="G36" s="444">
        <f t="shared" si="1"/>
        <v>68.814760980675914</v>
      </c>
      <c r="H36" s="444">
        <f t="shared" si="1"/>
        <v>123.69846231129397</v>
      </c>
      <c r="I36" s="64"/>
      <c r="J36" s="64"/>
    </row>
    <row r="37" spans="2:13" s="315" customFormat="1" x14ac:dyDescent="0.3">
      <c r="B37" s="314">
        <f>B36+1</f>
        <v>23</v>
      </c>
      <c r="C37" s="3" t="s">
        <v>34</v>
      </c>
      <c r="D37" s="443"/>
      <c r="E37" s="443"/>
      <c r="F37" s="319"/>
      <c r="G37" s="319"/>
      <c r="H37" s="307">
        <f>F37+G37</f>
        <v>0</v>
      </c>
      <c r="I37" s="64"/>
      <c r="J37" s="64"/>
    </row>
    <row r="38" spans="2:13" s="315" customFormat="1" x14ac:dyDescent="0.25">
      <c r="B38" s="314">
        <f>B37+1</f>
        <v>24</v>
      </c>
      <c r="C38" s="521" t="s">
        <v>211</v>
      </c>
      <c r="D38" s="362">
        <f t="shared" ref="D38:G38" si="2">D36-D37</f>
        <v>111.15927988879903</v>
      </c>
      <c r="E38" s="362">
        <f t="shared" si="2"/>
        <v>136.46594561295629</v>
      </c>
      <c r="F38" s="362">
        <f t="shared" si="2"/>
        <v>54.883701330618052</v>
      </c>
      <c r="G38" s="362">
        <f t="shared" si="2"/>
        <v>68.814760980675914</v>
      </c>
      <c r="H38" s="362">
        <f>H36-H37</f>
        <v>123.69846231129397</v>
      </c>
      <c r="I38" s="64"/>
      <c r="J38" s="64"/>
    </row>
    <row r="39" spans="2:13" s="315" customFormat="1" x14ac:dyDescent="0.25">
      <c r="B39" s="598">
        <f>B38+1</f>
        <v>25</v>
      </c>
      <c r="C39" s="315" t="s">
        <v>954</v>
      </c>
      <c r="D39" s="319">
        <f>SUM('F13'!P17:P19)</f>
        <v>0</v>
      </c>
      <c r="E39" s="319">
        <f>SUM('F13'!P46:P47)</f>
        <v>0</v>
      </c>
      <c r="F39" s="319"/>
      <c r="G39" s="319"/>
      <c r="H39" s="319"/>
    </row>
    <row r="40" spans="2:13" s="315" customFormat="1" x14ac:dyDescent="0.25">
      <c r="B40" s="314">
        <f>B39+1</f>
        <v>26</v>
      </c>
      <c r="C40" s="240" t="s">
        <v>928</v>
      </c>
      <c r="D40" s="497">
        <f>SUM(D38:D39)</f>
        <v>111.15927988879903</v>
      </c>
      <c r="E40" s="497">
        <f t="shared" ref="E40:G40" si="3">SUM(E38:E39)</f>
        <v>136.46594561295629</v>
      </c>
      <c r="F40" s="497">
        <f t="shared" si="3"/>
        <v>54.883701330618052</v>
      </c>
      <c r="G40" s="497">
        <f t="shared" si="3"/>
        <v>68.814760980675914</v>
      </c>
      <c r="H40" s="497">
        <f>SUM(H38:H39)</f>
        <v>123.69846231129397</v>
      </c>
    </row>
    <row r="41" spans="2:13" s="315" customFormat="1" x14ac:dyDescent="0.3">
      <c r="B41" s="563"/>
      <c r="D41" s="564"/>
      <c r="E41" s="564"/>
      <c r="H41" s="564"/>
      <c r="I41" s="564"/>
      <c r="J41" s="564"/>
      <c r="K41" s="564"/>
      <c r="L41" s="564"/>
      <c r="M41" s="564"/>
    </row>
    <row r="42" spans="2:13" x14ac:dyDescent="0.25">
      <c r="D42" s="503"/>
      <c r="E42" s="503"/>
    </row>
    <row r="43" spans="2:13" x14ac:dyDescent="0.25">
      <c r="B43" s="22" t="s">
        <v>212</v>
      </c>
    </row>
    <row r="44" spans="2:13" x14ac:dyDescent="0.25">
      <c r="H44" s="22" t="s">
        <v>605</v>
      </c>
      <c r="I44" s="22"/>
      <c r="J44" s="22"/>
      <c r="K44" s="22"/>
      <c r="L44" s="22"/>
      <c r="M44" s="22"/>
    </row>
    <row r="45" spans="2:13" ht="15" customHeight="1" x14ac:dyDescent="0.25">
      <c r="B45" s="1763" t="s">
        <v>339</v>
      </c>
      <c r="C45" s="1763" t="s">
        <v>36</v>
      </c>
      <c r="D45" s="660" t="s">
        <v>506</v>
      </c>
      <c r="E45" s="660" t="s">
        <v>507</v>
      </c>
      <c r="F45" s="1752" t="s">
        <v>508</v>
      </c>
      <c r="G45" s="1752"/>
      <c r="H45" s="1752"/>
      <c r="I45" s="1893"/>
      <c r="J45" s="1893"/>
      <c r="K45" s="1893"/>
      <c r="L45" s="1893"/>
      <c r="M45" s="1893"/>
    </row>
    <row r="46" spans="2:13" ht="28" x14ac:dyDescent="0.25">
      <c r="B46" s="1763"/>
      <c r="C46" s="1763"/>
      <c r="D46" s="291" t="s">
        <v>78</v>
      </c>
      <c r="E46" s="291" t="s">
        <v>78</v>
      </c>
      <c r="F46" s="1208" t="s">
        <v>444</v>
      </c>
      <c r="G46" s="1208" t="s">
        <v>447</v>
      </c>
      <c r="H46" s="1208" t="s">
        <v>79</v>
      </c>
      <c r="I46" s="1182"/>
      <c r="J46" s="1182"/>
      <c r="K46" s="1182"/>
      <c r="L46" s="1182"/>
      <c r="M46" s="1182"/>
    </row>
    <row r="47" spans="2:13" x14ac:dyDescent="0.25">
      <c r="B47" s="1763"/>
      <c r="C47" s="1763"/>
      <c r="D47" s="291" t="s">
        <v>80</v>
      </c>
      <c r="E47" s="291" t="s">
        <v>81</v>
      </c>
      <c r="F47" s="1208" t="s">
        <v>390</v>
      </c>
      <c r="G47" s="1208" t="s">
        <v>391</v>
      </c>
      <c r="H47" s="1208" t="s">
        <v>392</v>
      </c>
      <c r="I47" s="1209"/>
      <c r="J47" s="1209"/>
      <c r="K47" s="1209"/>
      <c r="L47" s="1209"/>
      <c r="M47" s="1209"/>
    </row>
    <row r="48" spans="2:13" x14ac:dyDescent="0.25">
      <c r="B48" s="24"/>
      <c r="C48" s="24"/>
      <c r="D48" s="24"/>
      <c r="E48" s="24"/>
      <c r="F48" s="24"/>
      <c r="G48" s="24"/>
      <c r="H48" s="24"/>
      <c r="I48" s="64"/>
      <c r="J48" s="64"/>
      <c r="K48" s="64"/>
      <c r="L48" s="64"/>
      <c r="M48" s="64"/>
    </row>
    <row r="49" spans="2:13" x14ac:dyDescent="0.25">
      <c r="B49" s="100" t="s">
        <v>171</v>
      </c>
      <c r="C49" s="27" t="s">
        <v>213</v>
      </c>
      <c r="E49" s="325"/>
      <c r="F49" s="307"/>
      <c r="G49" s="307"/>
      <c r="H49" s="307"/>
      <c r="I49" s="324"/>
      <c r="J49" s="324"/>
      <c r="K49" s="324"/>
      <c r="L49" s="324"/>
      <c r="M49" s="324"/>
    </row>
    <row r="50" spans="2:13" x14ac:dyDescent="0.25">
      <c r="B50" s="95">
        <v>1</v>
      </c>
      <c r="C50" s="179" t="s">
        <v>214</v>
      </c>
      <c r="D50" s="834">
        <v>12</v>
      </c>
      <c r="E50" s="834">
        <v>16</v>
      </c>
      <c r="F50" s="1462">
        <f>E50</f>
        <v>16</v>
      </c>
      <c r="G50" s="1462">
        <f>E50</f>
        <v>16</v>
      </c>
      <c r="H50" s="1462">
        <f>E50</f>
        <v>16</v>
      </c>
      <c r="I50" s="324"/>
      <c r="J50" s="324"/>
      <c r="K50" s="324"/>
      <c r="L50" s="324"/>
      <c r="M50" s="324"/>
    </row>
    <row r="51" spans="2:13" x14ac:dyDescent="0.25">
      <c r="B51" s="95">
        <v>2</v>
      </c>
      <c r="C51" s="179" t="s">
        <v>215</v>
      </c>
      <c r="D51" s="834">
        <v>4</v>
      </c>
      <c r="E51" s="834">
        <v>2</v>
      </c>
      <c r="F51" s="1462">
        <f t="shared" ref="F51:F78" si="4">E51</f>
        <v>2</v>
      </c>
      <c r="G51" s="1462">
        <f t="shared" ref="G51:G78" si="5">E51</f>
        <v>2</v>
      </c>
      <c r="H51" s="1462">
        <f t="shared" ref="H51:H78" si="6">E51</f>
        <v>2</v>
      </c>
      <c r="I51" s="324"/>
      <c r="J51" s="324"/>
      <c r="K51" s="324"/>
      <c r="L51" s="324"/>
      <c r="M51" s="324"/>
    </row>
    <row r="52" spans="2:13" x14ac:dyDescent="0.25">
      <c r="B52" s="95">
        <v>3</v>
      </c>
      <c r="C52" s="179" t="s">
        <v>216</v>
      </c>
      <c r="D52" s="834">
        <v>3</v>
      </c>
      <c r="E52" s="834">
        <v>5</v>
      </c>
      <c r="F52" s="1462">
        <f t="shared" si="4"/>
        <v>5</v>
      </c>
      <c r="G52" s="1462">
        <f t="shared" si="5"/>
        <v>5</v>
      </c>
      <c r="H52" s="1462">
        <f t="shared" si="6"/>
        <v>5</v>
      </c>
      <c r="I52" s="324"/>
      <c r="J52" s="324"/>
      <c r="K52" s="324"/>
      <c r="L52" s="324"/>
      <c r="M52" s="324"/>
    </row>
    <row r="53" spans="2:13" x14ac:dyDescent="0.25">
      <c r="B53" s="95">
        <v>4</v>
      </c>
      <c r="C53" s="179" t="s">
        <v>217</v>
      </c>
      <c r="D53" s="834">
        <v>8</v>
      </c>
      <c r="E53" s="834">
        <v>7</v>
      </c>
      <c r="F53" s="1462">
        <f t="shared" si="4"/>
        <v>7</v>
      </c>
      <c r="G53" s="1462">
        <f t="shared" si="5"/>
        <v>7</v>
      </c>
      <c r="H53" s="1462">
        <f t="shared" si="6"/>
        <v>7</v>
      </c>
      <c r="I53" s="324"/>
      <c r="J53" s="324"/>
      <c r="K53" s="324"/>
      <c r="L53" s="324"/>
      <c r="M53" s="324"/>
    </row>
    <row r="54" spans="2:13" x14ac:dyDescent="0.25">
      <c r="B54" s="95"/>
      <c r="C54" s="179"/>
      <c r="D54" s="327"/>
      <c r="E54" s="327"/>
      <c r="F54" s="1462">
        <f t="shared" si="4"/>
        <v>0</v>
      </c>
      <c r="G54" s="1462">
        <f t="shared" si="5"/>
        <v>0</v>
      </c>
      <c r="H54" s="1462">
        <f t="shared" si="6"/>
        <v>0</v>
      </c>
      <c r="I54" s="324"/>
      <c r="J54" s="324"/>
      <c r="K54" s="324"/>
      <c r="L54" s="324"/>
      <c r="M54" s="324"/>
    </row>
    <row r="55" spans="2:13" x14ac:dyDescent="0.25">
      <c r="B55" s="180" t="s">
        <v>184</v>
      </c>
      <c r="C55" s="147" t="s">
        <v>218</v>
      </c>
      <c r="D55" s="356"/>
      <c r="E55" s="356"/>
      <c r="F55" s="1462">
        <f t="shared" si="4"/>
        <v>0</v>
      </c>
      <c r="G55" s="1462">
        <f t="shared" si="5"/>
        <v>0</v>
      </c>
      <c r="H55" s="1462">
        <f t="shared" si="6"/>
        <v>0</v>
      </c>
      <c r="I55" s="324"/>
      <c r="J55" s="324"/>
      <c r="K55" s="324"/>
      <c r="L55" s="324"/>
      <c r="M55" s="324"/>
    </row>
    <row r="56" spans="2:13" x14ac:dyDescent="0.25">
      <c r="B56" s="95">
        <v>5</v>
      </c>
      <c r="C56" s="147" t="s">
        <v>214</v>
      </c>
      <c r="D56" s="834"/>
      <c r="E56" s="834"/>
      <c r="F56" s="1462">
        <f t="shared" si="4"/>
        <v>0</v>
      </c>
      <c r="G56" s="1462">
        <f t="shared" si="5"/>
        <v>0</v>
      </c>
      <c r="H56" s="1462">
        <f t="shared" si="6"/>
        <v>0</v>
      </c>
      <c r="I56" s="324"/>
      <c r="J56" s="324"/>
      <c r="K56" s="324"/>
      <c r="L56" s="324"/>
      <c r="M56" s="324"/>
    </row>
    <row r="57" spans="2:13" x14ac:dyDescent="0.25">
      <c r="B57" s="95">
        <f>+B56+0.1</f>
        <v>5.0999999999999996</v>
      </c>
      <c r="C57" s="179" t="s">
        <v>219</v>
      </c>
      <c r="D57" s="834">
        <v>30</v>
      </c>
      <c r="E57" s="834">
        <v>39</v>
      </c>
      <c r="F57" s="1462">
        <f t="shared" si="4"/>
        <v>39</v>
      </c>
      <c r="G57" s="1462">
        <f t="shared" si="5"/>
        <v>39</v>
      </c>
      <c r="H57" s="1462">
        <f t="shared" si="6"/>
        <v>39</v>
      </c>
      <c r="I57" s="324"/>
      <c r="J57" s="324"/>
      <c r="K57" s="324"/>
      <c r="L57" s="324"/>
      <c r="M57" s="324"/>
    </row>
    <row r="58" spans="2:13" x14ac:dyDescent="0.25">
      <c r="B58" s="95">
        <f>+B57+0.1</f>
        <v>5.1999999999999993</v>
      </c>
      <c r="C58" s="179" t="s">
        <v>220</v>
      </c>
      <c r="D58" s="834">
        <v>112</v>
      </c>
      <c r="E58" s="834">
        <v>100</v>
      </c>
      <c r="F58" s="1462">
        <f t="shared" si="4"/>
        <v>100</v>
      </c>
      <c r="G58" s="1462">
        <f t="shared" si="5"/>
        <v>100</v>
      </c>
      <c r="H58" s="1462">
        <f t="shared" si="6"/>
        <v>100</v>
      </c>
      <c r="I58" s="324"/>
      <c r="J58" s="324"/>
      <c r="K58" s="324"/>
      <c r="L58" s="324"/>
      <c r="M58" s="324"/>
    </row>
    <row r="59" spans="2:13" x14ac:dyDescent="0.25">
      <c r="B59" s="95">
        <f>+B58+0.1</f>
        <v>5.2999999999999989</v>
      </c>
      <c r="C59" s="179" t="s">
        <v>221</v>
      </c>
      <c r="D59" s="834">
        <v>386</v>
      </c>
      <c r="E59" s="834">
        <v>366</v>
      </c>
      <c r="F59" s="1462">
        <f t="shared" si="4"/>
        <v>366</v>
      </c>
      <c r="G59" s="1462">
        <f t="shared" si="5"/>
        <v>366</v>
      </c>
      <c r="H59" s="1462">
        <f t="shared" si="6"/>
        <v>366</v>
      </c>
      <c r="I59" s="324"/>
      <c r="J59" s="324"/>
      <c r="K59" s="324"/>
      <c r="L59" s="324"/>
      <c r="M59" s="324"/>
    </row>
    <row r="60" spans="2:13" x14ac:dyDescent="0.25">
      <c r="B60" s="95">
        <f>+B59+0.1</f>
        <v>5.3999999999999986</v>
      </c>
      <c r="C60" s="179" t="s">
        <v>222</v>
      </c>
      <c r="D60" s="327">
        <v>0</v>
      </c>
      <c r="E60" s="327">
        <v>1</v>
      </c>
      <c r="F60" s="1462">
        <f t="shared" si="4"/>
        <v>1</v>
      </c>
      <c r="G60" s="1462">
        <f t="shared" si="5"/>
        <v>1</v>
      </c>
      <c r="H60" s="1462">
        <f t="shared" si="6"/>
        <v>1</v>
      </c>
      <c r="I60" s="324"/>
      <c r="J60" s="324"/>
      <c r="K60" s="324"/>
      <c r="L60" s="324"/>
      <c r="M60" s="324"/>
    </row>
    <row r="61" spans="2:13" x14ac:dyDescent="0.25">
      <c r="B61" s="95"/>
      <c r="C61" s="179"/>
      <c r="D61" s="356"/>
      <c r="E61" s="356"/>
      <c r="F61" s="1462">
        <f t="shared" si="4"/>
        <v>0</v>
      </c>
      <c r="G61" s="1462">
        <f t="shared" si="5"/>
        <v>0</v>
      </c>
      <c r="H61" s="1462">
        <f t="shared" si="6"/>
        <v>0</v>
      </c>
      <c r="I61" s="324"/>
      <c r="J61" s="324"/>
      <c r="K61" s="324"/>
      <c r="L61" s="324"/>
      <c r="M61" s="324"/>
    </row>
    <row r="62" spans="2:13" x14ac:dyDescent="0.25">
      <c r="B62" s="95">
        <v>6</v>
      </c>
      <c r="C62" s="147" t="s">
        <v>215</v>
      </c>
      <c r="D62" s="834"/>
      <c r="E62" s="834"/>
      <c r="F62" s="1462">
        <f t="shared" si="4"/>
        <v>0</v>
      </c>
      <c r="G62" s="1462">
        <f t="shared" si="5"/>
        <v>0</v>
      </c>
      <c r="H62" s="1462">
        <f t="shared" si="6"/>
        <v>0</v>
      </c>
      <c r="I62" s="324"/>
      <c r="J62" s="324"/>
      <c r="K62" s="324"/>
      <c r="L62" s="324"/>
      <c r="M62" s="324"/>
    </row>
    <row r="63" spans="2:13" x14ac:dyDescent="0.25">
      <c r="B63" s="95">
        <f>+B62+0.1</f>
        <v>6.1</v>
      </c>
      <c r="C63" s="179" t="s">
        <v>219</v>
      </c>
      <c r="D63" s="834">
        <v>4</v>
      </c>
      <c r="E63" s="834">
        <v>2</v>
      </c>
      <c r="F63" s="1462">
        <f t="shared" si="4"/>
        <v>2</v>
      </c>
      <c r="G63" s="1462">
        <f t="shared" si="5"/>
        <v>2</v>
      </c>
      <c r="H63" s="1462">
        <f t="shared" si="6"/>
        <v>2</v>
      </c>
      <c r="I63" s="324"/>
      <c r="J63" s="324"/>
      <c r="K63" s="324"/>
      <c r="L63" s="324"/>
      <c r="M63" s="324"/>
    </row>
    <row r="64" spans="2:13" x14ac:dyDescent="0.25">
      <c r="B64" s="95">
        <f>+B63+0.1</f>
        <v>6.1999999999999993</v>
      </c>
      <c r="C64" s="179" t="s">
        <v>220</v>
      </c>
      <c r="D64" s="834">
        <v>2</v>
      </c>
      <c r="E64" s="834">
        <v>2</v>
      </c>
      <c r="F64" s="1462">
        <f t="shared" si="4"/>
        <v>2</v>
      </c>
      <c r="G64" s="1462">
        <f t="shared" si="5"/>
        <v>2</v>
      </c>
      <c r="H64" s="1462">
        <f t="shared" si="6"/>
        <v>2</v>
      </c>
      <c r="I64" s="324"/>
      <c r="J64" s="324"/>
      <c r="K64" s="324"/>
      <c r="L64" s="324"/>
      <c r="M64" s="324"/>
    </row>
    <row r="65" spans="2:13" x14ac:dyDescent="0.25">
      <c r="B65" s="95">
        <f>+B64+0.1</f>
        <v>6.2999999999999989</v>
      </c>
      <c r="C65" s="179" t="s">
        <v>221</v>
      </c>
      <c r="D65" s="834">
        <v>23</v>
      </c>
      <c r="E65" s="834">
        <v>13</v>
      </c>
      <c r="F65" s="1462">
        <f t="shared" si="4"/>
        <v>13</v>
      </c>
      <c r="G65" s="1462">
        <f t="shared" si="5"/>
        <v>13</v>
      </c>
      <c r="H65" s="1462">
        <f t="shared" si="6"/>
        <v>13</v>
      </c>
      <c r="I65" s="324"/>
      <c r="J65" s="324"/>
      <c r="K65" s="324"/>
      <c r="L65" s="324"/>
      <c r="M65" s="324"/>
    </row>
    <row r="66" spans="2:13" x14ac:dyDescent="0.25">
      <c r="B66" s="95">
        <f>+B65+0.1</f>
        <v>6.3999999999999986</v>
      </c>
      <c r="C66" s="179" t="s">
        <v>222</v>
      </c>
      <c r="D66" s="834">
        <v>20</v>
      </c>
      <c r="E66" s="834">
        <v>3</v>
      </c>
      <c r="F66" s="1462">
        <f t="shared" si="4"/>
        <v>3</v>
      </c>
      <c r="G66" s="1462">
        <f t="shared" si="5"/>
        <v>3</v>
      </c>
      <c r="H66" s="1462">
        <f t="shared" si="6"/>
        <v>3</v>
      </c>
      <c r="I66" s="324"/>
      <c r="J66" s="324"/>
      <c r="K66" s="324"/>
      <c r="L66" s="324"/>
      <c r="M66" s="324"/>
    </row>
    <row r="67" spans="2:13" x14ac:dyDescent="0.25">
      <c r="B67" s="95"/>
      <c r="C67" s="179"/>
      <c r="D67" s="356"/>
      <c r="E67" s="356"/>
      <c r="F67" s="1462">
        <f t="shared" si="4"/>
        <v>0</v>
      </c>
      <c r="G67" s="1462">
        <f t="shared" si="5"/>
        <v>0</v>
      </c>
      <c r="H67" s="1462">
        <f t="shared" si="6"/>
        <v>0</v>
      </c>
      <c r="I67" s="324"/>
      <c r="J67" s="324"/>
      <c r="K67" s="324"/>
      <c r="L67" s="324"/>
      <c r="M67" s="324"/>
    </row>
    <row r="68" spans="2:13" x14ac:dyDescent="0.25">
      <c r="B68" s="95">
        <v>7</v>
      </c>
      <c r="C68" s="147" t="s">
        <v>216</v>
      </c>
      <c r="D68" s="834"/>
      <c r="E68" s="834"/>
      <c r="F68" s="1462">
        <f t="shared" si="4"/>
        <v>0</v>
      </c>
      <c r="G68" s="1462">
        <f t="shared" si="5"/>
        <v>0</v>
      </c>
      <c r="H68" s="1462">
        <f t="shared" si="6"/>
        <v>0</v>
      </c>
      <c r="I68" s="324"/>
      <c r="J68" s="324"/>
      <c r="K68" s="324"/>
      <c r="L68" s="324"/>
      <c r="M68" s="324"/>
    </row>
    <row r="69" spans="2:13" x14ac:dyDescent="0.25">
      <c r="B69" s="95">
        <f>+B68+0.1</f>
        <v>7.1</v>
      </c>
      <c r="C69" s="179" t="s">
        <v>219</v>
      </c>
      <c r="D69" s="834">
        <v>3</v>
      </c>
      <c r="E69" s="834">
        <v>5</v>
      </c>
      <c r="F69" s="1462">
        <f t="shared" si="4"/>
        <v>5</v>
      </c>
      <c r="G69" s="1462">
        <f t="shared" si="5"/>
        <v>5</v>
      </c>
      <c r="H69" s="1462">
        <f t="shared" si="6"/>
        <v>5</v>
      </c>
      <c r="I69" s="324"/>
      <c r="J69" s="324"/>
      <c r="K69" s="324"/>
      <c r="L69" s="324"/>
      <c r="M69" s="324"/>
    </row>
    <row r="70" spans="2:13" x14ac:dyDescent="0.25">
      <c r="B70" s="95">
        <f>+B69+0.1</f>
        <v>7.1999999999999993</v>
      </c>
      <c r="C70" s="179" t="s">
        <v>220</v>
      </c>
      <c r="D70" s="834">
        <v>2</v>
      </c>
      <c r="E70" s="834">
        <v>2</v>
      </c>
      <c r="F70" s="1462">
        <f t="shared" si="4"/>
        <v>2</v>
      </c>
      <c r="G70" s="1462">
        <f t="shared" si="5"/>
        <v>2</v>
      </c>
      <c r="H70" s="1462">
        <f t="shared" si="6"/>
        <v>2</v>
      </c>
      <c r="I70" s="324"/>
      <c r="J70" s="324"/>
      <c r="K70" s="324"/>
      <c r="L70" s="324"/>
      <c r="M70" s="324"/>
    </row>
    <row r="71" spans="2:13" x14ac:dyDescent="0.25">
      <c r="B71" s="95">
        <f>+B70+0.1</f>
        <v>7.2999999999999989</v>
      </c>
      <c r="C71" s="179" t="s">
        <v>221</v>
      </c>
      <c r="D71" s="834">
        <v>10</v>
      </c>
      <c r="E71" s="834">
        <v>8</v>
      </c>
      <c r="F71" s="1462">
        <f t="shared" si="4"/>
        <v>8</v>
      </c>
      <c r="G71" s="1462">
        <f t="shared" si="5"/>
        <v>8</v>
      </c>
      <c r="H71" s="1462">
        <f t="shared" si="6"/>
        <v>8</v>
      </c>
      <c r="I71" s="324"/>
      <c r="J71" s="324"/>
      <c r="K71" s="324"/>
      <c r="L71" s="324"/>
      <c r="M71" s="324"/>
    </row>
    <row r="72" spans="2:13" x14ac:dyDescent="0.25">
      <c r="B72" s="95">
        <f>+B71+0.1</f>
        <v>7.3999999999999986</v>
      </c>
      <c r="C72" s="179" t="s">
        <v>222</v>
      </c>
      <c r="D72" s="834">
        <v>0</v>
      </c>
      <c r="E72" s="834">
        <v>0</v>
      </c>
      <c r="F72" s="1462">
        <f t="shared" si="4"/>
        <v>0</v>
      </c>
      <c r="G72" s="1462">
        <f t="shared" si="5"/>
        <v>0</v>
      </c>
      <c r="H72" s="1462">
        <f t="shared" si="6"/>
        <v>0</v>
      </c>
      <c r="I72" s="324"/>
      <c r="J72" s="324"/>
      <c r="K72" s="324"/>
      <c r="L72" s="324"/>
      <c r="M72" s="324"/>
    </row>
    <row r="73" spans="2:13" x14ac:dyDescent="0.25">
      <c r="B73" s="95"/>
      <c r="C73" s="179"/>
      <c r="D73" s="327"/>
      <c r="E73" s="327"/>
      <c r="F73" s="1462">
        <f t="shared" si="4"/>
        <v>0</v>
      </c>
      <c r="G73" s="1462">
        <f t="shared" si="5"/>
        <v>0</v>
      </c>
      <c r="H73" s="1462">
        <f t="shared" si="6"/>
        <v>0</v>
      </c>
      <c r="I73" s="324"/>
      <c r="J73" s="324"/>
      <c r="K73" s="324"/>
      <c r="L73" s="324"/>
      <c r="M73" s="324"/>
    </row>
    <row r="74" spans="2:13" x14ac:dyDescent="0.25">
      <c r="B74" s="95">
        <v>8</v>
      </c>
      <c r="C74" s="147" t="s">
        <v>223</v>
      </c>
      <c r="D74" s="356"/>
      <c r="E74" s="356"/>
      <c r="F74" s="1462">
        <f t="shared" si="4"/>
        <v>0</v>
      </c>
      <c r="G74" s="1462">
        <f t="shared" si="5"/>
        <v>0</v>
      </c>
      <c r="H74" s="1462">
        <f t="shared" si="6"/>
        <v>0</v>
      </c>
      <c r="I74" s="324"/>
      <c r="J74" s="324"/>
      <c r="K74" s="324"/>
      <c r="L74" s="324"/>
      <c r="M74" s="324"/>
    </row>
    <row r="75" spans="2:13" x14ac:dyDescent="0.25">
      <c r="B75" s="95">
        <f>+B74+0.1</f>
        <v>8.1</v>
      </c>
      <c r="C75" s="179" t="s">
        <v>219</v>
      </c>
      <c r="D75" s="834">
        <v>8</v>
      </c>
      <c r="E75" s="834">
        <v>9</v>
      </c>
      <c r="F75" s="1462">
        <f t="shared" si="4"/>
        <v>9</v>
      </c>
      <c r="G75" s="1462">
        <f t="shared" si="5"/>
        <v>9</v>
      </c>
      <c r="H75" s="1462">
        <f t="shared" si="6"/>
        <v>9</v>
      </c>
      <c r="I75" s="324"/>
      <c r="J75" s="324"/>
      <c r="K75" s="324"/>
      <c r="L75" s="324"/>
      <c r="M75" s="324"/>
    </row>
    <row r="76" spans="2:13" x14ac:dyDescent="0.25">
      <c r="B76" s="95">
        <f>+B75+0.1</f>
        <v>8.1999999999999993</v>
      </c>
      <c r="C76" s="179" t="s">
        <v>220</v>
      </c>
      <c r="D76" s="834">
        <v>25</v>
      </c>
      <c r="E76" s="834">
        <v>14</v>
      </c>
      <c r="F76" s="1462">
        <f t="shared" si="4"/>
        <v>14</v>
      </c>
      <c r="G76" s="1462">
        <f t="shared" si="5"/>
        <v>14</v>
      </c>
      <c r="H76" s="1462">
        <f t="shared" si="6"/>
        <v>14</v>
      </c>
      <c r="I76" s="324"/>
      <c r="J76" s="324"/>
      <c r="K76" s="324"/>
      <c r="L76" s="324"/>
      <c r="M76" s="324"/>
    </row>
    <row r="77" spans="2:13" x14ac:dyDescent="0.25">
      <c r="B77" s="95">
        <f>+B76+0.1</f>
        <v>8.2999999999999989</v>
      </c>
      <c r="C77" s="179" t="s">
        <v>221</v>
      </c>
      <c r="D77" s="834">
        <v>13</v>
      </c>
      <c r="E77" s="834">
        <v>47</v>
      </c>
      <c r="F77" s="1462">
        <f t="shared" si="4"/>
        <v>47</v>
      </c>
      <c r="G77" s="1462">
        <f t="shared" si="5"/>
        <v>47</v>
      </c>
      <c r="H77" s="1462">
        <f t="shared" si="6"/>
        <v>47</v>
      </c>
      <c r="I77" s="324"/>
      <c r="J77" s="324"/>
      <c r="K77" s="324"/>
      <c r="L77" s="324"/>
      <c r="M77" s="324"/>
    </row>
    <row r="78" spans="2:13" x14ac:dyDescent="0.25">
      <c r="B78" s="95">
        <f>+B77+0.1</f>
        <v>8.3999999999999986</v>
      </c>
      <c r="C78" s="179" t="s">
        <v>222</v>
      </c>
      <c r="D78" s="834">
        <v>16</v>
      </c>
      <c r="E78" s="834">
        <v>10</v>
      </c>
      <c r="F78" s="1462">
        <f t="shared" si="4"/>
        <v>10</v>
      </c>
      <c r="G78" s="1462">
        <f t="shared" si="5"/>
        <v>10</v>
      </c>
      <c r="H78" s="1462">
        <f t="shared" si="6"/>
        <v>10</v>
      </c>
      <c r="I78" s="324"/>
      <c r="J78" s="324"/>
      <c r="K78" s="324"/>
      <c r="L78" s="324"/>
      <c r="M78" s="324"/>
    </row>
    <row r="79" spans="2:13" x14ac:dyDescent="0.3">
      <c r="B79" s="181"/>
      <c r="C79" s="13" t="s">
        <v>224</v>
      </c>
      <c r="D79" s="835">
        <f>SUM(D50:D78)</f>
        <v>681</v>
      </c>
      <c r="E79" s="835">
        <f>SUM(E50:E78)</f>
        <v>651</v>
      </c>
      <c r="F79" s="835">
        <f t="shared" ref="F79:H79" si="7">SUM(F50:F78)</f>
        <v>651</v>
      </c>
      <c r="G79" s="835">
        <f t="shared" si="7"/>
        <v>651</v>
      </c>
      <c r="H79" s="835">
        <f t="shared" si="7"/>
        <v>651</v>
      </c>
      <c r="I79" s="1210"/>
      <c r="J79" s="1210"/>
      <c r="K79" s="1210"/>
      <c r="L79" s="1210"/>
      <c r="M79" s="1210"/>
    </row>
  </sheetData>
  <mergeCells count="11">
    <mergeCell ref="J8:J10"/>
    <mergeCell ref="B45:B47"/>
    <mergeCell ref="C45:C47"/>
    <mergeCell ref="F45:H45"/>
    <mergeCell ref="B2:H2"/>
    <mergeCell ref="B3:H3"/>
    <mergeCell ref="B4:H4"/>
    <mergeCell ref="B8:B10"/>
    <mergeCell ref="C8:C10"/>
    <mergeCell ref="F8:H8"/>
    <mergeCell ref="I45:M45"/>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24" activePane="bottomRight" state="frozen"/>
      <selection activeCell="G26" sqref="G26"/>
      <selection pane="topRight" activeCell="G26" sqref="G26"/>
      <selection pane="bottomLeft" activeCell="G26" sqref="G26"/>
      <selection pane="bottomRight" activeCell="H41" sqref="H41"/>
    </sheetView>
  </sheetViews>
  <sheetFormatPr defaultColWidth="9.36328125" defaultRowHeight="14" x14ac:dyDescent="0.25"/>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x14ac:dyDescent="0.25">
      <c r="B2" s="1758" t="str">
        <f>Index!B2</f>
        <v xml:space="preserve">      Maharashtra State Power Generation Company Ltd.</v>
      </c>
      <c r="C2" s="1811"/>
      <c r="D2" s="1811"/>
      <c r="E2" s="1811"/>
      <c r="F2" s="1811"/>
      <c r="G2" s="1811"/>
      <c r="H2" s="1811"/>
      <c r="I2" s="1811"/>
      <c r="J2" s="1811"/>
      <c r="K2" s="1811"/>
      <c r="L2" s="1811"/>
      <c r="M2" s="1811"/>
    </row>
    <row r="3" spans="2:13" s="5" customFormat="1" x14ac:dyDescent="0.3">
      <c r="B3" s="1758" t="str">
        <f>Index!B3</f>
        <v>MYT Petition Formats for Parli Units 6 &amp; 7</v>
      </c>
      <c r="C3" s="1811"/>
      <c r="D3" s="1811"/>
      <c r="E3" s="1811"/>
      <c r="F3" s="1811"/>
      <c r="G3" s="1811"/>
      <c r="H3" s="1811"/>
      <c r="I3" s="1811"/>
      <c r="J3" s="1811"/>
      <c r="K3" s="1811"/>
      <c r="L3" s="1811"/>
      <c r="M3" s="1811"/>
    </row>
    <row r="4" spans="2:13" s="5" customFormat="1" x14ac:dyDescent="0.3">
      <c r="B4" s="1759" t="s">
        <v>225</v>
      </c>
      <c r="C4" s="1811"/>
      <c r="D4" s="1811"/>
      <c r="E4" s="1811"/>
      <c r="F4" s="1811"/>
      <c r="G4" s="1811"/>
      <c r="H4" s="1811"/>
      <c r="I4" s="1811"/>
      <c r="J4" s="1811"/>
      <c r="K4" s="1811"/>
      <c r="L4" s="1811"/>
      <c r="M4" s="1811"/>
    </row>
    <row r="6" spans="2:13" x14ac:dyDescent="0.25">
      <c r="H6" s="21" t="s">
        <v>10</v>
      </c>
    </row>
    <row r="7" spans="2:13" ht="12.75" customHeight="1" x14ac:dyDescent="0.25">
      <c r="B7" s="1752" t="s">
        <v>339</v>
      </c>
      <c r="C7" s="1763" t="s">
        <v>36</v>
      </c>
      <c r="D7" s="291" t="s">
        <v>506</v>
      </c>
      <c r="E7" s="291" t="s">
        <v>507</v>
      </c>
      <c r="F7" s="1752" t="s">
        <v>508</v>
      </c>
      <c r="G7" s="1752"/>
      <c r="H7" s="1752"/>
    </row>
    <row r="8" spans="2:13" ht="28" x14ac:dyDescent="0.25">
      <c r="B8" s="1752"/>
      <c r="C8" s="1763"/>
      <c r="D8" s="449" t="s">
        <v>975</v>
      </c>
      <c r="E8" s="291" t="s">
        <v>78</v>
      </c>
      <c r="F8" s="291" t="s">
        <v>444</v>
      </c>
      <c r="G8" s="291" t="s">
        <v>447</v>
      </c>
      <c r="H8" s="291" t="s">
        <v>79</v>
      </c>
    </row>
    <row r="9" spans="2:13" x14ac:dyDescent="0.25">
      <c r="B9" s="1752"/>
      <c r="C9" s="1763"/>
      <c r="D9" s="291" t="s">
        <v>80</v>
      </c>
      <c r="E9" s="291" t="s">
        <v>81</v>
      </c>
      <c r="F9" s="291" t="s">
        <v>390</v>
      </c>
      <c r="G9" s="291" t="s">
        <v>391</v>
      </c>
      <c r="H9" s="291" t="s">
        <v>392</v>
      </c>
    </row>
    <row r="10" spans="2:13" x14ac:dyDescent="0.25">
      <c r="B10" s="99"/>
      <c r="C10" s="24"/>
      <c r="D10" s="24"/>
      <c r="E10" s="24"/>
      <c r="F10" s="24"/>
      <c r="G10" s="24"/>
      <c r="H10" s="24"/>
    </row>
    <row r="11" spans="2:13" x14ac:dyDescent="0.25">
      <c r="B11" s="99">
        <v>1</v>
      </c>
      <c r="C11" s="24" t="s">
        <v>831</v>
      </c>
      <c r="D11" s="307">
        <v>0</v>
      </c>
      <c r="E11" s="307">
        <v>1.7203489418395401</v>
      </c>
      <c r="F11" s="307">
        <v>0</v>
      </c>
      <c r="G11" s="307">
        <v>0</v>
      </c>
      <c r="H11" s="307">
        <f>F11+G11</f>
        <v>0</v>
      </c>
    </row>
    <row r="12" spans="2:13" x14ac:dyDescent="0.25">
      <c r="B12" s="99">
        <f>B11+1</f>
        <v>2</v>
      </c>
      <c r="C12" s="28" t="s">
        <v>226</v>
      </c>
      <c r="D12" s="307">
        <v>0.65020480000000003</v>
      </c>
      <c r="E12" s="307">
        <v>0.63877879999999998</v>
      </c>
      <c r="F12" s="307">
        <v>9.5816820000000011E-2</v>
      </c>
      <c r="G12" s="307">
        <v>0.57490092000000004</v>
      </c>
      <c r="H12" s="307">
        <f>F12+G12</f>
        <v>0.67071774000000006</v>
      </c>
    </row>
    <row r="13" spans="2:13" x14ac:dyDescent="0.3">
      <c r="B13" s="99">
        <f t="shared" ref="B13:B46" si="0">B12+1</f>
        <v>3</v>
      </c>
      <c r="C13" s="26" t="s">
        <v>227</v>
      </c>
      <c r="D13" s="307">
        <v>2.0103624999999998</v>
      </c>
      <c r="E13" s="307">
        <v>1.4836766666666665</v>
      </c>
      <c r="F13" s="307">
        <v>1.0215904142857146</v>
      </c>
      <c r="G13" s="307">
        <v>0.5362700857142888</v>
      </c>
      <c r="H13" s="307">
        <f>F13+G13</f>
        <v>1.5578605000000034</v>
      </c>
    </row>
    <row r="14" spans="2:13" x14ac:dyDescent="0.3">
      <c r="B14" s="99">
        <f t="shared" si="0"/>
        <v>4</v>
      </c>
      <c r="C14" s="26" t="s">
        <v>228</v>
      </c>
      <c r="D14" s="307">
        <v>0.158087435333333</v>
      </c>
      <c r="E14" s="307">
        <v>0.20913316733333334</v>
      </c>
      <c r="F14" s="307">
        <v>4.0947232242857193E-2</v>
      </c>
      <c r="G14" s="307">
        <v>0.17864259345714317</v>
      </c>
      <c r="H14" s="307">
        <f t="shared" ref="H14:H43" si="1">F14+G14</f>
        <v>0.21958982570000035</v>
      </c>
    </row>
    <row r="15" spans="2:13" s="315" customFormat="1" x14ac:dyDescent="0.3">
      <c r="B15" s="237">
        <f t="shared" si="0"/>
        <v>5</v>
      </c>
      <c r="C15" s="59" t="s">
        <v>229</v>
      </c>
      <c r="D15" s="319">
        <v>0</v>
      </c>
      <c r="E15" s="319">
        <v>5.3899386666666667E-2</v>
      </c>
      <c r="F15" s="319">
        <v>2.1835277714285718E-2</v>
      </c>
      <c r="G15" s="319">
        <v>3.4759078285714326E-2</v>
      </c>
      <c r="H15" s="319">
        <f t="shared" si="1"/>
        <v>5.659435600000004E-2</v>
      </c>
    </row>
    <row r="16" spans="2:13" s="315" customFormat="1" x14ac:dyDescent="0.3">
      <c r="B16" s="237">
        <f t="shared" si="0"/>
        <v>6</v>
      </c>
      <c r="C16" s="59" t="s">
        <v>230</v>
      </c>
      <c r="D16" s="319">
        <v>1.1659807720000002</v>
      </c>
      <c r="E16" s="319">
        <v>0.95148060500000009</v>
      </c>
      <c r="F16" s="319">
        <v>0.49280602846428567</v>
      </c>
      <c r="G16" s="319">
        <v>0.50624860678571437</v>
      </c>
      <c r="H16" s="319">
        <f t="shared" si="1"/>
        <v>0.99905463525000004</v>
      </c>
    </row>
    <row r="17" spans="2:8" x14ac:dyDescent="0.3">
      <c r="B17" s="99">
        <f t="shared" si="0"/>
        <v>7</v>
      </c>
      <c r="C17" s="26" t="s">
        <v>231</v>
      </c>
      <c r="D17" s="307">
        <v>5.013749035333336</v>
      </c>
      <c r="E17" s="307">
        <v>5.240395025333334</v>
      </c>
      <c r="F17" s="307">
        <v>2.0945848319595237</v>
      </c>
      <c r="G17" s="307">
        <v>3.5102221317571436</v>
      </c>
      <c r="H17" s="307">
        <f t="shared" si="1"/>
        <v>5.6048069637166673</v>
      </c>
    </row>
    <row r="18" spans="2:8" x14ac:dyDescent="0.3">
      <c r="B18" s="99">
        <f t="shared" si="0"/>
        <v>8</v>
      </c>
      <c r="C18" s="26" t="s">
        <v>232</v>
      </c>
      <c r="D18" s="307"/>
      <c r="E18" s="307"/>
      <c r="F18" s="307"/>
      <c r="G18" s="307"/>
      <c r="H18" s="307">
        <f t="shared" si="1"/>
        <v>0</v>
      </c>
    </row>
    <row r="19" spans="2:8" x14ac:dyDescent="0.3">
      <c r="B19" s="99">
        <f t="shared" si="0"/>
        <v>9</v>
      </c>
      <c r="C19" s="182" t="s">
        <v>233</v>
      </c>
      <c r="D19" s="307"/>
      <c r="E19" s="307"/>
      <c r="F19" s="307"/>
      <c r="G19" s="307"/>
      <c r="H19" s="307">
        <f t="shared" si="1"/>
        <v>0</v>
      </c>
    </row>
    <row r="20" spans="2:8" x14ac:dyDescent="0.3">
      <c r="B20" s="99">
        <f t="shared" si="0"/>
        <v>10</v>
      </c>
      <c r="C20" s="26" t="s">
        <v>234</v>
      </c>
      <c r="D20" s="319">
        <v>11.52239609033337</v>
      </c>
      <c r="E20" s="319">
        <v>13.388012389666665</v>
      </c>
      <c r="F20" s="319">
        <v>5.5395713951928567</v>
      </c>
      <c r="G20" s="319">
        <v>8.9823191151571447</v>
      </c>
      <c r="H20" s="319">
        <f t="shared" si="1"/>
        <v>14.521890510350001</v>
      </c>
    </row>
    <row r="21" spans="2:8" x14ac:dyDescent="0.3">
      <c r="B21" s="99">
        <f t="shared" si="0"/>
        <v>11</v>
      </c>
      <c r="C21" s="26" t="s">
        <v>235</v>
      </c>
      <c r="D21" s="307"/>
      <c r="E21" s="307"/>
      <c r="F21" s="307"/>
      <c r="G21" s="307"/>
      <c r="H21" s="307">
        <f t="shared" si="1"/>
        <v>0</v>
      </c>
    </row>
    <row r="22" spans="2:8" x14ac:dyDescent="0.3">
      <c r="B22" s="99">
        <f t="shared" si="0"/>
        <v>12</v>
      </c>
      <c r="C22" s="26" t="s">
        <v>236</v>
      </c>
      <c r="D22" s="307">
        <v>1.1137759333333332</v>
      </c>
      <c r="E22" s="307">
        <v>0.62828755666666669</v>
      </c>
      <c r="F22" s="307">
        <v>0.62392945349999995</v>
      </c>
      <c r="G22" s="307">
        <v>3.5772481000000293E-2</v>
      </c>
      <c r="H22" s="307">
        <f t="shared" si="1"/>
        <v>0.65970193450000025</v>
      </c>
    </row>
    <row r="23" spans="2:8" x14ac:dyDescent="0.3">
      <c r="B23" s="99">
        <f t="shared" si="0"/>
        <v>13</v>
      </c>
      <c r="C23" s="26" t="s">
        <v>237</v>
      </c>
      <c r="D23" s="307"/>
      <c r="E23" s="307"/>
      <c r="F23" s="307"/>
      <c r="G23" s="307"/>
      <c r="H23" s="307">
        <f t="shared" si="1"/>
        <v>0</v>
      </c>
    </row>
    <row r="24" spans="2:8" x14ac:dyDescent="0.3">
      <c r="B24" s="99">
        <f t="shared" si="0"/>
        <v>14</v>
      </c>
      <c r="C24" s="26" t="s">
        <v>238</v>
      </c>
      <c r="D24" s="307">
        <v>9.8084883666666706E-2</v>
      </c>
      <c r="E24" s="307">
        <v>0.28366031166666672</v>
      </c>
      <c r="F24" s="307">
        <v>5.2398961035714335E-2</v>
      </c>
      <c r="G24" s="307">
        <v>0.245444366214286</v>
      </c>
      <c r="H24" s="307">
        <f t="shared" si="1"/>
        <v>0.29784332725000034</v>
      </c>
    </row>
    <row r="25" spans="2:8" x14ac:dyDescent="0.3">
      <c r="B25" s="99">
        <f t="shared" si="0"/>
        <v>15</v>
      </c>
      <c r="C25" s="26" t="s">
        <v>239</v>
      </c>
      <c r="D25" s="307"/>
      <c r="E25" s="307"/>
      <c r="F25" s="307"/>
      <c r="G25" s="307"/>
      <c r="H25" s="307">
        <f t="shared" si="1"/>
        <v>0</v>
      </c>
    </row>
    <row r="26" spans="2:8" x14ac:dyDescent="0.3">
      <c r="B26" s="99">
        <f t="shared" si="0"/>
        <v>16</v>
      </c>
      <c r="C26" s="26" t="s">
        <v>240</v>
      </c>
      <c r="D26" s="307"/>
      <c r="E26" s="307"/>
      <c r="F26" s="307"/>
      <c r="G26" s="307"/>
      <c r="H26" s="307">
        <f t="shared" si="1"/>
        <v>0</v>
      </c>
    </row>
    <row r="27" spans="2:8" x14ac:dyDescent="0.25">
      <c r="B27" s="99">
        <f t="shared" si="0"/>
        <v>17</v>
      </c>
      <c r="C27" s="28" t="s">
        <v>241</v>
      </c>
      <c r="D27" s="307"/>
      <c r="E27" s="307"/>
      <c r="F27" s="307"/>
      <c r="G27" s="307"/>
      <c r="H27" s="307">
        <f t="shared" si="1"/>
        <v>0</v>
      </c>
    </row>
    <row r="28" spans="2:8" x14ac:dyDescent="0.25">
      <c r="B28" s="99">
        <f t="shared" si="0"/>
        <v>18</v>
      </c>
      <c r="C28" s="28" t="s">
        <v>242</v>
      </c>
      <c r="D28" s="307"/>
      <c r="E28" s="307"/>
      <c r="F28" s="307"/>
      <c r="G28" s="307"/>
      <c r="H28" s="307">
        <f t="shared" si="1"/>
        <v>0</v>
      </c>
    </row>
    <row r="29" spans="2:8" x14ac:dyDescent="0.3">
      <c r="B29" s="99">
        <f t="shared" si="0"/>
        <v>19</v>
      </c>
      <c r="C29" s="26" t="s">
        <v>243</v>
      </c>
      <c r="D29" s="307"/>
      <c r="E29" s="307"/>
      <c r="F29" s="307"/>
      <c r="G29" s="307"/>
      <c r="H29" s="307">
        <f t="shared" si="1"/>
        <v>0</v>
      </c>
    </row>
    <row r="30" spans="2:8" x14ac:dyDescent="0.3">
      <c r="B30" s="99">
        <f t="shared" si="0"/>
        <v>20</v>
      </c>
      <c r="C30" s="26" t="s">
        <v>244</v>
      </c>
      <c r="D30" s="307"/>
      <c r="E30" s="307"/>
      <c r="F30" s="307"/>
      <c r="G30" s="307"/>
      <c r="H30" s="307">
        <f t="shared" si="1"/>
        <v>0</v>
      </c>
    </row>
    <row r="31" spans="2:8" x14ac:dyDescent="0.3">
      <c r="B31" s="99">
        <f t="shared" si="0"/>
        <v>21</v>
      </c>
      <c r="C31" s="447" t="s">
        <v>1470</v>
      </c>
      <c r="D31" s="307">
        <v>2.023884707092495</v>
      </c>
      <c r="E31" s="307">
        <v>-4.2438993209999989</v>
      </c>
      <c r="F31" s="307">
        <v>2.8248716709785726</v>
      </c>
      <c r="G31" s="307">
        <v>4.9063006958714341</v>
      </c>
      <c r="H31" s="307">
        <f t="shared" si="1"/>
        <v>7.7311723668500072</v>
      </c>
    </row>
    <row r="32" spans="2:8" x14ac:dyDescent="0.3">
      <c r="B32" s="99">
        <f t="shared" si="0"/>
        <v>22</v>
      </c>
      <c r="C32" s="26" t="s">
        <v>245</v>
      </c>
      <c r="D32" s="307"/>
      <c r="E32" s="307"/>
      <c r="F32" s="307"/>
      <c r="G32" s="307"/>
      <c r="H32" s="307">
        <f t="shared" si="1"/>
        <v>0</v>
      </c>
    </row>
    <row r="33" spans="2:8" x14ac:dyDescent="0.3">
      <c r="B33" s="99">
        <f t="shared" si="0"/>
        <v>23</v>
      </c>
      <c r="C33" s="26" t="s">
        <v>246</v>
      </c>
      <c r="D33" s="307"/>
      <c r="E33" s="307"/>
      <c r="F33" s="307"/>
      <c r="G33" s="307"/>
      <c r="H33" s="307">
        <f t="shared" si="1"/>
        <v>0</v>
      </c>
    </row>
    <row r="34" spans="2:8" x14ac:dyDescent="0.3">
      <c r="B34" s="99">
        <f t="shared" si="0"/>
        <v>24</v>
      </c>
      <c r="C34" s="26" t="s">
        <v>247</v>
      </c>
      <c r="D34" s="307"/>
      <c r="E34" s="307"/>
      <c r="F34" s="307"/>
      <c r="G34" s="307"/>
      <c r="H34" s="307">
        <f t="shared" si="1"/>
        <v>0</v>
      </c>
    </row>
    <row r="35" spans="2:8" x14ac:dyDescent="0.3">
      <c r="B35" s="99">
        <f t="shared" si="0"/>
        <v>25</v>
      </c>
      <c r="C35" s="26" t="s">
        <v>248</v>
      </c>
      <c r="D35" s="307"/>
      <c r="E35" s="307"/>
      <c r="F35" s="307"/>
      <c r="G35" s="307"/>
      <c r="H35" s="307">
        <f t="shared" si="1"/>
        <v>0</v>
      </c>
    </row>
    <row r="36" spans="2:8" x14ac:dyDescent="0.3">
      <c r="B36" s="99">
        <f t="shared" si="0"/>
        <v>26</v>
      </c>
      <c r="C36" s="26" t="s">
        <v>249</v>
      </c>
      <c r="D36" s="307"/>
      <c r="E36" s="307"/>
      <c r="F36" s="307"/>
      <c r="G36" s="307"/>
      <c r="H36" s="307">
        <f t="shared" si="1"/>
        <v>0</v>
      </c>
    </row>
    <row r="37" spans="2:8" x14ac:dyDescent="0.3">
      <c r="B37" s="99">
        <f t="shared" si="0"/>
        <v>27</v>
      </c>
      <c r="C37" s="26" t="s">
        <v>250</v>
      </c>
      <c r="D37" s="307">
        <v>5.5922758496666658</v>
      </c>
      <c r="E37" s="307">
        <v>0</v>
      </c>
      <c r="F37" s="307">
        <v>1.352582857142857E-4</v>
      </c>
      <c r="G37" s="307">
        <v>2.1937371428571424E-4</v>
      </c>
      <c r="H37" s="307">
        <f t="shared" si="1"/>
        <v>3.5463199999999991E-4</v>
      </c>
    </row>
    <row r="38" spans="2:8" x14ac:dyDescent="0.3">
      <c r="B38" s="99">
        <f t="shared" si="0"/>
        <v>28</v>
      </c>
      <c r="C38" s="26" t="s">
        <v>251</v>
      </c>
      <c r="D38" s="307"/>
      <c r="E38" s="307"/>
      <c r="F38" s="307"/>
      <c r="G38" s="307"/>
      <c r="H38" s="307">
        <f t="shared" si="1"/>
        <v>0</v>
      </c>
    </row>
    <row r="39" spans="2:8" x14ac:dyDescent="0.3">
      <c r="B39" s="99">
        <f t="shared" si="0"/>
        <v>29</v>
      </c>
      <c r="C39" s="26" t="s">
        <v>209</v>
      </c>
      <c r="D39" s="319">
        <v>9.6390079333333295E-2</v>
      </c>
      <c r="E39" s="319">
        <v>1.0383328009999997</v>
      </c>
      <c r="F39" s="319">
        <v>0.23627808238571424</v>
      </c>
      <c r="G39" s="319">
        <v>0.49055487831428557</v>
      </c>
      <c r="H39" s="307">
        <f t="shared" si="1"/>
        <v>0.72683296069999981</v>
      </c>
    </row>
    <row r="40" spans="2:8" s="315" customFormat="1" x14ac:dyDescent="0.3">
      <c r="B40" s="99">
        <f t="shared" si="0"/>
        <v>30</v>
      </c>
      <c r="C40" s="59" t="s">
        <v>822</v>
      </c>
      <c r="D40" s="319"/>
      <c r="E40" s="319"/>
      <c r="F40" s="319"/>
      <c r="G40" s="319"/>
      <c r="H40" s="307">
        <f t="shared" si="1"/>
        <v>0</v>
      </c>
    </row>
    <row r="41" spans="2:8" s="315" customFormat="1" x14ac:dyDescent="0.3">
      <c r="B41" s="99">
        <f t="shared" si="0"/>
        <v>31</v>
      </c>
      <c r="C41" s="59" t="s">
        <v>810</v>
      </c>
      <c r="D41" s="319"/>
      <c r="E41" s="319"/>
      <c r="F41" s="319"/>
      <c r="G41" s="319"/>
      <c r="H41" s="307">
        <f t="shared" si="1"/>
        <v>0</v>
      </c>
    </row>
    <row r="42" spans="2:8" s="315" customFormat="1" x14ac:dyDescent="0.3">
      <c r="B42" s="99">
        <f t="shared" si="0"/>
        <v>32</v>
      </c>
      <c r="C42" s="59" t="s">
        <v>821</v>
      </c>
      <c r="D42" s="319">
        <v>0</v>
      </c>
      <c r="E42" s="319">
        <v>0</v>
      </c>
      <c r="F42" s="319">
        <v>0</v>
      </c>
      <c r="G42" s="319">
        <v>0</v>
      </c>
      <c r="H42" s="307">
        <f t="shared" si="1"/>
        <v>0</v>
      </c>
    </row>
    <row r="43" spans="2:8" s="315" customFormat="1" x14ac:dyDescent="0.3">
      <c r="B43" s="99">
        <f t="shared" si="0"/>
        <v>33</v>
      </c>
      <c r="C43" s="59" t="s">
        <v>805</v>
      </c>
      <c r="D43" s="319">
        <v>1.8849174256831609</v>
      </c>
      <c r="E43" s="319">
        <v>4.2596889412389212</v>
      </c>
      <c r="F43" s="319">
        <v>0</v>
      </c>
      <c r="G43" s="319">
        <v>0</v>
      </c>
      <c r="H43" s="307">
        <f t="shared" si="1"/>
        <v>0</v>
      </c>
    </row>
    <row r="44" spans="2:8" s="315" customFormat="1" x14ac:dyDescent="0.3">
      <c r="B44" s="99">
        <f t="shared" si="0"/>
        <v>34</v>
      </c>
      <c r="C44" s="309" t="s">
        <v>252</v>
      </c>
      <c r="D44" s="362">
        <f>SUM(D11:D43)</f>
        <v>31.330109511775689</v>
      </c>
      <c r="E44" s="362">
        <f t="shared" ref="E44:H44" si="2">SUM(E11:E43)</f>
        <v>25.651795272078463</v>
      </c>
      <c r="F44" s="362">
        <f t="shared" si="2"/>
        <v>13.044765426045242</v>
      </c>
      <c r="G44" s="362">
        <f t="shared" si="2"/>
        <v>20.001654326271442</v>
      </c>
      <c r="H44" s="362">
        <f t="shared" si="2"/>
        <v>33.046419752316673</v>
      </c>
    </row>
    <row r="45" spans="2:8" s="315" customFormat="1" x14ac:dyDescent="0.3">
      <c r="B45" s="99">
        <f t="shared" si="0"/>
        <v>35</v>
      </c>
      <c r="C45" s="3" t="s">
        <v>34</v>
      </c>
      <c r="D45" s="319"/>
      <c r="E45" s="319"/>
      <c r="F45" s="319"/>
      <c r="G45" s="319"/>
      <c r="H45" s="319"/>
    </row>
    <row r="46" spans="2:8" s="315" customFormat="1" x14ac:dyDescent="0.25">
      <c r="B46" s="99">
        <f t="shared" si="0"/>
        <v>36</v>
      </c>
      <c r="C46" s="240" t="s">
        <v>253</v>
      </c>
      <c r="D46" s="319">
        <f t="shared" ref="D46:G46" si="3">D44-D45</f>
        <v>31.330109511775689</v>
      </c>
      <c r="E46" s="319">
        <f t="shared" si="3"/>
        <v>25.651795272078463</v>
      </c>
      <c r="F46" s="319">
        <f t="shared" si="3"/>
        <v>13.044765426045242</v>
      </c>
      <c r="G46" s="319">
        <f t="shared" si="3"/>
        <v>20.001654326271442</v>
      </c>
      <c r="H46" s="319">
        <f>H44-H45</f>
        <v>33.046419752316673</v>
      </c>
    </row>
  </sheetData>
  <mergeCells count="6">
    <mergeCell ref="B2:M2"/>
    <mergeCell ref="B3:M3"/>
    <mergeCell ref="B4:M4"/>
    <mergeCell ref="B7:B9"/>
    <mergeCell ref="C7:C9"/>
    <mergeCell ref="F7:H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C18" sqref="C18:C19"/>
    </sheetView>
  </sheetViews>
  <sheetFormatPr defaultColWidth="9.36328125" defaultRowHeight="14" x14ac:dyDescent="0.25"/>
  <cols>
    <col min="1" max="1" width="6.6328125" style="14" customWidth="1"/>
    <col min="2" max="2" width="8.6328125" style="98" customWidth="1"/>
    <col min="3" max="3" width="45.6328125" style="14" customWidth="1"/>
    <col min="4" max="13" width="15.6328125" style="14" customWidth="1"/>
    <col min="14" max="16384" width="9.36328125" style="14"/>
  </cols>
  <sheetData>
    <row r="2" spans="2:13" x14ac:dyDescent="0.25">
      <c r="B2" s="1758" t="str">
        <f>Index!B2</f>
        <v xml:space="preserve">      Maharashtra State Power Generation Company Ltd.</v>
      </c>
      <c r="C2" s="1811"/>
      <c r="D2" s="1811"/>
      <c r="E2" s="1811"/>
      <c r="F2" s="1811"/>
      <c r="G2" s="1811"/>
      <c r="H2" s="1811"/>
      <c r="I2" s="1811"/>
      <c r="J2" s="1811"/>
      <c r="K2" s="1811"/>
      <c r="L2" s="1811"/>
      <c r="M2" s="1811"/>
    </row>
    <row r="3" spans="2:13" s="5" customFormat="1" x14ac:dyDescent="0.3">
      <c r="B3" s="1758" t="str">
        <f>Index!B3</f>
        <v>MYT Petition Formats for Parli Units 6 &amp; 7</v>
      </c>
      <c r="C3" s="1811"/>
      <c r="D3" s="1811"/>
      <c r="E3" s="1811"/>
      <c r="F3" s="1811"/>
      <c r="G3" s="1811"/>
      <c r="H3" s="1811"/>
      <c r="I3" s="1811"/>
      <c r="J3" s="1811"/>
      <c r="K3" s="1811"/>
      <c r="L3" s="1811"/>
      <c r="M3" s="1811"/>
    </row>
    <row r="4" spans="2:13" s="5" customFormat="1" x14ac:dyDescent="0.3">
      <c r="B4" s="1759" t="s">
        <v>254</v>
      </c>
      <c r="C4" s="1811"/>
      <c r="D4" s="1811"/>
      <c r="E4" s="1811"/>
      <c r="F4" s="1811"/>
      <c r="G4" s="1811"/>
      <c r="H4" s="1811"/>
      <c r="I4" s="1811"/>
      <c r="J4" s="1811"/>
      <c r="K4" s="1811"/>
      <c r="L4" s="1811"/>
      <c r="M4" s="1811"/>
    </row>
    <row r="6" spans="2:13" x14ac:dyDescent="0.25">
      <c r="H6" s="21"/>
      <c r="M6" s="21" t="s">
        <v>10</v>
      </c>
    </row>
    <row r="7" spans="2:13" ht="12.75" customHeight="1" x14ac:dyDescent="0.25">
      <c r="B7" s="1752" t="s">
        <v>339</v>
      </c>
      <c r="C7" s="1763" t="s">
        <v>36</v>
      </c>
      <c r="D7" s="291" t="s">
        <v>506</v>
      </c>
      <c r="E7" s="291" t="s">
        <v>507</v>
      </c>
      <c r="F7" s="1752" t="s">
        <v>508</v>
      </c>
      <c r="G7" s="1752"/>
      <c r="H7" s="1752"/>
      <c r="I7" s="1757" t="s">
        <v>967</v>
      </c>
      <c r="J7" s="1757"/>
      <c r="K7" s="1757"/>
      <c r="L7" s="1757"/>
      <c r="M7" s="1757"/>
    </row>
    <row r="8" spans="2:13" ht="28" x14ac:dyDescent="0.25">
      <c r="B8" s="1752"/>
      <c r="C8" s="1763"/>
      <c r="D8" s="291" t="s">
        <v>78</v>
      </c>
      <c r="E8" s="291" t="s">
        <v>78</v>
      </c>
      <c r="F8" s="291" t="s">
        <v>444</v>
      </c>
      <c r="G8" s="291" t="s">
        <v>447</v>
      </c>
      <c r="H8" s="291" t="s">
        <v>79</v>
      </c>
      <c r="I8" s="672" t="s">
        <v>968</v>
      </c>
      <c r="J8" s="672" t="s">
        <v>969</v>
      </c>
      <c r="K8" s="672" t="s">
        <v>970</v>
      </c>
      <c r="L8" s="672" t="s">
        <v>971</v>
      </c>
      <c r="M8" s="672" t="s">
        <v>972</v>
      </c>
    </row>
    <row r="9" spans="2:13" x14ac:dyDescent="0.25">
      <c r="B9" s="1752"/>
      <c r="C9" s="1763"/>
      <c r="D9" s="291" t="s">
        <v>80</v>
      </c>
      <c r="E9" s="291" t="s">
        <v>81</v>
      </c>
      <c r="F9" s="291" t="s">
        <v>390</v>
      </c>
      <c r="G9" s="291" t="s">
        <v>391</v>
      </c>
      <c r="H9" s="291" t="s">
        <v>392</v>
      </c>
      <c r="I9" s="660" t="s">
        <v>21</v>
      </c>
      <c r="J9" s="660" t="s">
        <v>21</v>
      </c>
      <c r="K9" s="660" t="s">
        <v>21</v>
      </c>
      <c r="L9" s="660" t="s">
        <v>21</v>
      </c>
      <c r="M9" s="660" t="s">
        <v>21</v>
      </c>
    </row>
    <row r="10" spans="2:13" x14ac:dyDescent="0.3">
      <c r="B10" s="99">
        <v>1</v>
      </c>
      <c r="C10" s="26" t="s">
        <v>255</v>
      </c>
      <c r="D10" s="307">
        <v>88.68745444799994</v>
      </c>
      <c r="E10" s="307">
        <v>61.307606818333326</v>
      </c>
      <c r="F10" s="307">
        <v>33.434329295654749</v>
      </c>
      <c r="G10" s="307">
        <v>31.059056541928616</v>
      </c>
      <c r="H10" s="319">
        <f>F10+G10</f>
        <v>64.493385837583361</v>
      </c>
      <c r="I10" s="307"/>
      <c r="J10" s="307"/>
      <c r="K10" s="307"/>
      <c r="L10" s="307"/>
      <c r="M10" s="307"/>
    </row>
    <row r="11" spans="2:13" x14ac:dyDescent="0.3">
      <c r="B11" s="99">
        <v>2</v>
      </c>
      <c r="C11" s="428" t="s">
        <v>829</v>
      </c>
      <c r="D11" s="307">
        <v>0</v>
      </c>
      <c r="E11" s="307">
        <v>0</v>
      </c>
      <c r="F11" s="307">
        <v>0</v>
      </c>
      <c r="G11" s="307">
        <v>0</v>
      </c>
      <c r="H11" s="319">
        <f t="shared" ref="H11:H17" si="0">F11+G11</f>
        <v>0</v>
      </c>
      <c r="I11" s="307"/>
      <c r="J11" s="307"/>
      <c r="K11" s="307"/>
      <c r="L11" s="307"/>
      <c r="M11" s="307"/>
    </row>
    <row r="12" spans="2:13" x14ac:dyDescent="0.3">
      <c r="B12" s="99">
        <v>3</v>
      </c>
      <c r="C12" s="26" t="s">
        <v>830</v>
      </c>
      <c r="D12" s="307">
        <v>0</v>
      </c>
      <c r="E12" s="307">
        <v>0</v>
      </c>
      <c r="F12" s="307">
        <v>0</v>
      </c>
      <c r="G12" s="307">
        <v>0</v>
      </c>
      <c r="H12" s="319">
        <f t="shared" si="0"/>
        <v>0</v>
      </c>
      <c r="I12" s="307"/>
      <c r="J12" s="307"/>
      <c r="K12" s="307"/>
      <c r="L12" s="307"/>
      <c r="M12" s="307"/>
    </row>
    <row r="13" spans="2:13" x14ac:dyDescent="0.3">
      <c r="B13" s="99">
        <v>4</v>
      </c>
      <c r="C13" s="26" t="s">
        <v>256</v>
      </c>
      <c r="D13" s="307"/>
      <c r="E13" s="307"/>
      <c r="F13" s="307"/>
      <c r="G13" s="307"/>
      <c r="H13" s="319">
        <f t="shared" si="0"/>
        <v>0</v>
      </c>
      <c r="I13" s="307"/>
      <c r="J13" s="307"/>
      <c r="K13" s="307"/>
      <c r="L13" s="307"/>
      <c r="M13" s="307"/>
    </row>
    <row r="14" spans="2:13" x14ac:dyDescent="0.3">
      <c r="B14" s="99">
        <v>5</v>
      </c>
      <c r="C14" s="26" t="s">
        <v>257</v>
      </c>
      <c r="D14" s="307">
        <v>4.1155690000000002E-2</v>
      </c>
      <c r="E14" s="307">
        <v>5.1778250666666664E-2</v>
      </c>
      <c r="F14" s="307">
        <v>7.8761218857142899E-3</v>
      </c>
      <c r="G14" s="307">
        <v>4.649104131428574E-2</v>
      </c>
      <c r="H14" s="319">
        <f t="shared" si="0"/>
        <v>5.4367163200000027E-2</v>
      </c>
      <c r="I14" s="307"/>
      <c r="J14" s="307"/>
      <c r="K14" s="307"/>
      <c r="L14" s="307"/>
      <c r="M14" s="307"/>
    </row>
    <row r="15" spans="2:13" x14ac:dyDescent="0.3">
      <c r="B15" s="99">
        <v>6</v>
      </c>
      <c r="C15" s="26" t="s">
        <v>258</v>
      </c>
      <c r="D15" s="307"/>
      <c r="E15" s="307"/>
      <c r="F15" s="307"/>
      <c r="G15" s="307"/>
      <c r="H15" s="319">
        <f t="shared" si="0"/>
        <v>0</v>
      </c>
      <c r="I15" s="307"/>
      <c r="J15" s="307"/>
      <c r="K15" s="307"/>
      <c r="L15" s="307"/>
      <c r="M15" s="307"/>
    </row>
    <row r="16" spans="2:13" x14ac:dyDescent="0.3">
      <c r="B16" s="99">
        <v>7</v>
      </c>
      <c r="C16" s="26" t="s">
        <v>259</v>
      </c>
      <c r="D16" s="307"/>
      <c r="E16" s="307"/>
      <c r="F16" s="307"/>
      <c r="G16" s="307"/>
      <c r="H16" s="319">
        <f t="shared" si="0"/>
        <v>0</v>
      </c>
      <c r="I16" s="307"/>
      <c r="J16" s="307"/>
      <c r="K16" s="307"/>
      <c r="L16" s="307"/>
      <c r="M16" s="307"/>
    </row>
    <row r="17" spans="2:13" x14ac:dyDescent="0.3">
      <c r="B17" s="99">
        <v>8</v>
      </c>
      <c r="C17" s="26" t="s">
        <v>260</v>
      </c>
      <c r="D17" s="307"/>
      <c r="E17" s="307"/>
      <c r="F17" s="307"/>
      <c r="G17" s="307"/>
      <c r="H17" s="319">
        <f t="shared" si="0"/>
        <v>0</v>
      </c>
      <c r="I17" s="307"/>
      <c r="J17" s="307"/>
      <c r="K17" s="307"/>
      <c r="L17" s="307"/>
      <c r="M17" s="307"/>
    </row>
    <row r="18" spans="2:13" x14ac:dyDescent="0.3">
      <c r="B18" s="99">
        <v>9</v>
      </c>
      <c r="C18" s="467" t="s">
        <v>1044</v>
      </c>
      <c r="D18" s="307">
        <v>-0.4696130891486337</v>
      </c>
      <c r="E18" s="307">
        <v>-0.49496019819663173</v>
      </c>
      <c r="F18" s="307">
        <v>0</v>
      </c>
      <c r="G18" s="307">
        <v>0</v>
      </c>
      <c r="H18" s="319"/>
      <c r="I18" s="307"/>
      <c r="J18" s="307"/>
      <c r="K18" s="307"/>
      <c r="L18" s="307"/>
      <c r="M18" s="307"/>
    </row>
    <row r="19" spans="2:13" x14ac:dyDescent="0.3">
      <c r="B19" s="99">
        <v>10</v>
      </c>
      <c r="C19" s="467" t="s">
        <v>1043</v>
      </c>
      <c r="D19" s="307">
        <v>-3.9697768378836429E-2</v>
      </c>
      <c r="E19" s="307">
        <v>0.10062906771445358</v>
      </c>
      <c r="F19" s="307">
        <v>0</v>
      </c>
      <c r="G19" s="307">
        <v>0</v>
      </c>
      <c r="H19" s="319"/>
      <c r="I19" s="307"/>
      <c r="J19" s="307"/>
      <c r="K19" s="307"/>
      <c r="L19" s="307"/>
      <c r="M19" s="307"/>
    </row>
    <row r="20" spans="2:13" s="315" customFormat="1" x14ac:dyDescent="0.3">
      <c r="B20" s="99">
        <v>11</v>
      </c>
      <c r="C20" s="59" t="s">
        <v>805</v>
      </c>
      <c r="D20" s="319">
        <v>0.81484589804180008</v>
      </c>
      <c r="E20" s="319">
        <v>1.5863191977028812</v>
      </c>
      <c r="F20" s="319">
        <v>0</v>
      </c>
      <c r="G20" s="319">
        <v>0</v>
      </c>
      <c r="H20" s="319"/>
      <c r="I20" s="319"/>
      <c r="J20" s="319"/>
      <c r="K20" s="319"/>
      <c r="L20" s="319"/>
      <c r="M20" s="319"/>
    </row>
    <row r="21" spans="2:13" s="315" customFormat="1" x14ac:dyDescent="0.3">
      <c r="B21" s="99">
        <v>12</v>
      </c>
      <c r="C21" s="309" t="s">
        <v>261</v>
      </c>
      <c r="D21" s="362">
        <f>SUM(D10:D20)</f>
        <v>89.034145178514251</v>
      </c>
      <c r="E21" s="362">
        <f>SUM(E10:E20)</f>
        <v>62.55137313622069</v>
      </c>
      <c r="F21" s="362">
        <f>SUM(F10:F20)</f>
        <v>33.442205417540464</v>
      </c>
      <c r="G21" s="362">
        <f>SUM(G10:G20)</f>
        <v>31.105547583242902</v>
      </c>
      <c r="H21" s="362">
        <f>SUM(H10:H20)</f>
        <v>64.547753000783359</v>
      </c>
      <c r="I21" s="362"/>
      <c r="J21" s="362"/>
      <c r="K21" s="362"/>
      <c r="L21" s="362"/>
      <c r="M21" s="362"/>
    </row>
    <row r="22" spans="2:13" s="315" customFormat="1" x14ac:dyDescent="0.25">
      <c r="B22" s="99"/>
      <c r="C22" s="445"/>
      <c r="D22" s="319"/>
      <c r="E22" s="319"/>
      <c r="F22" s="319"/>
      <c r="G22" s="319"/>
      <c r="H22" s="319"/>
      <c r="I22" s="319"/>
      <c r="J22" s="319"/>
      <c r="K22" s="319"/>
      <c r="L22" s="319"/>
      <c r="M22" s="319"/>
    </row>
    <row r="23" spans="2:13" s="315" customFormat="1" x14ac:dyDescent="0.25">
      <c r="B23" s="99">
        <v>14</v>
      </c>
      <c r="C23" s="446" t="s">
        <v>262</v>
      </c>
      <c r="D23" s="319">
        <f>'F5 (T)'!D31</f>
        <v>3066.5850900632008</v>
      </c>
      <c r="E23" s="319">
        <f>'F5 (T)'!I31</f>
        <v>3100.9057559492003</v>
      </c>
      <c r="F23" s="319">
        <f>'F5 (T)'!N31</f>
        <v>3108.7705386812004</v>
      </c>
      <c r="G23" s="319">
        <f>'F5 (T)'!N31</f>
        <v>3108.7705386812004</v>
      </c>
      <c r="H23" s="319">
        <f>AVERAGE(F23:G23)</f>
        <v>3108.7705386812004</v>
      </c>
      <c r="I23" s="319">
        <f>'F5 (T)'!$S$31</f>
        <v>3175.4840086812005</v>
      </c>
      <c r="J23" s="319">
        <f>'F5 (T)'!$D$57</f>
        <v>3365.1440086812004</v>
      </c>
      <c r="K23" s="319">
        <f>'F5 (T)'!$I$57</f>
        <v>3484.8940086811999</v>
      </c>
      <c r="L23" s="319">
        <f>'F5 (T)'!$N$57</f>
        <v>3567.8440086811997</v>
      </c>
      <c r="M23" s="319">
        <f>'F5 (T)'!S$57</f>
        <v>3909.5840086812004</v>
      </c>
    </row>
    <row r="24" spans="2:13" s="315" customFormat="1" x14ac:dyDescent="0.25">
      <c r="B24" s="99">
        <v>15</v>
      </c>
      <c r="C24" s="446" t="s">
        <v>263</v>
      </c>
      <c r="D24" s="360">
        <f>D21/D23</f>
        <v>2.9033645753713391E-2</v>
      </c>
      <c r="E24" s="360">
        <f t="shared" ref="E24:M24" si="1">E21/E23</f>
        <v>2.0171968469603955E-2</v>
      </c>
      <c r="F24" s="360">
        <f t="shared" si="1"/>
        <v>1.0757373373631907E-2</v>
      </c>
      <c r="G24" s="360">
        <f t="shared" si="1"/>
        <v>1.0005739309546619E-2</v>
      </c>
      <c r="H24" s="360">
        <f t="shared" si="1"/>
        <v>2.0763112683178521E-2</v>
      </c>
      <c r="I24" s="360">
        <f t="shared" si="1"/>
        <v>0</v>
      </c>
      <c r="J24" s="360">
        <f t="shared" si="1"/>
        <v>0</v>
      </c>
      <c r="K24" s="360">
        <f t="shared" si="1"/>
        <v>0</v>
      </c>
      <c r="L24" s="360">
        <f t="shared" si="1"/>
        <v>0</v>
      </c>
      <c r="M24" s="360">
        <f t="shared" si="1"/>
        <v>0</v>
      </c>
    </row>
    <row r="25" spans="2:13" x14ac:dyDescent="0.25">
      <c r="B25" s="99"/>
      <c r="C25" s="28"/>
      <c r="D25" s="307"/>
      <c r="E25" s="307"/>
      <c r="F25" s="307"/>
      <c r="G25" s="319"/>
      <c r="H25" s="319"/>
      <c r="I25" s="324"/>
      <c r="J25" s="324"/>
      <c r="K25" s="324"/>
      <c r="L25" s="324"/>
      <c r="M25" s="324"/>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B1" zoomScale="79" zoomScaleSheetLayoutView="90" workbookViewId="0">
      <selection activeCell="M15" sqref="M15"/>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3"/>
    </row>
    <row r="2" spans="1:21" x14ac:dyDescent="0.3">
      <c r="B2" s="1758" t="str">
        <f>Index!B2</f>
        <v xml:space="preserve">      Maharashtra State Power Generation Company Ltd.</v>
      </c>
      <c r="C2" s="1811"/>
      <c r="D2" s="1811"/>
      <c r="E2" s="1811"/>
      <c r="F2" s="1811"/>
      <c r="G2" s="1811"/>
      <c r="H2" s="1811"/>
      <c r="I2" s="1811"/>
      <c r="J2" s="1811"/>
      <c r="K2" s="1811"/>
      <c r="L2" s="1811"/>
      <c r="M2" s="1811"/>
      <c r="N2" s="1811"/>
      <c r="O2" s="117"/>
    </row>
    <row r="3" spans="1:21" x14ac:dyDescent="0.3">
      <c r="B3" s="1758" t="str">
        <f>Index!B3</f>
        <v>MYT Petition Formats for Parli Units 6 &amp; 7</v>
      </c>
      <c r="C3" s="1811"/>
      <c r="D3" s="1811"/>
      <c r="E3" s="1811"/>
      <c r="F3" s="1811"/>
      <c r="G3" s="1811"/>
      <c r="H3" s="1811"/>
      <c r="I3" s="1811"/>
      <c r="J3" s="1811"/>
      <c r="K3" s="1811"/>
      <c r="L3" s="1811"/>
      <c r="M3" s="1811"/>
      <c r="N3" s="1811"/>
      <c r="O3" s="65"/>
    </row>
    <row r="4" spans="1:21" x14ac:dyDescent="0.3">
      <c r="B4" s="1759" t="s">
        <v>480</v>
      </c>
      <c r="C4" s="1811"/>
      <c r="D4" s="1811"/>
      <c r="E4" s="1811"/>
      <c r="F4" s="1811"/>
      <c r="G4" s="1811"/>
      <c r="H4" s="1811"/>
      <c r="I4" s="1811"/>
      <c r="J4" s="1811"/>
      <c r="K4" s="1811"/>
      <c r="L4" s="1811"/>
      <c r="M4" s="1811"/>
      <c r="N4" s="1811"/>
      <c r="O4" s="1811"/>
    </row>
    <row r="5" spans="1:21" x14ac:dyDescent="0.3">
      <c r="B5" s="219"/>
      <c r="C5" s="218"/>
      <c r="D5" s="225"/>
      <c r="E5" s="225"/>
      <c r="F5" s="225"/>
      <c r="G5" s="286"/>
      <c r="H5" s="286"/>
      <c r="I5" s="286"/>
      <c r="J5" s="218"/>
      <c r="K5" s="218"/>
      <c r="L5" s="218"/>
      <c r="M5" s="218"/>
      <c r="N5" s="218"/>
      <c r="O5" s="218"/>
    </row>
    <row r="6" spans="1:21" x14ac:dyDescent="0.3">
      <c r="T6" s="21" t="s">
        <v>10</v>
      </c>
    </row>
    <row r="7" spans="1:21" s="14" customFormat="1" ht="15" customHeight="1" x14ac:dyDescent="0.25">
      <c r="B7" s="1760" t="s">
        <v>339</v>
      </c>
      <c r="C7" s="1763" t="s">
        <v>36</v>
      </c>
      <c r="D7" s="1866" t="s">
        <v>506</v>
      </c>
      <c r="E7" s="1867"/>
      <c r="F7" s="1868"/>
      <c r="G7" s="1866" t="s">
        <v>507</v>
      </c>
      <c r="H7" s="1867"/>
      <c r="I7" s="1868"/>
      <c r="J7" s="1866" t="s">
        <v>508</v>
      </c>
      <c r="K7" s="1867"/>
      <c r="L7" s="1867"/>
      <c r="M7" s="1867"/>
      <c r="N7" s="1868"/>
      <c r="O7" s="1757" t="s">
        <v>967</v>
      </c>
      <c r="P7" s="1757"/>
      <c r="Q7" s="1757"/>
      <c r="R7" s="1757"/>
      <c r="S7" s="1757"/>
      <c r="T7" s="1752" t="s">
        <v>26</v>
      </c>
    </row>
    <row r="8" spans="1:21" s="14" customFormat="1" ht="28" x14ac:dyDescent="0.25">
      <c r="B8" s="1761"/>
      <c r="C8" s="1763"/>
      <c r="D8" s="300" t="s">
        <v>966</v>
      </c>
      <c r="E8" s="295" t="s">
        <v>78</v>
      </c>
      <c r="F8" s="295" t="s">
        <v>449</v>
      </c>
      <c r="G8" s="300" t="s">
        <v>966</v>
      </c>
      <c r="H8" s="295" t="s">
        <v>78</v>
      </c>
      <c r="I8" s="295" t="s">
        <v>449</v>
      </c>
      <c r="J8" s="295" t="s">
        <v>966</v>
      </c>
      <c r="K8" s="295" t="s">
        <v>443</v>
      </c>
      <c r="L8" s="295" t="s">
        <v>447</v>
      </c>
      <c r="M8" s="295" t="s">
        <v>79</v>
      </c>
      <c r="N8" s="295" t="s">
        <v>450</v>
      </c>
      <c r="O8" s="672" t="s">
        <v>968</v>
      </c>
      <c r="P8" s="672" t="s">
        <v>969</v>
      </c>
      <c r="Q8" s="672" t="s">
        <v>970</v>
      </c>
      <c r="R8" s="672" t="s">
        <v>971</v>
      </c>
      <c r="S8" s="672" t="s">
        <v>972</v>
      </c>
      <c r="T8" s="1752"/>
    </row>
    <row r="9" spans="1:21" s="14" customFormat="1" x14ac:dyDescent="0.25">
      <c r="B9" s="1762"/>
      <c r="C9" s="1764"/>
      <c r="D9" s="295" t="s">
        <v>80</v>
      </c>
      <c r="E9" s="295" t="s">
        <v>81</v>
      </c>
      <c r="F9" s="295" t="s">
        <v>676</v>
      </c>
      <c r="G9" s="295" t="s">
        <v>390</v>
      </c>
      <c r="H9" s="295" t="s">
        <v>408</v>
      </c>
      <c r="I9" s="295" t="s">
        <v>454</v>
      </c>
      <c r="J9" s="295" t="s">
        <v>654</v>
      </c>
      <c r="K9" s="295" t="s">
        <v>590</v>
      </c>
      <c r="L9" s="295" t="s">
        <v>591</v>
      </c>
      <c r="M9" s="295" t="s">
        <v>678</v>
      </c>
      <c r="N9" s="295" t="s">
        <v>679</v>
      </c>
      <c r="O9" s="660" t="s">
        <v>21</v>
      </c>
      <c r="P9" s="660" t="s">
        <v>21</v>
      </c>
      <c r="Q9" s="660" t="s">
        <v>21</v>
      </c>
      <c r="R9" s="660" t="s">
        <v>21</v>
      </c>
      <c r="S9" s="660" t="s">
        <v>21</v>
      </c>
      <c r="T9" s="1793"/>
    </row>
    <row r="10" spans="1:21" s="90" customFormat="1" x14ac:dyDescent="0.25">
      <c r="B10" s="174">
        <v>1</v>
      </c>
      <c r="C10" s="160" t="s">
        <v>22</v>
      </c>
      <c r="D10" s="307"/>
      <c r="E10" s="307">
        <f>'F4.2'!$U$362</f>
        <v>22.063076291999995</v>
      </c>
      <c r="F10" s="307"/>
      <c r="G10" s="307"/>
      <c r="H10" s="307">
        <f>'F4.2'!$V$362</f>
        <v>27.2666954</v>
      </c>
      <c r="I10" s="307"/>
      <c r="J10" s="319"/>
      <c r="K10" s="307"/>
      <c r="L10" s="307"/>
      <c r="M10" s="307">
        <f>'F4.2'!$W$362</f>
        <v>194.25299130000002</v>
      </c>
      <c r="N10" s="320"/>
      <c r="O10" s="307">
        <f>'F4.2'!X$362</f>
        <v>558.79830000000004</v>
      </c>
      <c r="P10" s="307">
        <f>'F4.2'!Y$362</f>
        <v>548.5</v>
      </c>
      <c r="Q10" s="307">
        <f>'F4.2'!Z$362</f>
        <v>226.39999999999998</v>
      </c>
      <c r="R10" s="307">
        <f>'F4.2'!AA$362</f>
        <v>237.61</v>
      </c>
      <c r="S10" s="307">
        <f>'F4.2'!AB$362</f>
        <v>73.08</v>
      </c>
      <c r="T10" s="320"/>
      <c r="U10" s="321"/>
    </row>
    <row r="11" spans="1:21" s="90" customFormat="1" x14ac:dyDescent="0.25">
      <c r="B11" s="174"/>
      <c r="C11" s="160"/>
      <c r="D11" s="307"/>
      <c r="E11" s="307"/>
      <c r="F11" s="307"/>
      <c r="G11" s="307"/>
      <c r="H11" s="307"/>
      <c r="I11" s="307"/>
      <c r="J11" s="319"/>
      <c r="K11" s="320"/>
      <c r="L11" s="320"/>
      <c r="M11" s="320"/>
      <c r="N11" s="320"/>
      <c r="O11" s="320"/>
      <c r="P11" s="320"/>
      <c r="Q11" s="320"/>
      <c r="R11" s="320"/>
      <c r="S11" s="320"/>
      <c r="T11" s="320"/>
      <c r="U11" s="321"/>
    </row>
    <row r="12" spans="1:21" s="90" customFormat="1" x14ac:dyDescent="0.25">
      <c r="B12" s="174">
        <f>B10+1</f>
        <v>2</v>
      </c>
      <c r="C12" s="91" t="s">
        <v>18</v>
      </c>
      <c r="D12" s="322">
        <v>37.570000000000007</v>
      </c>
      <c r="E12" s="322">
        <f>'F5'!E31</f>
        <v>34.320665886</v>
      </c>
      <c r="F12" s="307">
        <f>E12-D12</f>
        <v>-3.2493341140000069</v>
      </c>
      <c r="G12" s="824">
        <v>25.8</v>
      </c>
      <c r="H12" s="824">
        <f>'F5'!$J$31</f>
        <v>7.8647827320000001</v>
      </c>
      <c r="I12" s="825">
        <f>H12-G12</f>
        <v>-17.935217268000002</v>
      </c>
      <c r="J12" s="826">
        <v>145.02000000000001</v>
      </c>
      <c r="K12" s="322">
        <v>21.96</v>
      </c>
      <c r="L12" s="322">
        <v>44.749999999999993</v>
      </c>
      <c r="M12" s="320">
        <f>K12+L12</f>
        <v>66.709999999999994</v>
      </c>
      <c r="N12" s="320">
        <f>M12-J12</f>
        <v>-78.310000000000016</v>
      </c>
      <c r="O12" s="322">
        <f>'F5 (T)'!$T$31</f>
        <v>189.66</v>
      </c>
      <c r="P12" s="322">
        <f>'F5 (T)'!$E$57</f>
        <v>119.74999999999999</v>
      </c>
      <c r="Q12" s="322">
        <f>'F5 (T)'!$J$57</f>
        <v>82.95</v>
      </c>
      <c r="R12" s="322">
        <f>'F5 (T)'!$O$57</f>
        <v>341.73999999999995</v>
      </c>
      <c r="S12" s="322">
        <f>'F5 (T)'!$T$57</f>
        <v>73.08</v>
      </c>
      <c r="T12" s="322"/>
      <c r="U12" s="321"/>
    </row>
    <row r="13" spans="1:21" s="90" customFormat="1" x14ac:dyDescent="0.25">
      <c r="B13" s="174">
        <f>B12+1</f>
        <v>3</v>
      </c>
      <c r="C13" s="91" t="s">
        <v>413</v>
      </c>
      <c r="D13" s="322"/>
      <c r="E13" s="322"/>
      <c r="F13" s="307">
        <f>E13-D13</f>
        <v>0</v>
      </c>
      <c r="G13" s="322"/>
      <c r="H13" s="322"/>
      <c r="I13" s="307">
        <f>H13-G13</f>
        <v>0</v>
      </c>
      <c r="J13" s="323"/>
      <c r="K13" s="322"/>
      <c r="L13" s="322"/>
      <c r="M13" s="320">
        <f>K13+L13</f>
        <v>0</v>
      </c>
      <c r="N13" s="320">
        <f>M13-J13</f>
        <v>0</v>
      </c>
      <c r="O13" s="322"/>
      <c r="P13" s="322"/>
      <c r="Q13" s="322"/>
      <c r="R13" s="322"/>
      <c r="S13" s="322"/>
      <c r="T13" s="322"/>
      <c r="U13" s="321"/>
    </row>
    <row r="14" spans="1:21" s="92" customFormat="1" x14ac:dyDescent="0.25">
      <c r="B14" s="174">
        <f>B13+1</f>
        <v>4</v>
      </c>
      <c r="C14" s="91" t="s">
        <v>481</v>
      </c>
      <c r="D14" s="322">
        <f>D12+D13</f>
        <v>37.570000000000007</v>
      </c>
      <c r="E14" s="322">
        <f>E12+E13</f>
        <v>34.320665886</v>
      </c>
      <c r="F14" s="322">
        <f t="shared" ref="F14:S14" si="0">F12+F13</f>
        <v>-3.2493341140000069</v>
      </c>
      <c r="G14" s="322">
        <f t="shared" si="0"/>
        <v>25.8</v>
      </c>
      <c r="H14" s="322">
        <f t="shared" si="0"/>
        <v>7.8647827320000001</v>
      </c>
      <c r="I14" s="322">
        <f t="shared" si="0"/>
        <v>-17.935217268000002</v>
      </c>
      <c r="J14" s="322">
        <f t="shared" si="0"/>
        <v>145.02000000000001</v>
      </c>
      <c r="K14" s="322">
        <f t="shared" si="0"/>
        <v>21.96</v>
      </c>
      <c r="L14" s="322">
        <f t="shared" si="0"/>
        <v>44.749999999999993</v>
      </c>
      <c r="M14" s="322">
        <f>M12+M13</f>
        <v>66.709999999999994</v>
      </c>
      <c r="N14" s="322">
        <f t="shared" si="0"/>
        <v>-78.310000000000016</v>
      </c>
      <c r="O14" s="322">
        <f t="shared" si="0"/>
        <v>189.66</v>
      </c>
      <c r="P14" s="322">
        <f t="shared" si="0"/>
        <v>119.74999999999999</v>
      </c>
      <c r="Q14" s="322">
        <f t="shared" si="0"/>
        <v>82.95</v>
      </c>
      <c r="R14" s="322">
        <f t="shared" si="0"/>
        <v>341.73999999999995</v>
      </c>
      <c r="S14" s="322">
        <f t="shared" si="0"/>
        <v>73.08</v>
      </c>
      <c r="T14" s="322"/>
      <c r="U14" s="324"/>
    </row>
    <row r="15" spans="1:21" s="1076" customFormat="1" x14ac:dyDescent="0.25">
      <c r="B15" s="1483"/>
      <c r="C15" s="1484"/>
      <c r="D15" s="1484"/>
      <c r="E15" s="1485">
        <f>'F5 (T)'!E31-E14</f>
        <v>0</v>
      </c>
      <c r="F15" s="1484"/>
      <c r="G15" s="1484"/>
      <c r="H15" s="1485">
        <f>'F5 (T)'!J31-H14</f>
        <v>0</v>
      </c>
      <c r="I15" s="1484"/>
      <c r="J15" s="1486"/>
      <c r="K15" s="1486"/>
      <c r="L15" s="1486"/>
      <c r="M15" s="1487">
        <f>'F5 (T)'!O31-M14</f>
        <v>3.4700000000214004E-3</v>
      </c>
      <c r="N15" s="1486"/>
      <c r="O15" s="1487">
        <f>'F5 (T)'!$T$31-O14</f>
        <v>0</v>
      </c>
      <c r="P15" s="1488">
        <f>'F5 (T)'!$E$57-P14</f>
        <v>0</v>
      </c>
      <c r="Q15" s="1488">
        <f>'F5 (T)'!$J$57-Q14</f>
        <v>0</v>
      </c>
      <c r="R15" s="1488">
        <f>'F5 (T)'!$O$57-R14</f>
        <v>0</v>
      </c>
      <c r="S15" s="1488">
        <f>'F5 (T)'!$T$57-S14</f>
        <v>0</v>
      </c>
    </row>
    <row r="16" spans="1:21" s="1" customFormat="1" x14ac:dyDescent="0.3">
      <c r="A16" s="5"/>
      <c r="B16" s="14" t="s">
        <v>976</v>
      </c>
      <c r="K16" s="5"/>
      <c r="L16" s="5"/>
      <c r="M16" s="5"/>
      <c r="N16" s="5"/>
      <c r="O16" s="5"/>
    </row>
    <row r="17" spans="1:15" s="1" customFormat="1" x14ac:dyDescent="0.3">
      <c r="A17" s="5"/>
      <c r="B17" s="14"/>
      <c r="C17" s="1" t="s">
        <v>635</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128"/>
  <sheetViews>
    <sheetView view="pageBreakPreview" zoomScale="81" zoomScaleNormal="70" zoomScaleSheetLayoutView="81" workbookViewId="0">
      <pane xSplit="2" ySplit="6" topLeftCell="C7" activePane="bottomRight" state="frozen"/>
      <selection activeCell="N73" sqref="N73"/>
      <selection pane="topRight" activeCell="N73" sqref="N73"/>
      <selection pane="bottomLeft" activeCell="N73" sqref="N73"/>
      <selection pane="bottomRight" activeCell="D10" sqref="D10"/>
    </sheetView>
  </sheetViews>
  <sheetFormatPr defaultColWidth="9.1796875" defaultRowHeight="14.5" x14ac:dyDescent="0.35"/>
  <cols>
    <col min="1" max="1" width="7.26953125" style="1723" customWidth="1"/>
    <col min="2" max="2" width="50.81640625" style="1724" customWidth="1"/>
    <col min="3" max="3" width="9.54296875" style="1724" customWidth="1"/>
    <col min="4" max="4" width="30.54296875" style="1737" customWidth="1"/>
    <col min="5" max="5" width="11.54296875" style="1725" customWidth="1"/>
    <col min="6" max="6" width="9" style="1312" customWidth="1"/>
    <col min="7" max="7" width="10.7265625" style="1313" customWidth="1"/>
    <col min="8" max="8" width="8.453125" style="1313" customWidth="1"/>
    <col min="9" max="10" width="10.81640625" style="1313" customWidth="1"/>
    <col min="11" max="11" width="7.7265625" style="1313" customWidth="1"/>
    <col min="12" max="12" width="11.7265625" style="1313" customWidth="1"/>
    <col min="13" max="14" width="9.54296875" style="1312" customWidth="1"/>
    <col min="15" max="15" width="10" style="1312" customWidth="1"/>
    <col min="16" max="16" width="8.7265625" style="1312" customWidth="1"/>
    <col min="17" max="17" width="6.54296875" style="1312" customWidth="1"/>
    <col min="18" max="18" width="9.54296875" style="1312" customWidth="1"/>
    <col min="19" max="19" width="10.26953125" style="1724" customWidth="1"/>
    <col min="20" max="20" width="12.54296875" style="1312" customWidth="1"/>
    <col min="21" max="21" width="14" style="1312" customWidth="1"/>
    <col min="22" max="24" width="12.54296875" style="1312" customWidth="1"/>
    <col min="25" max="25" width="15.453125" style="1312" customWidth="1"/>
    <col min="26" max="26" width="12.54296875" style="1312" customWidth="1"/>
    <col min="27" max="28" width="13.54296875" style="1312" customWidth="1"/>
    <col min="29" max="16384" width="9.1796875" style="1312"/>
  </cols>
  <sheetData>
    <row r="1" spans="1:28" x14ac:dyDescent="0.35">
      <c r="D1" s="1311" t="s">
        <v>1568</v>
      </c>
    </row>
    <row r="2" spans="1:28" x14ac:dyDescent="0.35">
      <c r="D2" s="1314" t="s">
        <v>930</v>
      </c>
    </row>
    <row r="3" spans="1:28" x14ac:dyDescent="0.35">
      <c r="B3" s="1726" t="s">
        <v>0</v>
      </c>
      <c r="D3" s="1315" t="s">
        <v>500</v>
      </c>
      <c r="F3" s="1316"/>
      <c r="G3" s="1317"/>
      <c r="H3" s="1317"/>
      <c r="I3" s="1317"/>
      <c r="J3" s="1317"/>
      <c r="K3" s="1317"/>
      <c r="L3" s="1317"/>
      <c r="M3" s="1318"/>
      <c r="N3" s="1318"/>
      <c r="O3" s="1318"/>
      <c r="P3" s="1318"/>
      <c r="Q3" s="1318"/>
      <c r="R3" s="1318"/>
      <c r="S3" s="1727" t="s">
        <v>10</v>
      </c>
      <c r="T3" s="1318"/>
      <c r="U3" s="1318"/>
      <c r="V3" s="1318"/>
      <c r="W3" s="1318"/>
      <c r="X3" s="1318"/>
      <c r="Y3" s="1318"/>
      <c r="Z3" s="1318"/>
      <c r="AA3" s="1318"/>
      <c r="AB3" s="1318"/>
    </row>
    <row r="4" spans="1:28" s="1319" customFormat="1" x14ac:dyDescent="0.25">
      <c r="A4" s="1895" t="s">
        <v>339</v>
      </c>
      <c r="B4" s="1896" t="s">
        <v>16</v>
      </c>
      <c r="C4" s="1896" t="s">
        <v>1</v>
      </c>
      <c r="D4" s="1896" t="s">
        <v>488</v>
      </c>
      <c r="E4" s="1894" t="s">
        <v>489</v>
      </c>
      <c r="F4" s="1894" t="s">
        <v>4</v>
      </c>
      <c r="G4" s="1899" t="s">
        <v>2</v>
      </c>
      <c r="H4" s="1900"/>
      <c r="I4" s="1901"/>
      <c r="J4" s="1899" t="s">
        <v>8</v>
      </c>
      <c r="K4" s="1900"/>
      <c r="L4" s="1901"/>
      <c r="M4" s="1897" t="s">
        <v>490</v>
      </c>
      <c r="N4" s="1897"/>
      <c r="O4" s="1897"/>
      <c r="P4" s="1897"/>
      <c r="Q4" s="1897"/>
      <c r="R4" s="1897"/>
      <c r="S4" s="1897"/>
    </row>
    <row r="5" spans="1:28" s="1319" customFormat="1" x14ac:dyDescent="0.25">
      <c r="A5" s="1895"/>
      <c r="B5" s="1896"/>
      <c r="C5" s="1896"/>
      <c r="D5" s="1896"/>
      <c r="E5" s="1894"/>
      <c r="F5" s="1894"/>
      <c r="G5" s="1902" t="s">
        <v>11</v>
      </c>
      <c r="H5" s="1902" t="s">
        <v>9</v>
      </c>
      <c r="I5" s="1902" t="s">
        <v>491</v>
      </c>
      <c r="J5" s="1902" t="s">
        <v>11</v>
      </c>
      <c r="K5" s="1902" t="s">
        <v>9</v>
      </c>
      <c r="L5" s="1902" t="s">
        <v>7</v>
      </c>
      <c r="M5" s="1904" t="s">
        <v>24</v>
      </c>
      <c r="N5" s="1897" t="s">
        <v>492</v>
      </c>
      <c r="O5" s="1898" t="s">
        <v>668</v>
      </c>
      <c r="P5" s="1898"/>
      <c r="Q5" s="1898"/>
      <c r="R5" s="1898"/>
      <c r="S5" s="1898"/>
    </row>
    <row r="6" spans="1:28" ht="43.5" x14ac:dyDescent="0.35">
      <c r="A6" s="1895"/>
      <c r="B6" s="1896"/>
      <c r="C6" s="1896"/>
      <c r="D6" s="1896"/>
      <c r="E6" s="1894"/>
      <c r="F6" s="1894"/>
      <c r="G6" s="1903"/>
      <c r="H6" s="1903"/>
      <c r="I6" s="1903"/>
      <c r="J6" s="1903"/>
      <c r="K6" s="1903"/>
      <c r="L6" s="1903"/>
      <c r="M6" s="1904"/>
      <c r="N6" s="1897"/>
      <c r="O6" s="1320" t="s">
        <v>673</v>
      </c>
      <c r="P6" s="1320" t="s">
        <v>669</v>
      </c>
      <c r="Q6" s="1320" t="s">
        <v>670</v>
      </c>
      <c r="R6" s="1320" t="s">
        <v>671</v>
      </c>
      <c r="S6" s="1728" t="s">
        <v>672</v>
      </c>
    </row>
    <row r="7" spans="1:28" x14ac:dyDescent="0.35">
      <c r="A7" s="1729"/>
      <c r="B7" s="1535"/>
      <c r="C7" s="1535"/>
      <c r="D7" s="1535"/>
      <c r="E7" s="1730"/>
      <c r="F7" s="1321"/>
      <c r="G7" s="1322"/>
      <c r="H7" s="1322"/>
      <c r="I7" s="1322"/>
      <c r="J7" s="1322"/>
      <c r="K7" s="1322"/>
      <c r="L7" s="1322"/>
      <c r="M7" s="1323"/>
      <c r="N7" s="1321"/>
      <c r="O7" s="1321"/>
      <c r="P7" s="1321"/>
      <c r="Q7" s="1321"/>
      <c r="R7" s="1321"/>
      <c r="S7" s="1535"/>
    </row>
    <row r="8" spans="1:28" x14ac:dyDescent="0.35">
      <c r="A8" s="1731"/>
      <c r="B8" s="1324" t="s">
        <v>1575</v>
      </c>
      <c r="C8" s="1325"/>
      <c r="D8" s="1326"/>
      <c r="E8" s="1327"/>
      <c r="F8" s="1325"/>
      <c r="G8" s="1327"/>
      <c r="H8" s="1327"/>
      <c r="I8" s="1327"/>
      <c r="J8" s="1327"/>
      <c r="K8" s="1327"/>
      <c r="L8" s="1327"/>
      <c r="M8" s="1325"/>
      <c r="N8" s="1325"/>
      <c r="O8" s="1325"/>
      <c r="P8" s="1325"/>
      <c r="Q8" s="1325"/>
      <c r="R8" s="1325"/>
      <c r="S8" s="1732"/>
    </row>
    <row r="9" spans="1:28" x14ac:dyDescent="0.35">
      <c r="A9" s="1731"/>
      <c r="B9" s="1328" t="s">
        <v>1576</v>
      </c>
      <c r="C9" s="1325"/>
      <c r="D9" s="1326"/>
      <c r="E9" s="1327"/>
      <c r="F9" s="1325"/>
      <c r="G9" s="1327"/>
      <c r="H9" s="1327"/>
      <c r="I9" s="1327"/>
      <c r="J9" s="1327"/>
      <c r="K9" s="1327"/>
      <c r="L9" s="1327"/>
      <c r="M9" s="1325"/>
      <c r="N9" s="1325"/>
      <c r="O9" s="1325"/>
      <c r="P9" s="1325"/>
      <c r="Q9" s="1325"/>
      <c r="R9" s="1325"/>
      <c r="S9" s="1732"/>
    </row>
    <row r="10" spans="1:28" s="1331" customFormat="1" ht="43.5" x14ac:dyDescent="0.35">
      <c r="A10" s="1543">
        <v>6</v>
      </c>
      <c r="B10" s="1544" t="s">
        <v>1577</v>
      </c>
      <c r="C10" s="1543" t="s">
        <v>931</v>
      </c>
      <c r="D10" s="1543" t="s">
        <v>1578</v>
      </c>
      <c r="E10" s="1546">
        <v>41421</v>
      </c>
      <c r="F10" s="1329"/>
      <c r="G10" s="1546">
        <f>E10</f>
        <v>41421</v>
      </c>
      <c r="H10" s="1546"/>
      <c r="I10" s="1546" t="s">
        <v>2102</v>
      </c>
      <c r="J10" s="1546" t="s">
        <v>2102</v>
      </c>
      <c r="K10" s="1546"/>
      <c r="L10" s="1546" t="s">
        <v>2102</v>
      </c>
      <c r="M10" s="1330">
        <v>199.86</v>
      </c>
      <c r="N10" s="1330">
        <v>142</v>
      </c>
      <c r="O10" s="1329"/>
      <c r="P10" s="1329"/>
      <c r="Q10" s="1329"/>
      <c r="R10" s="1329"/>
      <c r="S10" s="1330">
        <f>IF(SUM(O10:R10)=0,M10-N10,-SUM(O10:R10))</f>
        <v>57.860000000000014</v>
      </c>
    </row>
    <row r="11" spans="1:28" s="1331" customFormat="1" ht="29" x14ac:dyDescent="0.35">
      <c r="A11" s="1543">
        <v>9</v>
      </c>
      <c r="B11" s="1544" t="s">
        <v>1580</v>
      </c>
      <c r="C11" s="1543" t="s">
        <v>931</v>
      </c>
      <c r="D11" s="1543" t="s">
        <v>1581</v>
      </c>
      <c r="E11" s="1546">
        <v>41779</v>
      </c>
      <c r="F11" s="1329"/>
      <c r="G11" s="1546">
        <f>E11</f>
        <v>41779</v>
      </c>
      <c r="H11" s="1546"/>
      <c r="I11" s="1546" t="s">
        <v>2102</v>
      </c>
      <c r="J11" s="1546" t="s">
        <v>2102</v>
      </c>
      <c r="K11" s="1546"/>
      <c r="L11" s="1546" t="s">
        <v>2102</v>
      </c>
      <c r="M11" s="1330">
        <v>0</v>
      </c>
      <c r="N11" s="1330">
        <v>0</v>
      </c>
      <c r="O11" s="1329"/>
      <c r="P11" s="1329"/>
      <c r="Q11" s="1329"/>
      <c r="R11" s="1329"/>
      <c r="S11" s="1330">
        <f>IF(SUM(O11:R11)=0,M11-N11,-SUM(O11:R11))</f>
        <v>0</v>
      </c>
    </row>
    <row r="12" spans="1:28" s="1331" customFormat="1" ht="29" x14ac:dyDescent="0.35">
      <c r="A12" s="1557">
        <v>9.1</v>
      </c>
      <c r="B12" s="1558" t="s">
        <v>1582</v>
      </c>
      <c r="C12" s="1568" t="s">
        <v>938</v>
      </c>
      <c r="D12" s="1557" t="s">
        <v>1581</v>
      </c>
      <c r="E12" s="1560">
        <v>41779</v>
      </c>
      <c r="F12" s="1332"/>
      <c r="G12" s="1560">
        <f t="shared" ref="G12:G77" si="0">E12</f>
        <v>41779</v>
      </c>
      <c r="H12" s="1560"/>
      <c r="I12" s="1560" t="s">
        <v>2102</v>
      </c>
      <c r="J12" s="1560" t="s">
        <v>2102</v>
      </c>
      <c r="K12" s="1560"/>
      <c r="L12" s="1560">
        <v>41476</v>
      </c>
      <c r="M12" s="1333">
        <v>22.059060828</v>
      </c>
      <c r="N12" s="1333">
        <v>21.53</v>
      </c>
      <c r="O12" s="1329"/>
      <c r="P12" s="1733">
        <f>M12-N12</f>
        <v>0.52906082799999865</v>
      </c>
      <c r="Q12" s="1329"/>
      <c r="R12" s="1329"/>
      <c r="S12" s="1333">
        <f>IF(SUM(O12:R12)=0,M12-N12,SUM(O12:R12))</f>
        <v>0.52906082799999865</v>
      </c>
    </row>
    <row r="13" spans="1:28" s="1331" customFormat="1" ht="29" x14ac:dyDescent="0.35">
      <c r="A13" s="1557">
        <v>9.1999999999999993</v>
      </c>
      <c r="B13" s="1558" t="s">
        <v>1585</v>
      </c>
      <c r="C13" s="1568" t="s">
        <v>938</v>
      </c>
      <c r="D13" s="1557" t="s">
        <v>1581</v>
      </c>
      <c r="E13" s="1560">
        <v>41779</v>
      </c>
      <c r="F13" s="1332"/>
      <c r="G13" s="1560">
        <f t="shared" si="0"/>
        <v>41779</v>
      </c>
      <c r="H13" s="1560"/>
      <c r="I13" s="1560" t="s">
        <v>2102</v>
      </c>
      <c r="J13" s="1560" t="s">
        <v>2102</v>
      </c>
      <c r="K13" s="1560"/>
      <c r="L13" s="1560">
        <v>41805</v>
      </c>
      <c r="M13" s="1333">
        <v>21.359824199999998</v>
      </c>
      <c r="N13" s="1333">
        <v>20.62</v>
      </c>
      <c r="O13" s="1329"/>
      <c r="P13" s="1733">
        <f t="shared" ref="P13:P78" si="1">M13-N13</f>
        <v>0.73982419999999749</v>
      </c>
      <c r="Q13" s="1329"/>
      <c r="R13" s="1329"/>
      <c r="S13" s="1333">
        <f t="shared" ref="S13:S78" si="2">IF(SUM(O13:R13)=0,M13-N13,SUM(O13:R13))</f>
        <v>0.73982419999999749</v>
      </c>
    </row>
    <row r="14" spans="1:28" s="1331" customFormat="1" ht="29" x14ac:dyDescent="0.35">
      <c r="A14" s="1557">
        <v>9.3000000000000007</v>
      </c>
      <c r="B14" s="1558" t="s">
        <v>1586</v>
      </c>
      <c r="C14" s="1568" t="s">
        <v>938</v>
      </c>
      <c r="D14" s="1557" t="s">
        <v>1581</v>
      </c>
      <c r="E14" s="1560">
        <v>41779</v>
      </c>
      <c r="F14" s="1332"/>
      <c r="G14" s="1560">
        <f t="shared" si="0"/>
        <v>41779</v>
      </c>
      <c r="H14" s="1560"/>
      <c r="I14" s="1560" t="s">
        <v>2102</v>
      </c>
      <c r="J14" s="1560" t="s">
        <v>2102</v>
      </c>
      <c r="K14" s="1560"/>
      <c r="L14" s="1560">
        <v>40303</v>
      </c>
      <c r="M14" s="1333">
        <v>38.724661685000001</v>
      </c>
      <c r="N14" s="1333">
        <v>38.72</v>
      </c>
      <c r="O14" s="1329"/>
      <c r="P14" s="1733">
        <f t="shared" si="1"/>
        <v>4.6616850000020804E-3</v>
      </c>
      <c r="Q14" s="1329"/>
      <c r="R14" s="1329"/>
      <c r="S14" s="1333">
        <f t="shared" si="2"/>
        <v>4.6616850000020804E-3</v>
      </c>
    </row>
    <row r="15" spans="1:28" s="1331" customFormat="1" ht="29" x14ac:dyDescent="0.35">
      <c r="A15" s="1557">
        <v>0</v>
      </c>
      <c r="B15" s="1558" t="s">
        <v>413</v>
      </c>
      <c r="C15" s="1568" t="s">
        <v>413</v>
      </c>
      <c r="D15" s="1557" t="s">
        <v>1581</v>
      </c>
      <c r="E15" s="1560">
        <v>41779</v>
      </c>
      <c r="F15" s="1332"/>
      <c r="G15" s="1560">
        <f t="shared" si="0"/>
        <v>41779</v>
      </c>
      <c r="H15" s="1560"/>
      <c r="I15" s="1560" t="s">
        <v>2102</v>
      </c>
      <c r="J15" s="1560" t="s">
        <v>2102</v>
      </c>
      <c r="K15" s="1560"/>
      <c r="L15" s="1560" t="s">
        <v>2102</v>
      </c>
      <c r="M15" s="1333">
        <v>0</v>
      </c>
      <c r="N15" s="1333">
        <v>0</v>
      </c>
      <c r="O15" s="1329"/>
      <c r="P15" s="1733">
        <f t="shared" si="1"/>
        <v>0</v>
      </c>
      <c r="Q15" s="1329"/>
      <c r="R15" s="1329"/>
      <c r="S15" s="1333">
        <f t="shared" si="2"/>
        <v>0</v>
      </c>
    </row>
    <row r="16" spans="1:28" s="1331" customFormat="1" ht="29" x14ac:dyDescent="0.35">
      <c r="A16" s="1543">
        <v>10</v>
      </c>
      <c r="B16" s="1544" t="s">
        <v>1587</v>
      </c>
      <c r="C16" s="1543" t="s">
        <v>931</v>
      </c>
      <c r="D16" s="1543" t="s">
        <v>1588</v>
      </c>
      <c r="E16" s="1546">
        <v>41913</v>
      </c>
      <c r="F16" s="1329"/>
      <c r="G16" s="1546">
        <f t="shared" si="0"/>
        <v>41913</v>
      </c>
      <c r="H16" s="1546"/>
      <c r="I16" s="1546" t="s">
        <v>2102</v>
      </c>
      <c r="J16" s="1546" t="s">
        <v>2102</v>
      </c>
      <c r="K16" s="1546"/>
      <c r="L16" s="1546" t="s">
        <v>2102</v>
      </c>
      <c r="M16" s="1330">
        <v>0</v>
      </c>
      <c r="N16" s="1330">
        <v>0</v>
      </c>
      <c r="O16" s="1329"/>
      <c r="P16" s="1733">
        <f t="shared" si="1"/>
        <v>0</v>
      </c>
      <c r="Q16" s="1329"/>
      <c r="R16" s="1329"/>
      <c r="S16" s="1330">
        <f t="shared" si="2"/>
        <v>0</v>
      </c>
    </row>
    <row r="17" spans="1:19" s="1331" customFormat="1" ht="29" x14ac:dyDescent="0.35">
      <c r="A17" s="1557">
        <v>10.1</v>
      </c>
      <c r="B17" s="1558" t="s">
        <v>1589</v>
      </c>
      <c r="C17" s="1568" t="s">
        <v>938</v>
      </c>
      <c r="D17" s="1557" t="s">
        <v>1588</v>
      </c>
      <c r="E17" s="1560">
        <v>41913</v>
      </c>
      <c r="F17" s="1332"/>
      <c r="G17" s="1560">
        <f t="shared" si="0"/>
        <v>41913</v>
      </c>
      <c r="H17" s="1560"/>
      <c r="I17" s="1560" t="s">
        <v>2102</v>
      </c>
      <c r="J17" s="1560" t="s">
        <v>2102</v>
      </c>
      <c r="K17" s="1560"/>
      <c r="L17" s="1560">
        <v>41760</v>
      </c>
      <c r="M17" s="1333">
        <v>11.32</v>
      </c>
      <c r="N17" s="1333">
        <v>13.4</v>
      </c>
      <c r="O17" s="1329"/>
      <c r="P17" s="1733">
        <f t="shared" si="1"/>
        <v>-2.08</v>
      </c>
      <c r="Q17" s="1329"/>
      <c r="R17" s="1329"/>
      <c r="S17" s="1333">
        <f t="shared" si="2"/>
        <v>-2.08</v>
      </c>
    </row>
    <row r="18" spans="1:19" s="1331" customFormat="1" ht="29" x14ac:dyDescent="0.35">
      <c r="A18" s="1543">
        <v>13</v>
      </c>
      <c r="B18" s="1544" t="s">
        <v>1591</v>
      </c>
      <c r="C18" s="1543" t="s">
        <v>931</v>
      </c>
      <c r="D18" s="1543" t="s">
        <v>1592</v>
      </c>
      <c r="E18" s="1546">
        <v>42713</v>
      </c>
      <c r="F18" s="1329"/>
      <c r="G18" s="1546">
        <f t="shared" si="0"/>
        <v>42713</v>
      </c>
      <c r="H18" s="1546"/>
      <c r="I18" s="1546" t="s">
        <v>2102</v>
      </c>
      <c r="J18" s="1546" t="s">
        <v>2102</v>
      </c>
      <c r="K18" s="1546"/>
      <c r="L18" s="1546" t="s">
        <v>2102</v>
      </c>
      <c r="M18" s="1330">
        <v>0</v>
      </c>
      <c r="N18" s="1330">
        <v>0</v>
      </c>
      <c r="O18" s="1329"/>
      <c r="P18" s="1733">
        <f t="shared" si="1"/>
        <v>0</v>
      </c>
      <c r="Q18" s="1329"/>
      <c r="R18" s="1329"/>
      <c r="S18" s="1330">
        <f t="shared" si="2"/>
        <v>0</v>
      </c>
    </row>
    <row r="19" spans="1:19" s="1331" customFormat="1" ht="29" x14ac:dyDescent="0.35">
      <c r="A19" s="1557">
        <v>13.1</v>
      </c>
      <c r="B19" s="1558" t="s">
        <v>1593</v>
      </c>
      <c r="C19" s="1568" t="s">
        <v>938</v>
      </c>
      <c r="D19" s="1557" t="s">
        <v>1592</v>
      </c>
      <c r="E19" s="1560">
        <v>42713</v>
      </c>
      <c r="F19" s="1332"/>
      <c r="G19" s="1560">
        <f t="shared" si="0"/>
        <v>42713</v>
      </c>
      <c r="H19" s="1560"/>
      <c r="I19" s="1560" t="s">
        <v>2102</v>
      </c>
      <c r="J19" s="1560" t="s">
        <v>2102</v>
      </c>
      <c r="K19" s="1560"/>
      <c r="L19" s="1560" t="s">
        <v>1594</v>
      </c>
      <c r="M19" s="1333">
        <v>7.02</v>
      </c>
      <c r="N19" s="1333">
        <v>6.8551506</v>
      </c>
      <c r="O19" s="1329"/>
      <c r="P19" s="1733">
        <f t="shared" si="1"/>
        <v>0.16484939999999959</v>
      </c>
      <c r="Q19" s="1329"/>
      <c r="R19" s="1329"/>
      <c r="S19" s="1333">
        <f t="shared" si="2"/>
        <v>0.16484939999999959</v>
      </c>
    </row>
    <row r="20" spans="1:19" s="1331" customFormat="1" ht="43.5" x14ac:dyDescent="0.35">
      <c r="A20" s="1557">
        <v>13.2</v>
      </c>
      <c r="B20" s="1558" t="s">
        <v>1596</v>
      </c>
      <c r="C20" s="1568" t="s">
        <v>938</v>
      </c>
      <c r="D20" s="1557" t="s">
        <v>1592</v>
      </c>
      <c r="E20" s="1560">
        <v>42713</v>
      </c>
      <c r="F20" s="1332"/>
      <c r="G20" s="1560">
        <f t="shared" si="0"/>
        <v>42713</v>
      </c>
      <c r="H20" s="1560"/>
      <c r="I20" s="1560" t="s">
        <v>2102</v>
      </c>
      <c r="J20" s="1560" t="s">
        <v>2102</v>
      </c>
      <c r="K20" s="1560"/>
      <c r="L20" s="1560" t="s">
        <v>1597</v>
      </c>
      <c r="M20" s="1333">
        <v>7.55</v>
      </c>
      <c r="N20" s="1333">
        <v>5.9636063540000004</v>
      </c>
      <c r="O20" s="1329"/>
      <c r="P20" s="1733">
        <f t="shared" si="1"/>
        <v>1.5863936459999994</v>
      </c>
      <c r="Q20" s="1329"/>
      <c r="R20" s="1329"/>
      <c r="S20" s="1333">
        <f t="shared" si="2"/>
        <v>1.5863936459999994</v>
      </c>
    </row>
    <row r="21" spans="1:19" s="1331" customFormat="1" ht="29" x14ac:dyDescent="0.35">
      <c r="A21" s="1557">
        <v>13.3</v>
      </c>
      <c r="B21" s="1558" t="s">
        <v>1598</v>
      </c>
      <c r="C21" s="1568" t="s">
        <v>938</v>
      </c>
      <c r="D21" s="1557" t="s">
        <v>1592</v>
      </c>
      <c r="E21" s="1560">
        <v>42713</v>
      </c>
      <c r="F21" s="1332"/>
      <c r="G21" s="1560">
        <f t="shared" si="0"/>
        <v>42713</v>
      </c>
      <c r="H21" s="1560"/>
      <c r="I21" s="1560" t="s">
        <v>2102</v>
      </c>
      <c r="J21" s="1560" t="s">
        <v>2102</v>
      </c>
      <c r="K21" s="1560"/>
      <c r="L21" s="1560">
        <v>42942</v>
      </c>
      <c r="M21" s="1333">
        <v>1.48</v>
      </c>
      <c r="N21" s="1333">
        <v>1.2847999999999999</v>
      </c>
      <c r="O21" s="1329"/>
      <c r="P21" s="1733">
        <f t="shared" si="1"/>
        <v>0.19520000000000004</v>
      </c>
      <c r="Q21" s="1329"/>
      <c r="R21" s="1329"/>
      <c r="S21" s="1333">
        <f t="shared" si="2"/>
        <v>0.19520000000000004</v>
      </c>
    </row>
    <row r="22" spans="1:19" s="1331" customFormat="1" ht="15.5" x14ac:dyDescent="0.35">
      <c r="A22" s="1557">
        <v>0</v>
      </c>
      <c r="B22" s="1567" t="s">
        <v>413</v>
      </c>
      <c r="C22" s="1568" t="s">
        <v>413</v>
      </c>
      <c r="D22" s="1557" t="s">
        <v>1592</v>
      </c>
      <c r="E22" s="1560">
        <v>42713</v>
      </c>
      <c r="F22" s="1332"/>
      <c r="G22" s="1560">
        <f t="shared" si="0"/>
        <v>42713</v>
      </c>
      <c r="H22" s="1560"/>
      <c r="I22" s="1560" t="s">
        <v>2102</v>
      </c>
      <c r="J22" s="1560" t="s">
        <v>2102</v>
      </c>
      <c r="K22" s="1560"/>
      <c r="L22" s="1560" t="s">
        <v>2102</v>
      </c>
      <c r="M22" s="1333">
        <v>0.8</v>
      </c>
      <c r="N22" s="1333">
        <v>0</v>
      </c>
      <c r="O22" s="1329"/>
      <c r="P22" s="1733">
        <f t="shared" si="1"/>
        <v>0.8</v>
      </c>
      <c r="Q22" s="1329"/>
      <c r="R22" s="1329"/>
      <c r="S22" s="1333">
        <f t="shared" si="2"/>
        <v>0.8</v>
      </c>
    </row>
    <row r="23" spans="1:19" s="1331" customFormat="1" ht="29" x14ac:dyDescent="0.35">
      <c r="A23" s="1543">
        <v>14</v>
      </c>
      <c r="B23" s="1544" t="s">
        <v>1600</v>
      </c>
      <c r="C23" s="1543" t="s">
        <v>931</v>
      </c>
      <c r="D23" s="1543" t="s">
        <v>1601</v>
      </c>
      <c r="E23" s="1546">
        <v>43055</v>
      </c>
      <c r="F23" s="1329"/>
      <c r="G23" s="1546">
        <f t="shared" si="0"/>
        <v>43055</v>
      </c>
      <c r="H23" s="1546"/>
      <c r="I23" s="1546" t="s">
        <v>2102</v>
      </c>
      <c r="J23" s="1546" t="s">
        <v>2102</v>
      </c>
      <c r="K23" s="1546"/>
      <c r="L23" s="1546" t="s">
        <v>2102</v>
      </c>
      <c r="M23" s="1330">
        <v>0</v>
      </c>
      <c r="N23" s="1330">
        <v>0</v>
      </c>
      <c r="O23" s="1329"/>
      <c r="P23" s="1733">
        <f t="shared" si="1"/>
        <v>0</v>
      </c>
      <c r="Q23" s="1329"/>
      <c r="R23" s="1329"/>
      <c r="S23" s="1330">
        <f t="shared" si="2"/>
        <v>0</v>
      </c>
    </row>
    <row r="24" spans="1:19" s="1331" customFormat="1" ht="43.5" x14ac:dyDescent="0.35">
      <c r="A24" s="1557">
        <v>14.1</v>
      </c>
      <c r="B24" s="1558" t="s">
        <v>1602</v>
      </c>
      <c r="C24" s="1568" t="s">
        <v>938</v>
      </c>
      <c r="D24" s="1557" t="s">
        <v>1601</v>
      </c>
      <c r="E24" s="1560">
        <v>43055</v>
      </c>
      <c r="F24" s="1332"/>
      <c r="G24" s="1560">
        <f t="shared" si="0"/>
        <v>43055</v>
      </c>
      <c r="H24" s="1560"/>
      <c r="I24" s="1560">
        <v>42826</v>
      </c>
      <c r="J24" s="1560">
        <v>43784</v>
      </c>
      <c r="K24" s="1560"/>
      <c r="L24" s="1560" t="s">
        <v>1603</v>
      </c>
      <c r="M24" s="1333">
        <v>15.08</v>
      </c>
      <c r="N24" s="1333">
        <v>14.4772699</v>
      </c>
      <c r="O24" s="1329"/>
      <c r="P24" s="1733">
        <f t="shared" si="1"/>
        <v>0.60273010000000049</v>
      </c>
      <c r="Q24" s="1329"/>
      <c r="R24" s="1329"/>
      <c r="S24" s="1333">
        <f t="shared" si="2"/>
        <v>0.60273010000000049</v>
      </c>
    </row>
    <row r="25" spans="1:19" s="1331" customFormat="1" ht="15.5" x14ac:dyDescent="0.35">
      <c r="A25" s="1557">
        <v>14.2</v>
      </c>
      <c r="B25" s="1558" t="s">
        <v>1606</v>
      </c>
      <c r="C25" s="1568" t="s">
        <v>938</v>
      </c>
      <c r="D25" s="1557" t="s">
        <v>1601</v>
      </c>
      <c r="E25" s="1560">
        <v>43055</v>
      </c>
      <c r="F25" s="1332"/>
      <c r="G25" s="1560">
        <f t="shared" si="0"/>
        <v>43055</v>
      </c>
      <c r="H25" s="1560"/>
      <c r="I25" s="1560">
        <v>42863</v>
      </c>
      <c r="J25" s="1560">
        <v>43784</v>
      </c>
      <c r="K25" s="1560"/>
      <c r="L25" s="1560">
        <v>43448</v>
      </c>
      <c r="M25" s="1333">
        <v>0.3</v>
      </c>
      <c r="N25" s="1333">
        <v>0.29736000000000001</v>
      </c>
      <c r="O25" s="1329"/>
      <c r="P25" s="1733">
        <f t="shared" si="1"/>
        <v>2.6399999999999757E-3</v>
      </c>
      <c r="Q25" s="1329"/>
      <c r="R25" s="1329"/>
      <c r="S25" s="1333">
        <f t="shared" si="2"/>
        <v>2.6399999999999757E-3</v>
      </c>
    </row>
    <row r="26" spans="1:19" ht="29" x14ac:dyDescent="0.35">
      <c r="A26" s="1511">
        <v>14.3</v>
      </c>
      <c r="B26" s="1512" t="s">
        <v>1608</v>
      </c>
      <c r="C26" s="1636" t="s">
        <v>938</v>
      </c>
      <c r="D26" s="1634" t="s">
        <v>1601</v>
      </c>
      <c r="E26" s="1637">
        <v>43055</v>
      </c>
      <c r="F26" s="1334"/>
      <c r="G26" s="1637">
        <f t="shared" si="0"/>
        <v>43055</v>
      </c>
      <c r="H26" s="1571"/>
      <c r="I26" s="1637">
        <v>43066</v>
      </c>
      <c r="J26" s="1637">
        <v>43784</v>
      </c>
      <c r="K26" s="1571"/>
      <c r="L26" s="1637" t="s">
        <v>2102</v>
      </c>
      <c r="M26" s="1335">
        <v>2.46</v>
      </c>
      <c r="N26" s="1335">
        <v>0</v>
      </c>
      <c r="O26" s="1336"/>
      <c r="P26" s="1734">
        <f t="shared" si="1"/>
        <v>2.46</v>
      </c>
      <c r="Q26" s="1336"/>
      <c r="R26" s="1336"/>
      <c r="S26" s="1335">
        <f t="shared" si="2"/>
        <v>2.46</v>
      </c>
    </row>
    <row r="27" spans="1:19" s="1331" customFormat="1" ht="15.5" x14ac:dyDescent="0.35">
      <c r="A27" s="1557">
        <v>14.4</v>
      </c>
      <c r="B27" s="1558" t="s">
        <v>1611</v>
      </c>
      <c r="C27" s="1568" t="s">
        <v>938</v>
      </c>
      <c r="D27" s="1557" t="s">
        <v>1601</v>
      </c>
      <c r="E27" s="1560">
        <v>43055</v>
      </c>
      <c r="F27" s="1332"/>
      <c r="G27" s="1560">
        <f t="shared" si="0"/>
        <v>43055</v>
      </c>
      <c r="H27" s="1560"/>
      <c r="I27" s="1560">
        <v>43092</v>
      </c>
      <c r="J27" s="1560">
        <v>43784</v>
      </c>
      <c r="K27" s="1560"/>
      <c r="L27" s="1560">
        <v>44421</v>
      </c>
      <c r="M27" s="1333">
        <v>0.31</v>
      </c>
      <c r="N27" s="1333">
        <v>0.5057102</v>
      </c>
      <c r="O27" s="1329"/>
      <c r="P27" s="1733">
        <f t="shared" si="1"/>
        <v>-0.1957102</v>
      </c>
      <c r="Q27" s="1329"/>
      <c r="R27" s="1329"/>
      <c r="S27" s="1333">
        <f t="shared" si="2"/>
        <v>-0.1957102</v>
      </c>
    </row>
    <row r="28" spans="1:19" s="1331" customFormat="1" ht="15.5" x14ac:dyDescent="0.35">
      <c r="A28" s="1557">
        <v>0</v>
      </c>
      <c r="B28" s="1558" t="s">
        <v>413</v>
      </c>
      <c r="C28" s="1568" t="s">
        <v>413</v>
      </c>
      <c r="D28" s="1557" t="s">
        <v>1601</v>
      </c>
      <c r="E28" s="1560">
        <v>43055</v>
      </c>
      <c r="F28" s="1332"/>
      <c r="G28" s="1560">
        <f t="shared" si="0"/>
        <v>43055</v>
      </c>
      <c r="H28" s="1560"/>
      <c r="I28" s="1560" t="s">
        <v>2102</v>
      </c>
      <c r="J28" s="1560" t="s">
        <v>2102</v>
      </c>
      <c r="K28" s="1560"/>
      <c r="L28" s="1560" t="s">
        <v>2102</v>
      </c>
      <c r="M28" s="1333">
        <v>0.13</v>
      </c>
      <c r="N28" s="1333">
        <v>0</v>
      </c>
      <c r="O28" s="1329"/>
      <c r="P28" s="1733">
        <f t="shared" si="1"/>
        <v>0.13</v>
      </c>
      <c r="Q28" s="1329"/>
      <c r="R28" s="1329"/>
      <c r="S28" s="1333">
        <f t="shared" si="2"/>
        <v>0.13</v>
      </c>
    </row>
    <row r="29" spans="1:19" s="1331" customFormat="1" ht="43.5" x14ac:dyDescent="0.35">
      <c r="A29" s="1543">
        <v>15</v>
      </c>
      <c r="B29" s="1544" t="s">
        <v>1613</v>
      </c>
      <c r="C29" s="1543" t="s">
        <v>931</v>
      </c>
      <c r="D29" s="1543" t="s">
        <v>1614</v>
      </c>
      <c r="E29" s="1546">
        <v>43055</v>
      </c>
      <c r="F29" s="1329"/>
      <c r="G29" s="1546">
        <f t="shared" si="0"/>
        <v>43055</v>
      </c>
      <c r="H29" s="1546"/>
      <c r="I29" s="1546" t="s">
        <v>2102</v>
      </c>
      <c r="J29" s="1546" t="s">
        <v>2102</v>
      </c>
      <c r="K29" s="1546"/>
      <c r="L29" s="1546" t="s">
        <v>2102</v>
      </c>
      <c r="M29" s="1330">
        <v>0</v>
      </c>
      <c r="N29" s="1330">
        <v>0</v>
      </c>
      <c r="O29" s="1329"/>
      <c r="P29" s="1733">
        <f t="shared" si="1"/>
        <v>0</v>
      </c>
      <c r="Q29" s="1329"/>
      <c r="R29" s="1329"/>
      <c r="S29" s="1330">
        <f t="shared" si="2"/>
        <v>0</v>
      </c>
    </row>
    <row r="30" spans="1:19" s="1331" customFormat="1" ht="43.5" x14ac:dyDescent="0.35">
      <c r="A30" s="1557">
        <v>15.1</v>
      </c>
      <c r="B30" s="1558" t="s">
        <v>1613</v>
      </c>
      <c r="C30" s="1568" t="s">
        <v>938</v>
      </c>
      <c r="D30" s="1557" t="s">
        <v>1614</v>
      </c>
      <c r="E30" s="1560">
        <v>43055</v>
      </c>
      <c r="F30" s="1332"/>
      <c r="G30" s="1560">
        <f t="shared" si="0"/>
        <v>43055</v>
      </c>
      <c r="H30" s="1560"/>
      <c r="I30" s="1560" t="s">
        <v>527</v>
      </c>
      <c r="J30" s="1560" t="s">
        <v>2102</v>
      </c>
      <c r="K30" s="1560"/>
      <c r="L30" s="1560">
        <v>43585</v>
      </c>
      <c r="M30" s="1333">
        <v>44.154777499999994</v>
      </c>
      <c r="N30" s="1333">
        <v>43.094741947000003</v>
      </c>
      <c r="O30" s="1329"/>
      <c r="P30" s="1733">
        <f t="shared" si="1"/>
        <v>1.0600355529999916</v>
      </c>
      <c r="Q30" s="1329"/>
      <c r="R30" s="1329"/>
      <c r="S30" s="1333">
        <f t="shared" si="2"/>
        <v>1.0600355529999916</v>
      </c>
    </row>
    <row r="31" spans="1:19" s="1331" customFormat="1" ht="15.5" x14ac:dyDescent="0.35">
      <c r="A31" s="1557">
        <v>0</v>
      </c>
      <c r="B31" s="1558" t="s">
        <v>413</v>
      </c>
      <c r="C31" s="1568" t="s">
        <v>413</v>
      </c>
      <c r="D31" s="1557" t="s">
        <v>1614</v>
      </c>
      <c r="E31" s="1560">
        <v>43055</v>
      </c>
      <c r="F31" s="1332"/>
      <c r="G31" s="1560">
        <f t="shared" si="0"/>
        <v>43055</v>
      </c>
      <c r="H31" s="1560"/>
      <c r="I31" s="1560" t="s">
        <v>2102</v>
      </c>
      <c r="J31" s="1560" t="s">
        <v>2102</v>
      </c>
      <c r="K31" s="1560"/>
      <c r="L31" s="1560" t="s">
        <v>2102</v>
      </c>
      <c r="M31" s="1333">
        <v>1.37</v>
      </c>
      <c r="N31" s="1333">
        <v>0</v>
      </c>
      <c r="O31" s="1329"/>
      <c r="P31" s="1733">
        <f t="shared" si="1"/>
        <v>1.37</v>
      </c>
      <c r="Q31" s="1329"/>
      <c r="R31" s="1329"/>
      <c r="S31" s="1333">
        <f t="shared" si="2"/>
        <v>1.37</v>
      </c>
    </row>
    <row r="32" spans="1:19" s="1331" customFormat="1" x14ac:dyDescent="0.35">
      <c r="A32" s="1543">
        <v>16</v>
      </c>
      <c r="B32" s="1544" t="s">
        <v>1617</v>
      </c>
      <c r="C32" s="1543" t="s">
        <v>931</v>
      </c>
      <c r="D32" s="1543" t="s">
        <v>1618</v>
      </c>
      <c r="E32" s="1546">
        <v>43529</v>
      </c>
      <c r="F32" s="1329"/>
      <c r="G32" s="1546">
        <f t="shared" si="0"/>
        <v>43529</v>
      </c>
      <c r="H32" s="1546"/>
      <c r="I32" s="1546" t="s">
        <v>2102</v>
      </c>
      <c r="J32" s="1546" t="s">
        <v>2102</v>
      </c>
      <c r="K32" s="1546"/>
      <c r="L32" s="1546" t="s">
        <v>2102</v>
      </c>
      <c r="M32" s="1330">
        <v>0</v>
      </c>
      <c r="N32" s="1330">
        <v>0</v>
      </c>
      <c r="O32" s="1329"/>
      <c r="P32" s="1733">
        <f t="shared" si="1"/>
        <v>0</v>
      </c>
      <c r="Q32" s="1329"/>
      <c r="R32" s="1329"/>
      <c r="S32" s="1330">
        <f t="shared" si="2"/>
        <v>0</v>
      </c>
    </row>
    <row r="33" spans="1:19" ht="15.5" x14ac:dyDescent="0.35">
      <c r="A33" s="1511">
        <v>16.100000000000001</v>
      </c>
      <c r="B33" s="1512" t="s">
        <v>1619</v>
      </c>
      <c r="C33" s="1636" t="s">
        <v>938</v>
      </c>
      <c r="D33" s="1634" t="s">
        <v>1618</v>
      </c>
      <c r="E33" s="1637">
        <v>43529</v>
      </c>
      <c r="F33" s="1334"/>
      <c r="G33" s="1637">
        <f t="shared" si="0"/>
        <v>43529</v>
      </c>
      <c r="H33" s="1571"/>
      <c r="I33" s="1637" t="s">
        <v>528</v>
      </c>
      <c r="J33" s="1637">
        <v>44289</v>
      </c>
      <c r="K33" s="1571"/>
      <c r="L33" s="1637" t="s">
        <v>2102</v>
      </c>
      <c r="M33" s="1335">
        <v>8.0502839999999996</v>
      </c>
      <c r="N33" s="1335">
        <v>5.6193481700000003</v>
      </c>
      <c r="O33" s="1336"/>
      <c r="P33" s="1734">
        <f t="shared" si="1"/>
        <v>2.4309358299999992</v>
      </c>
      <c r="Q33" s="1336"/>
      <c r="R33" s="1336"/>
      <c r="S33" s="1335">
        <f t="shared" si="2"/>
        <v>2.4309358299999992</v>
      </c>
    </row>
    <row r="34" spans="1:19" ht="15.5" x14ac:dyDescent="0.35">
      <c r="A34" s="1511">
        <v>16.2</v>
      </c>
      <c r="B34" s="1512" t="s">
        <v>1621</v>
      </c>
      <c r="C34" s="1636" t="s">
        <v>938</v>
      </c>
      <c r="D34" s="1634" t="s">
        <v>1618</v>
      </c>
      <c r="E34" s="1637">
        <v>43529</v>
      </c>
      <c r="F34" s="1334"/>
      <c r="G34" s="1637">
        <f t="shared" si="0"/>
        <v>43529</v>
      </c>
      <c r="H34" s="1571"/>
      <c r="I34" s="1637" t="s">
        <v>528</v>
      </c>
      <c r="J34" s="1637">
        <v>44289</v>
      </c>
      <c r="K34" s="1571"/>
      <c r="L34" s="1637">
        <v>44530</v>
      </c>
      <c r="M34" s="1335">
        <v>2.3051249999999999</v>
      </c>
      <c r="N34" s="1335">
        <v>2.0084425239999999</v>
      </c>
      <c r="O34" s="1336"/>
      <c r="P34" s="1734">
        <f t="shared" si="1"/>
        <v>0.29668247599999997</v>
      </c>
      <c r="Q34" s="1336"/>
      <c r="R34" s="1336"/>
      <c r="S34" s="1335">
        <f t="shared" si="2"/>
        <v>0.29668247599999997</v>
      </c>
    </row>
    <row r="35" spans="1:19" ht="15.5" x14ac:dyDescent="0.35">
      <c r="A35" s="1511">
        <v>16.3</v>
      </c>
      <c r="B35" s="1512" t="s">
        <v>1624</v>
      </c>
      <c r="C35" s="1636" t="s">
        <v>938</v>
      </c>
      <c r="D35" s="1634" t="s">
        <v>1618</v>
      </c>
      <c r="E35" s="1637">
        <v>43529</v>
      </c>
      <c r="F35" s="1334"/>
      <c r="G35" s="1637">
        <f t="shared" si="0"/>
        <v>43529</v>
      </c>
      <c r="H35" s="1571"/>
      <c r="I35" s="1637" t="s">
        <v>528</v>
      </c>
      <c r="J35" s="1637">
        <v>44289</v>
      </c>
      <c r="K35" s="1571"/>
      <c r="L35" s="1637">
        <v>44329</v>
      </c>
      <c r="M35" s="1335">
        <v>2.7927399999999998</v>
      </c>
      <c r="N35" s="1335">
        <v>0.16449244900000001</v>
      </c>
      <c r="O35" s="1336"/>
      <c r="P35" s="1734">
        <f t="shared" si="1"/>
        <v>2.6282475509999998</v>
      </c>
      <c r="Q35" s="1336"/>
      <c r="R35" s="1336"/>
      <c r="S35" s="1335">
        <f t="shared" si="2"/>
        <v>2.6282475509999998</v>
      </c>
    </row>
    <row r="36" spans="1:19" s="1331" customFormat="1" ht="15.5" x14ac:dyDescent="0.35">
      <c r="A36" s="1557">
        <v>16.399999999999999</v>
      </c>
      <c r="B36" s="1558" t="s">
        <v>1626</v>
      </c>
      <c r="C36" s="1568" t="s">
        <v>938</v>
      </c>
      <c r="D36" s="1557" t="s">
        <v>1618</v>
      </c>
      <c r="E36" s="1560">
        <v>43529</v>
      </c>
      <c r="F36" s="1332"/>
      <c r="G36" s="1560">
        <f t="shared" si="0"/>
        <v>43529</v>
      </c>
      <c r="H36" s="1560"/>
      <c r="I36" s="1560" t="s">
        <v>2102</v>
      </c>
      <c r="J36" s="1560" t="s">
        <v>2102</v>
      </c>
      <c r="K36" s="1560"/>
      <c r="L36" s="1560" t="s">
        <v>2102</v>
      </c>
      <c r="M36" s="1333">
        <v>0</v>
      </c>
      <c r="N36" s="1333">
        <v>0</v>
      </c>
      <c r="O36" s="1329"/>
      <c r="P36" s="1733">
        <f t="shared" si="1"/>
        <v>0</v>
      </c>
      <c r="Q36" s="1329"/>
      <c r="R36" s="1329"/>
      <c r="S36" s="1333">
        <f t="shared" si="2"/>
        <v>0</v>
      </c>
    </row>
    <row r="37" spans="1:19" s="1331" customFormat="1" ht="15.5" x14ac:dyDescent="0.35">
      <c r="A37" s="1557">
        <v>16.5</v>
      </c>
      <c r="B37" s="1558" t="s">
        <v>1629</v>
      </c>
      <c r="C37" s="1568" t="s">
        <v>938</v>
      </c>
      <c r="D37" s="1557" t="s">
        <v>1618</v>
      </c>
      <c r="E37" s="1560">
        <v>43529</v>
      </c>
      <c r="F37" s="1332"/>
      <c r="G37" s="1560">
        <f t="shared" si="0"/>
        <v>43529</v>
      </c>
      <c r="H37" s="1560"/>
      <c r="I37" s="1560" t="s">
        <v>2102</v>
      </c>
      <c r="J37" s="1560" t="s">
        <v>2102</v>
      </c>
      <c r="K37" s="1560"/>
      <c r="L37" s="1560" t="s">
        <v>2102</v>
      </c>
      <c r="M37" s="1333">
        <v>0</v>
      </c>
      <c r="N37" s="1333">
        <v>0</v>
      </c>
      <c r="O37" s="1329"/>
      <c r="P37" s="1733">
        <f t="shared" si="1"/>
        <v>0</v>
      </c>
      <c r="Q37" s="1329"/>
      <c r="R37" s="1329"/>
      <c r="S37" s="1333">
        <f t="shared" si="2"/>
        <v>0</v>
      </c>
    </row>
    <row r="38" spans="1:19" x14ac:dyDescent="0.35">
      <c r="A38" s="1506">
        <v>17</v>
      </c>
      <c r="B38" s="1507" t="s">
        <v>1630</v>
      </c>
      <c r="C38" s="1655" t="s">
        <v>931</v>
      </c>
      <c r="D38" s="1655" t="s">
        <v>1631</v>
      </c>
      <c r="E38" s="1735">
        <v>43481</v>
      </c>
      <c r="F38" s="1329"/>
      <c r="G38" s="1546">
        <f t="shared" si="0"/>
        <v>43481</v>
      </c>
      <c r="H38" s="1546"/>
      <c r="I38" s="1546" t="s">
        <v>2102</v>
      </c>
      <c r="J38" s="1546" t="s">
        <v>2102</v>
      </c>
      <c r="K38" s="1546"/>
      <c r="L38" s="1546" t="s">
        <v>2102</v>
      </c>
      <c r="M38" s="1330">
        <v>0</v>
      </c>
      <c r="N38" s="1330">
        <v>0</v>
      </c>
      <c r="O38" s="1329"/>
      <c r="P38" s="1733">
        <f t="shared" si="1"/>
        <v>0</v>
      </c>
      <c r="Q38" s="1329"/>
      <c r="R38" s="1329"/>
      <c r="S38" s="1330">
        <f t="shared" si="2"/>
        <v>0</v>
      </c>
    </row>
    <row r="39" spans="1:19" ht="58" x14ac:dyDescent="0.35">
      <c r="A39" s="1511">
        <v>17.100000000000001</v>
      </c>
      <c r="B39" s="1512" t="s">
        <v>1632</v>
      </c>
      <c r="C39" s="1636" t="s">
        <v>938</v>
      </c>
      <c r="D39" s="1634" t="s">
        <v>1631</v>
      </c>
      <c r="E39" s="1637">
        <v>43481</v>
      </c>
      <c r="F39" s="1334"/>
      <c r="G39" s="1637">
        <f t="shared" si="0"/>
        <v>43481</v>
      </c>
      <c r="H39" s="1571"/>
      <c r="I39" s="1637" t="s">
        <v>528</v>
      </c>
      <c r="J39" s="1637">
        <v>44211</v>
      </c>
      <c r="K39" s="1571"/>
      <c r="L39" s="1637">
        <v>44217</v>
      </c>
      <c r="M39" s="1335">
        <v>6.1932861680000002</v>
      </c>
      <c r="N39" s="1335">
        <v>5.6459529719999999</v>
      </c>
      <c r="O39" s="1336"/>
      <c r="P39" s="1734">
        <f t="shared" si="1"/>
        <v>0.5473331960000003</v>
      </c>
      <c r="Q39" s="1336"/>
      <c r="R39" s="1336"/>
      <c r="S39" s="1335">
        <f t="shared" si="2"/>
        <v>0.5473331960000003</v>
      </c>
    </row>
    <row r="40" spans="1:19" s="1331" customFormat="1" ht="29" x14ac:dyDescent="0.35">
      <c r="A40" s="1557">
        <v>17.2</v>
      </c>
      <c r="B40" s="1558" t="s">
        <v>1634</v>
      </c>
      <c r="C40" s="1568" t="s">
        <v>938</v>
      </c>
      <c r="D40" s="1557" t="s">
        <v>1631</v>
      </c>
      <c r="E40" s="1560">
        <v>43481</v>
      </c>
      <c r="F40" s="1332"/>
      <c r="G40" s="1560">
        <f t="shared" si="0"/>
        <v>43481</v>
      </c>
      <c r="H40" s="1560"/>
      <c r="I40" s="1560" t="s">
        <v>528</v>
      </c>
      <c r="J40" s="1560">
        <v>44211</v>
      </c>
      <c r="K40" s="1560"/>
      <c r="L40" s="1560">
        <v>43830</v>
      </c>
      <c r="M40" s="1333">
        <v>0.38584171</v>
      </c>
      <c r="N40" s="1333">
        <v>0.28061102900000001</v>
      </c>
      <c r="O40" s="1329"/>
      <c r="P40" s="1733">
        <f t="shared" si="1"/>
        <v>0.10523068099999999</v>
      </c>
      <c r="Q40" s="1329"/>
      <c r="R40" s="1329"/>
      <c r="S40" s="1333">
        <f t="shared" si="2"/>
        <v>0.10523068099999999</v>
      </c>
    </row>
    <row r="41" spans="1:19" ht="29" x14ac:dyDescent="0.35">
      <c r="A41" s="1511">
        <v>17.3</v>
      </c>
      <c r="B41" s="1512" t="s">
        <v>1635</v>
      </c>
      <c r="C41" s="1636" t="s">
        <v>938</v>
      </c>
      <c r="D41" s="1634" t="s">
        <v>1631</v>
      </c>
      <c r="E41" s="1637">
        <v>43481</v>
      </c>
      <c r="F41" s="1334"/>
      <c r="G41" s="1637">
        <f t="shared" si="0"/>
        <v>43481</v>
      </c>
      <c r="H41" s="1571"/>
      <c r="I41" s="1637" t="s">
        <v>528</v>
      </c>
      <c r="J41" s="1637">
        <v>44211</v>
      </c>
      <c r="K41" s="1571"/>
      <c r="L41" s="1637" t="s">
        <v>2102</v>
      </c>
      <c r="M41" s="1335">
        <v>1.490824862</v>
      </c>
      <c r="N41" s="1335">
        <v>0</v>
      </c>
      <c r="O41" s="1336"/>
      <c r="P41" s="1734">
        <f t="shared" si="1"/>
        <v>1.490824862</v>
      </c>
      <c r="Q41" s="1336"/>
      <c r="R41" s="1336"/>
      <c r="S41" s="1335">
        <f t="shared" si="2"/>
        <v>1.490824862</v>
      </c>
    </row>
    <row r="42" spans="1:19" s="1331" customFormat="1" ht="43.5" x14ac:dyDescent="0.35">
      <c r="A42" s="1557">
        <v>17.399999999999999</v>
      </c>
      <c r="B42" s="1558" t="s">
        <v>1637</v>
      </c>
      <c r="C42" s="1568" t="s">
        <v>938</v>
      </c>
      <c r="D42" s="1557" t="s">
        <v>1631</v>
      </c>
      <c r="E42" s="1560">
        <v>43481</v>
      </c>
      <c r="F42" s="1332"/>
      <c r="G42" s="1560">
        <f t="shared" si="0"/>
        <v>43481</v>
      </c>
      <c r="H42" s="1560"/>
      <c r="I42" s="1560" t="s">
        <v>528</v>
      </c>
      <c r="J42" s="1560">
        <v>44211</v>
      </c>
      <c r="K42" s="1560"/>
      <c r="L42" s="1560">
        <v>43748</v>
      </c>
      <c r="M42" s="1333">
        <v>0.32052575999999999</v>
      </c>
      <c r="N42" s="1333">
        <v>0.23293444999999999</v>
      </c>
      <c r="O42" s="1329"/>
      <c r="P42" s="1733">
        <f t="shared" si="1"/>
        <v>8.7591310000000006E-2</v>
      </c>
      <c r="Q42" s="1329"/>
      <c r="R42" s="1329"/>
      <c r="S42" s="1333">
        <f t="shared" si="2"/>
        <v>8.7591310000000006E-2</v>
      </c>
    </row>
    <row r="43" spans="1:19" ht="43.5" x14ac:dyDescent="0.35">
      <c r="A43" s="1511">
        <v>17.5</v>
      </c>
      <c r="B43" s="1512" t="s">
        <v>1638</v>
      </c>
      <c r="C43" s="1636" t="s">
        <v>938</v>
      </c>
      <c r="D43" s="1634" t="s">
        <v>1631</v>
      </c>
      <c r="E43" s="1637">
        <v>43481</v>
      </c>
      <c r="F43" s="1334"/>
      <c r="G43" s="1637">
        <f t="shared" si="0"/>
        <v>43481</v>
      </c>
      <c r="H43" s="1571"/>
      <c r="I43" s="1637" t="s">
        <v>528</v>
      </c>
      <c r="J43" s="1637">
        <v>44211</v>
      </c>
      <c r="K43" s="1571"/>
      <c r="L43" s="1637" t="s">
        <v>2102</v>
      </c>
      <c r="M43" s="1335">
        <v>2.7334139500000001</v>
      </c>
      <c r="N43" s="1335">
        <v>0</v>
      </c>
      <c r="O43" s="1336"/>
      <c r="P43" s="1734">
        <f t="shared" si="1"/>
        <v>2.7334139500000001</v>
      </c>
      <c r="Q43" s="1336"/>
      <c r="R43" s="1336"/>
      <c r="S43" s="1335">
        <f t="shared" si="2"/>
        <v>2.7334139500000001</v>
      </c>
    </row>
    <row r="44" spans="1:19" s="1331" customFormat="1" ht="43.5" x14ac:dyDescent="0.35">
      <c r="A44" s="1557">
        <v>17.600000000000001</v>
      </c>
      <c r="B44" s="1558" t="s">
        <v>1639</v>
      </c>
      <c r="C44" s="1568" t="s">
        <v>938</v>
      </c>
      <c r="D44" s="1557" t="s">
        <v>1631</v>
      </c>
      <c r="E44" s="1560">
        <v>43481</v>
      </c>
      <c r="F44" s="1332"/>
      <c r="G44" s="1560">
        <f t="shared" si="0"/>
        <v>43481</v>
      </c>
      <c r="H44" s="1560"/>
      <c r="I44" s="1560" t="s">
        <v>528</v>
      </c>
      <c r="J44" s="1560">
        <v>44211</v>
      </c>
      <c r="K44" s="1560"/>
      <c r="L44" s="1560">
        <v>44286</v>
      </c>
      <c r="M44" s="1333">
        <v>0.58998525000000002</v>
      </c>
      <c r="N44" s="1333">
        <v>0.43154335300000002</v>
      </c>
      <c r="O44" s="1329"/>
      <c r="P44" s="1733">
        <f t="shared" si="1"/>
        <v>0.158441897</v>
      </c>
      <c r="Q44" s="1329"/>
      <c r="R44" s="1329"/>
      <c r="S44" s="1333">
        <f t="shared" si="2"/>
        <v>0.158441897</v>
      </c>
    </row>
    <row r="45" spans="1:19" s="1331" customFormat="1" ht="29" x14ac:dyDescent="0.35">
      <c r="A45" s="1557">
        <v>17.600000000000001</v>
      </c>
      <c r="B45" s="1558" t="s">
        <v>1640</v>
      </c>
      <c r="C45" s="1568" t="s">
        <v>938</v>
      </c>
      <c r="D45" s="1557" t="s">
        <v>1631</v>
      </c>
      <c r="E45" s="1560">
        <v>43481</v>
      </c>
      <c r="F45" s="1332"/>
      <c r="G45" s="1560">
        <f t="shared" si="0"/>
        <v>43481</v>
      </c>
      <c r="H45" s="1560"/>
      <c r="I45" s="1560" t="s">
        <v>528</v>
      </c>
      <c r="J45" s="1560">
        <v>44211</v>
      </c>
      <c r="K45" s="1560"/>
      <c r="L45" s="1560">
        <v>44428</v>
      </c>
      <c r="M45" s="1333">
        <v>0.28481011000000001</v>
      </c>
      <c r="N45" s="1333">
        <v>0.20461170000000001</v>
      </c>
      <c r="O45" s="1329"/>
      <c r="P45" s="1733">
        <f t="shared" si="1"/>
        <v>8.0198409999999998E-2</v>
      </c>
      <c r="Q45" s="1329"/>
      <c r="R45" s="1329"/>
      <c r="S45" s="1333">
        <f t="shared" si="2"/>
        <v>8.0198409999999998E-2</v>
      </c>
    </row>
    <row r="46" spans="1:19" s="1331" customFormat="1" ht="15.5" x14ac:dyDescent="0.35">
      <c r="A46" s="1557">
        <v>0</v>
      </c>
      <c r="B46" s="1558" t="s">
        <v>413</v>
      </c>
      <c r="C46" s="1568" t="s">
        <v>413</v>
      </c>
      <c r="D46" s="1557" t="s">
        <v>1631</v>
      </c>
      <c r="E46" s="1560">
        <v>43481</v>
      </c>
      <c r="F46" s="1332"/>
      <c r="G46" s="1560">
        <f t="shared" si="0"/>
        <v>43481</v>
      </c>
      <c r="H46" s="1560"/>
      <c r="I46" s="1560" t="s">
        <v>2102</v>
      </c>
      <c r="J46" s="1560" t="s">
        <v>2102</v>
      </c>
      <c r="K46" s="1560"/>
      <c r="L46" s="1560" t="s">
        <v>2102</v>
      </c>
      <c r="M46" s="1333">
        <v>0</v>
      </c>
      <c r="N46" s="1333">
        <v>0</v>
      </c>
      <c r="O46" s="1329"/>
      <c r="P46" s="1733">
        <f t="shared" si="1"/>
        <v>0</v>
      </c>
      <c r="Q46" s="1329"/>
      <c r="R46" s="1329"/>
      <c r="S46" s="1333">
        <f t="shared" si="2"/>
        <v>0</v>
      </c>
    </row>
    <row r="47" spans="1:19" s="1331" customFormat="1" ht="43.5" x14ac:dyDescent="0.35">
      <c r="A47" s="1543">
        <v>18</v>
      </c>
      <c r="B47" s="1544" t="s">
        <v>1641</v>
      </c>
      <c r="C47" s="1543" t="s">
        <v>931</v>
      </c>
      <c r="D47" s="1543" t="s">
        <v>1642</v>
      </c>
      <c r="E47" s="1546">
        <v>43672</v>
      </c>
      <c r="F47" s="1329"/>
      <c r="G47" s="1546">
        <f t="shared" si="0"/>
        <v>43672</v>
      </c>
      <c r="H47" s="1546"/>
      <c r="I47" s="1546" t="s">
        <v>2102</v>
      </c>
      <c r="J47" s="1546" t="s">
        <v>2102</v>
      </c>
      <c r="K47" s="1546"/>
      <c r="L47" s="1546" t="s">
        <v>2102</v>
      </c>
      <c r="M47" s="1330">
        <v>0</v>
      </c>
      <c r="N47" s="1330">
        <v>0</v>
      </c>
      <c r="O47" s="1329"/>
      <c r="P47" s="1733">
        <f t="shared" si="1"/>
        <v>0</v>
      </c>
      <c r="Q47" s="1329"/>
      <c r="R47" s="1329"/>
      <c r="S47" s="1330">
        <f t="shared" si="2"/>
        <v>0</v>
      </c>
    </row>
    <row r="48" spans="1:19" ht="29" x14ac:dyDescent="0.35">
      <c r="A48" s="1511">
        <v>18.100000000000001</v>
      </c>
      <c r="B48" s="1512" t="s">
        <v>1643</v>
      </c>
      <c r="C48" s="1636" t="s">
        <v>938</v>
      </c>
      <c r="D48" s="1634" t="s">
        <v>1642</v>
      </c>
      <c r="E48" s="1637">
        <v>43672</v>
      </c>
      <c r="F48" s="1334"/>
      <c r="G48" s="1637">
        <f t="shared" si="0"/>
        <v>43672</v>
      </c>
      <c r="H48" s="1571"/>
      <c r="I48" s="1637">
        <v>43469</v>
      </c>
      <c r="J48" s="1637">
        <v>44767</v>
      </c>
      <c r="K48" s="1571"/>
      <c r="L48" s="1637" t="s">
        <v>2102</v>
      </c>
      <c r="M48" s="1335">
        <v>10.6</v>
      </c>
      <c r="N48" s="1335">
        <v>8.7955000000000005</v>
      </c>
      <c r="O48" s="1336"/>
      <c r="P48" s="1734">
        <f t="shared" si="1"/>
        <v>1.8044999999999991</v>
      </c>
      <c r="Q48" s="1336"/>
      <c r="R48" s="1336"/>
      <c r="S48" s="1335">
        <f t="shared" si="2"/>
        <v>1.8044999999999991</v>
      </c>
    </row>
    <row r="49" spans="1:19" ht="29" x14ac:dyDescent="0.35">
      <c r="A49" s="1511">
        <v>18.2</v>
      </c>
      <c r="B49" s="1512" t="s">
        <v>1645</v>
      </c>
      <c r="C49" s="1636" t="s">
        <v>938</v>
      </c>
      <c r="D49" s="1634" t="s">
        <v>1642</v>
      </c>
      <c r="E49" s="1637">
        <v>43672</v>
      </c>
      <c r="F49" s="1334"/>
      <c r="G49" s="1637">
        <f t="shared" si="0"/>
        <v>43672</v>
      </c>
      <c r="H49" s="1571"/>
      <c r="I49" s="1637">
        <v>43469</v>
      </c>
      <c r="J49" s="1637">
        <v>44767</v>
      </c>
      <c r="K49" s="1571"/>
      <c r="L49" s="1637" t="s">
        <v>2102</v>
      </c>
      <c r="M49" s="1335">
        <v>10.6</v>
      </c>
      <c r="N49" s="1335">
        <v>12.3255</v>
      </c>
      <c r="O49" s="1336"/>
      <c r="P49" s="1734">
        <f t="shared" si="1"/>
        <v>-1.7255000000000003</v>
      </c>
      <c r="Q49" s="1336"/>
      <c r="R49" s="1336"/>
      <c r="S49" s="1335">
        <f t="shared" si="2"/>
        <v>-1.7255000000000003</v>
      </c>
    </row>
    <row r="50" spans="1:19" ht="15.5" x14ac:dyDescent="0.35">
      <c r="A50" s="1511">
        <v>0</v>
      </c>
      <c r="B50" s="1516" t="s">
        <v>413</v>
      </c>
      <c r="C50" s="1636" t="s">
        <v>413</v>
      </c>
      <c r="D50" s="1634" t="s">
        <v>1642</v>
      </c>
      <c r="E50" s="1637">
        <v>43672</v>
      </c>
      <c r="F50" s="1334"/>
      <c r="G50" s="1637">
        <f t="shared" si="0"/>
        <v>43672</v>
      </c>
      <c r="H50" s="1571"/>
      <c r="I50" s="1637" t="s">
        <v>2102</v>
      </c>
      <c r="J50" s="1637" t="s">
        <v>2102</v>
      </c>
      <c r="K50" s="1571"/>
      <c r="L50" s="1637" t="s">
        <v>2102</v>
      </c>
      <c r="M50" s="1335">
        <v>1.52</v>
      </c>
      <c r="N50" s="1335">
        <v>0.81066607999999996</v>
      </c>
      <c r="O50" s="1336"/>
      <c r="P50" s="1734">
        <f t="shared" si="1"/>
        <v>0.70933392000000006</v>
      </c>
      <c r="Q50" s="1336"/>
      <c r="R50" s="1336"/>
      <c r="S50" s="1335">
        <f t="shared" si="2"/>
        <v>0.70933392000000006</v>
      </c>
    </row>
    <row r="51" spans="1:19" s="1331" customFormat="1" ht="29" x14ac:dyDescent="0.35">
      <c r="A51" s="1543">
        <v>19</v>
      </c>
      <c r="B51" s="1544" t="s">
        <v>1646</v>
      </c>
      <c r="C51" s="1543" t="s">
        <v>931</v>
      </c>
      <c r="D51" s="1543" t="s">
        <v>1647</v>
      </c>
      <c r="E51" s="1546">
        <v>43676</v>
      </c>
      <c r="F51" s="1329"/>
      <c r="G51" s="1546">
        <f t="shared" si="0"/>
        <v>43676</v>
      </c>
      <c r="H51" s="1546"/>
      <c r="I51" s="1546" t="s">
        <v>2102</v>
      </c>
      <c r="J51" s="1546" t="s">
        <v>2102</v>
      </c>
      <c r="K51" s="1546"/>
      <c r="L51" s="1546" t="s">
        <v>2102</v>
      </c>
      <c r="M51" s="1330">
        <v>0</v>
      </c>
      <c r="N51" s="1330">
        <v>0</v>
      </c>
      <c r="O51" s="1329"/>
      <c r="P51" s="1733">
        <f t="shared" si="1"/>
        <v>0</v>
      </c>
      <c r="Q51" s="1329"/>
      <c r="R51" s="1329"/>
      <c r="S51" s="1330">
        <f t="shared" si="2"/>
        <v>0</v>
      </c>
    </row>
    <row r="52" spans="1:19" s="1331" customFormat="1" ht="29" x14ac:dyDescent="0.35">
      <c r="A52" s="1557">
        <v>19.100000000000001</v>
      </c>
      <c r="B52" s="1558" t="s">
        <v>1648</v>
      </c>
      <c r="C52" s="1568" t="s">
        <v>938</v>
      </c>
      <c r="D52" s="1557" t="s">
        <v>1647</v>
      </c>
      <c r="E52" s="1560">
        <v>43676</v>
      </c>
      <c r="F52" s="1332"/>
      <c r="G52" s="1560">
        <f t="shared" si="0"/>
        <v>43676</v>
      </c>
      <c r="H52" s="1560"/>
      <c r="I52" s="1560">
        <v>43633</v>
      </c>
      <c r="J52" s="1560">
        <v>44406</v>
      </c>
      <c r="K52" s="1560"/>
      <c r="L52" s="1560">
        <v>44053</v>
      </c>
      <c r="M52" s="1333">
        <v>3.93</v>
      </c>
      <c r="N52" s="1333">
        <v>4.3292536000000004</v>
      </c>
      <c r="O52" s="1329"/>
      <c r="P52" s="1733">
        <f t="shared" si="1"/>
        <v>-0.39925360000000021</v>
      </c>
      <c r="Q52" s="1329"/>
      <c r="R52" s="1329"/>
      <c r="S52" s="1333">
        <f t="shared" si="2"/>
        <v>-0.39925360000000021</v>
      </c>
    </row>
    <row r="53" spans="1:19" s="1331" customFormat="1" ht="29" x14ac:dyDescent="0.35">
      <c r="A53" s="1557">
        <v>19.2</v>
      </c>
      <c r="B53" s="1558" t="s">
        <v>1650</v>
      </c>
      <c r="C53" s="1568" t="s">
        <v>938</v>
      </c>
      <c r="D53" s="1557" t="s">
        <v>1647</v>
      </c>
      <c r="E53" s="1560">
        <v>43676</v>
      </c>
      <c r="F53" s="1332"/>
      <c r="G53" s="1560">
        <f t="shared" si="0"/>
        <v>43676</v>
      </c>
      <c r="H53" s="1560"/>
      <c r="I53" s="1560">
        <v>43633</v>
      </c>
      <c r="J53" s="1560">
        <v>44406</v>
      </c>
      <c r="K53" s="1560"/>
      <c r="L53" s="1560" t="s">
        <v>1651</v>
      </c>
      <c r="M53" s="1333">
        <v>6.25</v>
      </c>
      <c r="N53" s="1333">
        <v>6.4416200000000003</v>
      </c>
      <c r="O53" s="1329"/>
      <c r="P53" s="1733">
        <f t="shared" si="1"/>
        <v>-0.19162000000000035</v>
      </c>
      <c r="Q53" s="1329"/>
      <c r="R53" s="1329"/>
      <c r="S53" s="1333">
        <f t="shared" si="2"/>
        <v>-0.19162000000000035</v>
      </c>
    </row>
    <row r="54" spans="1:19" s="1331" customFormat="1" ht="15.5" x14ac:dyDescent="0.35">
      <c r="A54" s="1557">
        <v>0</v>
      </c>
      <c r="B54" s="1558" t="s">
        <v>413</v>
      </c>
      <c r="C54" s="1568" t="s">
        <v>413</v>
      </c>
      <c r="D54" s="1557" t="s">
        <v>1647</v>
      </c>
      <c r="E54" s="1560">
        <v>43676</v>
      </c>
      <c r="F54" s="1332"/>
      <c r="G54" s="1560">
        <f t="shared" si="0"/>
        <v>43676</v>
      </c>
      <c r="H54" s="1560"/>
      <c r="I54" s="1560" t="s">
        <v>2102</v>
      </c>
      <c r="J54" s="1560" t="s">
        <v>2102</v>
      </c>
      <c r="K54" s="1560"/>
      <c r="L54" s="1560" t="s">
        <v>2102</v>
      </c>
      <c r="M54" s="1333">
        <v>0.54</v>
      </c>
      <c r="N54" s="1333">
        <v>0</v>
      </c>
      <c r="O54" s="1329"/>
      <c r="P54" s="1733">
        <f t="shared" si="1"/>
        <v>0.54</v>
      </c>
      <c r="Q54" s="1329"/>
      <c r="R54" s="1329"/>
      <c r="S54" s="1333">
        <f t="shared" si="2"/>
        <v>0.54</v>
      </c>
    </row>
    <row r="55" spans="1:19" s="1331" customFormat="1" ht="72.5" x14ac:dyDescent="0.35">
      <c r="A55" s="1543">
        <v>20</v>
      </c>
      <c r="B55" s="1544" t="s">
        <v>1653</v>
      </c>
      <c r="C55" s="1543" t="s">
        <v>931</v>
      </c>
      <c r="D55" s="1543" t="s">
        <v>1654</v>
      </c>
      <c r="E55" s="1546" t="s">
        <v>1655</v>
      </c>
      <c r="F55" s="1329"/>
      <c r="G55" s="1546" t="str">
        <f t="shared" si="0"/>
        <v>01-08-2019,
10-10-2019</v>
      </c>
      <c r="H55" s="1546"/>
      <c r="I55" s="1546" t="s">
        <v>2102</v>
      </c>
      <c r="J55" s="1546" t="s">
        <v>2102</v>
      </c>
      <c r="K55" s="1546"/>
      <c r="L55" s="1546" t="s">
        <v>2102</v>
      </c>
      <c r="M55" s="1330">
        <v>0</v>
      </c>
      <c r="N55" s="1330">
        <v>0</v>
      </c>
      <c r="O55" s="1329"/>
      <c r="P55" s="1733">
        <f t="shared" si="1"/>
        <v>0</v>
      </c>
      <c r="Q55" s="1329"/>
      <c r="R55" s="1329"/>
      <c r="S55" s="1330">
        <f t="shared" si="2"/>
        <v>0</v>
      </c>
    </row>
    <row r="56" spans="1:19" s="1331" customFormat="1" ht="29" x14ac:dyDescent="0.35">
      <c r="A56" s="1557">
        <v>20.100000000000001</v>
      </c>
      <c r="B56" s="1558" t="s">
        <v>1656</v>
      </c>
      <c r="C56" s="1568" t="s">
        <v>938</v>
      </c>
      <c r="D56" s="1557" t="s">
        <v>1654</v>
      </c>
      <c r="E56" s="1560" t="s">
        <v>1655</v>
      </c>
      <c r="F56" s="1332"/>
      <c r="G56" s="1560" t="str">
        <f t="shared" si="0"/>
        <v>01-08-2019,
10-10-2019</v>
      </c>
      <c r="H56" s="1560"/>
      <c r="I56" s="1560">
        <v>43567</v>
      </c>
      <c r="J56" s="1560">
        <v>44226</v>
      </c>
      <c r="K56" s="1560"/>
      <c r="L56" s="1560" t="s">
        <v>1657</v>
      </c>
      <c r="M56" s="1333">
        <v>14.39</v>
      </c>
      <c r="N56" s="1333">
        <v>14.1187</v>
      </c>
      <c r="O56" s="1329"/>
      <c r="P56" s="1733">
        <f t="shared" si="1"/>
        <v>0.2713000000000001</v>
      </c>
      <c r="Q56" s="1329"/>
      <c r="R56" s="1329"/>
      <c r="S56" s="1333">
        <f t="shared" si="2"/>
        <v>0.2713000000000001</v>
      </c>
    </row>
    <row r="57" spans="1:19" s="1331" customFormat="1" ht="43.5" x14ac:dyDescent="0.35">
      <c r="A57" s="1557">
        <v>20.2</v>
      </c>
      <c r="B57" s="1558" t="s">
        <v>1660</v>
      </c>
      <c r="C57" s="1568">
        <v>0</v>
      </c>
      <c r="D57" s="1557">
        <v>0</v>
      </c>
      <c r="E57" s="1560" t="s">
        <v>1661</v>
      </c>
      <c r="F57" s="1332"/>
      <c r="G57" s="1560" t="str">
        <f t="shared" si="0"/>
        <v>Not Approved</v>
      </c>
      <c r="H57" s="1560"/>
      <c r="I57" s="1560" t="s">
        <v>1662</v>
      </c>
      <c r="J57" s="1560" t="s">
        <v>2102</v>
      </c>
      <c r="K57" s="1560"/>
      <c r="L57" s="1560" t="s">
        <v>2102</v>
      </c>
      <c r="M57" s="1333">
        <v>0</v>
      </c>
      <c r="N57" s="1333">
        <v>0</v>
      </c>
      <c r="O57" s="1329"/>
      <c r="P57" s="1733">
        <f t="shared" si="1"/>
        <v>0</v>
      </c>
      <c r="Q57" s="1329"/>
      <c r="R57" s="1329"/>
      <c r="S57" s="1333">
        <f t="shared" si="2"/>
        <v>0</v>
      </c>
    </row>
    <row r="58" spans="1:19" ht="29" x14ac:dyDescent="0.35">
      <c r="A58" s="1511">
        <v>20.3</v>
      </c>
      <c r="B58" s="1512" t="s">
        <v>1664</v>
      </c>
      <c r="C58" s="1636" t="s">
        <v>938</v>
      </c>
      <c r="D58" s="1634" t="s">
        <v>1654</v>
      </c>
      <c r="E58" s="1637" t="s">
        <v>1655</v>
      </c>
      <c r="F58" s="1334"/>
      <c r="G58" s="1637" t="str">
        <f t="shared" si="0"/>
        <v>01-08-2019,
10-10-2019</v>
      </c>
      <c r="H58" s="1571"/>
      <c r="I58" s="1637">
        <v>43570</v>
      </c>
      <c r="J58" s="1637">
        <v>44443</v>
      </c>
      <c r="K58" s="1571"/>
      <c r="L58" s="1637" t="s">
        <v>1665</v>
      </c>
      <c r="M58" s="1335">
        <v>5.94</v>
      </c>
      <c r="N58" s="1335">
        <v>5.9323319999999997</v>
      </c>
      <c r="O58" s="1336"/>
      <c r="P58" s="1734">
        <f t="shared" si="1"/>
        <v>7.6680000000006743E-3</v>
      </c>
      <c r="Q58" s="1336"/>
      <c r="R58" s="1336"/>
      <c r="S58" s="1335">
        <f t="shared" si="2"/>
        <v>7.6680000000006743E-3</v>
      </c>
    </row>
    <row r="59" spans="1:19" ht="43.5" x14ac:dyDescent="0.35">
      <c r="A59" s="1511">
        <v>20.399999999999999</v>
      </c>
      <c r="B59" s="1512" t="s">
        <v>1667</v>
      </c>
      <c r="C59" s="1636" t="s">
        <v>938</v>
      </c>
      <c r="D59" s="1634" t="s">
        <v>1654</v>
      </c>
      <c r="E59" s="1637" t="s">
        <v>1655</v>
      </c>
      <c r="F59" s="1334"/>
      <c r="G59" s="1637" t="str">
        <f t="shared" si="0"/>
        <v>01-08-2019,
10-10-2019</v>
      </c>
      <c r="H59" s="1571"/>
      <c r="I59" s="1637">
        <v>43570</v>
      </c>
      <c r="J59" s="1637">
        <v>44443</v>
      </c>
      <c r="K59" s="1571"/>
      <c r="L59" s="1637" t="s">
        <v>1665</v>
      </c>
      <c r="M59" s="1335">
        <v>0.28999999999999998</v>
      </c>
      <c r="N59" s="1335">
        <v>0.28320000000000001</v>
      </c>
      <c r="O59" s="1336"/>
      <c r="P59" s="1734">
        <f t="shared" si="1"/>
        <v>6.7999999999999727E-3</v>
      </c>
      <c r="Q59" s="1336"/>
      <c r="R59" s="1336"/>
      <c r="S59" s="1335">
        <f t="shared" si="2"/>
        <v>6.7999999999999727E-3</v>
      </c>
    </row>
    <row r="60" spans="1:19" ht="29" x14ac:dyDescent="0.35">
      <c r="A60" s="1511">
        <v>0</v>
      </c>
      <c r="B60" s="1512" t="s">
        <v>413</v>
      </c>
      <c r="C60" s="1636" t="s">
        <v>413</v>
      </c>
      <c r="D60" s="1634" t="s">
        <v>1654</v>
      </c>
      <c r="E60" s="1637" t="s">
        <v>1655</v>
      </c>
      <c r="F60" s="1334"/>
      <c r="G60" s="1637" t="str">
        <f t="shared" si="0"/>
        <v>01-08-2019,
10-10-2019</v>
      </c>
      <c r="H60" s="1571"/>
      <c r="I60" s="1637" t="s">
        <v>2102</v>
      </c>
      <c r="J60" s="1637" t="s">
        <v>2102</v>
      </c>
      <c r="K60" s="1571"/>
      <c r="L60" s="1637" t="s">
        <v>2102</v>
      </c>
      <c r="M60" s="1335">
        <v>0.64</v>
      </c>
      <c r="N60" s="1335">
        <v>0.51657549999999997</v>
      </c>
      <c r="O60" s="1336"/>
      <c r="P60" s="1734">
        <f t="shared" si="1"/>
        <v>0.12342450000000005</v>
      </c>
      <c r="Q60" s="1336"/>
      <c r="R60" s="1336"/>
      <c r="S60" s="1335">
        <f t="shared" si="2"/>
        <v>0.12342450000000005</v>
      </c>
    </row>
    <row r="61" spans="1:19" s="1331" customFormat="1" ht="43.5" x14ac:dyDescent="0.35">
      <c r="A61" s="1543">
        <v>21</v>
      </c>
      <c r="B61" s="1544" t="s">
        <v>1668</v>
      </c>
      <c r="C61" s="1543" t="s">
        <v>931</v>
      </c>
      <c r="D61" s="1543" t="s">
        <v>1669</v>
      </c>
      <c r="E61" s="1546">
        <v>43748</v>
      </c>
      <c r="F61" s="1329"/>
      <c r="G61" s="1546">
        <f t="shared" si="0"/>
        <v>43748</v>
      </c>
      <c r="H61" s="1546"/>
      <c r="I61" s="1546" t="s">
        <v>2102</v>
      </c>
      <c r="J61" s="1546" t="s">
        <v>2102</v>
      </c>
      <c r="K61" s="1546"/>
      <c r="L61" s="1546" t="s">
        <v>2102</v>
      </c>
      <c r="M61" s="1330">
        <v>0</v>
      </c>
      <c r="N61" s="1330">
        <v>0</v>
      </c>
      <c r="O61" s="1329"/>
      <c r="P61" s="1733">
        <f t="shared" si="1"/>
        <v>0</v>
      </c>
      <c r="Q61" s="1329"/>
      <c r="R61" s="1329"/>
      <c r="S61" s="1330">
        <f t="shared" si="2"/>
        <v>0</v>
      </c>
    </row>
    <row r="62" spans="1:19" ht="29" x14ac:dyDescent="0.35">
      <c r="A62" s="1511">
        <v>21.1</v>
      </c>
      <c r="B62" s="1512" t="s">
        <v>1670</v>
      </c>
      <c r="C62" s="1636" t="s">
        <v>938</v>
      </c>
      <c r="D62" s="1634" t="s">
        <v>1669</v>
      </c>
      <c r="E62" s="1637">
        <v>43748</v>
      </c>
      <c r="F62" s="1334"/>
      <c r="G62" s="1637">
        <f t="shared" si="0"/>
        <v>43748</v>
      </c>
      <c r="H62" s="1571"/>
      <c r="I62" s="1637">
        <v>43805</v>
      </c>
      <c r="J62" s="1637">
        <v>44443</v>
      </c>
      <c r="K62" s="1571"/>
      <c r="L62" s="1637" t="s">
        <v>1671</v>
      </c>
      <c r="M62" s="1335">
        <v>10.49</v>
      </c>
      <c r="N62" s="1335">
        <v>9.06</v>
      </c>
      <c r="O62" s="1336"/>
      <c r="P62" s="1734">
        <f t="shared" si="1"/>
        <v>1.4299999999999997</v>
      </c>
      <c r="Q62" s="1336"/>
      <c r="R62" s="1336"/>
      <c r="S62" s="1335">
        <f t="shared" si="2"/>
        <v>1.4299999999999997</v>
      </c>
    </row>
    <row r="63" spans="1:19" ht="15.5" x14ac:dyDescent="0.35">
      <c r="A63" s="1511">
        <v>0</v>
      </c>
      <c r="B63" s="1512" t="s">
        <v>413</v>
      </c>
      <c r="C63" s="1636">
        <v>0</v>
      </c>
      <c r="D63" s="1634">
        <v>0</v>
      </c>
      <c r="E63" s="1637" t="s">
        <v>2102</v>
      </c>
      <c r="F63" s="1334"/>
      <c r="G63" s="1637" t="str">
        <f t="shared" si="0"/>
        <v>-</v>
      </c>
      <c r="H63" s="1571"/>
      <c r="I63" s="1637" t="s">
        <v>2102</v>
      </c>
      <c r="J63" s="1637" t="s">
        <v>2102</v>
      </c>
      <c r="K63" s="1571"/>
      <c r="L63" s="1637" t="s">
        <v>2102</v>
      </c>
      <c r="M63" s="1335">
        <v>0</v>
      </c>
      <c r="N63" s="1335">
        <v>0.20089699999999999</v>
      </c>
      <c r="O63" s="1336"/>
      <c r="P63" s="1734">
        <f t="shared" si="1"/>
        <v>-0.20089699999999999</v>
      </c>
      <c r="Q63" s="1336"/>
      <c r="R63" s="1336"/>
      <c r="S63" s="1335">
        <f t="shared" si="2"/>
        <v>-0.20089699999999999</v>
      </c>
    </row>
    <row r="64" spans="1:19" ht="29" x14ac:dyDescent="0.35">
      <c r="A64" s="1511">
        <v>21.2</v>
      </c>
      <c r="B64" s="1512" t="s">
        <v>1673</v>
      </c>
      <c r="C64" s="1636" t="s">
        <v>938</v>
      </c>
      <c r="D64" s="1634" t="s">
        <v>1669</v>
      </c>
      <c r="E64" s="1637">
        <v>43748</v>
      </c>
      <c r="F64" s="1334"/>
      <c r="G64" s="1637">
        <f t="shared" si="0"/>
        <v>43748</v>
      </c>
      <c r="H64" s="1571"/>
      <c r="I64" s="1637">
        <v>43634</v>
      </c>
      <c r="J64" s="1637">
        <v>44084</v>
      </c>
      <c r="K64" s="1571"/>
      <c r="L64" s="1637" t="s">
        <v>1674</v>
      </c>
      <c r="M64" s="1335">
        <v>1.01</v>
      </c>
      <c r="N64" s="1335">
        <v>1.0442298999999999</v>
      </c>
      <c r="O64" s="1336"/>
      <c r="P64" s="1734">
        <f t="shared" si="1"/>
        <v>-3.4229899999999924E-2</v>
      </c>
      <c r="Q64" s="1336"/>
      <c r="R64" s="1336"/>
      <c r="S64" s="1335">
        <f t="shared" si="2"/>
        <v>-3.4229899999999924E-2</v>
      </c>
    </row>
    <row r="65" spans="1:19" ht="29" x14ac:dyDescent="0.35">
      <c r="A65" s="1511">
        <v>21.3</v>
      </c>
      <c r="B65" s="1512" t="s">
        <v>1677</v>
      </c>
      <c r="C65" s="1636" t="s">
        <v>938</v>
      </c>
      <c r="D65" s="1634" t="s">
        <v>1669</v>
      </c>
      <c r="E65" s="1637">
        <v>43748</v>
      </c>
      <c r="F65" s="1334"/>
      <c r="G65" s="1637">
        <f t="shared" si="0"/>
        <v>43748</v>
      </c>
      <c r="H65" s="1571"/>
      <c r="I65" s="1637">
        <v>43634</v>
      </c>
      <c r="J65" s="1637">
        <v>44084</v>
      </c>
      <c r="K65" s="1571"/>
      <c r="L65" s="1637" t="s">
        <v>1678</v>
      </c>
      <c r="M65" s="1335">
        <v>1.7</v>
      </c>
      <c r="N65" s="1335">
        <v>1.6232219000000001</v>
      </c>
      <c r="O65" s="1336"/>
      <c r="P65" s="1734">
        <f t="shared" si="1"/>
        <v>7.6778099999999849E-2</v>
      </c>
      <c r="Q65" s="1336"/>
      <c r="R65" s="1336"/>
      <c r="S65" s="1335">
        <f t="shared" si="2"/>
        <v>7.6778099999999849E-2</v>
      </c>
    </row>
    <row r="66" spans="1:19" ht="15.5" x14ac:dyDescent="0.35">
      <c r="A66" s="1511">
        <v>0</v>
      </c>
      <c r="B66" s="1512" t="s">
        <v>413</v>
      </c>
      <c r="C66" s="1636" t="s">
        <v>413</v>
      </c>
      <c r="D66" s="1634" t="s">
        <v>1669</v>
      </c>
      <c r="E66" s="1637">
        <v>43748</v>
      </c>
      <c r="F66" s="1334"/>
      <c r="G66" s="1637">
        <f t="shared" si="0"/>
        <v>43748</v>
      </c>
      <c r="H66" s="1571"/>
      <c r="I66" s="1637" t="s">
        <v>2102</v>
      </c>
      <c r="J66" s="1637" t="s">
        <v>2102</v>
      </c>
      <c r="K66" s="1571"/>
      <c r="L66" s="1637" t="s">
        <v>2102</v>
      </c>
      <c r="M66" s="1335">
        <v>0</v>
      </c>
      <c r="N66" s="1335">
        <v>0</v>
      </c>
      <c r="O66" s="1336"/>
      <c r="P66" s="1734">
        <f t="shared" si="1"/>
        <v>0</v>
      </c>
      <c r="Q66" s="1336"/>
      <c r="R66" s="1336"/>
      <c r="S66" s="1335">
        <f t="shared" si="2"/>
        <v>0</v>
      </c>
    </row>
    <row r="67" spans="1:19" ht="29" x14ac:dyDescent="0.35">
      <c r="A67" s="1506">
        <v>22</v>
      </c>
      <c r="B67" s="1507" t="s">
        <v>1680</v>
      </c>
      <c r="C67" s="1655" t="s">
        <v>931</v>
      </c>
      <c r="D67" s="1655" t="s">
        <v>1681</v>
      </c>
      <c r="E67" s="1735">
        <v>44739</v>
      </c>
      <c r="F67" s="1329"/>
      <c r="G67" s="1546">
        <f t="shared" si="0"/>
        <v>44739</v>
      </c>
      <c r="H67" s="1546"/>
      <c r="I67" s="1546" t="s">
        <v>2102</v>
      </c>
      <c r="J67" s="1546" t="s">
        <v>2102</v>
      </c>
      <c r="K67" s="1546"/>
      <c r="L67" s="1546" t="s">
        <v>2102</v>
      </c>
      <c r="M67" s="1330">
        <v>0</v>
      </c>
      <c r="N67" s="1330">
        <v>0</v>
      </c>
      <c r="O67" s="1329"/>
      <c r="P67" s="1733">
        <f t="shared" si="1"/>
        <v>0</v>
      </c>
      <c r="Q67" s="1329"/>
      <c r="R67" s="1329"/>
      <c r="S67" s="1330">
        <f t="shared" si="2"/>
        <v>0</v>
      </c>
    </row>
    <row r="68" spans="1:19" ht="29" x14ac:dyDescent="0.35">
      <c r="A68" s="1511">
        <v>22.1</v>
      </c>
      <c r="B68" s="1512" t="s">
        <v>1682</v>
      </c>
      <c r="C68" s="1636" t="s">
        <v>938</v>
      </c>
      <c r="D68" s="1634" t="s">
        <v>1681</v>
      </c>
      <c r="E68" s="1637">
        <v>44739</v>
      </c>
      <c r="F68" s="1334"/>
      <c r="G68" s="1637">
        <f t="shared" si="0"/>
        <v>44739</v>
      </c>
      <c r="H68" s="1571"/>
      <c r="I68" s="1637" t="s">
        <v>1683</v>
      </c>
      <c r="J68" s="1637" t="s">
        <v>2102</v>
      </c>
      <c r="K68" s="1571"/>
      <c r="L68" s="1637" t="s">
        <v>2102</v>
      </c>
      <c r="M68" s="1335">
        <v>138.44</v>
      </c>
      <c r="N68" s="1335">
        <v>18.25</v>
      </c>
      <c r="O68" s="1336"/>
      <c r="P68" s="1734">
        <f t="shared" si="1"/>
        <v>120.19</v>
      </c>
      <c r="Q68" s="1336"/>
      <c r="R68" s="1336"/>
      <c r="S68" s="1335">
        <f t="shared" si="2"/>
        <v>120.19</v>
      </c>
    </row>
    <row r="69" spans="1:19" ht="15.5" x14ac:dyDescent="0.35">
      <c r="A69" s="1511">
        <v>0</v>
      </c>
      <c r="B69" s="1512" t="s">
        <v>413</v>
      </c>
      <c r="C69" s="1636" t="s">
        <v>413</v>
      </c>
      <c r="D69" s="1634" t="s">
        <v>1681</v>
      </c>
      <c r="E69" s="1637">
        <v>44739</v>
      </c>
      <c r="F69" s="1334"/>
      <c r="G69" s="1637">
        <f t="shared" si="0"/>
        <v>44739</v>
      </c>
      <c r="H69" s="1571"/>
      <c r="I69" s="1637" t="s">
        <v>2102</v>
      </c>
      <c r="J69" s="1637" t="s">
        <v>2102</v>
      </c>
      <c r="K69" s="1571"/>
      <c r="L69" s="1637" t="s">
        <v>2102</v>
      </c>
      <c r="M69" s="1335">
        <v>6.5768820979437104</v>
      </c>
      <c r="N69" s="1335">
        <v>0.56999999999999995</v>
      </c>
      <c r="O69" s="1336"/>
      <c r="P69" s="1734">
        <f t="shared" si="1"/>
        <v>6.0068820979437101</v>
      </c>
      <c r="Q69" s="1336"/>
      <c r="R69" s="1336"/>
      <c r="S69" s="1335">
        <f t="shared" si="2"/>
        <v>6.0068820979437101</v>
      </c>
    </row>
    <row r="70" spans="1:19" ht="43.5" x14ac:dyDescent="0.35">
      <c r="A70" s="1506" t="s">
        <v>945</v>
      </c>
      <c r="B70" s="1507" t="s">
        <v>946</v>
      </c>
      <c r="C70" s="1655" t="s">
        <v>931</v>
      </c>
      <c r="D70" s="1655" t="s">
        <v>947</v>
      </c>
      <c r="E70" s="1735">
        <v>41968</v>
      </c>
      <c r="F70" s="1329"/>
      <c r="G70" s="1546">
        <f t="shared" si="0"/>
        <v>41968</v>
      </c>
      <c r="H70" s="1546"/>
      <c r="I70" s="1546" t="s">
        <v>2102</v>
      </c>
      <c r="J70" s="1546" t="s">
        <v>2102</v>
      </c>
      <c r="K70" s="1546"/>
      <c r="L70" s="1546" t="s">
        <v>2102</v>
      </c>
      <c r="M70" s="1330">
        <v>0</v>
      </c>
      <c r="N70" s="1330">
        <v>0</v>
      </c>
      <c r="O70" s="1329"/>
      <c r="P70" s="1733">
        <f t="shared" si="1"/>
        <v>0</v>
      </c>
      <c r="Q70" s="1329"/>
      <c r="R70" s="1329"/>
      <c r="S70" s="1330">
        <f t="shared" si="2"/>
        <v>0</v>
      </c>
    </row>
    <row r="71" spans="1:19" ht="43.5" x14ac:dyDescent="0.35">
      <c r="A71" s="1511" t="s">
        <v>1686</v>
      </c>
      <c r="B71" s="1512" t="s">
        <v>1687</v>
      </c>
      <c r="C71" s="1636" t="s">
        <v>938</v>
      </c>
      <c r="D71" s="1634" t="s">
        <v>947</v>
      </c>
      <c r="E71" s="1637">
        <v>41968</v>
      </c>
      <c r="F71" s="1334"/>
      <c r="G71" s="1637">
        <f t="shared" si="0"/>
        <v>41968</v>
      </c>
      <c r="H71" s="1571"/>
      <c r="I71" s="1637" t="s">
        <v>2102</v>
      </c>
      <c r="J71" s="1637" t="s">
        <v>2102</v>
      </c>
      <c r="K71" s="1571"/>
      <c r="L71" s="1637" t="s">
        <v>1688</v>
      </c>
      <c r="M71" s="1335">
        <v>3.05</v>
      </c>
      <c r="N71" s="1335">
        <v>1.409902</v>
      </c>
      <c r="O71" s="1336"/>
      <c r="P71" s="1734">
        <f t="shared" si="1"/>
        <v>1.6400979999999998</v>
      </c>
      <c r="Q71" s="1336"/>
      <c r="R71" s="1336"/>
      <c r="S71" s="1335">
        <f t="shared" si="2"/>
        <v>1.6400979999999998</v>
      </c>
    </row>
    <row r="72" spans="1:19" ht="43.5" x14ac:dyDescent="0.35">
      <c r="A72" s="1506" t="s">
        <v>1691</v>
      </c>
      <c r="B72" s="1507" t="s">
        <v>948</v>
      </c>
      <c r="C72" s="1655" t="s">
        <v>931</v>
      </c>
      <c r="D72" s="1655" t="s">
        <v>949</v>
      </c>
      <c r="E72" s="1735">
        <v>42585</v>
      </c>
      <c r="F72" s="1329"/>
      <c r="G72" s="1546">
        <f t="shared" si="0"/>
        <v>42585</v>
      </c>
      <c r="H72" s="1546"/>
      <c r="I72" s="1546" t="s">
        <v>2102</v>
      </c>
      <c r="J72" s="1546" t="s">
        <v>2102</v>
      </c>
      <c r="K72" s="1546"/>
      <c r="L72" s="1546" t="s">
        <v>2102</v>
      </c>
      <c r="M72" s="1330">
        <v>0</v>
      </c>
      <c r="N72" s="1330">
        <v>0</v>
      </c>
      <c r="O72" s="1329"/>
      <c r="P72" s="1733">
        <f t="shared" si="1"/>
        <v>0</v>
      </c>
      <c r="Q72" s="1329"/>
      <c r="R72" s="1329"/>
      <c r="S72" s="1330">
        <f t="shared" si="2"/>
        <v>0</v>
      </c>
    </row>
    <row r="73" spans="1:19" ht="29" x14ac:dyDescent="0.35">
      <c r="A73" s="1511" t="s">
        <v>1692</v>
      </c>
      <c r="B73" s="1512" t="s">
        <v>1693</v>
      </c>
      <c r="C73" s="1636" t="s">
        <v>938</v>
      </c>
      <c r="D73" s="1634" t="s">
        <v>949</v>
      </c>
      <c r="E73" s="1637">
        <v>42585</v>
      </c>
      <c r="F73" s="1334"/>
      <c r="G73" s="1637">
        <f t="shared" si="0"/>
        <v>42585</v>
      </c>
      <c r="H73" s="1571"/>
      <c r="I73" s="1637" t="s">
        <v>2102</v>
      </c>
      <c r="J73" s="1637" t="s">
        <v>2102</v>
      </c>
      <c r="K73" s="1571"/>
      <c r="L73" s="1637">
        <v>43868</v>
      </c>
      <c r="M73" s="1335">
        <v>1.3257526714285699</v>
      </c>
      <c r="N73" s="1335">
        <v>0.94127489999999991</v>
      </c>
      <c r="O73" s="1336"/>
      <c r="P73" s="1734">
        <f t="shared" si="1"/>
        <v>0.38447777142856998</v>
      </c>
      <c r="Q73" s="1336"/>
      <c r="R73" s="1336"/>
      <c r="S73" s="1335">
        <f t="shared" si="2"/>
        <v>0.38447777142856998</v>
      </c>
    </row>
    <row r="74" spans="1:19" ht="15.5" x14ac:dyDescent="0.35">
      <c r="A74" s="1511">
        <v>0</v>
      </c>
      <c r="B74" s="1511" t="s">
        <v>413</v>
      </c>
      <c r="C74" s="1636">
        <v>0</v>
      </c>
      <c r="D74" s="1634">
        <v>0</v>
      </c>
      <c r="E74" s="1637" t="s">
        <v>2102</v>
      </c>
      <c r="F74" s="1334"/>
      <c r="G74" s="1637" t="str">
        <f t="shared" si="0"/>
        <v>-</v>
      </c>
      <c r="H74" s="1571"/>
      <c r="I74" s="1637" t="s">
        <v>2102</v>
      </c>
      <c r="J74" s="1637" t="s">
        <v>2102</v>
      </c>
      <c r="K74" s="1571"/>
      <c r="L74" s="1637" t="s">
        <v>2102</v>
      </c>
      <c r="M74" s="1335">
        <v>0</v>
      </c>
      <c r="N74" s="1335">
        <v>3.9603800000000002E-2</v>
      </c>
      <c r="O74" s="1336"/>
      <c r="P74" s="1734">
        <f t="shared" si="1"/>
        <v>-3.9603800000000002E-2</v>
      </c>
      <c r="Q74" s="1336"/>
      <c r="R74" s="1336"/>
      <c r="S74" s="1335">
        <f t="shared" si="2"/>
        <v>-3.9603800000000002E-2</v>
      </c>
    </row>
    <row r="75" spans="1:19" ht="29" x14ac:dyDescent="0.35">
      <c r="A75" s="1506" t="s">
        <v>950</v>
      </c>
      <c r="B75" s="1507" t="s">
        <v>951</v>
      </c>
      <c r="C75" s="1655" t="s">
        <v>931</v>
      </c>
      <c r="D75" s="1655" t="s">
        <v>952</v>
      </c>
      <c r="E75" s="1735">
        <v>42643</v>
      </c>
      <c r="F75" s="1329"/>
      <c r="G75" s="1546">
        <f t="shared" si="0"/>
        <v>42643</v>
      </c>
      <c r="H75" s="1546"/>
      <c r="I75" s="1546" t="s">
        <v>2102</v>
      </c>
      <c r="J75" s="1546" t="s">
        <v>2102</v>
      </c>
      <c r="K75" s="1546"/>
      <c r="L75" s="1546" t="s">
        <v>2102</v>
      </c>
      <c r="M75" s="1330">
        <v>0</v>
      </c>
      <c r="N75" s="1330">
        <v>0</v>
      </c>
      <c r="O75" s="1329"/>
      <c r="P75" s="1733">
        <f t="shared" si="1"/>
        <v>0</v>
      </c>
      <c r="Q75" s="1329"/>
      <c r="R75" s="1329"/>
      <c r="S75" s="1330">
        <f t="shared" si="2"/>
        <v>0</v>
      </c>
    </row>
    <row r="76" spans="1:19" ht="29" x14ac:dyDescent="0.35">
      <c r="A76" s="1511" t="s">
        <v>1695</v>
      </c>
      <c r="B76" s="1512" t="s">
        <v>1693</v>
      </c>
      <c r="C76" s="1636" t="s">
        <v>938</v>
      </c>
      <c r="D76" s="1634" t="s">
        <v>952</v>
      </c>
      <c r="E76" s="1637">
        <v>42643</v>
      </c>
      <c r="F76" s="1334"/>
      <c r="G76" s="1637">
        <f t="shared" si="0"/>
        <v>42643</v>
      </c>
      <c r="H76" s="1571"/>
      <c r="I76" s="1637" t="s">
        <v>1696</v>
      </c>
      <c r="J76" s="1637" t="s">
        <v>2102</v>
      </c>
      <c r="K76" s="1571"/>
      <c r="L76" s="1637" t="s">
        <v>2102</v>
      </c>
      <c r="M76" s="1335">
        <v>7.0965999999999996</v>
      </c>
      <c r="N76" s="1335">
        <v>0</v>
      </c>
      <c r="O76" s="1336"/>
      <c r="P76" s="1734">
        <f t="shared" si="1"/>
        <v>7.0965999999999996</v>
      </c>
      <c r="Q76" s="1336"/>
      <c r="R76" s="1336"/>
      <c r="S76" s="1335">
        <f t="shared" si="2"/>
        <v>7.0965999999999996</v>
      </c>
    </row>
    <row r="77" spans="1:19" s="1331" customFormat="1" ht="29" x14ac:dyDescent="0.35">
      <c r="A77" s="1543" t="s">
        <v>1698</v>
      </c>
      <c r="B77" s="1544" t="s">
        <v>1699</v>
      </c>
      <c r="C77" s="1543" t="s">
        <v>931</v>
      </c>
      <c r="D77" s="1543" t="s">
        <v>1700</v>
      </c>
      <c r="E77" s="1546">
        <v>43052</v>
      </c>
      <c r="F77" s="1329"/>
      <c r="G77" s="1546">
        <f t="shared" si="0"/>
        <v>43052</v>
      </c>
      <c r="H77" s="1546"/>
      <c r="I77" s="1546" t="s">
        <v>2102</v>
      </c>
      <c r="J77" s="1546" t="s">
        <v>2102</v>
      </c>
      <c r="K77" s="1546"/>
      <c r="L77" s="1546" t="s">
        <v>2102</v>
      </c>
      <c r="M77" s="1330">
        <v>0</v>
      </c>
      <c r="N77" s="1330">
        <v>0</v>
      </c>
      <c r="O77" s="1329"/>
      <c r="P77" s="1733">
        <f t="shared" si="1"/>
        <v>0</v>
      </c>
      <c r="Q77" s="1329"/>
      <c r="R77" s="1329"/>
      <c r="S77" s="1330">
        <f t="shared" si="2"/>
        <v>0</v>
      </c>
    </row>
    <row r="78" spans="1:19" s="1331" customFormat="1" ht="29" x14ac:dyDescent="0.35">
      <c r="A78" s="1557" t="s">
        <v>1701</v>
      </c>
      <c r="B78" s="1558" t="s">
        <v>1702</v>
      </c>
      <c r="C78" s="1568" t="s">
        <v>938</v>
      </c>
      <c r="D78" s="1557" t="s">
        <v>1700</v>
      </c>
      <c r="E78" s="1560">
        <v>43052</v>
      </c>
      <c r="F78" s="1332"/>
      <c r="G78" s="1560">
        <f t="shared" ref="G78:G128" si="3">E78</f>
        <v>43052</v>
      </c>
      <c r="H78" s="1560"/>
      <c r="I78" s="1560" t="s">
        <v>2102</v>
      </c>
      <c r="J78" s="1560" t="s">
        <v>2102</v>
      </c>
      <c r="K78" s="1560"/>
      <c r="L78" s="1560">
        <v>44448</v>
      </c>
      <c r="M78" s="1333">
        <v>2.72</v>
      </c>
      <c r="N78" s="1333">
        <v>1.7765</v>
      </c>
      <c r="O78" s="1329"/>
      <c r="P78" s="1733">
        <f t="shared" si="1"/>
        <v>0.94350000000000023</v>
      </c>
      <c r="Q78" s="1329"/>
      <c r="R78" s="1329"/>
      <c r="S78" s="1333">
        <f t="shared" si="2"/>
        <v>0.94350000000000023</v>
      </c>
    </row>
    <row r="79" spans="1:19" s="1331" customFormat="1" ht="29" x14ac:dyDescent="0.35">
      <c r="A79" s="1557" t="s">
        <v>1705</v>
      </c>
      <c r="B79" s="1558" t="s">
        <v>1706</v>
      </c>
      <c r="C79" s="1568" t="s">
        <v>938</v>
      </c>
      <c r="D79" s="1557" t="s">
        <v>1700</v>
      </c>
      <c r="E79" s="1560">
        <v>43052</v>
      </c>
      <c r="F79" s="1332"/>
      <c r="G79" s="1560">
        <f t="shared" si="3"/>
        <v>43052</v>
      </c>
      <c r="H79" s="1560"/>
      <c r="I79" s="1560" t="s">
        <v>2102</v>
      </c>
      <c r="J79" s="1560" t="s">
        <v>2102</v>
      </c>
      <c r="K79" s="1560"/>
      <c r="L79" s="1560" t="s">
        <v>2102</v>
      </c>
      <c r="M79" s="1333">
        <v>1.25</v>
      </c>
      <c r="N79" s="1333">
        <v>0</v>
      </c>
      <c r="O79" s="1329"/>
      <c r="P79" s="1733">
        <f t="shared" ref="P79:P128" si="4">M79-N79</f>
        <v>1.25</v>
      </c>
      <c r="Q79" s="1329"/>
      <c r="R79" s="1329"/>
      <c r="S79" s="1333">
        <f t="shared" ref="S79:S128" si="5">IF(SUM(O79:R79)=0,M79-N79,SUM(O79:R79))</f>
        <v>1.25</v>
      </c>
    </row>
    <row r="80" spans="1:19" s="1331" customFormat="1" x14ac:dyDescent="0.35">
      <c r="A80" s="1557">
        <v>0</v>
      </c>
      <c r="B80" s="1558" t="s">
        <v>413</v>
      </c>
      <c r="C80" s="1568" t="s">
        <v>413</v>
      </c>
      <c r="D80" s="1557" t="s">
        <v>1700</v>
      </c>
      <c r="E80" s="1560">
        <v>43052</v>
      </c>
      <c r="F80" s="1329"/>
      <c r="G80" s="1560">
        <f t="shared" si="3"/>
        <v>43052</v>
      </c>
      <c r="H80" s="1560"/>
      <c r="I80" s="1560" t="s">
        <v>2102</v>
      </c>
      <c r="J80" s="1560" t="s">
        <v>2102</v>
      </c>
      <c r="K80" s="1560"/>
      <c r="L80" s="1560" t="s">
        <v>2102</v>
      </c>
      <c r="M80" s="1333">
        <v>0</v>
      </c>
      <c r="N80" s="1333">
        <v>0</v>
      </c>
      <c r="O80" s="1329"/>
      <c r="P80" s="1733">
        <f t="shared" si="4"/>
        <v>0</v>
      </c>
      <c r="Q80" s="1329"/>
      <c r="R80" s="1329"/>
      <c r="S80" s="1333">
        <f t="shared" si="5"/>
        <v>0</v>
      </c>
    </row>
    <row r="81" spans="1:19" ht="29" x14ac:dyDescent="0.35">
      <c r="A81" s="1506" t="s">
        <v>1707</v>
      </c>
      <c r="B81" s="1507" t="s">
        <v>1708</v>
      </c>
      <c r="C81" s="1655" t="s">
        <v>931</v>
      </c>
      <c r="D81" s="1655" t="s">
        <v>1709</v>
      </c>
      <c r="E81" s="1735">
        <v>43137</v>
      </c>
      <c r="F81" s="1329"/>
      <c r="G81" s="1546">
        <f t="shared" si="3"/>
        <v>43137</v>
      </c>
      <c r="H81" s="1546"/>
      <c r="I81" s="1546" t="s">
        <v>2102</v>
      </c>
      <c r="J81" s="1546" t="s">
        <v>2102</v>
      </c>
      <c r="K81" s="1546"/>
      <c r="L81" s="1546" t="s">
        <v>2102</v>
      </c>
      <c r="M81" s="1330">
        <v>0</v>
      </c>
      <c r="N81" s="1330">
        <v>0</v>
      </c>
      <c r="O81" s="1329"/>
      <c r="P81" s="1733">
        <f t="shared" si="4"/>
        <v>0</v>
      </c>
      <c r="Q81" s="1329"/>
      <c r="R81" s="1329"/>
      <c r="S81" s="1330">
        <f t="shared" si="5"/>
        <v>0</v>
      </c>
    </row>
    <row r="82" spans="1:19" ht="43.5" x14ac:dyDescent="0.35">
      <c r="A82" s="1511" t="s">
        <v>1710</v>
      </c>
      <c r="B82" s="1512" t="s">
        <v>1693</v>
      </c>
      <c r="C82" s="1636" t="s">
        <v>938</v>
      </c>
      <c r="D82" s="1634" t="s">
        <v>1709</v>
      </c>
      <c r="E82" s="1637">
        <v>43137</v>
      </c>
      <c r="F82" s="1334"/>
      <c r="G82" s="1637">
        <f t="shared" si="3"/>
        <v>43137</v>
      </c>
      <c r="H82" s="1571"/>
      <c r="I82" s="1637" t="s">
        <v>2102</v>
      </c>
      <c r="J82" s="1637" t="s">
        <v>2102</v>
      </c>
      <c r="K82" s="1571"/>
      <c r="L82" s="1637" t="s">
        <v>1711</v>
      </c>
      <c r="M82" s="1335">
        <v>2.36</v>
      </c>
      <c r="N82" s="1335">
        <v>1.584952667</v>
      </c>
      <c r="O82" s="1336"/>
      <c r="P82" s="1734">
        <f t="shared" si="4"/>
        <v>0.77504733299999984</v>
      </c>
      <c r="Q82" s="1336"/>
      <c r="R82" s="1336"/>
      <c r="S82" s="1335">
        <f t="shared" si="5"/>
        <v>0.77504733299999984</v>
      </c>
    </row>
    <row r="83" spans="1:19" s="1331" customFormat="1" ht="43.5" x14ac:dyDescent="0.35">
      <c r="A83" s="1543" t="s">
        <v>1714</v>
      </c>
      <c r="B83" s="1544" t="s">
        <v>1715</v>
      </c>
      <c r="C83" s="1543" t="s">
        <v>931</v>
      </c>
      <c r="D83" s="1543" t="s">
        <v>1716</v>
      </c>
      <c r="E83" s="1546">
        <v>43703</v>
      </c>
      <c r="F83" s="1329"/>
      <c r="G83" s="1546">
        <f t="shared" si="3"/>
        <v>43703</v>
      </c>
      <c r="H83" s="1546"/>
      <c r="I83" s="1546" t="s">
        <v>2102</v>
      </c>
      <c r="J83" s="1546" t="s">
        <v>2102</v>
      </c>
      <c r="K83" s="1546"/>
      <c r="L83" s="1546" t="s">
        <v>2102</v>
      </c>
      <c r="M83" s="1330">
        <v>0</v>
      </c>
      <c r="N83" s="1330">
        <v>0</v>
      </c>
      <c r="O83" s="1329"/>
      <c r="P83" s="1733">
        <f t="shared" si="4"/>
        <v>0</v>
      </c>
      <c r="Q83" s="1329"/>
      <c r="R83" s="1329"/>
      <c r="S83" s="1330">
        <f t="shared" si="5"/>
        <v>0</v>
      </c>
    </row>
    <row r="84" spans="1:19" s="1331" customFormat="1" ht="58" x14ac:dyDescent="0.35">
      <c r="A84" s="1557" t="s">
        <v>1717</v>
      </c>
      <c r="B84" s="1558" t="s">
        <v>1718</v>
      </c>
      <c r="C84" s="1568" t="s">
        <v>938</v>
      </c>
      <c r="D84" s="1557" t="s">
        <v>1716</v>
      </c>
      <c r="E84" s="1560">
        <v>43703</v>
      </c>
      <c r="F84" s="1332"/>
      <c r="G84" s="1560">
        <f t="shared" si="3"/>
        <v>43703</v>
      </c>
      <c r="H84" s="1560"/>
      <c r="I84" s="1560">
        <v>43586</v>
      </c>
      <c r="J84" s="1560">
        <v>44433</v>
      </c>
      <c r="K84" s="1560"/>
      <c r="L84" s="1560">
        <v>44561</v>
      </c>
      <c r="M84" s="1333">
        <v>2.12</v>
      </c>
      <c r="N84" s="1333">
        <v>2.4580069300000003</v>
      </c>
      <c r="O84" s="1329"/>
      <c r="P84" s="1733">
        <f t="shared" si="4"/>
        <v>-0.33800693000000015</v>
      </c>
      <c r="Q84" s="1329"/>
      <c r="R84" s="1329"/>
      <c r="S84" s="1333">
        <f t="shared" si="5"/>
        <v>-0.33800693000000015</v>
      </c>
    </row>
    <row r="85" spans="1:19" ht="31" x14ac:dyDescent="0.35">
      <c r="A85" s="1615" t="s">
        <v>1720</v>
      </c>
      <c r="B85" s="1616" t="s">
        <v>1721</v>
      </c>
      <c r="C85" s="1636" t="s">
        <v>931</v>
      </c>
      <c r="D85" s="1634" t="s">
        <v>1722</v>
      </c>
      <c r="E85" s="1637">
        <v>44604</v>
      </c>
      <c r="F85" s="1334"/>
      <c r="G85" s="1637">
        <f t="shared" si="3"/>
        <v>44604</v>
      </c>
      <c r="H85" s="1571"/>
      <c r="I85" s="1637" t="s">
        <v>2102</v>
      </c>
      <c r="J85" s="1637" t="s">
        <v>2102</v>
      </c>
      <c r="K85" s="1571"/>
      <c r="L85" s="1637" t="s">
        <v>2102</v>
      </c>
      <c r="M85" s="1335">
        <v>0</v>
      </c>
      <c r="N85" s="1335">
        <v>0</v>
      </c>
      <c r="O85" s="1336"/>
      <c r="P85" s="1734">
        <f t="shared" si="4"/>
        <v>0</v>
      </c>
      <c r="Q85" s="1336"/>
      <c r="R85" s="1336"/>
      <c r="S85" s="1335">
        <f t="shared" si="5"/>
        <v>0</v>
      </c>
    </row>
    <row r="86" spans="1:19" ht="46.5" x14ac:dyDescent="0.35">
      <c r="A86" s="1623" t="s">
        <v>1723</v>
      </c>
      <c r="B86" s="1624" t="s">
        <v>1721</v>
      </c>
      <c r="C86" s="1636" t="s">
        <v>938</v>
      </c>
      <c r="D86" s="1634" t="s">
        <v>1722</v>
      </c>
      <c r="E86" s="1637">
        <v>44604</v>
      </c>
      <c r="F86" s="1334"/>
      <c r="G86" s="1637">
        <f t="shared" si="3"/>
        <v>44604</v>
      </c>
      <c r="H86" s="1571"/>
      <c r="I86" s="1637" t="s">
        <v>2102</v>
      </c>
      <c r="J86" s="1637" t="s">
        <v>2102</v>
      </c>
      <c r="K86" s="1571"/>
      <c r="L86" s="1637" t="s">
        <v>2102</v>
      </c>
      <c r="M86" s="1335">
        <v>54.24</v>
      </c>
      <c r="N86" s="1335">
        <v>0</v>
      </c>
      <c r="O86" s="1336"/>
      <c r="P86" s="1734">
        <f t="shared" si="4"/>
        <v>54.24</v>
      </c>
      <c r="Q86" s="1336"/>
      <c r="R86" s="1336"/>
      <c r="S86" s="1335">
        <f t="shared" si="5"/>
        <v>54.24</v>
      </c>
    </row>
    <row r="87" spans="1:19" ht="29" x14ac:dyDescent="0.35">
      <c r="A87" s="1625">
        <v>0</v>
      </c>
      <c r="B87" s="1624" t="s">
        <v>413</v>
      </c>
      <c r="C87" s="1636" t="s">
        <v>413</v>
      </c>
      <c r="D87" s="1634" t="s">
        <v>1722</v>
      </c>
      <c r="E87" s="1637">
        <v>44604</v>
      </c>
      <c r="F87" s="1334"/>
      <c r="G87" s="1637">
        <f t="shared" si="3"/>
        <v>44604</v>
      </c>
      <c r="H87" s="1571"/>
      <c r="I87" s="1637" t="s">
        <v>2102</v>
      </c>
      <c r="J87" s="1637" t="s">
        <v>2102</v>
      </c>
      <c r="K87" s="1571"/>
      <c r="L87" s="1637" t="s">
        <v>2102</v>
      </c>
      <c r="M87" s="1335">
        <v>2.76</v>
      </c>
      <c r="N87" s="1335">
        <v>0</v>
      </c>
      <c r="O87" s="1336"/>
      <c r="P87" s="1734">
        <f t="shared" si="4"/>
        <v>2.76</v>
      </c>
      <c r="Q87" s="1336"/>
      <c r="R87" s="1336"/>
      <c r="S87" s="1335">
        <f t="shared" si="5"/>
        <v>2.76</v>
      </c>
    </row>
    <row r="88" spans="1:19" ht="31" x14ac:dyDescent="0.35">
      <c r="A88" s="1615" t="s">
        <v>1724</v>
      </c>
      <c r="B88" s="1616" t="s">
        <v>1725</v>
      </c>
      <c r="C88" s="1636" t="s">
        <v>931</v>
      </c>
      <c r="D88" s="1634" t="s">
        <v>1726</v>
      </c>
      <c r="E88" s="1637">
        <v>45232</v>
      </c>
      <c r="F88" s="1334"/>
      <c r="G88" s="1637">
        <f t="shared" si="3"/>
        <v>45232</v>
      </c>
      <c r="H88" s="1571"/>
      <c r="I88" s="1637" t="s">
        <v>2102</v>
      </c>
      <c r="J88" s="1637" t="s">
        <v>2102</v>
      </c>
      <c r="K88" s="1571"/>
      <c r="L88" s="1637" t="s">
        <v>2102</v>
      </c>
      <c r="M88" s="1335">
        <v>0</v>
      </c>
      <c r="N88" s="1335">
        <v>0</v>
      </c>
      <c r="O88" s="1336"/>
      <c r="P88" s="1734">
        <f t="shared" si="4"/>
        <v>0</v>
      </c>
      <c r="Q88" s="1336"/>
      <c r="R88" s="1336"/>
      <c r="S88" s="1335">
        <f t="shared" si="5"/>
        <v>0</v>
      </c>
    </row>
    <row r="89" spans="1:19" ht="46.5" x14ac:dyDescent="0.35">
      <c r="A89" s="1623" t="s">
        <v>1727</v>
      </c>
      <c r="B89" s="1624" t="s">
        <v>1725</v>
      </c>
      <c r="C89" s="1636" t="s">
        <v>938</v>
      </c>
      <c r="D89" s="1634" t="s">
        <v>1726</v>
      </c>
      <c r="E89" s="1637">
        <v>45232</v>
      </c>
      <c r="F89" s="1334"/>
      <c r="G89" s="1637">
        <f t="shared" si="3"/>
        <v>45232</v>
      </c>
      <c r="H89" s="1571"/>
      <c r="I89" s="1637" t="s">
        <v>2102</v>
      </c>
      <c r="J89" s="1637" t="s">
        <v>2102</v>
      </c>
      <c r="K89" s="1571"/>
      <c r="L89" s="1637" t="s">
        <v>2102</v>
      </c>
      <c r="M89" s="1335">
        <v>66.009</v>
      </c>
      <c r="N89" s="1335">
        <v>0</v>
      </c>
      <c r="O89" s="1336"/>
      <c r="P89" s="1734">
        <f t="shared" si="4"/>
        <v>66.009</v>
      </c>
      <c r="Q89" s="1336"/>
      <c r="R89" s="1336"/>
      <c r="S89" s="1335">
        <f t="shared" si="5"/>
        <v>66.009</v>
      </c>
    </row>
    <row r="90" spans="1:19" ht="29" x14ac:dyDescent="0.35">
      <c r="A90" s="1625">
        <v>0</v>
      </c>
      <c r="B90" s="1624" t="s">
        <v>413</v>
      </c>
      <c r="C90" s="1636" t="s">
        <v>413</v>
      </c>
      <c r="D90" s="1634" t="s">
        <v>1726</v>
      </c>
      <c r="E90" s="1637">
        <v>45232</v>
      </c>
      <c r="F90" s="1334"/>
      <c r="G90" s="1637">
        <f t="shared" si="3"/>
        <v>45232</v>
      </c>
      <c r="H90" s="1571"/>
      <c r="I90" s="1637" t="s">
        <v>2102</v>
      </c>
      <c r="J90" s="1637" t="s">
        <v>2102</v>
      </c>
      <c r="K90" s="1571"/>
      <c r="L90" s="1637" t="s">
        <v>2102</v>
      </c>
      <c r="M90" s="1335">
        <v>3.3</v>
      </c>
      <c r="N90" s="1335">
        <v>0</v>
      </c>
      <c r="O90" s="1336"/>
      <c r="P90" s="1734">
        <f t="shared" si="4"/>
        <v>3.3</v>
      </c>
      <c r="Q90" s="1336"/>
      <c r="R90" s="1336"/>
      <c r="S90" s="1335">
        <f t="shared" si="5"/>
        <v>3.3</v>
      </c>
    </row>
    <row r="91" spans="1:19" ht="29" x14ac:dyDescent="0.35">
      <c r="A91" s="1506">
        <v>23</v>
      </c>
      <c r="B91" s="1507" t="s">
        <v>1728</v>
      </c>
      <c r="C91" s="1655" t="s">
        <v>931</v>
      </c>
      <c r="D91" s="1655" t="s">
        <v>1729</v>
      </c>
      <c r="E91" s="1735" t="s">
        <v>2102</v>
      </c>
      <c r="F91" s="1329"/>
      <c r="G91" s="1546" t="str">
        <f t="shared" si="3"/>
        <v>-</v>
      </c>
      <c r="H91" s="1546"/>
      <c r="I91" s="1546" t="s">
        <v>2102</v>
      </c>
      <c r="J91" s="1546" t="s">
        <v>2102</v>
      </c>
      <c r="K91" s="1546"/>
      <c r="L91" s="1546" t="s">
        <v>2102</v>
      </c>
      <c r="M91" s="1330">
        <v>0</v>
      </c>
      <c r="N91" s="1330">
        <v>0</v>
      </c>
      <c r="O91" s="1329"/>
      <c r="P91" s="1733">
        <f t="shared" si="4"/>
        <v>0</v>
      </c>
      <c r="Q91" s="1329"/>
      <c r="R91" s="1329"/>
      <c r="S91" s="1330">
        <f t="shared" si="5"/>
        <v>0</v>
      </c>
    </row>
    <row r="92" spans="1:19" ht="58" x14ac:dyDescent="0.35">
      <c r="A92" s="1511">
        <v>23.1</v>
      </c>
      <c r="B92" s="1512" t="s">
        <v>2103</v>
      </c>
      <c r="C92" s="1636" t="s">
        <v>938</v>
      </c>
      <c r="D92" s="1634" t="s">
        <v>1729</v>
      </c>
      <c r="E92" s="1637" t="s">
        <v>2102</v>
      </c>
      <c r="F92" s="1334"/>
      <c r="G92" s="1637" t="str">
        <f t="shared" si="3"/>
        <v>-</v>
      </c>
      <c r="H92" s="1571"/>
      <c r="I92" s="1637" t="s">
        <v>2102</v>
      </c>
      <c r="J92" s="1637" t="s">
        <v>2102</v>
      </c>
      <c r="K92" s="1571"/>
      <c r="L92" s="1637" t="s">
        <v>2102</v>
      </c>
      <c r="M92" s="1335">
        <v>0</v>
      </c>
      <c r="N92" s="1335">
        <v>0</v>
      </c>
      <c r="O92" s="1336"/>
      <c r="P92" s="1734">
        <f t="shared" si="4"/>
        <v>0</v>
      </c>
      <c r="Q92" s="1336"/>
      <c r="R92" s="1336"/>
      <c r="S92" s="1335">
        <f t="shared" si="5"/>
        <v>0</v>
      </c>
    </row>
    <row r="93" spans="1:19" ht="58" x14ac:dyDescent="0.35">
      <c r="A93" s="1511">
        <v>23.2</v>
      </c>
      <c r="B93" s="1512" t="s">
        <v>2104</v>
      </c>
      <c r="C93" s="1636" t="s">
        <v>938</v>
      </c>
      <c r="D93" s="1634" t="s">
        <v>1729</v>
      </c>
      <c r="E93" s="1637" t="s">
        <v>2102</v>
      </c>
      <c r="F93" s="1334"/>
      <c r="G93" s="1637" t="str">
        <f t="shared" si="3"/>
        <v>-</v>
      </c>
      <c r="H93" s="1571"/>
      <c r="I93" s="1637" t="s">
        <v>2102</v>
      </c>
      <c r="J93" s="1637" t="s">
        <v>2102</v>
      </c>
      <c r="K93" s="1571"/>
      <c r="L93" s="1637" t="s">
        <v>2102</v>
      </c>
      <c r="M93" s="1335">
        <v>0</v>
      </c>
      <c r="N93" s="1335">
        <v>0</v>
      </c>
      <c r="O93" s="1336"/>
      <c r="P93" s="1734">
        <f t="shared" si="4"/>
        <v>0</v>
      </c>
      <c r="Q93" s="1336"/>
      <c r="R93" s="1336"/>
      <c r="S93" s="1335">
        <f t="shared" si="5"/>
        <v>0</v>
      </c>
    </row>
    <row r="94" spans="1:19" ht="58" x14ac:dyDescent="0.35">
      <c r="A94" s="1511">
        <v>23.3</v>
      </c>
      <c r="B94" s="1512" t="s">
        <v>2105</v>
      </c>
      <c r="C94" s="1636" t="s">
        <v>938</v>
      </c>
      <c r="D94" s="1634" t="s">
        <v>1729</v>
      </c>
      <c r="E94" s="1637" t="s">
        <v>2102</v>
      </c>
      <c r="F94" s="1334"/>
      <c r="G94" s="1637" t="str">
        <f t="shared" si="3"/>
        <v>-</v>
      </c>
      <c r="H94" s="1571"/>
      <c r="I94" s="1637" t="s">
        <v>2102</v>
      </c>
      <c r="J94" s="1637" t="s">
        <v>2102</v>
      </c>
      <c r="K94" s="1571"/>
      <c r="L94" s="1637" t="s">
        <v>2102</v>
      </c>
      <c r="M94" s="1335">
        <v>0</v>
      </c>
      <c r="N94" s="1335">
        <v>0</v>
      </c>
      <c r="O94" s="1336"/>
      <c r="P94" s="1734">
        <f t="shared" si="4"/>
        <v>0</v>
      </c>
      <c r="Q94" s="1336"/>
      <c r="R94" s="1336"/>
      <c r="S94" s="1335">
        <f t="shared" si="5"/>
        <v>0</v>
      </c>
    </row>
    <row r="95" spans="1:19" ht="58" x14ac:dyDescent="0.35">
      <c r="A95" s="1634">
        <v>23.4</v>
      </c>
      <c r="B95" s="1635" t="s">
        <v>2106</v>
      </c>
      <c r="C95" s="1636" t="s">
        <v>938</v>
      </c>
      <c r="D95" s="1634" t="s">
        <v>1729</v>
      </c>
      <c r="E95" s="1637" t="s">
        <v>2102</v>
      </c>
      <c r="F95" s="1334"/>
      <c r="G95" s="1637" t="str">
        <f t="shared" si="3"/>
        <v>-</v>
      </c>
      <c r="H95" s="1571"/>
      <c r="I95" s="1637" t="s">
        <v>2102</v>
      </c>
      <c r="J95" s="1637" t="s">
        <v>2102</v>
      </c>
      <c r="K95" s="1571"/>
      <c r="L95" s="1637" t="s">
        <v>2102</v>
      </c>
      <c r="M95" s="1335">
        <v>0</v>
      </c>
      <c r="N95" s="1335">
        <v>0</v>
      </c>
      <c r="O95" s="1336"/>
      <c r="P95" s="1734">
        <f t="shared" si="4"/>
        <v>0</v>
      </c>
      <c r="Q95" s="1336"/>
      <c r="R95" s="1336"/>
      <c r="S95" s="1335">
        <f t="shared" si="5"/>
        <v>0</v>
      </c>
    </row>
    <row r="96" spans="1:19" ht="15.5" x14ac:dyDescent="0.35">
      <c r="A96" s="1511">
        <v>0</v>
      </c>
      <c r="B96" s="1515" t="s">
        <v>413</v>
      </c>
      <c r="C96" s="1636" t="s">
        <v>413</v>
      </c>
      <c r="D96" s="1634" t="s">
        <v>1729</v>
      </c>
      <c r="E96" s="1637" t="s">
        <v>2102</v>
      </c>
      <c r="F96" s="1334"/>
      <c r="G96" s="1637" t="str">
        <f t="shared" si="3"/>
        <v>-</v>
      </c>
      <c r="H96" s="1571"/>
      <c r="I96" s="1637" t="s">
        <v>2102</v>
      </c>
      <c r="J96" s="1637" t="s">
        <v>2102</v>
      </c>
      <c r="K96" s="1571"/>
      <c r="L96" s="1637" t="s">
        <v>2102</v>
      </c>
      <c r="M96" s="1335">
        <v>0</v>
      </c>
      <c r="N96" s="1335">
        <v>0</v>
      </c>
      <c r="O96" s="1336"/>
      <c r="P96" s="1734">
        <f t="shared" si="4"/>
        <v>0</v>
      </c>
      <c r="Q96" s="1336"/>
      <c r="R96" s="1336"/>
      <c r="S96" s="1335">
        <f t="shared" si="5"/>
        <v>0</v>
      </c>
    </row>
    <row r="97" spans="1:19" ht="29" x14ac:dyDescent="0.35">
      <c r="A97" s="1506">
        <v>24</v>
      </c>
      <c r="B97" s="1507" t="s">
        <v>1738</v>
      </c>
      <c r="C97" s="1655" t="s">
        <v>931</v>
      </c>
      <c r="D97" s="1655" t="s">
        <v>1729</v>
      </c>
      <c r="E97" s="1735" t="s">
        <v>2102</v>
      </c>
      <c r="F97" s="1329"/>
      <c r="G97" s="1546" t="str">
        <f t="shared" si="3"/>
        <v>-</v>
      </c>
      <c r="H97" s="1546"/>
      <c r="I97" s="1546" t="s">
        <v>2102</v>
      </c>
      <c r="J97" s="1546" t="s">
        <v>2102</v>
      </c>
      <c r="K97" s="1546"/>
      <c r="L97" s="1546" t="s">
        <v>2102</v>
      </c>
      <c r="M97" s="1330">
        <v>0</v>
      </c>
      <c r="N97" s="1330">
        <v>0</v>
      </c>
      <c r="O97" s="1329"/>
      <c r="P97" s="1733">
        <f t="shared" si="4"/>
        <v>0</v>
      </c>
      <c r="Q97" s="1329"/>
      <c r="R97" s="1329"/>
      <c r="S97" s="1330">
        <f t="shared" si="5"/>
        <v>0</v>
      </c>
    </row>
    <row r="98" spans="1:19" ht="43.5" x14ac:dyDescent="0.35">
      <c r="A98" s="1511">
        <v>24.1</v>
      </c>
      <c r="B98" s="1512" t="s">
        <v>2107</v>
      </c>
      <c r="C98" s="1636" t="s">
        <v>938</v>
      </c>
      <c r="D98" s="1634" t="s">
        <v>1729</v>
      </c>
      <c r="E98" s="1637" t="s">
        <v>2102</v>
      </c>
      <c r="F98" s="1334"/>
      <c r="G98" s="1637" t="str">
        <f t="shared" si="3"/>
        <v>-</v>
      </c>
      <c r="H98" s="1571"/>
      <c r="I98" s="1637" t="s">
        <v>2102</v>
      </c>
      <c r="J98" s="1637" t="s">
        <v>2102</v>
      </c>
      <c r="K98" s="1571"/>
      <c r="L98" s="1637" t="s">
        <v>2102</v>
      </c>
      <c r="M98" s="1335">
        <v>0</v>
      </c>
      <c r="N98" s="1335">
        <v>0</v>
      </c>
      <c r="O98" s="1336"/>
      <c r="P98" s="1734">
        <f t="shared" si="4"/>
        <v>0</v>
      </c>
      <c r="Q98" s="1336"/>
      <c r="R98" s="1336"/>
      <c r="S98" s="1335">
        <f t="shared" si="5"/>
        <v>0</v>
      </c>
    </row>
    <row r="99" spans="1:19" ht="58" x14ac:dyDescent="0.35">
      <c r="A99" s="1511">
        <v>24.2</v>
      </c>
      <c r="B99" s="1512" t="s">
        <v>2108</v>
      </c>
      <c r="C99" s="1636" t="s">
        <v>938</v>
      </c>
      <c r="D99" s="1634" t="s">
        <v>1729</v>
      </c>
      <c r="E99" s="1637" t="s">
        <v>2102</v>
      </c>
      <c r="F99" s="1334"/>
      <c r="G99" s="1637" t="str">
        <f t="shared" si="3"/>
        <v>-</v>
      </c>
      <c r="H99" s="1571"/>
      <c r="I99" s="1637" t="s">
        <v>2102</v>
      </c>
      <c r="J99" s="1637" t="s">
        <v>2102</v>
      </c>
      <c r="K99" s="1571"/>
      <c r="L99" s="1637" t="s">
        <v>2102</v>
      </c>
      <c r="M99" s="1335">
        <v>0</v>
      </c>
      <c r="N99" s="1335">
        <v>0</v>
      </c>
      <c r="O99" s="1336"/>
      <c r="P99" s="1734">
        <f t="shared" si="4"/>
        <v>0</v>
      </c>
      <c r="Q99" s="1336"/>
      <c r="R99" s="1336"/>
      <c r="S99" s="1335">
        <f t="shared" si="5"/>
        <v>0</v>
      </c>
    </row>
    <row r="100" spans="1:19" ht="43.5" x14ac:dyDescent="0.35">
      <c r="A100" s="1511">
        <v>24.3</v>
      </c>
      <c r="B100" s="1512" t="s">
        <v>2109</v>
      </c>
      <c r="C100" s="1636" t="s">
        <v>938</v>
      </c>
      <c r="D100" s="1634" t="s">
        <v>1729</v>
      </c>
      <c r="E100" s="1637" t="s">
        <v>2102</v>
      </c>
      <c r="F100" s="1334"/>
      <c r="G100" s="1637" t="str">
        <f t="shared" si="3"/>
        <v>-</v>
      </c>
      <c r="H100" s="1571"/>
      <c r="I100" s="1637" t="s">
        <v>2102</v>
      </c>
      <c r="J100" s="1637" t="s">
        <v>2102</v>
      </c>
      <c r="K100" s="1571"/>
      <c r="L100" s="1637" t="s">
        <v>2102</v>
      </c>
      <c r="M100" s="1335">
        <v>0</v>
      </c>
      <c r="N100" s="1335">
        <v>0</v>
      </c>
      <c r="O100" s="1336"/>
      <c r="P100" s="1734">
        <f t="shared" si="4"/>
        <v>0</v>
      </c>
      <c r="Q100" s="1336"/>
      <c r="R100" s="1336"/>
      <c r="S100" s="1335">
        <f t="shared" si="5"/>
        <v>0</v>
      </c>
    </row>
    <row r="101" spans="1:19" ht="43.5" x14ac:dyDescent="0.35">
      <c r="A101" s="1511">
        <v>24.4</v>
      </c>
      <c r="B101" s="1512" t="s">
        <v>2110</v>
      </c>
      <c r="C101" s="1636" t="s">
        <v>938</v>
      </c>
      <c r="D101" s="1634" t="s">
        <v>1729</v>
      </c>
      <c r="E101" s="1637" t="s">
        <v>2102</v>
      </c>
      <c r="F101" s="1334"/>
      <c r="G101" s="1637" t="str">
        <f t="shared" si="3"/>
        <v>-</v>
      </c>
      <c r="H101" s="1571"/>
      <c r="I101" s="1637" t="s">
        <v>2102</v>
      </c>
      <c r="J101" s="1637" t="s">
        <v>2102</v>
      </c>
      <c r="K101" s="1571"/>
      <c r="L101" s="1637" t="s">
        <v>2102</v>
      </c>
      <c r="M101" s="1335">
        <v>0</v>
      </c>
      <c r="N101" s="1335">
        <v>0</v>
      </c>
      <c r="O101" s="1336"/>
      <c r="P101" s="1734">
        <f t="shared" si="4"/>
        <v>0</v>
      </c>
      <c r="Q101" s="1336"/>
      <c r="R101" s="1336"/>
      <c r="S101" s="1335">
        <f t="shared" si="5"/>
        <v>0</v>
      </c>
    </row>
    <row r="102" spans="1:19" ht="43.5" x14ac:dyDescent="0.35">
      <c r="A102" s="1511">
        <v>24.5</v>
      </c>
      <c r="B102" s="1512" t="s">
        <v>2111</v>
      </c>
      <c r="C102" s="1636" t="s">
        <v>938</v>
      </c>
      <c r="D102" s="1634" t="s">
        <v>1729</v>
      </c>
      <c r="E102" s="1637" t="s">
        <v>2102</v>
      </c>
      <c r="F102" s="1334"/>
      <c r="G102" s="1637" t="str">
        <f t="shared" si="3"/>
        <v>-</v>
      </c>
      <c r="H102" s="1571"/>
      <c r="I102" s="1637" t="s">
        <v>2102</v>
      </c>
      <c r="J102" s="1637" t="s">
        <v>2102</v>
      </c>
      <c r="K102" s="1571"/>
      <c r="L102" s="1637" t="s">
        <v>2102</v>
      </c>
      <c r="M102" s="1335">
        <v>0</v>
      </c>
      <c r="N102" s="1335">
        <v>0</v>
      </c>
      <c r="O102" s="1336"/>
      <c r="P102" s="1734">
        <f t="shared" si="4"/>
        <v>0</v>
      </c>
      <c r="Q102" s="1336"/>
      <c r="R102" s="1336"/>
      <c r="S102" s="1335">
        <f t="shared" si="5"/>
        <v>0</v>
      </c>
    </row>
    <row r="103" spans="1:19" ht="15.5" x14ac:dyDescent="0.35">
      <c r="A103" s="1511">
        <v>0</v>
      </c>
      <c r="B103" s="1507" t="s">
        <v>413</v>
      </c>
      <c r="C103" s="1636">
        <v>0</v>
      </c>
      <c r="D103" s="1634" t="s">
        <v>1729</v>
      </c>
      <c r="E103" s="1637" t="s">
        <v>2102</v>
      </c>
      <c r="F103" s="1334"/>
      <c r="G103" s="1637" t="str">
        <f t="shared" si="3"/>
        <v>-</v>
      </c>
      <c r="H103" s="1571"/>
      <c r="I103" s="1637" t="s">
        <v>2102</v>
      </c>
      <c r="J103" s="1637" t="s">
        <v>2102</v>
      </c>
      <c r="K103" s="1571"/>
      <c r="L103" s="1637" t="s">
        <v>2102</v>
      </c>
      <c r="M103" s="1335">
        <v>0</v>
      </c>
      <c r="N103" s="1335">
        <v>0</v>
      </c>
      <c r="O103" s="1336"/>
      <c r="P103" s="1734">
        <f t="shared" si="4"/>
        <v>0</v>
      </c>
      <c r="Q103" s="1336"/>
      <c r="R103" s="1336"/>
      <c r="S103" s="1335">
        <f t="shared" si="5"/>
        <v>0</v>
      </c>
    </row>
    <row r="104" spans="1:19" x14ac:dyDescent="0.35">
      <c r="A104" s="1646">
        <v>25</v>
      </c>
      <c r="B104" s="1647" t="s">
        <v>1753</v>
      </c>
      <c r="C104" s="1655" t="s">
        <v>931</v>
      </c>
      <c r="D104" s="1655" t="s">
        <v>1754</v>
      </c>
      <c r="E104" s="1735" t="s">
        <v>2102</v>
      </c>
      <c r="F104" s="1329"/>
      <c r="G104" s="1546" t="str">
        <f t="shared" si="3"/>
        <v>-</v>
      </c>
      <c r="H104" s="1546"/>
      <c r="I104" s="1546" t="s">
        <v>2102</v>
      </c>
      <c r="J104" s="1546" t="s">
        <v>2102</v>
      </c>
      <c r="K104" s="1546"/>
      <c r="L104" s="1546" t="s">
        <v>2102</v>
      </c>
      <c r="M104" s="1330">
        <v>0</v>
      </c>
      <c r="N104" s="1330">
        <v>0</v>
      </c>
      <c r="O104" s="1329"/>
      <c r="P104" s="1733">
        <f t="shared" si="4"/>
        <v>0</v>
      </c>
      <c r="Q104" s="1329"/>
      <c r="R104" s="1329"/>
      <c r="S104" s="1330">
        <f t="shared" si="5"/>
        <v>0</v>
      </c>
    </row>
    <row r="105" spans="1:19" ht="15.5" x14ac:dyDescent="0.35">
      <c r="A105" s="1511">
        <v>25.1</v>
      </c>
      <c r="B105" s="1512" t="s">
        <v>1753</v>
      </c>
      <c r="C105" s="1636" t="s">
        <v>938</v>
      </c>
      <c r="D105" s="1634" t="s">
        <v>1754</v>
      </c>
      <c r="E105" s="1637" t="s">
        <v>2102</v>
      </c>
      <c r="F105" s="1334"/>
      <c r="G105" s="1637" t="str">
        <f t="shared" si="3"/>
        <v>-</v>
      </c>
      <c r="H105" s="1571"/>
      <c r="I105" s="1637" t="s">
        <v>2102</v>
      </c>
      <c r="J105" s="1637" t="s">
        <v>2102</v>
      </c>
      <c r="K105" s="1571"/>
      <c r="L105" s="1637" t="s">
        <v>2102</v>
      </c>
      <c r="M105" s="1335">
        <v>0</v>
      </c>
      <c r="N105" s="1335">
        <v>0</v>
      </c>
      <c r="O105" s="1336"/>
      <c r="P105" s="1734">
        <f t="shared" si="4"/>
        <v>0</v>
      </c>
      <c r="Q105" s="1336"/>
      <c r="R105" s="1336"/>
      <c r="S105" s="1335">
        <f t="shared" si="5"/>
        <v>0</v>
      </c>
    </row>
    <row r="106" spans="1:19" ht="87" x14ac:dyDescent="0.35">
      <c r="A106" s="1511">
        <v>26</v>
      </c>
      <c r="B106" s="1507" t="s">
        <v>1757</v>
      </c>
      <c r="C106" s="1636" t="s">
        <v>931</v>
      </c>
      <c r="D106" s="1634" t="s">
        <v>1754</v>
      </c>
      <c r="E106" s="1637" t="s">
        <v>2102</v>
      </c>
      <c r="F106" s="1334"/>
      <c r="G106" s="1637" t="str">
        <f t="shared" si="3"/>
        <v>-</v>
      </c>
      <c r="H106" s="1571"/>
      <c r="I106" s="1637" t="s">
        <v>2102</v>
      </c>
      <c r="J106" s="1637" t="s">
        <v>2102</v>
      </c>
      <c r="K106" s="1571"/>
      <c r="L106" s="1637" t="s">
        <v>2102</v>
      </c>
      <c r="M106" s="1335">
        <v>0</v>
      </c>
      <c r="N106" s="1335">
        <v>0</v>
      </c>
      <c r="O106" s="1336"/>
      <c r="P106" s="1734">
        <f t="shared" si="4"/>
        <v>0</v>
      </c>
      <c r="Q106" s="1336"/>
      <c r="R106" s="1336"/>
      <c r="S106" s="1335">
        <f t="shared" si="5"/>
        <v>0</v>
      </c>
    </row>
    <row r="107" spans="1:19" ht="31" x14ac:dyDescent="0.35">
      <c r="A107" s="1511">
        <v>26.1</v>
      </c>
      <c r="B107" s="1337" t="s">
        <v>1759</v>
      </c>
      <c r="C107" s="1636" t="s">
        <v>938</v>
      </c>
      <c r="D107" s="1634" t="s">
        <v>1754</v>
      </c>
      <c r="E107" s="1637" t="s">
        <v>2102</v>
      </c>
      <c r="F107" s="1334"/>
      <c r="G107" s="1637" t="str">
        <f t="shared" si="3"/>
        <v>-</v>
      </c>
      <c r="H107" s="1571"/>
      <c r="I107" s="1637" t="s">
        <v>2102</v>
      </c>
      <c r="J107" s="1637" t="s">
        <v>2102</v>
      </c>
      <c r="K107" s="1571"/>
      <c r="L107" s="1637" t="s">
        <v>2102</v>
      </c>
      <c r="M107" s="1335">
        <v>0</v>
      </c>
      <c r="N107" s="1335">
        <v>0</v>
      </c>
      <c r="O107" s="1336"/>
      <c r="P107" s="1734">
        <f t="shared" si="4"/>
        <v>0</v>
      </c>
      <c r="Q107" s="1336"/>
      <c r="R107" s="1336"/>
      <c r="S107" s="1335">
        <f t="shared" si="5"/>
        <v>0</v>
      </c>
    </row>
    <row r="108" spans="1:19" ht="46.5" x14ac:dyDescent="0.35">
      <c r="A108" s="1511">
        <v>26.2</v>
      </c>
      <c r="B108" s="1337" t="s">
        <v>1761</v>
      </c>
      <c r="C108" s="1636" t="s">
        <v>938</v>
      </c>
      <c r="D108" s="1634" t="s">
        <v>1754</v>
      </c>
      <c r="E108" s="1637" t="s">
        <v>2102</v>
      </c>
      <c r="F108" s="1334"/>
      <c r="G108" s="1637" t="str">
        <f t="shared" si="3"/>
        <v>-</v>
      </c>
      <c r="H108" s="1571"/>
      <c r="I108" s="1637" t="s">
        <v>2102</v>
      </c>
      <c r="J108" s="1637" t="s">
        <v>2102</v>
      </c>
      <c r="K108" s="1571"/>
      <c r="L108" s="1637" t="s">
        <v>2102</v>
      </c>
      <c r="M108" s="1335">
        <v>0</v>
      </c>
      <c r="N108" s="1335">
        <v>0</v>
      </c>
      <c r="O108" s="1336"/>
      <c r="P108" s="1734">
        <f t="shared" si="4"/>
        <v>0</v>
      </c>
      <c r="Q108" s="1336"/>
      <c r="R108" s="1336"/>
      <c r="S108" s="1335">
        <f t="shared" si="5"/>
        <v>0</v>
      </c>
    </row>
    <row r="109" spans="1:19" ht="31" x14ac:dyDescent="0.35">
      <c r="A109" s="1511">
        <v>26.3</v>
      </c>
      <c r="B109" s="1337" t="s">
        <v>1763</v>
      </c>
      <c r="C109" s="1636" t="s">
        <v>938</v>
      </c>
      <c r="D109" s="1634" t="s">
        <v>1754</v>
      </c>
      <c r="E109" s="1637" t="s">
        <v>2102</v>
      </c>
      <c r="F109" s="1334"/>
      <c r="G109" s="1637" t="str">
        <f t="shared" si="3"/>
        <v>-</v>
      </c>
      <c r="H109" s="1571"/>
      <c r="I109" s="1637" t="s">
        <v>2102</v>
      </c>
      <c r="J109" s="1637" t="s">
        <v>2102</v>
      </c>
      <c r="K109" s="1571"/>
      <c r="L109" s="1637" t="s">
        <v>2102</v>
      </c>
      <c r="M109" s="1335">
        <v>0</v>
      </c>
      <c r="N109" s="1335">
        <v>0</v>
      </c>
      <c r="O109" s="1336"/>
      <c r="P109" s="1734">
        <f t="shared" si="4"/>
        <v>0</v>
      </c>
      <c r="Q109" s="1336"/>
      <c r="R109" s="1336"/>
      <c r="S109" s="1335">
        <f t="shared" si="5"/>
        <v>0</v>
      </c>
    </row>
    <row r="110" spans="1:19" ht="31" x14ac:dyDescent="0.35">
      <c r="A110" s="1511">
        <v>26.4</v>
      </c>
      <c r="B110" s="1337" t="s">
        <v>1765</v>
      </c>
      <c r="C110" s="1636" t="s">
        <v>938</v>
      </c>
      <c r="D110" s="1634" t="s">
        <v>1754</v>
      </c>
      <c r="E110" s="1637" t="s">
        <v>2102</v>
      </c>
      <c r="F110" s="1334"/>
      <c r="G110" s="1637" t="str">
        <f t="shared" si="3"/>
        <v>-</v>
      </c>
      <c r="H110" s="1571"/>
      <c r="I110" s="1637" t="s">
        <v>2102</v>
      </c>
      <c r="J110" s="1637" t="s">
        <v>2102</v>
      </c>
      <c r="K110" s="1571"/>
      <c r="L110" s="1637" t="s">
        <v>2102</v>
      </c>
      <c r="M110" s="1335">
        <v>0</v>
      </c>
      <c r="N110" s="1335">
        <v>0</v>
      </c>
      <c r="O110" s="1336"/>
      <c r="P110" s="1734">
        <f t="shared" si="4"/>
        <v>0</v>
      </c>
      <c r="Q110" s="1336"/>
      <c r="R110" s="1336"/>
      <c r="S110" s="1335">
        <f t="shared" si="5"/>
        <v>0</v>
      </c>
    </row>
    <row r="111" spans="1:19" ht="15.5" x14ac:dyDescent="0.35">
      <c r="A111" s="1649">
        <v>0</v>
      </c>
      <c r="B111" s="1649" t="s">
        <v>413</v>
      </c>
      <c r="C111" s="1636">
        <v>0</v>
      </c>
      <c r="D111" s="1634">
        <v>0</v>
      </c>
      <c r="E111" s="1637" t="s">
        <v>2102</v>
      </c>
      <c r="F111" s="1334"/>
      <c r="G111" s="1637" t="str">
        <f t="shared" si="3"/>
        <v>-</v>
      </c>
      <c r="H111" s="1571"/>
      <c r="I111" s="1637" t="s">
        <v>2102</v>
      </c>
      <c r="J111" s="1637" t="s">
        <v>2102</v>
      </c>
      <c r="K111" s="1571"/>
      <c r="L111" s="1637" t="s">
        <v>2102</v>
      </c>
      <c r="M111" s="1335">
        <v>0</v>
      </c>
      <c r="N111" s="1335">
        <v>0</v>
      </c>
      <c r="O111" s="1336"/>
      <c r="P111" s="1734">
        <f t="shared" si="4"/>
        <v>0</v>
      </c>
      <c r="Q111" s="1336"/>
      <c r="R111" s="1336"/>
      <c r="S111" s="1335">
        <f t="shared" si="5"/>
        <v>0</v>
      </c>
    </row>
    <row r="112" spans="1:19" s="1331" customFormat="1" ht="43.5" x14ac:dyDescent="0.35">
      <c r="A112" s="1543" t="s">
        <v>1767</v>
      </c>
      <c r="B112" s="1544" t="s">
        <v>1768</v>
      </c>
      <c r="C112" s="1543" t="s">
        <v>938</v>
      </c>
      <c r="D112" s="1543" t="s">
        <v>936</v>
      </c>
      <c r="E112" s="1546" t="s">
        <v>2102</v>
      </c>
      <c r="F112" s="1329"/>
      <c r="G112" s="1546" t="str">
        <f t="shared" si="3"/>
        <v>-</v>
      </c>
      <c r="H112" s="1546"/>
      <c r="I112" s="1546" t="s">
        <v>2102</v>
      </c>
      <c r="J112" s="1546" t="s">
        <v>2102</v>
      </c>
      <c r="K112" s="1546"/>
      <c r="L112" s="1546" t="s">
        <v>2102</v>
      </c>
      <c r="M112" s="1330">
        <v>0</v>
      </c>
      <c r="N112" s="1330">
        <v>3.8414035910000002</v>
      </c>
      <c r="O112" s="1329"/>
      <c r="P112" s="1733">
        <f t="shared" si="4"/>
        <v>-3.8414035910000002</v>
      </c>
      <c r="Q112" s="1329"/>
      <c r="R112" s="1329"/>
      <c r="S112" s="1330">
        <f t="shared" si="5"/>
        <v>-3.8414035910000002</v>
      </c>
    </row>
    <row r="113" spans="1:19" ht="15.5" x14ac:dyDescent="0.35">
      <c r="A113" s="1634">
        <v>0</v>
      </c>
      <c r="B113" s="1736">
        <v>0</v>
      </c>
      <c r="C113" s="1636">
        <v>0</v>
      </c>
      <c r="D113" s="1634">
        <v>0</v>
      </c>
      <c r="E113" s="1637" t="s">
        <v>2102</v>
      </c>
      <c r="F113" s="1334"/>
      <c r="G113" s="1637" t="str">
        <f t="shared" si="3"/>
        <v>-</v>
      </c>
      <c r="H113" s="1571"/>
      <c r="I113" s="1637" t="s">
        <v>2102</v>
      </c>
      <c r="J113" s="1637" t="s">
        <v>2102</v>
      </c>
      <c r="K113" s="1571"/>
      <c r="L113" s="1637" t="s">
        <v>2102</v>
      </c>
      <c r="M113" s="1335">
        <v>0</v>
      </c>
      <c r="N113" s="1335">
        <v>0</v>
      </c>
      <c r="O113" s="1336"/>
      <c r="P113" s="1734">
        <f t="shared" si="4"/>
        <v>0</v>
      </c>
      <c r="Q113" s="1336"/>
      <c r="R113" s="1336"/>
      <c r="S113" s="1335">
        <f t="shared" si="5"/>
        <v>0</v>
      </c>
    </row>
    <row r="114" spans="1:19" ht="18.5" x14ac:dyDescent="0.35">
      <c r="A114" s="1338" t="s">
        <v>184</v>
      </c>
      <c r="B114" s="1339" t="s">
        <v>1770</v>
      </c>
      <c r="C114" s="1636">
        <v>0</v>
      </c>
      <c r="D114" s="1634">
        <v>0</v>
      </c>
      <c r="E114" s="1637" t="s">
        <v>2102</v>
      </c>
      <c r="F114" s="1334"/>
      <c r="G114" s="1637" t="str">
        <f t="shared" si="3"/>
        <v>-</v>
      </c>
      <c r="H114" s="1571"/>
      <c r="I114" s="1637" t="s">
        <v>2102</v>
      </c>
      <c r="J114" s="1637" t="s">
        <v>2102</v>
      </c>
      <c r="K114" s="1571"/>
      <c r="L114" s="1637" t="s">
        <v>2102</v>
      </c>
      <c r="M114" s="1335">
        <v>0</v>
      </c>
      <c r="N114" s="1335">
        <v>0</v>
      </c>
      <c r="O114" s="1336"/>
      <c r="P114" s="1734">
        <f t="shared" si="4"/>
        <v>0</v>
      </c>
      <c r="Q114" s="1336"/>
      <c r="R114" s="1336"/>
      <c r="S114" s="1335">
        <f t="shared" si="5"/>
        <v>0</v>
      </c>
    </row>
    <row r="115" spans="1:19" ht="15.5" x14ac:dyDescent="0.35">
      <c r="A115" s="1634">
        <v>1</v>
      </c>
      <c r="B115" s="1736" t="s">
        <v>1772</v>
      </c>
      <c r="C115" s="1636">
        <v>0</v>
      </c>
      <c r="D115" s="1634" t="s">
        <v>936</v>
      </c>
      <c r="E115" s="1637" t="s">
        <v>2102</v>
      </c>
      <c r="F115" s="1334"/>
      <c r="G115" s="1637" t="str">
        <f t="shared" si="3"/>
        <v>-</v>
      </c>
      <c r="H115" s="1571"/>
      <c r="I115" s="1637" t="s">
        <v>2102</v>
      </c>
      <c r="J115" s="1637" t="s">
        <v>2102</v>
      </c>
      <c r="K115" s="1571"/>
      <c r="L115" s="1637" t="s">
        <v>1771</v>
      </c>
      <c r="M115" s="1335">
        <v>0</v>
      </c>
      <c r="N115" s="1335">
        <v>0.72651449999999995</v>
      </c>
      <c r="O115" s="1336"/>
      <c r="P115" s="1734">
        <f t="shared" si="4"/>
        <v>-0.72651449999999995</v>
      </c>
      <c r="Q115" s="1336"/>
      <c r="R115" s="1336"/>
      <c r="S115" s="1335">
        <f t="shared" si="5"/>
        <v>-0.72651449999999995</v>
      </c>
    </row>
    <row r="116" spans="1:19" ht="15.5" x14ac:dyDescent="0.35">
      <c r="A116" s="1634">
        <v>2</v>
      </c>
      <c r="B116" s="1736" t="s">
        <v>1774</v>
      </c>
      <c r="C116" s="1636">
        <v>0</v>
      </c>
      <c r="D116" s="1634" t="s">
        <v>936</v>
      </c>
      <c r="E116" s="1637" t="s">
        <v>2102</v>
      </c>
      <c r="F116" s="1334"/>
      <c r="G116" s="1637" t="str">
        <f t="shared" si="3"/>
        <v>-</v>
      </c>
      <c r="H116" s="1571"/>
      <c r="I116" s="1637" t="s">
        <v>2102</v>
      </c>
      <c r="J116" s="1637" t="s">
        <v>2102</v>
      </c>
      <c r="K116" s="1571"/>
      <c r="L116" s="1637" t="s">
        <v>1773</v>
      </c>
      <c r="M116" s="1335">
        <v>0</v>
      </c>
      <c r="N116" s="1335">
        <v>14.2796416</v>
      </c>
      <c r="O116" s="1336"/>
      <c r="P116" s="1734">
        <f t="shared" si="4"/>
        <v>-14.2796416</v>
      </c>
      <c r="Q116" s="1336"/>
      <c r="R116" s="1336"/>
      <c r="S116" s="1335">
        <f t="shared" si="5"/>
        <v>-14.2796416</v>
      </c>
    </row>
    <row r="117" spans="1:19" ht="29" x14ac:dyDescent="0.35">
      <c r="A117" s="1634">
        <v>3</v>
      </c>
      <c r="B117" s="1736" t="s">
        <v>1776</v>
      </c>
      <c r="C117" s="1636">
        <v>0</v>
      </c>
      <c r="D117" s="1634" t="s">
        <v>936</v>
      </c>
      <c r="E117" s="1637" t="s">
        <v>2102</v>
      </c>
      <c r="F117" s="1334"/>
      <c r="G117" s="1637" t="str">
        <f t="shared" si="3"/>
        <v>-</v>
      </c>
      <c r="H117" s="1571"/>
      <c r="I117" s="1637" t="s">
        <v>2102</v>
      </c>
      <c r="J117" s="1637" t="s">
        <v>2102</v>
      </c>
      <c r="K117" s="1571"/>
      <c r="L117" s="1637" t="s">
        <v>1775</v>
      </c>
      <c r="M117" s="1335">
        <v>0</v>
      </c>
      <c r="N117" s="1335">
        <v>0.118890178</v>
      </c>
      <c r="O117" s="1336"/>
      <c r="P117" s="1734">
        <f t="shared" si="4"/>
        <v>-0.118890178</v>
      </c>
      <c r="Q117" s="1336"/>
      <c r="R117" s="1336"/>
      <c r="S117" s="1335">
        <f t="shared" si="5"/>
        <v>-0.118890178</v>
      </c>
    </row>
    <row r="118" spans="1:19" ht="29" x14ac:dyDescent="0.35">
      <c r="A118" s="1634">
        <v>4</v>
      </c>
      <c r="B118" s="1736" t="s">
        <v>1778</v>
      </c>
      <c r="C118" s="1636">
        <v>0</v>
      </c>
      <c r="D118" s="1634" t="s">
        <v>936</v>
      </c>
      <c r="E118" s="1637" t="s">
        <v>2102</v>
      </c>
      <c r="F118" s="1334"/>
      <c r="G118" s="1637" t="str">
        <f t="shared" si="3"/>
        <v>-</v>
      </c>
      <c r="H118" s="1571"/>
      <c r="I118" s="1637" t="s">
        <v>2102</v>
      </c>
      <c r="J118" s="1637" t="s">
        <v>2102</v>
      </c>
      <c r="K118" s="1571"/>
      <c r="L118" s="1637" t="s">
        <v>1777</v>
      </c>
      <c r="M118" s="1335">
        <v>0</v>
      </c>
      <c r="N118" s="1335">
        <v>0.118890178</v>
      </c>
      <c r="O118" s="1336"/>
      <c r="P118" s="1734">
        <f t="shared" si="4"/>
        <v>-0.118890178</v>
      </c>
      <c r="Q118" s="1336"/>
      <c r="R118" s="1336"/>
      <c r="S118" s="1335">
        <f t="shared" si="5"/>
        <v>-0.118890178</v>
      </c>
    </row>
    <row r="119" spans="1:19" ht="29" x14ac:dyDescent="0.35">
      <c r="A119" s="1634">
        <v>5</v>
      </c>
      <c r="B119" s="1736" t="s">
        <v>1779</v>
      </c>
      <c r="C119" s="1636">
        <v>0</v>
      </c>
      <c r="D119" s="1634" t="s">
        <v>936</v>
      </c>
      <c r="E119" s="1637" t="s">
        <v>2102</v>
      </c>
      <c r="F119" s="1334"/>
      <c r="G119" s="1637" t="str">
        <f t="shared" si="3"/>
        <v>-</v>
      </c>
      <c r="H119" s="1571"/>
      <c r="I119" s="1637" t="s">
        <v>2102</v>
      </c>
      <c r="J119" s="1637" t="s">
        <v>2102</v>
      </c>
      <c r="K119" s="1571"/>
      <c r="L119" s="1637" t="s">
        <v>1777</v>
      </c>
      <c r="M119" s="1335">
        <v>0</v>
      </c>
      <c r="N119" s="1335">
        <v>7.6350699999999994E-2</v>
      </c>
      <c r="O119" s="1336"/>
      <c r="P119" s="1734">
        <f t="shared" si="4"/>
        <v>-7.6350699999999994E-2</v>
      </c>
      <c r="Q119" s="1336"/>
      <c r="R119" s="1336"/>
      <c r="S119" s="1335">
        <f t="shared" si="5"/>
        <v>-7.6350699999999994E-2</v>
      </c>
    </row>
    <row r="120" spans="1:19" ht="15.5" x14ac:dyDescent="0.35">
      <c r="A120" s="1634">
        <v>6</v>
      </c>
      <c r="B120" s="1736" t="s">
        <v>1781</v>
      </c>
      <c r="C120" s="1636">
        <v>0</v>
      </c>
      <c r="D120" s="1634" t="s">
        <v>936</v>
      </c>
      <c r="E120" s="1637" t="s">
        <v>2102</v>
      </c>
      <c r="F120" s="1334"/>
      <c r="G120" s="1637" t="str">
        <f t="shared" si="3"/>
        <v>-</v>
      </c>
      <c r="H120" s="1571"/>
      <c r="I120" s="1637" t="s">
        <v>2102</v>
      </c>
      <c r="J120" s="1637" t="s">
        <v>2102</v>
      </c>
      <c r="K120" s="1571"/>
      <c r="L120" s="1637" t="s">
        <v>1780</v>
      </c>
      <c r="M120" s="1335">
        <v>0</v>
      </c>
      <c r="N120" s="1335">
        <v>4.2359800000000003E-2</v>
      </c>
      <c r="O120" s="1336"/>
      <c r="P120" s="1734">
        <f t="shared" si="4"/>
        <v>-4.2359800000000003E-2</v>
      </c>
      <c r="Q120" s="1336"/>
      <c r="R120" s="1336"/>
      <c r="S120" s="1335">
        <f t="shared" si="5"/>
        <v>-4.2359800000000003E-2</v>
      </c>
    </row>
    <row r="121" spans="1:19" ht="15.5" x14ac:dyDescent="0.35">
      <c r="A121" s="1634">
        <v>7</v>
      </c>
      <c r="B121" s="1736" t="s">
        <v>1783</v>
      </c>
      <c r="C121" s="1636">
        <v>0</v>
      </c>
      <c r="D121" s="1634" t="s">
        <v>936</v>
      </c>
      <c r="E121" s="1637" t="s">
        <v>2102</v>
      </c>
      <c r="F121" s="1334"/>
      <c r="G121" s="1637" t="str">
        <f t="shared" si="3"/>
        <v>-</v>
      </c>
      <c r="H121" s="1571"/>
      <c r="I121" s="1637" t="s">
        <v>2102</v>
      </c>
      <c r="J121" s="1637" t="s">
        <v>2102</v>
      </c>
      <c r="K121" s="1571"/>
      <c r="L121" s="1637" t="s">
        <v>1782</v>
      </c>
      <c r="M121" s="1335">
        <v>0</v>
      </c>
      <c r="N121" s="1335">
        <v>0.60786030000000002</v>
      </c>
      <c r="O121" s="1336"/>
      <c r="P121" s="1734">
        <f t="shared" si="4"/>
        <v>-0.60786030000000002</v>
      </c>
      <c r="Q121" s="1336"/>
      <c r="R121" s="1336"/>
      <c r="S121" s="1335">
        <f t="shared" si="5"/>
        <v>-0.60786030000000002</v>
      </c>
    </row>
    <row r="122" spans="1:19" ht="29" x14ac:dyDescent="0.35">
      <c r="A122" s="1634">
        <v>8</v>
      </c>
      <c r="B122" s="1736" t="s">
        <v>1776</v>
      </c>
      <c r="C122" s="1636">
        <v>0</v>
      </c>
      <c r="D122" s="1634" t="s">
        <v>936</v>
      </c>
      <c r="E122" s="1637" t="s">
        <v>2102</v>
      </c>
      <c r="F122" s="1334"/>
      <c r="G122" s="1637" t="str">
        <f t="shared" si="3"/>
        <v>-</v>
      </c>
      <c r="H122" s="1571"/>
      <c r="I122" s="1637" t="s">
        <v>2102</v>
      </c>
      <c r="J122" s="1637" t="s">
        <v>2102</v>
      </c>
      <c r="K122" s="1571"/>
      <c r="L122" s="1637" t="s">
        <v>1775</v>
      </c>
      <c r="M122" s="1335">
        <v>0</v>
      </c>
      <c r="N122" s="1335">
        <v>2.6342887240000001</v>
      </c>
      <c r="O122" s="1336"/>
      <c r="P122" s="1734">
        <f t="shared" si="4"/>
        <v>-2.6342887240000001</v>
      </c>
      <c r="Q122" s="1336"/>
      <c r="R122" s="1336"/>
      <c r="S122" s="1335">
        <f t="shared" si="5"/>
        <v>-2.6342887240000001</v>
      </c>
    </row>
    <row r="123" spans="1:19" ht="29" x14ac:dyDescent="0.35">
      <c r="A123" s="1634">
        <v>9</v>
      </c>
      <c r="B123" s="1736" t="s">
        <v>1778</v>
      </c>
      <c r="C123" s="1636">
        <v>0</v>
      </c>
      <c r="D123" s="1634" t="s">
        <v>936</v>
      </c>
      <c r="E123" s="1637" t="s">
        <v>2102</v>
      </c>
      <c r="F123" s="1334"/>
      <c r="G123" s="1637" t="str">
        <f t="shared" si="3"/>
        <v>-</v>
      </c>
      <c r="H123" s="1571"/>
      <c r="I123" s="1637" t="s">
        <v>2102</v>
      </c>
      <c r="J123" s="1637" t="s">
        <v>2102</v>
      </c>
      <c r="K123" s="1571"/>
      <c r="L123" s="1637" t="s">
        <v>1777</v>
      </c>
      <c r="M123" s="1335">
        <v>0</v>
      </c>
      <c r="N123" s="1335">
        <v>2.6342887240000001</v>
      </c>
      <c r="O123" s="1336"/>
      <c r="P123" s="1734">
        <f t="shared" si="4"/>
        <v>-2.6342887240000001</v>
      </c>
      <c r="Q123" s="1336"/>
      <c r="R123" s="1336"/>
      <c r="S123" s="1335">
        <f t="shared" si="5"/>
        <v>-2.6342887240000001</v>
      </c>
    </row>
    <row r="124" spans="1:19" ht="29" x14ac:dyDescent="0.35">
      <c r="A124" s="1634">
        <v>10</v>
      </c>
      <c r="B124" s="1736" t="s">
        <v>1784</v>
      </c>
      <c r="C124" s="1636">
        <v>0</v>
      </c>
      <c r="D124" s="1634" t="s">
        <v>936</v>
      </c>
      <c r="E124" s="1637" t="s">
        <v>2102</v>
      </c>
      <c r="F124" s="1334"/>
      <c r="G124" s="1637" t="str">
        <f t="shared" si="3"/>
        <v>-</v>
      </c>
      <c r="H124" s="1571"/>
      <c r="I124" s="1637" t="s">
        <v>2102</v>
      </c>
      <c r="J124" s="1637" t="s">
        <v>2102</v>
      </c>
      <c r="K124" s="1571"/>
      <c r="L124" s="1637" t="s">
        <v>1777</v>
      </c>
      <c r="M124" s="1335">
        <v>0</v>
      </c>
      <c r="N124" s="1335">
        <v>1.20114E-2</v>
      </c>
      <c r="O124" s="1336"/>
      <c r="P124" s="1734">
        <f t="shared" si="4"/>
        <v>-1.20114E-2</v>
      </c>
      <c r="Q124" s="1336"/>
      <c r="R124" s="1336"/>
      <c r="S124" s="1335">
        <f t="shared" si="5"/>
        <v>-1.20114E-2</v>
      </c>
    </row>
    <row r="125" spans="1:19" ht="15.5" x14ac:dyDescent="0.35">
      <c r="A125" s="1634">
        <v>11</v>
      </c>
      <c r="B125" s="1736" t="s">
        <v>1785</v>
      </c>
      <c r="C125" s="1636">
        <v>0</v>
      </c>
      <c r="D125" s="1634">
        <v>0</v>
      </c>
      <c r="E125" s="1637" t="s">
        <v>2102</v>
      </c>
      <c r="F125" s="1334"/>
      <c r="G125" s="1637" t="str">
        <f t="shared" si="3"/>
        <v>-</v>
      </c>
      <c r="H125" s="1571"/>
      <c r="I125" s="1637" t="s">
        <v>2102</v>
      </c>
      <c r="J125" s="1637" t="s">
        <v>2102</v>
      </c>
      <c r="K125" s="1571"/>
      <c r="L125" s="1637" t="s">
        <v>2102</v>
      </c>
      <c r="M125" s="1335">
        <v>0</v>
      </c>
      <c r="N125" s="1335">
        <v>0.4706939</v>
      </c>
      <c r="O125" s="1336"/>
      <c r="P125" s="1734">
        <f t="shared" si="4"/>
        <v>-0.4706939</v>
      </c>
      <c r="Q125" s="1336"/>
      <c r="R125" s="1336"/>
      <c r="S125" s="1335">
        <f t="shared" si="5"/>
        <v>-0.4706939</v>
      </c>
    </row>
    <row r="126" spans="1:19" ht="29" x14ac:dyDescent="0.35">
      <c r="A126" s="1634">
        <v>12</v>
      </c>
      <c r="B126" s="1736" t="s">
        <v>1787</v>
      </c>
      <c r="C126" s="1636">
        <v>0</v>
      </c>
      <c r="D126" s="1634">
        <v>0</v>
      </c>
      <c r="E126" s="1637" t="s">
        <v>2102</v>
      </c>
      <c r="F126" s="1334"/>
      <c r="G126" s="1637" t="str">
        <f t="shared" si="3"/>
        <v>-</v>
      </c>
      <c r="H126" s="1571"/>
      <c r="I126" s="1637" t="s">
        <v>2102</v>
      </c>
      <c r="J126" s="1637" t="s">
        <v>2102</v>
      </c>
      <c r="K126" s="1571"/>
      <c r="L126" s="1637" t="s">
        <v>2102</v>
      </c>
      <c r="M126" s="1335">
        <v>0</v>
      </c>
      <c r="N126" s="1335">
        <v>0.32731569999999999</v>
      </c>
      <c r="O126" s="1336"/>
      <c r="P126" s="1734">
        <f t="shared" si="4"/>
        <v>-0.32731569999999999</v>
      </c>
      <c r="Q126" s="1336"/>
      <c r="R126" s="1336"/>
      <c r="S126" s="1335">
        <f t="shared" si="5"/>
        <v>-0.32731569999999999</v>
      </c>
    </row>
    <row r="127" spans="1:19" ht="29" x14ac:dyDescent="0.35">
      <c r="A127" s="1634">
        <v>13</v>
      </c>
      <c r="B127" s="1736" t="s">
        <v>1787</v>
      </c>
      <c r="C127" s="1636">
        <v>0</v>
      </c>
      <c r="D127" s="1634">
        <v>0</v>
      </c>
      <c r="E127" s="1637" t="s">
        <v>2102</v>
      </c>
      <c r="F127" s="1334"/>
      <c r="G127" s="1637" t="str">
        <f t="shared" si="3"/>
        <v>-</v>
      </c>
      <c r="H127" s="1571"/>
      <c r="I127" s="1637" t="s">
        <v>2102</v>
      </c>
      <c r="J127" s="1637" t="s">
        <v>2102</v>
      </c>
      <c r="K127" s="1571"/>
      <c r="L127" s="1637" t="s">
        <v>2102</v>
      </c>
      <c r="M127" s="1335">
        <v>0</v>
      </c>
      <c r="N127" s="1335">
        <v>8.7899000000000005E-2</v>
      </c>
      <c r="O127" s="1336"/>
      <c r="P127" s="1734">
        <f t="shared" si="4"/>
        <v>-8.7899000000000005E-2</v>
      </c>
      <c r="Q127" s="1336"/>
      <c r="R127" s="1336"/>
      <c r="S127" s="1335">
        <f t="shared" si="5"/>
        <v>-8.7899000000000005E-2</v>
      </c>
    </row>
    <row r="128" spans="1:19" ht="29" x14ac:dyDescent="0.35">
      <c r="A128" s="1634">
        <v>14</v>
      </c>
      <c r="B128" s="1736" t="s">
        <v>1789</v>
      </c>
      <c r="C128" s="1636">
        <v>0</v>
      </c>
      <c r="D128" s="1634">
        <v>0</v>
      </c>
      <c r="E128" s="1637" t="s">
        <v>2102</v>
      </c>
      <c r="F128" s="1334"/>
      <c r="G128" s="1637" t="str">
        <f t="shared" si="3"/>
        <v>-</v>
      </c>
      <c r="H128" s="1571"/>
      <c r="I128" s="1637" t="s">
        <v>2102</v>
      </c>
      <c r="J128" s="1637" t="s">
        <v>2102</v>
      </c>
      <c r="K128" s="1571"/>
      <c r="L128" s="1637" t="s">
        <v>2102</v>
      </c>
      <c r="M128" s="1335">
        <v>0</v>
      </c>
      <c r="N128" s="1335">
        <v>6.8807868000000001</v>
      </c>
      <c r="O128" s="1336"/>
      <c r="P128" s="1734">
        <f t="shared" si="4"/>
        <v>-6.8807868000000001</v>
      </c>
      <c r="Q128" s="1336"/>
      <c r="R128" s="1336"/>
      <c r="S128" s="1335">
        <f t="shared" si="5"/>
        <v>-6.8807868000000001</v>
      </c>
    </row>
  </sheetData>
  <mergeCells count="18">
    <mergeCell ref="N5:N6"/>
    <mergeCell ref="O5:S5"/>
    <mergeCell ref="G4:I4"/>
    <mergeCell ref="J4:L4"/>
    <mergeCell ref="M4:S4"/>
    <mergeCell ref="G5:G6"/>
    <mergeCell ref="H5:H6"/>
    <mergeCell ref="I5:I6"/>
    <mergeCell ref="J5:J6"/>
    <mergeCell ref="K5:K6"/>
    <mergeCell ref="L5:L6"/>
    <mergeCell ref="M5:M6"/>
    <mergeCell ref="F4:F6"/>
    <mergeCell ref="A4:A6"/>
    <mergeCell ref="B4:B6"/>
    <mergeCell ref="C4:C6"/>
    <mergeCell ref="D4:D6"/>
    <mergeCell ref="E4:E6"/>
  </mergeCells>
  <conditionalFormatting sqref="D10:D79">
    <cfRule type="containsText" dxfId="349" priority="8" operator="containsText" text="DPR not submitted">
      <formula>NOT(ISERROR(SEARCH("DPR not submitted",D10)))</formula>
    </cfRule>
    <cfRule type="containsText" dxfId="348" priority="9" operator="containsText" text="Yet to be approved">
      <formula>NOT(ISERROR(SEARCH("Yet to be approved",D10)))</formula>
    </cfRule>
  </conditionalFormatting>
  <conditionalFormatting sqref="D81:D97">
    <cfRule type="containsText" dxfId="347" priority="6" operator="containsText" text="DPR not submitted">
      <formula>NOT(ISERROR(SEARCH("DPR not submitted",D81)))</formula>
    </cfRule>
    <cfRule type="containsText" dxfId="346" priority="7" operator="containsText" text="Yet to be approved">
      <formula>NOT(ISERROR(SEARCH("Yet to be approved",D81)))</formula>
    </cfRule>
  </conditionalFormatting>
  <conditionalFormatting sqref="D104">
    <cfRule type="containsText" dxfId="345" priority="4" operator="containsText" text="DPR not submitted">
      <formula>NOT(ISERROR(SEARCH("DPR not submitted",D104)))</formula>
    </cfRule>
    <cfRule type="containsText" dxfId="344" priority="5" operator="containsText" text="Yet to be approved">
      <formula>NOT(ISERROR(SEARCH("Yet to be approved",D104)))</formula>
    </cfRule>
  </conditionalFormatting>
  <conditionalFormatting sqref="D112">
    <cfRule type="containsText" dxfId="343" priority="2" operator="containsText" text="DPR not submitted">
      <formula>NOT(ISERROR(SEARCH("DPR not submitted",D112)))</formula>
    </cfRule>
    <cfRule type="containsText" dxfId="342" priority="3" operator="containsText" text="Yet to be approved">
      <formula>NOT(ISERROR(SEARCH("Yet to be approved",D112)))</formula>
    </cfRule>
  </conditionalFormatting>
  <conditionalFormatting sqref="D80:E80">
    <cfRule type="containsText" dxfId="341" priority="88" operator="containsText" text="DPR not submitted">
      <formula>NOT(ISERROR(SEARCH("DPR not submitted",D80)))</formula>
    </cfRule>
    <cfRule type="containsText" dxfId="340" priority="89" operator="containsText" text="Yet to be approved">
      <formula>NOT(ISERROR(SEARCH("Yet to be approved",D80)))</formula>
    </cfRule>
  </conditionalFormatting>
  <conditionalFormatting sqref="D98:E103 D105:E111 D113:E128">
    <cfRule type="containsText" dxfId="339" priority="12" operator="containsText" text="DPR not submitted">
      <formula>NOT(ISERROR(SEARCH("DPR not submitted",D98)))</formula>
    </cfRule>
    <cfRule type="containsText" dxfId="338" priority="13" operator="containsText" text="Yet to be approved">
      <formula>NOT(ISERROR(SEARCH("Yet to be approved",D98)))</formula>
    </cfRule>
  </conditionalFormatting>
  <conditionalFormatting sqref="E12:E15">
    <cfRule type="containsText" dxfId="337" priority="90" operator="containsText" text="DPR not submitted">
      <formula>NOT(ISERROR(SEARCH("DPR not submitted",E12)))</formula>
    </cfRule>
    <cfRule type="containsText" dxfId="336" priority="91" operator="containsText" text="Yet to be approved">
      <formula>NOT(ISERROR(SEARCH("Yet to be approved",E12)))</formula>
    </cfRule>
  </conditionalFormatting>
  <conditionalFormatting sqref="E17">
    <cfRule type="containsText" dxfId="335" priority="84" operator="containsText" text="DPR not submitted">
      <formula>NOT(ISERROR(SEARCH("DPR not submitted",E17)))</formula>
    </cfRule>
    <cfRule type="containsText" dxfId="334" priority="85" operator="containsText" text="Yet to be approved">
      <formula>NOT(ISERROR(SEARCH("Yet to be approved",E17)))</formula>
    </cfRule>
  </conditionalFormatting>
  <conditionalFormatting sqref="E19:E22">
    <cfRule type="containsText" dxfId="333" priority="80" operator="containsText" text="DPR not submitted">
      <formula>NOT(ISERROR(SEARCH("DPR not submitted",E19)))</formula>
    </cfRule>
    <cfRule type="containsText" dxfId="332" priority="81" operator="containsText" text="Yet to be approved">
      <formula>NOT(ISERROR(SEARCH("Yet to be approved",E19)))</formula>
    </cfRule>
  </conditionalFormatting>
  <conditionalFormatting sqref="E24:E28">
    <cfRule type="containsText" dxfId="331" priority="76" operator="containsText" text="DPR not submitted">
      <formula>NOT(ISERROR(SEARCH("DPR not submitted",E24)))</formula>
    </cfRule>
    <cfRule type="containsText" dxfId="330" priority="77" operator="containsText" text="Yet to be approved">
      <formula>NOT(ISERROR(SEARCH("Yet to be approved",E24)))</formula>
    </cfRule>
  </conditionalFormatting>
  <conditionalFormatting sqref="E30:E31">
    <cfRule type="containsText" dxfId="329" priority="72" operator="containsText" text="DPR not submitted">
      <formula>NOT(ISERROR(SEARCH("DPR not submitted",E30)))</formula>
    </cfRule>
    <cfRule type="containsText" dxfId="328" priority="73" operator="containsText" text="Yet to be approved">
      <formula>NOT(ISERROR(SEARCH("Yet to be approved",E30)))</formula>
    </cfRule>
  </conditionalFormatting>
  <conditionalFormatting sqref="E33:E37">
    <cfRule type="containsText" dxfId="327" priority="68" operator="containsText" text="DPR not submitted">
      <formula>NOT(ISERROR(SEARCH("DPR not submitted",E33)))</formula>
    </cfRule>
    <cfRule type="containsText" dxfId="326" priority="69" operator="containsText" text="Yet to be approved">
      <formula>NOT(ISERROR(SEARCH("Yet to be approved",E33)))</formula>
    </cfRule>
  </conditionalFormatting>
  <conditionalFormatting sqref="E39:E46">
    <cfRule type="containsText" dxfId="325" priority="64" operator="containsText" text="DPR not submitted">
      <formula>NOT(ISERROR(SEARCH("DPR not submitted",E39)))</formula>
    </cfRule>
    <cfRule type="containsText" dxfId="324" priority="65" operator="containsText" text="Yet to be approved">
      <formula>NOT(ISERROR(SEARCH("Yet to be approved",E39)))</formula>
    </cfRule>
  </conditionalFormatting>
  <conditionalFormatting sqref="E48:E50">
    <cfRule type="containsText" dxfId="323" priority="60" operator="containsText" text="DPR not submitted">
      <formula>NOT(ISERROR(SEARCH("DPR not submitted",E48)))</formula>
    </cfRule>
    <cfRule type="containsText" dxfId="322" priority="61" operator="containsText" text="Yet to be approved">
      <formula>NOT(ISERROR(SEARCH("Yet to be approved",E48)))</formula>
    </cfRule>
  </conditionalFormatting>
  <conditionalFormatting sqref="E52:E54">
    <cfRule type="containsText" dxfId="321" priority="56" operator="containsText" text="DPR not submitted">
      <formula>NOT(ISERROR(SEARCH("DPR not submitted",E52)))</formula>
    </cfRule>
    <cfRule type="containsText" dxfId="320" priority="57" operator="containsText" text="Yet to be approved">
      <formula>NOT(ISERROR(SEARCH("Yet to be approved",E52)))</formula>
    </cfRule>
  </conditionalFormatting>
  <conditionalFormatting sqref="E56:E60">
    <cfRule type="containsText" dxfId="319" priority="52" operator="containsText" text="DPR not submitted">
      <formula>NOT(ISERROR(SEARCH("DPR not submitted",E56)))</formula>
    </cfRule>
    <cfRule type="containsText" dxfId="318" priority="53" operator="containsText" text="Yet to be approved">
      <formula>NOT(ISERROR(SEARCH("Yet to be approved",E56)))</formula>
    </cfRule>
  </conditionalFormatting>
  <conditionalFormatting sqref="E62:E66">
    <cfRule type="containsText" dxfId="317" priority="48" operator="containsText" text="DPR not submitted">
      <formula>NOT(ISERROR(SEARCH("DPR not submitted",E62)))</formula>
    </cfRule>
    <cfRule type="containsText" dxfId="316" priority="49" operator="containsText" text="Yet to be approved">
      <formula>NOT(ISERROR(SEARCH("Yet to be approved",E62)))</formula>
    </cfRule>
  </conditionalFormatting>
  <conditionalFormatting sqref="E68:E69">
    <cfRule type="containsText" dxfId="315" priority="44" operator="containsText" text="DPR not submitted">
      <formula>NOT(ISERROR(SEARCH("DPR not submitted",E68)))</formula>
    </cfRule>
    <cfRule type="containsText" dxfId="314" priority="45" operator="containsText" text="Yet to be approved">
      <formula>NOT(ISERROR(SEARCH("Yet to be approved",E68)))</formula>
    </cfRule>
  </conditionalFormatting>
  <conditionalFormatting sqref="E71">
    <cfRule type="containsText" dxfId="313" priority="40" operator="containsText" text="DPR not submitted">
      <formula>NOT(ISERROR(SEARCH("DPR not submitted",E71)))</formula>
    </cfRule>
    <cfRule type="containsText" dxfId="312" priority="41" operator="containsText" text="Yet to be approved">
      <formula>NOT(ISERROR(SEARCH("Yet to be approved",E71)))</formula>
    </cfRule>
  </conditionalFormatting>
  <conditionalFormatting sqref="E73:E74">
    <cfRule type="containsText" dxfId="311" priority="36" operator="containsText" text="DPR not submitted">
      <formula>NOT(ISERROR(SEARCH("DPR not submitted",E73)))</formula>
    </cfRule>
    <cfRule type="containsText" dxfId="310" priority="37" operator="containsText" text="Yet to be approved">
      <formula>NOT(ISERROR(SEARCH("Yet to be approved",E73)))</formula>
    </cfRule>
  </conditionalFormatting>
  <conditionalFormatting sqref="E76">
    <cfRule type="containsText" dxfId="309" priority="32" operator="containsText" text="DPR not submitted">
      <formula>NOT(ISERROR(SEARCH("DPR not submitted",E76)))</formula>
    </cfRule>
    <cfRule type="containsText" dxfId="308" priority="33" operator="containsText" text="Yet to be approved">
      <formula>NOT(ISERROR(SEARCH("Yet to be approved",E76)))</formula>
    </cfRule>
  </conditionalFormatting>
  <conditionalFormatting sqref="E78:E79">
    <cfRule type="containsText" dxfId="307" priority="28" operator="containsText" text="DPR not submitted">
      <formula>NOT(ISERROR(SEARCH("DPR not submitted",E78)))</formula>
    </cfRule>
    <cfRule type="containsText" dxfId="306" priority="29" operator="containsText" text="Yet to be approved">
      <formula>NOT(ISERROR(SEARCH("Yet to be approved",E78)))</formula>
    </cfRule>
  </conditionalFormatting>
  <conditionalFormatting sqref="E82">
    <cfRule type="containsText" dxfId="305" priority="24" operator="containsText" text="DPR not submitted">
      <formula>NOT(ISERROR(SEARCH("DPR not submitted",E82)))</formula>
    </cfRule>
    <cfRule type="containsText" dxfId="304" priority="25" operator="containsText" text="Yet to be approved">
      <formula>NOT(ISERROR(SEARCH("Yet to be approved",E82)))</formula>
    </cfRule>
  </conditionalFormatting>
  <conditionalFormatting sqref="E84:E90">
    <cfRule type="containsText" dxfId="303" priority="20" operator="containsText" text="DPR not submitted">
      <formula>NOT(ISERROR(SEARCH("DPR not submitted",E84)))</formula>
    </cfRule>
    <cfRule type="containsText" dxfId="302" priority="21" operator="containsText" text="Yet to be approved">
      <formula>NOT(ISERROR(SEARCH("Yet to be approved",E84)))</formula>
    </cfRule>
  </conditionalFormatting>
  <conditionalFormatting sqref="E92:E96">
    <cfRule type="containsText" dxfId="301" priority="16" operator="containsText" text="DPR not submitted">
      <formula>NOT(ISERROR(SEARCH("DPR not submitted",E92)))</formula>
    </cfRule>
    <cfRule type="containsText" dxfId="300" priority="17" operator="containsText" text="Yet to be approved">
      <formula>NOT(ISERROR(SEARCH("Yet to be approved",E92)))</formula>
    </cfRule>
  </conditionalFormatting>
  <conditionalFormatting sqref="G12:L15">
    <cfRule type="containsText" dxfId="299" priority="86" operator="containsText" text="DPR not submitted">
      <formula>NOT(ISERROR(SEARCH("DPR not submitted",G12)))</formula>
    </cfRule>
    <cfRule type="containsText" dxfId="298" priority="87" operator="containsText" text="Yet to be approved">
      <formula>NOT(ISERROR(SEARCH("Yet to be approved",G12)))</formula>
    </cfRule>
  </conditionalFormatting>
  <conditionalFormatting sqref="G17:L17">
    <cfRule type="containsText" dxfId="297" priority="82" operator="containsText" text="DPR not submitted">
      <formula>NOT(ISERROR(SEARCH("DPR not submitted",G17)))</formula>
    </cfRule>
    <cfRule type="containsText" dxfId="296" priority="83" operator="containsText" text="Yet to be approved">
      <formula>NOT(ISERROR(SEARCH("Yet to be approved",G17)))</formula>
    </cfRule>
  </conditionalFormatting>
  <conditionalFormatting sqref="G19:L22">
    <cfRule type="containsText" dxfId="295" priority="78" operator="containsText" text="DPR not submitted">
      <formula>NOT(ISERROR(SEARCH("DPR not submitted",G19)))</formula>
    </cfRule>
    <cfRule type="containsText" dxfId="294" priority="79" operator="containsText" text="Yet to be approved">
      <formula>NOT(ISERROR(SEARCH("Yet to be approved",G19)))</formula>
    </cfRule>
  </conditionalFormatting>
  <conditionalFormatting sqref="G24:L28">
    <cfRule type="containsText" dxfId="293" priority="74" operator="containsText" text="DPR not submitted">
      <formula>NOT(ISERROR(SEARCH("DPR not submitted",G24)))</formula>
    </cfRule>
    <cfRule type="containsText" dxfId="292" priority="75" operator="containsText" text="Yet to be approved">
      <formula>NOT(ISERROR(SEARCH("Yet to be approved",G24)))</formula>
    </cfRule>
  </conditionalFormatting>
  <conditionalFormatting sqref="G30:L31">
    <cfRule type="containsText" dxfId="291" priority="70" operator="containsText" text="DPR not submitted">
      <formula>NOT(ISERROR(SEARCH("DPR not submitted",G30)))</formula>
    </cfRule>
    <cfRule type="containsText" dxfId="290" priority="71" operator="containsText" text="Yet to be approved">
      <formula>NOT(ISERROR(SEARCH("Yet to be approved",G30)))</formula>
    </cfRule>
  </conditionalFormatting>
  <conditionalFormatting sqref="G33:L37">
    <cfRule type="containsText" dxfId="289" priority="66" operator="containsText" text="DPR not submitted">
      <formula>NOT(ISERROR(SEARCH("DPR not submitted",G33)))</formula>
    </cfRule>
    <cfRule type="containsText" dxfId="288" priority="67" operator="containsText" text="Yet to be approved">
      <formula>NOT(ISERROR(SEARCH("Yet to be approved",G33)))</formula>
    </cfRule>
  </conditionalFormatting>
  <conditionalFormatting sqref="G39:L46">
    <cfRule type="containsText" dxfId="287" priority="62" operator="containsText" text="DPR not submitted">
      <formula>NOT(ISERROR(SEARCH("DPR not submitted",G39)))</formula>
    </cfRule>
    <cfRule type="containsText" dxfId="286" priority="63" operator="containsText" text="Yet to be approved">
      <formula>NOT(ISERROR(SEARCH("Yet to be approved",G39)))</formula>
    </cfRule>
  </conditionalFormatting>
  <conditionalFormatting sqref="G48:L50">
    <cfRule type="containsText" dxfId="285" priority="58" operator="containsText" text="DPR not submitted">
      <formula>NOT(ISERROR(SEARCH("DPR not submitted",G48)))</formula>
    </cfRule>
    <cfRule type="containsText" dxfId="284" priority="59" operator="containsText" text="Yet to be approved">
      <formula>NOT(ISERROR(SEARCH("Yet to be approved",G48)))</formula>
    </cfRule>
  </conditionalFormatting>
  <conditionalFormatting sqref="G52:L54">
    <cfRule type="containsText" dxfId="283" priority="54" operator="containsText" text="DPR not submitted">
      <formula>NOT(ISERROR(SEARCH("DPR not submitted",G52)))</formula>
    </cfRule>
    <cfRule type="containsText" dxfId="282" priority="55" operator="containsText" text="Yet to be approved">
      <formula>NOT(ISERROR(SEARCH("Yet to be approved",G52)))</formula>
    </cfRule>
  </conditionalFormatting>
  <conditionalFormatting sqref="G56:L60">
    <cfRule type="containsText" dxfId="281" priority="50" operator="containsText" text="DPR not submitted">
      <formula>NOT(ISERROR(SEARCH("DPR not submitted",G56)))</formula>
    </cfRule>
    <cfRule type="containsText" dxfId="280" priority="51" operator="containsText" text="Yet to be approved">
      <formula>NOT(ISERROR(SEARCH("Yet to be approved",G56)))</formula>
    </cfRule>
  </conditionalFormatting>
  <conditionalFormatting sqref="G62:L66">
    <cfRule type="containsText" dxfId="279" priority="46" operator="containsText" text="DPR not submitted">
      <formula>NOT(ISERROR(SEARCH("DPR not submitted",G62)))</formula>
    </cfRule>
    <cfRule type="containsText" dxfId="278" priority="47" operator="containsText" text="Yet to be approved">
      <formula>NOT(ISERROR(SEARCH("Yet to be approved",G62)))</formula>
    </cfRule>
  </conditionalFormatting>
  <conditionalFormatting sqref="G68:L69">
    <cfRule type="containsText" dxfId="277" priority="42" operator="containsText" text="DPR not submitted">
      <formula>NOT(ISERROR(SEARCH("DPR not submitted",G68)))</formula>
    </cfRule>
    <cfRule type="containsText" dxfId="276" priority="43" operator="containsText" text="Yet to be approved">
      <formula>NOT(ISERROR(SEARCH("Yet to be approved",G68)))</formula>
    </cfRule>
  </conditionalFormatting>
  <conditionalFormatting sqref="G71:L71">
    <cfRule type="containsText" dxfId="275" priority="38" operator="containsText" text="DPR not submitted">
      <formula>NOT(ISERROR(SEARCH("DPR not submitted",G71)))</formula>
    </cfRule>
    <cfRule type="containsText" dxfId="274" priority="39" operator="containsText" text="Yet to be approved">
      <formula>NOT(ISERROR(SEARCH("Yet to be approved",G71)))</formula>
    </cfRule>
  </conditionalFormatting>
  <conditionalFormatting sqref="G73:L74">
    <cfRule type="containsText" dxfId="273" priority="34" operator="containsText" text="DPR not submitted">
      <formula>NOT(ISERROR(SEARCH("DPR not submitted",G73)))</formula>
    </cfRule>
    <cfRule type="containsText" dxfId="272" priority="35" operator="containsText" text="Yet to be approved">
      <formula>NOT(ISERROR(SEARCH("Yet to be approved",G73)))</formula>
    </cfRule>
  </conditionalFormatting>
  <conditionalFormatting sqref="G76:L76">
    <cfRule type="containsText" dxfId="271" priority="30" operator="containsText" text="DPR not submitted">
      <formula>NOT(ISERROR(SEARCH("DPR not submitted",G76)))</formula>
    </cfRule>
    <cfRule type="containsText" dxfId="270" priority="31" operator="containsText" text="Yet to be approved">
      <formula>NOT(ISERROR(SEARCH("Yet to be approved",G76)))</formula>
    </cfRule>
  </conditionalFormatting>
  <conditionalFormatting sqref="G78:L80">
    <cfRule type="containsText" dxfId="269" priority="26" operator="containsText" text="DPR not submitted">
      <formula>NOT(ISERROR(SEARCH("DPR not submitted",G78)))</formula>
    </cfRule>
    <cfRule type="containsText" dxfId="268" priority="27" operator="containsText" text="Yet to be approved">
      <formula>NOT(ISERROR(SEARCH("Yet to be approved",G78)))</formula>
    </cfRule>
  </conditionalFormatting>
  <conditionalFormatting sqref="G82:L82">
    <cfRule type="containsText" dxfId="267" priority="22" operator="containsText" text="DPR not submitted">
      <formula>NOT(ISERROR(SEARCH("DPR not submitted",G82)))</formula>
    </cfRule>
    <cfRule type="containsText" dxfId="266" priority="23" operator="containsText" text="Yet to be approved">
      <formula>NOT(ISERROR(SEARCH("Yet to be approved",G82)))</formula>
    </cfRule>
  </conditionalFormatting>
  <conditionalFormatting sqref="G84:L90">
    <cfRule type="containsText" dxfId="265" priority="18" operator="containsText" text="DPR not submitted">
      <formula>NOT(ISERROR(SEARCH("DPR not submitted",G84)))</formula>
    </cfRule>
    <cfRule type="containsText" dxfId="264" priority="19" operator="containsText" text="Yet to be approved">
      <formula>NOT(ISERROR(SEARCH("Yet to be approved",G84)))</formula>
    </cfRule>
  </conditionalFormatting>
  <conditionalFormatting sqref="G92:L96">
    <cfRule type="containsText" dxfId="263" priority="14" operator="containsText" text="DPR not submitted">
      <formula>NOT(ISERROR(SEARCH("DPR not submitted",G92)))</formula>
    </cfRule>
    <cfRule type="containsText" dxfId="262" priority="15" operator="containsText" text="Yet to be approved">
      <formula>NOT(ISERROR(SEARCH("Yet to be approved",G92)))</formula>
    </cfRule>
  </conditionalFormatting>
  <conditionalFormatting sqref="G98:L103 G105:L111 G113:L128">
    <cfRule type="containsText" dxfId="261" priority="10" operator="containsText" text="DPR not submitted">
      <formula>NOT(ISERROR(SEARCH("DPR not submitted",G98)))</formula>
    </cfRule>
    <cfRule type="containsText" dxfId="260" priority="11" operator="containsText" text="Yet to be approved">
      <formula>NOT(ISERROR(SEARCH("Yet to be approved",G98)))</formula>
    </cfRule>
  </conditionalFormatting>
  <conditionalFormatting sqref="S1:S1048576">
    <cfRule type="cellIs" dxfId="259" priority="1" operator="lessThan">
      <formula>0</formula>
    </cfRule>
  </conditionalFormatting>
  <pageMargins left="0.39370078740157483" right="0.39370078740157483" top="0.39370078740157483" bottom="0.39370078740157483" header="0.23622047244094491" footer="0.23622047244094491"/>
  <pageSetup paperSize="9" scale="78" fitToWidth="2" fitToHeight="100" pageOrder="overThenDown" orientation="landscape" blackAndWhite="1" r:id="rId1"/>
  <headerFooter alignWithMargins="0">
    <oddHeader>&amp;C&amp;F</oddHeader>
  </headerFooter>
  <colBreaks count="1" manualBreakCount="1">
    <brk id="12" max="364"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topLeftCell="A8" zoomScale="80" zoomScaleNormal="80" workbookViewId="0">
      <selection activeCell="D8" sqref="D8"/>
    </sheetView>
  </sheetViews>
  <sheetFormatPr defaultColWidth="8.81640625" defaultRowHeight="13" x14ac:dyDescent="0.3"/>
  <cols>
    <col min="1" max="1" width="8.81640625" style="514"/>
    <col min="2" max="2" width="46.453125" style="515" customWidth="1"/>
    <col min="3" max="8" width="8.81640625" style="514"/>
    <col min="9" max="9" width="12.81640625" style="514" customWidth="1"/>
    <col min="10" max="10" width="14.1796875" style="514" customWidth="1"/>
    <col min="11" max="11" width="12.36328125" style="514" customWidth="1"/>
    <col min="12" max="12" width="8.81640625" style="514"/>
    <col min="13" max="13" width="13.90625" style="514" customWidth="1"/>
    <col min="14" max="14" width="14.08984375" style="514" customWidth="1"/>
    <col min="15" max="15" width="13.90625" style="514" customWidth="1"/>
    <col min="16" max="16" width="16.08984375" style="514" customWidth="1"/>
    <col min="17" max="16384" width="8.81640625" style="514"/>
  </cols>
  <sheetData>
    <row r="1" spans="2:7" x14ac:dyDescent="0.3">
      <c r="B1" s="1751" t="s">
        <v>927</v>
      </c>
      <c r="C1" s="1751"/>
      <c r="D1" s="1751"/>
      <c r="E1" s="1751"/>
      <c r="F1" s="1751"/>
    </row>
    <row r="2" spans="2:7" x14ac:dyDescent="0.3">
      <c r="B2" s="770" t="s">
        <v>36</v>
      </c>
      <c r="C2" s="771" t="s">
        <v>923</v>
      </c>
      <c r="D2" s="771" t="s">
        <v>924</v>
      </c>
      <c r="E2" s="771" t="s">
        <v>925</v>
      </c>
      <c r="F2" s="771" t="s">
        <v>926</v>
      </c>
      <c r="G2" s="766"/>
    </row>
    <row r="3" spans="2:7" x14ac:dyDescent="0.3">
      <c r="B3" s="516" t="s">
        <v>917</v>
      </c>
      <c r="C3" s="767" t="s">
        <v>98</v>
      </c>
      <c r="D3" s="601">
        <f>'F2.1'!$G$15</f>
        <v>0.85</v>
      </c>
      <c r="E3" s="601">
        <f>'F2.1'!$J$15</f>
        <v>0.85</v>
      </c>
      <c r="F3" s="601">
        <f>'F2.1'!$N$15</f>
        <v>0.85</v>
      </c>
      <c r="G3" s="766"/>
    </row>
    <row r="4" spans="2:7" x14ac:dyDescent="0.3">
      <c r="B4" s="516" t="s">
        <v>683</v>
      </c>
      <c r="C4" s="767" t="s">
        <v>98</v>
      </c>
      <c r="D4" s="601">
        <f>'F2.1'!$G$16</f>
        <v>0.74822999999999995</v>
      </c>
      <c r="E4" s="601">
        <f>'F2.1'!$K$16</f>
        <v>0.89427999999999996</v>
      </c>
      <c r="F4" s="601">
        <f>'F2.1'!$Q$16</f>
        <v>0.70218680294160152</v>
      </c>
      <c r="G4" s="766"/>
    </row>
    <row r="5" spans="2:7" x14ac:dyDescent="0.3">
      <c r="B5" s="517" t="s">
        <v>918</v>
      </c>
      <c r="C5" s="767" t="s">
        <v>441</v>
      </c>
      <c r="D5" s="1203">
        <f>'F1'!$F13+'F1'!$G15+'F1'!$F16+'F1'!$G17+'F1'!$G18+'F1'!$F19+'F1'!$F21+'F1'!$G24+'F1'!$G25-'F1'!$G26</f>
        <v>451.86209448857375</v>
      </c>
      <c r="E5" s="1203">
        <f>'F1'!$J13+'F1'!$K15+'F1'!$J16+'F1'!$K17+'F1'!$K18+'F1'!$J19+'F1'!$J21+'F1'!$K24+'F1'!$K25-'F1'!$K26</f>
        <v>513.91075549833852</v>
      </c>
      <c r="F5" s="1203">
        <f ca="1">'F1'!$N13+'F1'!$Q15+'F1'!$N16+'F1'!$Q17+'F1'!$Q18+'F1'!$N19+'F1'!$N21+'F1'!$Q24+'F1'!$Q25-'F1'!$Q26</f>
        <v>542.66119660647746</v>
      </c>
      <c r="G5" s="766"/>
    </row>
    <row r="6" spans="2:7" x14ac:dyDescent="0.3">
      <c r="B6" s="517" t="s">
        <v>919</v>
      </c>
      <c r="C6" s="767" t="s">
        <v>441</v>
      </c>
      <c r="D6" s="600">
        <f>+'F3.1'!$E$27</f>
        <v>15.2799575</v>
      </c>
      <c r="E6" s="600">
        <f>+'F3.1'!$G$27</f>
        <v>37.994283340999999</v>
      </c>
      <c r="F6" s="600">
        <f>+'F3.1'!$I$27</f>
        <v>37.994283340999999</v>
      </c>
      <c r="G6" s="766"/>
    </row>
    <row r="7" spans="2:7" x14ac:dyDescent="0.3">
      <c r="B7" s="517" t="s">
        <v>959</v>
      </c>
      <c r="C7" s="767" t="s">
        <v>441</v>
      </c>
      <c r="D7" s="600">
        <f>D5-D6</f>
        <v>436.58213698857372</v>
      </c>
      <c r="E7" s="600">
        <f t="shared" ref="E7:F7" si="0">E5-E6</f>
        <v>475.91647215733849</v>
      </c>
      <c r="F7" s="600">
        <f t="shared" ca="1" si="0"/>
        <v>504.66691326547743</v>
      </c>
      <c r="G7" s="766"/>
    </row>
    <row r="8" spans="2:7" x14ac:dyDescent="0.3">
      <c r="B8" s="519" t="s">
        <v>920</v>
      </c>
      <c r="C8" s="765" t="s">
        <v>441</v>
      </c>
      <c r="D8" s="805">
        <f>D48</f>
        <v>52.366486453648861</v>
      </c>
      <c r="E8" s="805">
        <f>E48</f>
        <v>0</v>
      </c>
      <c r="F8" s="805">
        <f ca="1">F48</f>
        <v>29.344896691936754</v>
      </c>
      <c r="G8" s="766"/>
    </row>
    <row r="9" spans="2:7" x14ac:dyDescent="0.3">
      <c r="B9" s="517" t="s">
        <v>921</v>
      </c>
      <c r="C9" s="767" t="s">
        <v>441</v>
      </c>
      <c r="D9" s="783">
        <f>D7-D8</f>
        <v>384.21565053492486</v>
      </c>
      <c r="E9" s="783">
        <f>E7-E8</f>
        <v>475.91647215733849</v>
      </c>
      <c r="F9" s="783">
        <f ca="1">F7-F8</f>
        <v>475.32201657354068</v>
      </c>
      <c r="G9" s="766"/>
    </row>
    <row r="10" spans="2:7" x14ac:dyDescent="0.3">
      <c r="B10" s="519" t="s">
        <v>922</v>
      </c>
      <c r="C10" s="765" t="s">
        <v>441</v>
      </c>
      <c r="D10" s="768">
        <f>D9+D6</f>
        <v>399.49560803492489</v>
      </c>
      <c r="E10" s="768">
        <f>E9+E6</f>
        <v>513.91075549833852</v>
      </c>
      <c r="F10" s="768">
        <f ca="1">F9+F6</f>
        <v>513.31629991454065</v>
      </c>
      <c r="G10" s="766"/>
    </row>
    <row r="11" spans="2:7" x14ac:dyDescent="0.3">
      <c r="B11" s="769"/>
      <c r="C11" s="766"/>
      <c r="D11" s="766"/>
      <c r="E11" s="766"/>
      <c r="F11" s="766"/>
      <c r="G11" s="766"/>
    </row>
    <row r="12" spans="2:7" x14ac:dyDescent="0.3">
      <c r="B12" s="520" t="s">
        <v>965</v>
      </c>
    </row>
    <row r="13" spans="2:7" x14ac:dyDescent="0.3">
      <c r="B13" s="758" t="s">
        <v>961</v>
      </c>
      <c r="C13" s="518" t="s">
        <v>98</v>
      </c>
      <c r="D13" s="655">
        <v>0.77347999999999995</v>
      </c>
      <c r="E13" s="655">
        <v>0.86992999999999998</v>
      </c>
      <c r="F13" s="655">
        <v>0.91442500000000004</v>
      </c>
    </row>
    <row r="14" spans="2:7" x14ac:dyDescent="0.3">
      <c r="B14" s="758" t="s">
        <v>962</v>
      </c>
      <c r="C14" s="518" t="s">
        <v>98</v>
      </c>
      <c r="D14" s="655">
        <v>0.78100000000000003</v>
      </c>
      <c r="E14" s="655">
        <v>0.86753999999999998</v>
      </c>
      <c r="F14" s="655">
        <v>0.89630999999999994</v>
      </c>
    </row>
    <row r="15" spans="2:7" x14ac:dyDescent="0.3">
      <c r="B15" s="758" t="s">
        <v>963</v>
      </c>
      <c r="C15" s="518" t="s">
        <v>98</v>
      </c>
      <c r="D15" s="655">
        <v>0.73285</v>
      </c>
      <c r="E15" s="655">
        <v>0.89958000000000005</v>
      </c>
      <c r="F15" s="655">
        <v>0.78595999999999999</v>
      </c>
    </row>
    <row r="16" spans="2:7" x14ac:dyDescent="0.3">
      <c r="B16" s="758" t="s">
        <v>964</v>
      </c>
      <c r="C16" s="518" t="s">
        <v>98</v>
      </c>
      <c r="D16" s="655">
        <v>0.73873999999999995</v>
      </c>
      <c r="E16" s="655">
        <v>0.90383000000000002</v>
      </c>
      <c r="F16" s="655">
        <v>0.78363499999999997</v>
      </c>
    </row>
    <row r="18" spans="2:6" x14ac:dyDescent="0.3">
      <c r="B18" s="759" t="s">
        <v>1032</v>
      </c>
    </row>
    <row r="19" spans="2:6" x14ac:dyDescent="0.3">
      <c r="B19" s="758" t="s">
        <v>1033</v>
      </c>
      <c r="C19" s="651" t="s">
        <v>441</v>
      </c>
      <c r="D19" s="784">
        <f>D7*1/4*20%</f>
        <v>21.829106849428687</v>
      </c>
      <c r="E19" s="763">
        <f t="shared" ref="E19:F19" si="1">E7*1/4*20%</f>
        <v>23.795823607866925</v>
      </c>
      <c r="F19" s="763">
        <f t="shared" ca="1" si="1"/>
        <v>25.233345663273873</v>
      </c>
    </row>
    <row r="20" spans="2:6" x14ac:dyDescent="0.3">
      <c r="B20" s="758" t="s">
        <v>1034</v>
      </c>
      <c r="C20" s="651" t="s">
        <v>441</v>
      </c>
      <c r="D20" s="785">
        <f>D7*1/4*80%</f>
        <v>87.316427397714747</v>
      </c>
      <c r="E20" s="764">
        <f t="shared" ref="E20:F20" si="2">E7*1/4*80%</f>
        <v>95.183294431467701</v>
      </c>
      <c r="F20" s="764">
        <f t="shared" ca="1" si="2"/>
        <v>100.93338265309549</v>
      </c>
    </row>
    <row r="21" spans="2:6" x14ac:dyDescent="0.3">
      <c r="B21" s="758" t="s">
        <v>1035</v>
      </c>
      <c r="C21" s="651" t="s">
        <v>441</v>
      </c>
      <c r="D21" s="784">
        <f>D7*3/4*20%</f>
        <v>65.487320548286064</v>
      </c>
      <c r="E21" s="763">
        <f t="shared" ref="E21:F21" si="3">E7*3/4*20%</f>
        <v>71.387470823600779</v>
      </c>
      <c r="F21" s="763">
        <f t="shared" ca="1" si="3"/>
        <v>75.700036989821612</v>
      </c>
    </row>
    <row r="22" spans="2:6" x14ac:dyDescent="0.3">
      <c r="B22" s="758" t="s">
        <v>1036</v>
      </c>
      <c r="C22" s="651" t="s">
        <v>441</v>
      </c>
      <c r="D22" s="785">
        <f>D7*3/4*80%</f>
        <v>261.94928219314426</v>
      </c>
      <c r="E22" s="764">
        <f t="shared" ref="E22:F22" si="4">E7*3/4*80%</f>
        <v>285.54988329440312</v>
      </c>
      <c r="F22" s="764">
        <f t="shared" ca="1" si="4"/>
        <v>302.80014795928645</v>
      </c>
    </row>
    <row r="23" spans="2:6" x14ac:dyDescent="0.3">
      <c r="B23" s="760"/>
      <c r="C23" s="651"/>
      <c r="D23" s="652"/>
      <c r="E23" s="652"/>
      <c r="F23" s="652"/>
    </row>
    <row r="24" spans="2:6" ht="26" x14ac:dyDescent="0.3">
      <c r="B24" s="761" t="s">
        <v>1037</v>
      </c>
      <c r="C24" s="651"/>
      <c r="D24" s="652"/>
      <c r="E24" s="652"/>
      <c r="F24" s="652"/>
    </row>
    <row r="25" spans="2:6" x14ac:dyDescent="0.3">
      <c r="B25" s="758" t="s">
        <v>1033</v>
      </c>
      <c r="C25" s="651" t="s">
        <v>441</v>
      </c>
      <c r="D25" s="806">
        <f>MIN(D13/$D$3,1)*D19</f>
        <v>19.86397360693659</v>
      </c>
      <c r="E25" s="652">
        <f t="shared" ref="E25:F28" si="5">MIN(E13/E$3,1)*E19</f>
        <v>23.795823607866925</v>
      </c>
      <c r="F25" s="652">
        <f t="shared" ca="1" si="5"/>
        <v>25.233345663273873</v>
      </c>
    </row>
    <row r="26" spans="2:6" x14ac:dyDescent="0.3">
      <c r="B26" s="758" t="s">
        <v>1034</v>
      </c>
      <c r="C26" s="651" t="s">
        <v>441</v>
      </c>
      <c r="D26" s="806">
        <f t="shared" ref="D26:D28" si="6">MIN(D14/$D$3,1)*D20</f>
        <v>80.228387997194389</v>
      </c>
      <c r="E26" s="652">
        <f t="shared" si="5"/>
        <v>95.183294431467701</v>
      </c>
      <c r="F26" s="652">
        <f t="shared" ca="1" si="5"/>
        <v>100.93338265309549</v>
      </c>
    </row>
    <row r="27" spans="2:6" x14ac:dyDescent="0.3">
      <c r="B27" s="758" t="s">
        <v>1035</v>
      </c>
      <c r="C27" s="651" t="s">
        <v>441</v>
      </c>
      <c r="D27" s="806">
        <f t="shared" si="6"/>
        <v>56.4616268986017</v>
      </c>
      <c r="E27" s="652">
        <f t="shared" si="5"/>
        <v>71.387470823600779</v>
      </c>
      <c r="F27" s="652">
        <f t="shared" ca="1" si="5"/>
        <v>69.996707144141411</v>
      </c>
    </row>
    <row r="28" spans="2:6" x14ac:dyDescent="0.3">
      <c r="B28" s="758" t="s">
        <v>1036</v>
      </c>
      <c r="C28" s="651" t="s">
        <v>441</v>
      </c>
      <c r="D28" s="806">
        <f t="shared" si="6"/>
        <v>227.66166203219223</v>
      </c>
      <c r="E28" s="652">
        <f t="shared" si="5"/>
        <v>285.54988329440312</v>
      </c>
      <c r="F28" s="652">
        <f t="shared" ca="1" si="5"/>
        <v>279.15858111302992</v>
      </c>
    </row>
    <row r="29" spans="2:6" x14ac:dyDescent="0.3">
      <c r="B29" s="762"/>
      <c r="C29" s="653"/>
      <c r="D29" s="654"/>
      <c r="E29" s="654"/>
      <c r="F29" s="654"/>
    </row>
    <row r="30" spans="2:6" x14ac:dyDescent="0.3">
      <c r="B30" s="761" t="s">
        <v>1038</v>
      </c>
      <c r="C30" s="651"/>
      <c r="D30" s="652"/>
      <c r="E30" s="652"/>
      <c r="F30" s="652"/>
    </row>
    <row r="31" spans="2:6" x14ac:dyDescent="0.3">
      <c r="B31" s="758" t="s">
        <v>1033</v>
      </c>
      <c r="C31" s="651" t="s">
        <v>441</v>
      </c>
      <c r="D31" s="652"/>
      <c r="E31" s="652"/>
      <c r="F31" s="652"/>
    </row>
    <row r="32" spans="2:6" x14ac:dyDescent="0.3">
      <c r="B32" s="758" t="s">
        <v>1034</v>
      </c>
      <c r="C32" s="651" t="s">
        <v>441</v>
      </c>
      <c r="D32" s="764">
        <f>D26-D20</f>
        <v>-7.0880394005203584</v>
      </c>
      <c r="E32" s="652">
        <f t="shared" ref="E32:F32" si="7">E26-E20</f>
        <v>0</v>
      </c>
      <c r="F32" s="652">
        <f t="shared" ca="1" si="7"/>
        <v>0</v>
      </c>
    </row>
    <row r="33" spans="2:16" x14ac:dyDescent="0.3">
      <c r="B33" s="758" t="s">
        <v>1035</v>
      </c>
      <c r="C33" s="651" t="s">
        <v>441</v>
      </c>
      <c r="D33" s="652"/>
      <c r="E33" s="652"/>
      <c r="F33" s="652"/>
    </row>
    <row r="34" spans="2:16" x14ac:dyDescent="0.3">
      <c r="B34" s="758" t="s">
        <v>1036</v>
      </c>
      <c r="C34" s="651" t="s">
        <v>441</v>
      </c>
      <c r="D34" s="764">
        <f>D28-D22</f>
        <v>-34.287620160952031</v>
      </c>
      <c r="E34" s="652">
        <f t="shared" ref="E34:F34" si="8">E28-E22</f>
        <v>0</v>
      </c>
      <c r="F34" s="652">
        <f t="shared" ca="1" si="8"/>
        <v>-23.641566846256524</v>
      </c>
    </row>
    <row r="35" spans="2:16" x14ac:dyDescent="0.3">
      <c r="B35" s="760"/>
      <c r="C35" s="651"/>
      <c r="D35" s="652"/>
      <c r="E35" s="652"/>
      <c r="F35" s="652"/>
    </row>
    <row r="36" spans="2:16" x14ac:dyDescent="0.3">
      <c r="B36" s="761" t="s">
        <v>1039</v>
      </c>
      <c r="C36" s="651"/>
      <c r="D36" s="652"/>
      <c r="E36" s="652"/>
      <c r="F36" s="652"/>
    </row>
    <row r="37" spans="2:16" x14ac:dyDescent="0.3">
      <c r="B37" s="760" t="s">
        <v>1033</v>
      </c>
      <c r="C37" s="651" t="s">
        <v>441</v>
      </c>
      <c r="D37" s="764">
        <f>D13/D3*D19-D25</f>
        <v>0</v>
      </c>
      <c r="E37" s="764">
        <f t="shared" ref="E37:F37" si="9">E13/E3*E19-E25</f>
        <v>0.55794207588798628</v>
      </c>
      <c r="F37" s="764">
        <f t="shared" ca="1" si="9"/>
        <v>1.912539169831085</v>
      </c>
    </row>
    <row r="38" spans="2:16" x14ac:dyDescent="0.3">
      <c r="B38" s="760" t="s">
        <v>1034</v>
      </c>
      <c r="C38" s="651" t="s">
        <v>441</v>
      </c>
      <c r="D38" s="652"/>
      <c r="E38" s="652"/>
      <c r="F38" s="652"/>
    </row>
    <row r="39" spans="2:16" x14ac:dyDescent="0.3">
      <c r="B39" s="760" t="s">
        <v>1035</v>
      </c>
      <c r="C39" s="651" t="s">
        <v>441</v>
      </c>
      <c r="D39" s="764">
        <f>D15/D3*D21-D27</f>
        <v>0</v>
      </c>
      <c r="E39" s="764">
        <f t="shared" ref="E39:F39" si="10">E15/E3*E21-E27</f>
        <v>4.1639891805107396</v>
      </c>
      <c r="F39" s="764">
        <f t="shared" ca="1" si="10"/>
        <v>0</v>
      </c>
    </row>
    <row r="40" spans="2:16" x14ac:dyDescent="0.3">
      <c r="B40" s="760" t="s">
        <v>1036</v>
      </c>
      <c r="C40" s="651" t="s">
        <v>441</v>
      </c>
      <c r="D40" s="652"/>
      <c r="E40" s="652"/>
      <c r="F40" s="652"/>
    </row>
    <row r="41" spans="2:16" x14ac:dyDescent="0.3">
      <c r="B41" s="760"/>
      <c r="C41" s="651"/>
      <c r="D41" s="652"/>
      <c r="E41" s="652"/>
      <c r="F41" s="652"/>
    </row>
    <row r="42" spans="2:16" x14ac:dyDescent="0.3">
      <c r="B42" s="761" t="s">
        <v>1040</v>
      </c>
      <c r="C42" s="651"/>
      <c r="D42" s="652"/>
      <c r="E42" s="652"/>
      <c r="F42" s="652"/>
    </row>
    <row r="43" spans="2:16" x14ac:dyDescent="0.3">
      <c r="B43" s="760" t="s">
        <v>1033</v>
      </c>
      <c r="C43" s="651" t="s">
        <v>441</v>
      </c>
      <c r="D43" s="652"/>
      <c r="E43" s="652"/>
      <c r="F43" s="652"/>
    </row>
    <row r="44" spans="2:16" ht="14" x14ac:dyDescent="0.3">
      <c r="B44" s="760" t="s">
        <v>1034</v>
      </c>
      <c r="C44" s="651" t="s">
        <v>441</v>
      </c>
      <c r="D44" s="652">
        <f>IF(D32&lt;0,MIN(D37,-D32),0)</f>
        <v>0</v>
      </c>
      <c r="E44" s="652">
        <f t="shared" ref="E44:F44" si="11">IF(E32&lt;0,MIN(E37,-E32),0)</f>
        <v>0</v>
      </c>
      <c r="F44" s="652">
        <f t="shared" ca="1" si="11"/>
        <v>0</v>
      </c>
      <c r="I44" s="185" t="s">
        <v>907</v>
      </c>
      <c r="J44" s="33"/>
      <c r="K44" s="14"/>
      <c r="L44" s="14"/>
      <c r="M44" s="14"/>
      <c r="N44" s="14"/>
      <c r="O44" s="14"/>
      <c r="P44" s="14"/>
    </row>
    <row r="45" spans="2:16" ht="56" x14ac:dyDescent="0.3">
      <c r="B45" s="760" t="s">
        <v>1035</v>
      </c>
      <c r="C45" s="651" t="s">
        <v>441</v>
      </c>
      <c r="D45" s="652"/>
      <c r="E45" s="652"/>
      <c r="F45" s="652"/>
      <c r="I45" s="756" t="s">
        <v>908</v>
      </c>
      <c r="J45" s="757" t="s">
        <v>909</v>
      </c>
      <c r="K45" s="757" t="s">
        <v>910</v>
      </c>
      <c r="L45" s="757" t="s">
        <v>911</v>
      </c>
      <c r="M45" s="757" t="s">
        <v>912</v>
      </c>
      <c r="N45" s="757" t="s">
        <v>913</v>
      </c>
      <c r="O45" s="757" t="s">
        <v>914</v>
      </c>
      <c r="P45" s="757" t="s">
        <v>915</v>
      </c>
    </row>
    <row r="46" spans="2:16" ht="15.5" x14ac:dyDescent="0.3">
      <c r="B46" s="760" t="s">
        <v>1036</v>
      </c>
      <c r="C46" s="651" t="s">
        <v>441</v>
      </c>
      <c r="D46" s="652">
        <f>IF(D34&lt;0,MIN(D39,-D34),0)</f>
        <v>0</v>
      </c>
      <c r="E46" s="652">
        <f t="shared" ref="E46:F46" si="12">IF(E34&lt;0,MIN(E39,-E34),0)</f>
        <v>0</v>
      </c>
      <c r="F46" s="652">
        <f t="shared" ca="1" si="12"/>
        <v>0</v>
      </c>
      <c r="I46" s="119" t="s">
        <v>544</v>
      </c>
      <c r="J46" s="491">
        <f>'F2.1'!G30</f>
        <v>2794.8449999999998</v>
      </c>
      <c r="K46" s="753">
        <f>'F2.1'!$G$34</f>
        <v>0.10249999999999999</v>
      </c>
      <c r="L46" s="566">
        <v>0.11546336201113115</v>
      </c>
      <c r="M46" s="491">
        <f>(L46-K46)*J46</f>
        <v>36.230587499999857</v>
      </c>
      <c r="N46" s="808">
        <f>'F2.2'!F157</f>
        <v>4.8227130712860315</v>
      </c>
      <c r="O46" s="491">
        <f>M46*N46/10</f>
        <v>17.472972791662162</v>
      </c>
      <c r="P46" s="755">
        <f>IF(O46&lt;0,2/3,1/3)*O46</f>
        <v>5.8243242638873873</v>
      </c>
    </row>
    <row r="47" spans="2:16" ht="15.5" x14ac:dyDescent="0.3">
      <c r="B47" s="760"/>
      <c r="C47" s="651"/>
      <c r="D47" s="652"/>
      <c r="E47" s="652"/>
      <c r="F47" s="652"/>
      <c r="I47" s="119" t="s">
        <v>545</v>
      </c>
      <c r="J47" s="491">
        <f>'F2.1'!$K$30</f>
        <v>2809.2260000000001</v>
      </c>
      <c r="K47" s="753">
        <f>'F2.1'!$K$34</f>
        <v>0.10249999999999999</v>
      </c>
      <c r="L47" s="566">
        <v>0.11229776457999463</v>
      </c>
      <c r="M47" s="491">
        <f>(L47-K47)*J47</f>
        <v>27.524135000000012</v>
      </c>
      <c r="N47" s="754">
        <f>'F2.2'!J157</f>
        <v>5.4462113463371464</v>
      </c>
      <c r="O47" s="491">
        <f>M47*N47/10</f>
        <v>14.990225633511542</v>
      </c>
      <c r="P47" s="755">
        <f>IF(O47&lt;0,2/3,1/3)*O47</f>
        <v>4.9967418778371808</v>
      </c>
    </row>
    <row r="48" spans="2:16" ht="15.5" x14ac:dyDescent="0.3">
      <c r="B48" s="762" t="s">
        <v>920</v>
      </c>
      <c r="C48" s="651" t="s">
        <v>441</v>
      </c>
      <c r="D48" s="652">
        <f>SUM(D19:D22)-SUM(D25:D28)+SUM(D43:D46)</f>
        <v>52.366486453648861</v>
      </c>
      <c r="E48" s="652">
        <f>SUM(E19:E22)-SUM(E25:E28)+SUM(E43:E46)</f>
        <v>0</v>
      </c>
      <c r="F48" s="652">
        <f t="shared" ref="F48" ca="1" si="13">SUM(F19:F22)-SUM(F25:F28)+SUM(F43:F46)</f>
        <v>29.344896691936754</v>
      </c>
      <c r="I48" s="119"/>
      <c r="J48" s="491"/>
      <c r="K48" s="753"/>
      <c r="L48" s="566"/>
      <c r="M48" s="491"/>
      <c r="N48" s="754"/>
      <c r="O48" s="491"/>
      <c r="P48" s="755"/>
    </row>
    <row r="49" spans="4:16" ht="14" x14ac:dyDescent="0.3">
      <c r="I49" s="119"/>
      <c r="J49" s="491"/>
      <c r="K49" s="411"/>
      <c r="L49" s="119"/>
      <c r="M49" s="119"/>
      <c r="N49" s="119"/>
      <c r="O49" s="119"/>
      <c r="P49" s="119"/>
    </row>
    <row r="57" spans="4:16" x14ac:dyDescent="0.3">
      <c r="D57" s="766"/>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A392"/>
  <sheetViews>
    <sheetView view="pageBreakPreview" zoomScale="80" zoomScaleNormal="80" zoomScaleSheetLayoutView="80" workbookViewId="0">
      <pane xSplit="2" ySplit="7" topLeftCell="C361" activePane="bottomRight" state="frozen"/>
      <selection activeCell="N73" sqref="N73"/>
      <selection pane="topRight" activeCell="N73" sqref="N73"/>
      <selection pane="bottomLeft" activeCell="N73" sqref="N73"/>
      <selection pane="bottomRight" activeCell="A369" sqref="A369"/>
    </sheetView>
  </sheetViews>
  <sheetFormatPr defaultColWidth="9.1796875" defaultRowHeight="14.5" outlineLevelRow="2" outlineLevelCol="1" x14ac:dyDescent="0.25"/>
  <cols>
    <col min="1" max="1" width="5.26953125" style="1340" customWidth="1"/>
    <col min="2" max="2" width="57" style="1319" customWidth="1"/>
    <col min="3" max="3" width="8.81640625" style="1340" customWidth="1" outlineLevel="1"/>
    <col min="4" max="4" width="39" style="1340" customWidth="1" outlineLevel="1"/>
    <col min="5" max="5" width="10.81640625" style="1341" customWidth="1" outlineLevel="1"/>
    <col min="6" max="6" width="10.81640625" style="1342" customWidth="1" outlineLevel="1"/>
    <col min="7" max="7" width="8.1796875" style="1319" customWidth="1" outlineLevel="1"/>
    <col min="8" max="8" width="9.7265625" style="1319" customWidth="1" outlineLevel="1"/>
    <col min="9" max="9" width="8" style="1319" customWidth="1" outlineLevel="1"/>
    <col min="10" max="10" width="7.453125" style="1319" customWidth="1" outlineLevel="1"/>
    <col min="11" max="11" width="9" style="1341" customWidth="1" outlineLevel="1"/>
    <col min="12" max="12" width="8.81640625" style="1343" customWidth="1" outlineLevel="1"/>
    <col min="13" max="13" width="10.7265625" style="1343" customWidth="1" outlineLevel="1"/>
    <col min="14" max="14" width="11" style="1344" customWidth="1" outlineLevel="1"/>
    <col min="15" max="15" width="47.1796875" style="1319" customWidth="1"/>
    <col min="16" max="16" width="11.7265625" style="1518" hidden="1" customWidth="1"/>
    <col min="17" max="18" width="10.1796875" style="1519" hidden="1" customWidth="1"/>
    <col min="19" max="19" width="10.1796875" style="1520" hidden="1" customWidth="1"/>
    <col min="20" max="27" width="10.1796875" style="1520" customWidth="1" outlineLevel="1"/>
    <col min="28" max="28" width="10.1796875" style="1520" customWidth="1"/>
    <col min="29" max="29" width="11.81640625" style="1521" hidden="1" customWidth="1"/>
    <col min="30" max="32" width="8.7265625" style="1521" hidden="1" customWidth="1"/>
    <col min="33" max="40" width="8.7265625" style="1521" customWidth="1" outlineLevel="1"/>
    <col min="41" max="41" width="8.7265625" style="1521" customWidth="1"/>
    <col min="42" max="42" width="12.7265625" style="1522" hidden="1" customWidth="1"/>
    <col min="43" max="45" width="10.1796875" style="1523" hidden="1" customWidth="1"/>
    <col min="46" max="53" width="10.1796875" style="1523" customWidth="1" outlineLevel="1"/>
    <col min="54" max="54" width="10.1796875" style="1523" customWidth="1"/>
    <col min="55" max="55" width="14.26953125" style="1523" customWidth="1"/>
    <col min="56" max="56" width="45" style="1319" customWidth="1"/>
    <col min="57" max="57" width="12.54296875" style="1340" customWidth="1"/>
    <col min="58" max="58" width="12.54296875" style="1319" customWidth="1"/>
    <col min="59" max="59" width="15.453125" style="1319" customWidth="1"/>
    <col min="60" max="60" width="12.54296875" style="1319" customWidth="1"/>
    <col min="61" max="62" width="13.54296875" style="1319" customWidth="1"/>
    <col min="63" max="65" width="9.1796875" style="1319"/>
    <col min="66" max="66" width="11.453125" style="1319" customWidth="1"/>
    <col min="67" max="16384" width="9.1796875" style="1319"/>
  </cols>
  <sheetData>
    <row r="1" spans="1:60" x14ac:dyDescent="0.25">
      <c r="D1" s="1311" t="s">
        <v>1568</v>
      </c>
      <c r="BG1" s="1340" t="s">
        <v>931</v>
      </c>
      <c r="BH1" s="1319" t="s">
        <v>937</v>
      </c>
    </row>
    <row r="2" spans="1:60" x14ac:dyDescent="0.25">
      <c r="D2" s="1314" t="s">
        <v>930</v>
      </c>
      <c r="BG2" s="1340" t="s">
        <v>938</v>
      </c>
      <c r="BH2" s="1319" t="s">
        <v>939</v>
      </c>
    </row>
    <row r="3" spans="1:60" x14ac:dyDescent="0.25">
      <c r="A3" s="1345"/>
      <c r="B3" s="1346" t="s">
        <v>0</v>
      </c>
      <c r="C3" s="1347"/>
      <c r="D3" s="1315" t="s">
        <v>636</v>
      </c>
      <c r="E3" s="1348"/>
      <c r="F3" s="1349"/>
      <c r="G3" s="1350"/>
      <c r="H3" s="1350"/>
      <c r="I3" s="1350"/>
      <c r="J3" s="1350"/>
      <c r="K3" s="1348"/>
      <c r="L3" s="1348"/>
      <c r="M3" s="1348"/>
      <c r="N3" s="1349"/>
      <c r="O3" s="1351"/>
      <c r="P3" s="1524"/>
      <c r="Q3" s="1525"/>
      <c r="R3" s="1525"/>
      <c r="S3" s="1526"/>
      <c r="T3" s="1526"/>
      <c r="U3" s="1526"/>
      <c r="V3" s="1526"/>
      <c r="W3" s="1527" t="s">
        <v>10</v>
      </c>
      <c r="X3" s="1527"/>
      <c r="Y3" s="1527"/>
      <c r="Z3" s="1527"/>
      <c r="AA3" s="1527"/>
      <c r="AB3" s="1527"/>
      <c r="AC3" s="1528"/>
      <c r="AD3" s="1528"/>
      <c r="AE3" s="1528"/>
      <c r="AF3" s="1528"/>
      <c r="AG3" s="1528"/>
      <c r="AH3" s="1528"/>
      <c r="AI3" s="1528"/>
      <c r="AJ3" s="1529"/>
      <c r="AP3" s="1502"/>
      <c r="AQ3" s="1530"/>
      <c r="AR3" s="1531"/>
      <c r="AU3" s="1531"/>
      <c r="AV3" s="1531"/>
      <c r="AW3" s="1532" t="s">
        <v>10</v>
      </c>
      <c r="AX3" s="1532"/>
      <c r="AY3" s="1532"/>
      <c r="AZ3" s="1532"/>
      <c r="BA3" s="1532"/>
      <c r="BB3" s="1532"/>
      <c r="BC3" s="1532"/>
      <c r="BD3" s="1352"/>
      <c r="BE3" s="1353"/>
      <c r="BF3" s="1314"/>
      <c r="BG3" s="1340" t="s">
        <v>413</v>
      </c>
      <c r="BH3" s="1319" t="s">
        <v>1569</v>
      </c>
    </row>
    <row r="4" spans="1:60" ht="15" customHeight="1" x14ac:dyDescent="0.25">
      <c r="A4" s="1897" t="s">
        <v>339</v>
      </c>
      <c r="B4" s="1897" t="s">
        <v>16</v>
      </c>
      <c r="C4" s="1897" t="s">
        <v>931</v>
      </c>
      <c r="D4" s="1897" t="s">
        <v>488</v>
      </c>
      <c r="E4" s="1908" t="s">
        <v>932</v>
      </c>
      <c r="F4" s="1908" t="s">
        <v>489</v>
      </c>
      <c r="G4" s="1897" t="s">
        <v>933</v>
      </c>
      <c r="H4" s="1897" t="s">
        <v>493</v>
      </c>
      <c r="I4" s="1897" t="s">
        <v>19</v>
      </c>
      <c r="J4" s="1897" t="s">
        <v>586</v>
      </c>
      <c r="K4" s="1908" t="s">
        <v>494</v>
      </c>
      <c r="L4" s="1909" t="s">
        <v>495</v>
      </c>
      <c r="M4" s="1909" t="s">
        <v>496</v>
      </c>
      <c r="N4" s="1909" t="s">
        <v>497</v>
      </c>
      <c r="O4" s="1897" t="s">
        <v>17</v>
      </c>
      <c r="P4" s="1915" t="s">
        <v>22</v>
      </c>
      <c r="Q4" s="1916"/>
      <c r="R4" s="1916"/>
      <c r="S4" s="1916"/>
      <c r="T4" s="1916"/>
      <c r="U4" s="1916"/>
      <c r="V4" s="1916"/>
      <c r="W4" s="1916"/>
      <c r="X4" s="1916"/>
      <c r="Y4" s="1916"/>
      <c r="Z4" s="1916"/>
      <c r="AA4" s="1916"/>
      <c r="AB4" s="1917"/>
      <c r="AC4" s="1932" t="s">
        <v>20</v>
      </c>
      <c r="AD4" s="1933"/>
      <c r="AE4" s="1933"/>
      <c r="AF4" s="1933"/>
      <c r="AG4" s="1933"/>
      <c r="AH4" s="1933"/>
      <c r="AI4" s="1933"/>
      <c r="AJ4" s="1933"/>
      <c r="AK4" s="1933"/>
      <c r="AL4" s="1933"/>
      <c r="AM4" s="1933"/>
      <c r="AN4" s="1933"/>
      <c r="AO4" s="1934"/>
      <c r="AP4" s="1915" t="s">
        <v>18</v>
      </c>
      <c r="AQ4" s="1916"/>
      <c r="AR4" s="1916"/>
      <c r="AS4" s="1916"/>
      <c r="AT4" s="1916"/>
      <c r="AU4" s="1916"/>
      <c r="AV4" s="1916"/>
      <c r="AW4" s="1916"/>
      <c r="AX4" s="1916"/>
      <c r="AY4" s="1916"/>
      <c r="AZ4" s="1916"/>
      <c r="BA4" s="1916"/>
      <c r="BB4" s="1917"/>
      <c r="BC4" s="1924" t="s">
        <v>934</v>
      </c>
      <c r="BD4" s="1927" t="s">
        <v>26</v>
      </c>
      <c r="BE4" s="1930" t="s">
        <v>935</v>
      </c>
      <c r="BF4" s="1354"/>
      <c r="BG4" s="1340" t="s">
        <v>940</v>
      </c>
      <c r="BH4" s="1355" t="s">
        <v>941</v>
      </c>
    </row>
    <row r="5" spans="1:60" ht="30" customHeight="1" x14ac:dyDescent="0.25">
      <c r="A5" s="1897"/>
      <c r="B5" s="1897"/>
      <c r="C5" s="1897"/>
      <c r="D5" s="1897"/>
      <c r="E5" s="1908"/>
      <c r="F5" s="1908"/>
      <c r="G5" s="1897"/>
      <c r="H5" s="1897"/>
      <c r="I5" s="1897"/>
      <c r="J5" s="1897"/>
      <c r="K5" s="1908"/>
      <c r="L5" s="1910"/>
      <c r="M5" s="1910"/>
      <c r="N5" s="1910"/>
      <c r="O5" s="1897"/>
      <c r="P5" s="1896" t="s">
        <v>713</v>
      </c>
      <c r="Q5" s="1503" t="s">
        <v>7</v>
      </c>
      <c r="R5" s="1503" t="s">
        <v>7</v>
      </c>
      <c r="S5" s="1503" t="s">
        <v>7</v>
      </c>
      <c r="T5" s="1896" t="s">
        <v>1570</v>
      </c>
      <c r="U5" s="1503" t="s">
        <v>1571</v>
      </c>
      <c r="V5" s="1503" t="s">
        <v>1571</v>
      </c>
      <c r="W5" s="1503" t="s">
        <v>1572</v>
      </c>
      <c r="X5" s="1503" t="s">
        <v>21</v>
      </c>
      <c r="Y5" s="1503" t="s">
        <v>21</v>
      </c>
      <c r="Z5" s="1503" t="s">
        <v>21</v>
      </c>
      <c r="AA5" s="1503" t="s">
        <v>21</v>
      </c>
      <c r="AB5" s="1503" t="s">
        <v>21</v>
      </c>
      <c r="AC5" s="1931" t="s">
        <v>715</v>
      </c>
      <c r="AD5" s="1533" t="s">
        <v>7</v>
      </c>
      <c r="AE5" s="1533" t="s">
        <v>7</v>
      </c>
      <c r="AF5" s="1533" t="s">
        <v>7</v>
      </c>
      <c r="AG5" s="1931" t="s">
        <v>1573</v>
      </c>
      <c r="AH5" s="1533" t="s">
        <v>1571</v>
      </c>
      <c r="AI5" s="1533" t="s">
        <v>1571</v>
      </c>
      <c r="AJ5" s="1533" t="s">
        <v>1572</v>
      </c>
      <c r="AK5" s="1503" t="s">
        <v>21</v>
      </c>
      <c r="AL5" s="1503" t="s">
        <v>21</v>
      </c>
      <c r="AM5" s="1503" t="s">
        <v>21</v>
      </c>
      <c r="AN5" s="1503" t="s">
        <v>21</v>
      </c>
      <c r="AO5" s="1503" t="s">
        <v>21</v>
      </c>
      <c r="AP5" s="1896" t="s">
        <v>716</v>
      </c>
      <c r="AQ5" s="1503" t="s">
        <v>7</v>
      </c>
      <c r="AR5" s="1503" t="s">
        <v>7</v>
      </c>
      <c r="AS5" s="1503" t="s">
        <v>7</v>
      </c>
      <c r="AT5" s="1896" t="s">
        <v>1574</v>
      </c>
      <c r="AU5" s="1503" t="s">
        <v>7</v>
      </c>
      <c r="AV5" s="1503" t="s">
        <v>7</v>
      </c>
      <c r="AW5" s="1534" t="s">
        <v>21</v>
      </c>
      <c r="AX5" s="1503" t="s">
        <v>21</v>
      </c>
      <c r="AY5" s="1503" t="s">
        <v>21</v>
      </c>
      <c r="AZ5" s="1503" t="s">
        <v>21</v>
      </c>
      <c r="BA5" s="1503" t="s">
        <v>21</v>
      </c>
      <c r="BB5" s="1503" t="s">
        <v>21</v>
      </c>
      <c r="BC5" s="1925"/>
      <c r="BD5" s="1928"/>
      <c r="BE5" s="1930"/>
      <c r="BF5" s="1354"/>
      <c r="BH5" s="1355" t="s">
        <v>942</v>
      </c>
    </row>
    <row r="6" spans="1:60" ht="29" x14ac:dyDescent="0.25">
      <c r="A6" s="1897"/>
      <c r="B6" s="1897"/>
      <c r="C6" s="1897"/>
      <c r="D6" s="1897"/>
      <c r="E6" s="1908"/>
      <c r="F6" s="1908"/>
      <c r="G6" s="1897"/>
      <c r="H6" s="1897"/>
      <c r="I6" s="1897"/>
      <c r="J6" s="1897"/>
      <c r="K6" s="1908"/>
      <c r="L6" s="1911"/>
      <c r="M6" s="1911"/>
      <c r="N6" s="1911"/>
      <c r="O6" s="1897"/>
      <c r="P6" s="1896"/>
      <c r="Q6" s="1503" t="s">
        <v>324</v>
      </c>
      <c r="R6" s="1503" t="s">
        <v>504</v>
      </c>
      <c r="S6" s="1503" t="s">
        <v>505</v>
      </c>
      <c r="T6" s="1896"/>
      <c r="U6" s="1503" t="s">
        <v>506</v>
      </c>
      <c r="V6" s="1503" t="s">
        <v>507</v>
      </c>
      <c r="W6" s="1503" t="s">
        <v>508</v>
      </c>
      <c r="X6" s="1503" t="s">
        <v>968</v>
      </c>
      <c r="Y6" s="1503" t="s">
        <v>969</v>
      </c>
      <c r="Z6" s="1503" t="s">
        <v>970</v>
      </c>
      <c r="AA6" s="1503" t="s">
        <v>971</v>
      </c>
      <c r="AB6" s="1503" t="s">
        <v>972</v>
      </c>
      <c r="AC6" s="1931"/>
      <c r="AD6" s="1533" t="s">
        <v>324</v>
      </c>
      <c r="AE6" s="1533" t="s">
        <v>504</v>
      </c>
      <c r="AF6" s="1533" t="s">
        <v>505</v>
      </c>
      <c r="AG6" s="1931"/>
      <c r="AH6" s="1533" t="s">
        <v>506</v>
      </c>
      <c r="AI6" s="1533" t="s">
        <v>507</v>
      </c>
      <c r="AJ6" s="1533" t="s">
        <v>508</v>
      </c>
      <c r="AK6" s="1503" t="s">
        <v>968</v>
      </c>
      <c r="AL6" s="1503" t="s">
        <v>969</v>
      </c>
      <c r="AM6" s="1503" t="s">
        <v>970</v>
      </c>
      <c r="AN6" s="1503" t="s">
        <v>971</v>
      </c>
      <c r="AO6" s="1503" t="s">
        <v>972</v>
      </c>
      <c r="AP6" s="1896"/>
      <c r="AQ6" s="1503" t="s">
        <v>324</v>
      </c>
      <c r="AR6" s="1503" t="s">
        <v>504</v>
      </c>
      <c r="AS6" s="1503" t="s">
        <v>505</v>
      </c>
      <c r="AT6" s="1896"/>
      <c r="AU6" s="1503" t="s">
        <v>506</v>
      </c>
      <c r="AV6" s="1503" t="s">
        <v>507</v>
      </c>
      <c r="AW6" s="1503" t="s">
        <v>508</v>
      </c>
      <c r="AX6" s="1503" t="s">
        <v>968</v>
      </c>
      <c r="AY6" s="1503" t="s">
        <v>969</v>
      </c>
      <c r="AZ6" s="1503" t="s">
        <v>970</v>
      </c>
      <c r="BA6" s="1503" t="s">
        <v>971</v>
      </c>
      <c r="BB6" s="1503" t="s">
        <v>972</v>
      </c>
      <c r="BC6" s="1926"/>
      <c r="BD6" s="1929"/>
      <c r="BE6" s="1930"/>
      <c r="BF6" s="1354"/>
      <c r="BH6" s="1355" t="s">
        <v>943</v>
      </c>
    </row>
    <row r="7" spans="1:60" x14ac:dyDescent="0.25">
      <c r="A7" s="1321"/>
      <c r="B7" s="1321"/>
      <c r="C7" s="1321"/>
      <c r="D7" s="1321"/>
      <c r="E7" s="1356"/>
      <c r="F7" s="1356"/>
      <c r="G7" s="1321"/>
      <c r="H7" s="1321"/>
      <c r="I7" s="1321"/>
      <c r="J7" s="1321"/>
      <c r="K7" s="1356"/>
      <c r="L7" s="1356"/>
      <c r="M7" s="1356"/>
      <c r="N7" s="1356"/>
      <c r="O7" s="1321"/>
      <c r="P7" s="1535"/>
      <c r="Q7" s="1536"/>
      <c r="R7" s="1536"/>
      <c r="S7" s="1535"/>
      <c r="T7" s="1535"/>
      <c r="U7" s="1535"/>
      <c r="V7" s="1535"/>
      <c r="W7" s="1535"/>
      <c r="X7" s="1535"/>
      <c r="Y7" s="1535"/>
      <c r="Z7" s="1535"/>
      <c r="AA7" s="1535"/>
      <c r="AB7" s="1535"/>
      <c r="AC7" s="1537"/>
      <c r="AD7" s="1537"/>
      <c r="AE7" s="1537"/>
      <c r="AF7" s="1537"/>
      <c r="AG7" s="1537"/>
      <c r="AH7" s="1537"/>
      <c r="AI7" s="1537"/>
      <c r="AJ7" s="1537"/>
      <c r="AK7" s="1537"/>
      <c r="AL7" s="1537"/>
      <c r="AM7" s="1537"/>
      <c r="AN7" s="1537"/>
      <c r="AO7" s="1537"/>
      <c r="AP7" s="1535"/>
      <c r="AQ7" s="1535"/>
      <c r="AR7" s="1535"/>
      <c r="AS7" s="1535"/>
      <c r="AT7" s="1535"/>
      <c r="AU7" s="1535"/>
      <c r="AV7" s="1535"/>
      <c r="AW7" s="1535"/>
      <c r="AX7" s="1535"/>
      <c r="AY7" s="1535"/>
      <c r="AZ7" s="1535"/>
      <c r="BA7" s="1535"/>
      <c r="BB7" s="1535"/>
      <c r="BC7" s="1535"/>
      <c r="BD7" s="1321"/>
      <c r="BE7" s="1357" t="s">
        <v>936</v>
      </c>
      <c r="BH7" s="1355" t="s">
        <v>936</v>
      </c>
    </row>
    <row r="8" spans="1:60" ht="18.5" x14ac:dyDescent="0.25">
      <c r="A8" s="1339" t="s">
        <v>171</v>
      </c>
      <c r="B8" s="1339" t="s">
        <v>1575</v>
      </c>
      <c r="C8" s="1358"/>
      <c r="D8" s="1358"/>
      <c r="E8" s="1359"/>
      <c r="F8" s="1360"/>
      <c r="G8" s="1361"/>
      <c r="H8" s="1361"/>
      <c r="I8" s="1361"/>
      <c r="J8" s="1361"/>
      <c r="K8" s="1359"/>
      <c r="L8" s="1362"/>
      <c r="M8" s="1362"/>
      <c r="N8" s="1363"/>
      <c r="O8" s="1361"/>
      <c r="P8" s="1538"/>
      <c r="Q8" s="1539"/>
      <c r="R8" s="1539"/>
      <c r="S8" s="1540"/>
      <c r="T8" s="1540"/>
      <c r="U8" s="1540"/>
      <c r="V8" s="1540"/>
      <c r="W8" s="1540"/>
      <c r="X8" s="1540"/>
      <c r="Y8" s="1540"/>
      <c r="Z8" s="1540"/>
      <c r="AA8" s="1540"/>
      <c r="AB8" s="1540"/>
      <c r="AC8" s="1541"/>
      <c r="AD8" s="1541"/>
      <c r="AE8" s="1541"/>
      <c r="AF8" s="1541"/>
      <c r="AG8" s="1541"/>
      <c r="AH8" s="1541"/>
      <c r="AI8" s="1541"/>
      <c r="AJ8" s="1541"/>
      <c r="AK8" s="1541"/>
      <c r="AL8" s="1541"/>
      <c r="AM8" s="1541"/>
      <c r="AN8" s="1541"/>
      <c r="AO8" s="1541"/>
      <c r="AP8" s="1538"/>
      <c r="AQ8" s="1542"/>
      <c r="AR8" s="1542"/>
      <c r="AS8" s="1542"/>
      <c r="AT8" s="1542"/>
      <c r="AU8" s="1542"/>
      <c r="AV8" s="1542"/>
      <c r="AW8" s="1542"/>
      <c r="AX8" s="1542"/>
      <c r="AY8" s="1542"/>
      <c r="AZ8" s="1542"/>
      <c r="BA8" s="1542"/>
      <c r="BB8" s="1542"/>
      <c r="BC8" s="1542"/>
      <c r="BD8" s="1361"/>
      <c r="BE8" s="1358" t="s">
        <v>936</v>
      </c>
      <c r="BH8" s="1355" t="s">
        <v>944</v>
      </c>
    </row>
    <row r="9" spans="1:60" x14ac:dyDescent="0.25">
      <c r="A9" s="1364"/>
      <c r="B9" s="1328" t="s">
        <v>1576</v>
      </c>
      <c r="C9" s="1358"/>
      <c r="D9" s="1319"/>
      <c r="E9" s="1359"/>
      <c r="F9" s="1360"/>
      <c r="G9" s="1361"/>
      <c r="H9" s="1361"/>
      <c r="I9" s="1361"/>
      <c r="J9" s="1361"/>
      <c r="K9" s="1359"/>
      <c r="L9" s="1362"/>
      <c r="M9" s="1362"/>
      <c r="N9" s="1363"/>
      <c r="O9" s="1361"/>
      <c r="P9" s="1538"/>
      <c r="Q9" s="1539"/>
      <c r="R9" s="1539"/>
      <c r="S9" s="1540"/>
      <c r="T9" s="1540"/>
      <c r="U9" s="1540"/>
      <c r="V9" s="1540"/>
      <c r="W9" s="1540"/>
      <c r="X9" s="1540"/>
      <c r="Y9" s="1540"/>
      <c r="Z9" s="1540"/>
      <c r="AA9" s="1540"/>
      <c r="AB9" s="1540"/>
      <c r="AC9" s="1541"/>
      <c r="AD9" s="1541"/>
      <c r="AE9" s="1541"/>
      <c r="AF9" s="1541"/>
      <c r="AG9" s="1541"/>
      <c r="AH9" s="1541"/>
      <c r="AI9" s="1541"/>
      <c r="AJ9" s="1541"/>
      <c r="AK9" s="1541"/>
      <c r="AL9" s="1541"/>
      <c r="AM9" s="1541"/>
      <c r="AN9" s="1541"/>
      <c r="AO9" s="1541"/>
      <c r="AP9" s="1538"/>
      <c r="AQ9" s="1542"/>
      <c r="AR9" s="1542"/>
      <c r="AS9" s="1542"/>
      <c r="AT9" s="1542"/>
      <c r="AU9" s="1542"/>
      <c r="AV9" s="1542"/>
      <c r="AW9" s="1542"/>
      <c r="AX9" s="1542"/>
      <c r="AY9" s="1542"/>
      <c r="AZ9" s="1542"/>
      <c r="BA9" s="1542"/>
      <c r="BB9" s="1542"/>
      <c r="BC9" s="1542"/>
      <c r="BD9" s="1361"/>
      <c r="BE9" s="1358" t="s">
        <v>936</v>
      </c>
      <c r="BH9" s="1355"/>
    </row>
    <row r="10" spans="1:60" s="1370" customFormat="1" ht="72.5" outlineLevel="1" x14ac:dyDescent="0.25">
      <c r="A10" s="1543">
        <v>6</v>
      </c>
      <c r="B10" s="1544" t="s">
        <v>1577</v>
      </c>
      <c r="C10" s="1543" t="s">
        <v>931</v>
      </c>
      <c r="D10" s="1543" t="s">
        <v>1578</v>
      </c>
      <c r="E10" s="1545">
        <v>41316</v>
      </c>
      <c r="F10" s="1546">
        <v>41421</v>
      </c>
      <c r="G10" s="1330">
        <v>199.86</v>
      </c>
      <c r="H10" s="1330">
        <v>199.86</v>
      </c>
      <c r="I10" s="1365"/>
      <c r="J10" s="1365"/>
      <c r="K10" s="1366"/>
      <c r="L10" s="1367"/>
      <c r="M10" s="1367"/>
      <c r="N10" s="1368"/>
      <c r="O10" s="1365"/>
      <c r="P10" s="1547">
        <v>142</v>
      </c>
      <c r="Q10" s="1548">
        <v>0</v>
      </c>
      <c r="R10" s="1548">
        <v>0</v>
      </c>
      <c r="S10" s="1547">
        <v>0</v>
      </c>
      <c r="T10" s="1547">
        <f>SUM(P10:S10)</f>
        <v>142</v>
      </c>
      <c r="U10" s="1549"/>
      <c r="V10" s="1549"/>
      <c r="W10" s="1549"/>
      <c r="X10" s="1549"/>
      <c r="Y10" s="1549"/>
      <c r="Z10" s="1549"/>
      <c r="AA10" s="1549"/>
      <c r="AB10" s="1549"/>
      <c r="AC10" s="1550"/>
      <c r="AD10" s="1550"/>
      <c r="AE10" s="1550"/>
      <c r="AF10" s="1550"/>
      <c r="AG10" s="1550">
        <f>SUM(AC10:AF10)</f>
        <v>0</v>
      </c>
      <c r="AH10" s="1551"/>
      <c r="AI10" s="1551"/>
      <c r="AJ10" s="1551"/>
      <c r="AK10" s="1551"/>
      <c r="AL10" s="1551"/>
      <c r="AM10" s="1551"/>
      <c r="AN10" s="1551"/>
      <c r="AO10" s="1551"/>
      <c r="AP10" s="1547">
        <v>0</v>
      </c>
      <c r="AQ10" s="1547">
        <v>0</v>
      </c>
      <c r="AR10" s="1547">
        <v>0</v>
      </c>
      <c r="AS10" s="1547">
        <v>0</v>
      </c>
      <c r="AT10" s="1547">
        <f>SUM(AP10:AS10)</f>
        <v>0</v>
      </c>
      <c r="AU10" s="1552"/>
      <c r="AV10" s="1552"/>
      <c r="AW10" s="1547"/>
      <c r="AX10" s="1547"/>
      <c r="AY10" s="1547"/>
      <c r="AZ10" s="1547"/>
      <c r="BA10" s="1547"/>
      <c r="BB10" s="1547"/>
      <c r="BC10" s="1369"/>
      <c r="BD10" s="1369" t="s">
        <v>1579</v>
      </c>
      <c r="BE10" s="1553" t="s">
        <v>939</v>
      </c>
      <c r="BF10" s="1554">
        <f>IF(C10="Scheme",IF(SUM(AQ10:AW10)&gt;0,IF(H10&lt;#REF!,H10-#REF!,0),0),0)</f>
        <v>0</v>
      </c>
      <c r="BH10" s="1371"/>
    </row>
    <row r="11" spans="1:60" s="1370" customFormat="1" ht="29" outlineLevel="1" x14ac:dyDescent="0.25">
      <c r="A11" s="1543">
        <v>9</v>
      </c>
      <c r="B11" s="1544" t="s">
        <v>1580</v>
      </c>
      <c r="C11" s="1543" t="s">
        <v>931</v>
      </c>
      <c r="D11" s="1543" t="s">
        <v>1581</v>
      </c>
      <c r="E11" s="1545">
        <v>41676</v>
      </c>
      <c r="F11" s="1546">
        <v>41779</v>
      </c>
      <c r="G11" s="1330">
        <f>SUM(G12:G12)</f>
        <v>22.059060828</v>
      </c>
      <c r="H11" s="1330">
        <f>SUM(H12:H12)</f>
        <v>22.059060828</v>
      </c>
      <c r="I11" s="1365"/>
      <c r="J11" s="1365"/>
      <c r="K11" s="1366">
        <f>IF(F11=0,"-",F11)</f>
        <v>41779</v>
      </c>
      <c r="L11" s="1367"/>
      <c r="M11" s="1367"/>
      <c r="N11" s="1368"/>
      <c r="O11" s="1365"/>
      <c r="P11" s="1547"/>
      <c r="Q11" s="1548"/>
      <c r="R11" s="1548"/>
      <c r="S11" s="1547"/>
      <c r="T11" s="1547">
        <f t="shared" ref="T11:T74" si="0">SUM(P11:S11)</f>
        <v>0</v>
      </c>
      <c r="U11" s="1555"/>
      <c r="V11" s="1555"/>
      <c r="W11" s="1555"/>
      <c r="X11" s="1555"/>
      <c r="Y11" s="1555"/>
      <c r="Z11" s="1555"/>
      <c r="AA11" s="1555"/>
      <c r="AB11" s="1555"/>
      <c r="AC11" s="1550"/>
      <c r="AD11" s="1550"/>
      <c r="AE11" s="1550"/>
      <c r="AF11" s="1550"/>
      <c r="AG11" s="1550">
        <f t="shared" ref="AG11:AG74" si="1">SUM(AC11:AF11)</f>
        <v>0</v>
      </c>
      <c r="AH11" s="1556"/>
      <c r="AI11" s="1556"/>
      <c r="AJ11" s="1556"/>
      <c r="AK11" s="1556"/>
      <c r="AL11" s="1556"/>
      <c r="AM11" s="1556"/>
      <c r="AN11" s="1556"/>
      <c r="AO11" s="1556"/>
      <c r="AP11" s="1547"/>
      <c r="AQ11" s="1547"/>
      <c r="AR11" s="1547"/>
      <c r="AS11" s="1547"/>
      <c r="AT11" s="1547">
        <f t="shared" ref="AT11:AT74" si="2">SUM(AP11:AS11)</f>
        <v>0</v>
      </c>
      <c r="AU11" s="1555"/>
      <c r="AV11" s="1555"/>
      <c r="AW11" s="1547"/>
      <c r="AX11" s="1547"/>
      <c r="AY11" s="1547"/>
      <c r="AZ11" s="1547"/>
      <c r="BA11" s="1547"/>
      <c r="BB11" s="1547"/>
      <c r="BC11" s="1365"/>
      <c r="BD11" s="1365"/>
      <c r="BE11" s="1553" t="s">
        <v>936</v>
      </c>
      <c r="BF11" s="1554">
        <f>IF(C11="Scheme",IF(SUM(AQ11:AW11)&gt;0,IF(H11&lt;#REF!,H11-#REF!,0),0),0)</f>
        <v>0</v>
      </c>
      <c r="BH11" s="1371"/>
    </row>
    <row r="12" spans="1:60" s="1370" customFormat="1" ht="15" customHeight="1" outlineLevel="1" x14ac:dyDescent="0.25">
      <c r="A12" s="1557">
        <v>9.1</v>
      </c>
      <c r="B12" s="1558" t="s">
        <v>1582</v>
      </c>
      <c r="C12" s="1559" t="s">
        <v>938</v>
      </c>
      <c r="D12" s="1557" t="str">
        <f>D11</f>
        <v>MERC/TECH 1/CAPEX/20142015/00362</v>
      </c>
      <c r="E12" s="1560">
        <f>E11</f>
        <v>41676</v>
      </c>
      <c r="F12" s="1366">
        <f t="shared" ref="F12:F15" si="3">IF(F11=0,"-",F11)</f>
        <v>41779</v>
      </c>
      <c r="G12" s="1372">
        <v>22.059060828</v>
      </c>
      <c r="H12" s="1372">
        <v>22.059060828</v>
      </c>
      <c r="I12" s="1365"/>
      <c r="J12" s="1365"/>
      <c r="K12" s="1366">
        <f t="shared" ref="K12:K75" si="4">IF(F12=0,"-",F12)</f>
        <v>41779</v>
      </c>
      <c r="L12" s="1373"/>
      <c r="M12" s="1373"/>
      <c r="N12" s="1374">
        <v>41476</v>
      </c>
      <c r="O12" s="1918" t="s">
        <v>1583</v>
      </c>
      <c r="P12" s="1561">
        <v>21.53</v>
      </c>
      <c r="Q12" s="1562"/>
      <c r="R12" s="1562"/>
      <c r="S12" s="1563"/>
      <c r="T12" s="1547">
        <f t="shared" si="0"/>
        <v>21.53</v>
      </c>
      <c r="U12" s="1564"/>
      <c r="V12" s="1564"/>
      <c r="W12" s="1564"/>
      <c r="X12" s="1564"/>
      <c r="Y12" s="1564"/>
      <c r="Z12" s="1564"/>
      <c r="AA12" s="1564"/>
      <c r="AB12" s="1564"/>
      <c r="AC12" s="1550">
        <v>1</v>
      </c>
      <c r="AD12" s="1550"/>
      <c r="AE12" s="1550"/>
      <c r="AF12" s="1550"/>
      <c r="AG12" s="1550">
        <f t="shared" si="1"/>
        <v>1</v>
      </c>
      <c r="AH12" s="1556"/>
      <c r="AI12" s="1556"/>
      <c r="AJ12" s="1556"/>
      <c r="AK12" s="1556"/>
      <c r="AL12" s="1556"/>
      <c r="AM12" s="1556"/>
      <c r="AN12" s="1556"/>
      <c r="AO12" s="1556"/>
      <c r="AP12" s="1561">
        <v>21.53</v>
      </c>
      <c r="AQ12" s="1565"/>
      <c r="AR12" s="1565"/>
      <c r="AS12" s="1565"/>
      <c r="AT12" s="1547">
        <f t="shared" si="2"/>
        <v>21.53</v>
      </c>
      <c r="AU12" s="1566"/>
      <c r="AV12" s="1566"/>
      <c r="AW12" s="1565"/>
      <c r="AX12" s="1565"/>
      <c r="AY12" s="1565"/>
      <c r="AZ12" s="1565"/>
      <c r="BA12" s="1565"/>
      <c r="BB12" s="1565"/>
      <c r="BC12" s="1365"/>
      <c r="BD12" s="1365" t="s">
        <v>1584</v>
      </c>
      <c r="BE12" s="1553" t="s">
        <v>941</v>
      </c>
      <c r="BF12" s="1554" t="e">
        <f>IF(C12="Scheme",IF(SUM(AQ12:AW12)&gt;0,IF(H12&lt;#REF!,H12-#REF!,0),0),0)</f>
        <v>#REF!</v>
      </c>
      <c r="BH12" s="1371"/>
    </row>
    <row r="13" spans="1:60" s="1370" customFormat="1" ht="15" customHeight="1" outlineLevel="1" x14ac:dyDescent="0.25">
      <c r="A13" s="1557">
        <v>9.1999999999999993</v>
      </c>
      <c r="B13" s="1558" t="s">
        <v>1585</v>
      </c>
      <c r="C13" s="1559" t="s">
        <v>938</v>
      </c>
      <c r="D13" s="1557" t="str">
        <f t="shared" ref="D13:E15" si="5">D12</f>
        <v>MERC/TECH 1/CAPEX/20142015/00362</v>
      </c>
      <c r="E13" s="1560">
        <f t="shared" si="5"/>
        <v>41676</v>
      </c>
      <c r="F13" s="1366">
        <f t="shared" si="3"/>
        <v>41779</v>
      </c>
      <c r="G13" s="1372">
        <v>21.359824199999998</v>
      </c>
      <c r="H13" s="1372">
        <v>21.359824199999998</v>
      </c>
      <c r="I13" s="1365"/>
      <c r="J13" s="1365"/>
      <c r="K13" s="1366">
        <f t="shared" si="4"/>
        <v>41779</v>
      </c>
      <c r="L13" s="1373"/>
      <c r="M13" s="1373"/>
      <c r="N13" s="1374">
        <v>41805</v>
      </c>
      <c r="O13" s="1919"/>
      <c r="P13" s="1561">
        <v>20.62</v>
      </c>
      <c r="Q13" s="1562"/>
      <c r="R13" s="1562"/>
      <c r="S13" s="1563"/>
      <c r="T13" s="1547">
        <f t="shared" si="0"/>
        <v>20.62</v>
      </c>
      <c r="U13" s="1564"/>
      <c r="V13" s="1564"/>
      <c r="W13" s="1564"/>
      <c r="X13" s="1564"/>
      <c r="Y13" s="1564"/>
      <c r="Z13" s="1564"/>
      <c r="AA13" s="1564"/>
      <c r="AB13" s="1564"/>
      <c r="AC13" s="1550">
        <v>1</v>
      </c>
      <c r="AD13" s="1550"/>
      <c r="AE13" s="1550"/>
      <c r="AF13" s="1550"/>
      <c r="AG13" s="1550">
        <f t="shared" si="1"/>
        <v>1</v>
      </c>
      <c r="AH13" s="1556"/>
      <c r="AI13" s="1556"/>
      <c r="AJ13" s="1556"/>
      <c r="AK13" s="1556"/>
      <c r="AL13" s="1556"/>
      <c r="AM13" s="1556"/>
      <c r="AN13" s="1556"/>
      <c r="AO13" s="1556"/>
      <c r="AP13" s="1561">
        <v>20.62</v>
      </c>
      <c r="AQ13" s="1565"/>
      <c r="AR13" s="1565"/>
      <c r="AS13" s="1565"/>
      <c r="AT13" s="1547">
        <f t="shared" si="2"/>
        <v>20.62</v>
      </c>
      <c r="AU13" s="1566"/>
      <c r="AV13" s="1566"/>
      <c r="AW13" s="1565"/>
      <c r="AX13" s="1565"/>
      <c r="AY13" s="1565"/>
      <c r="AZ13" s="1565"/>
      <c r="BA13" s="1565"/>
      <c r="BB13" s="1565"/>
      <c r="BC13" s="1365"/>
      <c r="BD13" s="1365" t="s">
        <v>1584</v>
      </c>
      <c r="BE13" s="1553" t="s">
        <v>941</v>
      </c>
      <c r="BF13" s="1554" t="e">
        <f>IF(C13="Scheme",IF(SUM(AQ13:AW13)&gt;0,IF(H13&lt;#REF!,H13-#REF!,0),0),0)</f>
        <v>#REF!</v>
      </c>
      <c r="BH13" s="1371"/>
    </row>
    <row r="14" spans="1:60" s="1370" customFormat="1" ht="15" customHeight="1" outlineLevel="1" x14ac:dyDescent="0.25">
      <c r="A14" s="1557">
        <v>9.3000000000000007</v>
      </c>
      <c r="B14" s="1558" t="s">
        <v>1586</v>
      </c>
      <c r="C14" s="1559" t="s">
        <v>938</v>
      </c>
      <c r="D14" s="1557" t="str">
        <f t="shared" si="5"/>
        <v>MERC/TECH 1/CAPEX/20142015/00362</v>
      </c>
      <c r="E14" s="1560">
        <f t="shared" si="5"/>
        <v>41676</v>
      </c>
      <c r="F14" s="1366">
        <f t="shared" si="3"/>
        <v>41779</v>
      </c>
      <c r="G14" s="1372">
        <v>38.724661685000001</v>
      </c>
      <c r="H14" s="1372">
        <v>38.724661685000001</v>
      </c>
      <c r="I14" s="1365"/>
      <c r="J14" s="1365"/>
      <c r="K14" s="1366">
        <f t="shared" si="4"/>
        <v>41779</v>
      </c>
      <c r="L14" s="1373"/>
      <c r="M14" s="1373"/>
      <c r="N14" s="1375">
        <v>40303</v>
      </c>
      <c r="O14" s="1919"/>
      <c r="P14" s="1561">
        <v>38.72</v>
      </c>
      <c r="Q14" s="1563"/>
      <c r="R14" s="1563"/>
      <c r="S14" s="1563"/>
      <c r="T14" s="1547">
        <f t="shared" si="0"/>
        <v>38.72</v>
      </c>
      <c r="U14" s="1564"/>
      <c r="V14" s="1564"/>
      <c r="W14" s="1564"/>
      <c r="X14" s="1564"/>
      <c r="Y14" s="1564"/>
      <c r="Z14" s="1564"/>
      <c r="AA14" s="1564"/>
      <c r="AB14" s="1564"/>
      <c r="AC14" s="1550">
        <v>1</v>
      </c>
      <c r="AD14" s="1550"/>
      <c r="AE14" s="1550"/>
      <c r="AF14" s="1550"/>
      <c r="AG14" s="1550">
        <f t="shared" si="1"/>
        <v>1</v>
      </c>
      <c r="AH14" s="1556"/>
      <c r="AI14" s="1556"/>
      <c r="AJ14" s="1556"/>
      <c r="AK14" s="1556"/>
      <c r="AL14" s="1556"/>
      <c r="AM14" s="1556"/>
      <c r="AN14" s="1556"/>
      <c r="AO14" s="1556"/>
      <c r="AP14" s="1561">
        <v>38.72</v>
      </c>
      <c r="AQ14" s="1565"/>
      <c r="AR14" s="1565"/>
      <c r="AS14" s="1565"/>
      <c r="AT14" s="1547">
        <f t="shared" si="2"/>
        <v>38.72</v>
      </c>
      <c r="AU14" s="1566"/>
      <c r="AV14" s="1566"/>
      <c r="AW14" s="1565"/>
      <c r="AX14" s="1565"/>
      <c r="AY14" s="1565"/>
      <c r="AZ14" s="1565"/>
      <c r="BA14" s="1565"/>
      <c r="BB14" s="1565"/>
      <c r="BC14" s="1365"/>
      <c r="BD14" s="1365" t="s">
        <v>1584</v>
      </c>
      <c r="BE14" s="1553" t="s">
        <v>941</v>
      </c>
      <c r="BF14" s="1554" t="e">
        <f>IF(C14="Scheme",IF(SUM(AQ14:AW14)&gt;0,IF(H14&lt;#REF!,H14-#REF!,0),0),0)</f>
        <v>#REF!</v>
      </c>
      <c r="BH14" s="1371"/>
    </row>
    <row r="15" spans="1:60" s="1370" customFormat="1" ht="15.5" outlineLevel="1" x14ac:dyDescent="0.25">
      <c r="A15" s="1557"/>
      <c r="B15" s="1558" t="s">
        <v>413</v>
      </c>
      <c r="C15" s="1559" t="s">
        <v>413</v>
      </c>
      <c r="D15" s="1557" t="str">
        <f t="shared" si="5"/>
        <v>MERC/TECH 1/CAPEX/20142015/00362</v>
      </c>
      <c r="E15" s="1560">
        <f t="shared" si="5"/>
        <v>41676</v>
      </c>
      <c r="F15" s="1366">
        <f t="shared" si="3"/>
        <v>41779</v>
      </c>
      <c r="G15" s="1372">
        <v>0</v>
      </c>
      <c r="H15" s="1372">
        <v>0</v>
      </c>
      <c r="I15" s="1365"/>
      <c r="J15" s="1365"/>
      <c r="K15" s="1366">
        <f t="shared" si="4"/>
        <v>41779</v>
      </c>
      <c r="L15" s="1367"/>
      <c r="M15" s="1367"/>
      <c r="N15" s="1368"/>
      <c r="O15" s="1376"/>
      <c r="P15" s="1561">
        <v>0</v>
      </c>
      <c r="Q15" s="1563"/>
      <c r="R15" s="1563"/>
      <c r="S15" s="1563"/>
      <c r="T15" s="1547">
        <f t="shared" si="0"/>
        <v>0</v>
      </c>
      <c r="U15" s="1564"/>
      <c r="V15" s="1564"/>
      <c r="W15" s="1564"/>
      <c r="X15" s="1564"/>
      <c r="Y15" s="1564"/>
      <c r="Z15" s="1564"/>
      <c r="AA15" s="1564"/>
      <c r="AB15" s="1564"/>
      <c r="AC15" s="1550"/>
      <c r="AD15" s="1550"/>
      <c r="AE15" s="1550"/>
      <c r="AF15" s="1550"/>
      <c r="AG15" s="1550">
        <f t="shared" si="1"/>
        <v>0</v>
      </c>
      <c r="AH15" s="1556"/>
      <c r="AI15" s="1556"/>
      <c r="AJ15" s="1556"/>
      <c r="AK15" s="1556"/>
      <c r="AL15" s="1556"/>
      <c r="AM15" s="1556"/>
      <c r="AN15" s="1556"/>
      <c r="AO15" s="1556"/>
      <c r="AP15" s="1561"/>
      <c r="AQ15" s="1565"/>
      <c r="AR15" s="1565"/>
      <c r="AS15" s="1565"/>
      <c r="AT15" s="1547">
        <f t="shared" si="2"/>
        <v>0</v>
      </c>
      <c r="AU15" s="1566"/>
      <c r="AV15" s="1566"/>
      <c r="AW15" s="1565"/>
      <c r="AX15" s="1565"/>
      <c r="AY15" s="1565"/>
      <c r="AZ15" s="1565"/>
      <c r="BA15" s="1565"/>
      <c r="BB15" s="1565"/>
      <c r="BC15" s="1365"/>
      <c r="BD15" s="1365"/>
      <c r="BE15" s="1553" t="s">
        <v>936</v>
      </c>
      <c r="BF15" s="1554">
        <f>IF(C15="Scheme",IF(SUM(AQ15:AW15)&gt;0,IF(H15&lt;#REF!,H15-#REF!,0),0),0)</f>
        <v>0</v>
      </c>
      <c r="BH15" s="1371"/>
    </row>
    <row r="16" spans="1:60" s="1370" customFormat="1" ht="29" outlineLevel="1" x14ac:dyDescent="0.25">
      <c r="A16" s="1543">
        <v>10</v>
      </c>
      <c r="B16" s="1544" t="s">
        <v>1587</v>
      </c>
      <c r="C16" s="1543" t="s">
        <v>931</v>
      </c>
      <c r="D16" s="1543" t="s">
        <v>1588</v>
      </c>
      <c r="E16" s="1545">
        <v>41676</v>
      </c>
      <c r="F16" s="1546">
        <v>41913</v>
      </c>
      <c r="G16" s="1330">
        <f>SUM(G17:G17)</f>
        <v>11.32</v>
      </c>
      <c r="H16" s="1330">
        <f>SUM(H17:H17)</f>
        <v>11.32</v>
      </c>
      <c r="I16" s="1365"/>
      <c r="J16" s="1365"/>
      <c r="K16" s="1366">
        <f t="shared" si="4"/>
        <v>41913</v>
      </c>
      <c r="L16" s="1367"/>
      <c r="M16" s="1367"/>
      <c r="N16" s="1368"/>
      <c r="O16" s="1365"/>
      <c r="P16" s="1547"/>
      <c r="Q16" s="1548"/>
      <c r="R16" s="1548"/>
      <c r="S16" s="1547"/>
      <c r="T16" s="1547">
        <f t="shared" si="0"/>
        <v>0</v>
      </c>
      <c r="U16" s="1555"/>
      <c r="V16" s="1555"/>
      <c r="W16" s="1555"/>
      <c r="X16" s="1555"/>
      <c r="Y16" s="1555"/>
      <c r="Z16" s="1555"/>
      <c r="AA16" s="1555"/>
      <c r="AB16" s="1555"/>
      <c r="AC16" s="1550"/>
      <c r="AD16" s="1550"/>
      <c r="AE16" s="1550"/>
      <c r="AF16" s="1550"/>
      <c r="AG16" s="1550">
        <f t="shared" si="1"/>
        <v>0</v>
      </c>
      <c r="AH16" s="1556"/>
      <c r="AI16" s="1556"/>
      <c r="AJ16" s="1556"/>
      <c r="AK16" s="1556"/>
      <c r="AL16" s="1556"/>
      <c r="AM16" s="1556"/>
      <c r="AN16" s="1556"/>
      <c r="AO16" s="1556"/>
      <c r="AP16" s="1547"/>
      <c r="AQ16" s="1547"/>
      <c r="AR16" s="1547"/>
      <c r="AS16" s="1547"/>
      <c r="AT16" s="1547">
        <f t="shared" si="2"/>
        <v>0</v>
      </c>
      <c r="AU16" s="1555"/>
      <c r="AV16" s="1555"/>
      <c r="AW16" s="1547"/>
      <c r="AX16" s="1547"/>
      <c r="AY16" s="1547"/>
      <c r="AZ16" s="1547"/>
      <c r="BA16" s="1547"/>
      <c r="BB16" s="1547"/>
      <c r="BC16" s="1365"/>
      <c r="BD16" s="1365"/>
      <c r="BE16" s="1553" t="s">
        <v>936</v>
      </c>
      <c r="BF16" s="1554">
        <f>IF(C16="Scheme",IF(SUM(AQ16:AW16)&gt;0,IF(H16&lt;#REF!,H16-#REF!,0),0),0)</f>
        <v>0</v>
      </c>
      <c r="BH16" s="1371"/>
    </row>
    <row r="17" spans="1:60" s="1370" customFormat="1" ht="31" outlineLevel="1" x14ac:dyDescent="0.25">
      <c r="A17" s="1557">
        <v>10.1</v>
      </c>
      <c r="B17" s="1558" t="s">
        <v>1589</v>
      </c>
      <c r="C17" s="1559" t="s">
        <v>938</v>
      </c>
      <c r="D17" s="1557" t="str">
        <f>D16</f>
        <v>MERC/TECH 1/CAPEX/20142015/001</v>
      </c>
      <c r="E17" s="1560">
        <f>E16</f>
        <v>41676</v>
      </c>
      <c r="F17" s="1366">
        <f t="shared" ref="F17" si="6">IF(F16=0,"-",F16)</f>
        <v>41913</v>
      </c>
      <c r="G17" s="1372">
        <v>11.32</v>
      </c>
      <c r="H17" s="1372">
        <v>11.32</v>
      </c>
      <c r="I17" s="1365"/>
      <c r="J17" s="1365"/>
      <c r="K17" s="1366">
        <f t="shared" si="4"/>
        <v>41913</v>
      </c>
      <c r="L17" s="1373"/>
      <c r="M17" s="1373"/>
      <c r="N17" s="1374">
        <v>41760</v>
      </c>
      <c r="O17" s="1377" t="s">
        <v>1590</v>
      </c>
      <c r="P17" s="1561">
        <v>13.4</v>
      </c>
      <c r="Q17" s="1562"/>
      <c r="R17" s="1562"/>
      <c r="S17" s="1563"/>
      <c r="T17" s="1547">
        <f t="shared" si="0"/>
        <v>13.4</v>
      </c>
      <c r="U17" s="1564"/>
      <c r="V17" s="1564"/>
      <c r="W17" s="1564"/>
      <c r="X17" s="1564"/>
      <c r="Y17" s="1564"/>
      <c r="Z17" s="1564"/>
      <c r="AA17" s="1564"/>
      <c r="AB17" s="1564"/>
      <c r="AC17" s="1550">
        <v>1</v>
      </c>
      <c r="AD17" s="1550"/>
      <c r="AE17" s="1550"/>
      <c r="AF17" s="1550"/>
      <c r="AG17" s="1550">
        <f t="shared" si="1"/>
        <v>1</v>
      </c>
      <c r="AH17" s="1556"/>
      <c r="AI17" s="1556"/>
      <c r="AJ17" s="1556"/>
      <c r="AK17" s="1556"/>
      <c r="AL17" s="1556"/>
      <c r="AM17" s="1556"/>
      <c r="AN17" s="1556"/>
      <c r="AO17" s="1556"/>
      <c r="AP17" s="1561">
        <v>13.4</v>
      </c>
      <c r="AQ17" s="1565"/>
      <c r="AR17" s="1565"/>
      <c r="AS17" s="1565"/>
      <c r="AT17" s="1547">
        <f t="shared" si="2"/>
        <v>13.4</v>
      </c>
      <c r="AU17" s="1566"/>
      <c r="AV17" s="1566"/>
      <c r="AW17" s="1565"/>
      <c r="AX17" s="1565"/>
      <c r="AY17" s="1565"/>
      <c r="AZ17" s="1565"/>
      <c r="BA17" s="1565"/>
      <c r="BB17" s="1565"/>
      <c r="BC17" s="1365"/>
      <c r="BD17" s="1365" t="s">
        <v>1584</v>
      </c>
      <c r="BE17" s="1553" t="s">
        <v>941</v>
      </c>
      <c r="BF17" s="1554" t="e">
        <f>IF(C17="Scheme",IF(SUM(AQ17:AW17)&gt;0,IF(H17&lt;#REF!,H17-#REF!,0),0),0)</f>
        <v>#REF!</v>
      </c>
      <c r="BH17" s="1371"/>
    </row>
    <row r="18" spans="1:60" s="1370" customFormat="1" ht="29" outlineLevel="1" x14ac:dyDescent="0.25">
      <c r="A18" s="1543">
        <v>13</v>
      </c>
      <c r="B18" s="1544" t="s">
        <v>1591</v>
      </c>
      <c r="C18" s="1543" t="s">
        <v>931</v>
      </c>
      <c r="D18" s="1543" t="s">
        <v>1592</v>
      </c>
      <c r="E18" s="1545">
        <v>42690</v>
      </c>
      <c r="F18" s="1546">
        <v>42713</v>
      </c>
      <c r="G18" s="1330">
        <f>SUM(G19:G22)</f>
        <v>16.850000000000001</v>
      </c>
      <c r="H18" s="1330">
        <f>SUM(H19:H22)</f>
        <v>16.850000000000001</v>
      </c>
      <c r="I18" s="1365"/>
      <c r="J18" s="1365"/>
      <c r="K18" s="1366">
        <f t="shared" si="4"/>
        <v>42713</v>
      </c>
      <c r="L18" s="1367"/>
      <c r="M18" s="1367"/>
      <c r="N18" s="1368"/>
      <c r="O18" s="1365"/>
      <c r="P18" s="1547"/>
      <c r="Q18" s="1548"/>
      <c r="R18" s="1548"/>
      <c r="S18" s="1547"/>
      <c r="T18" s="1547">
        <f t="shared" si="0"/>
        <v>0</v>
      </c>
      <c r="U18" s="1555"/>
      <c r="V18" s="1555"/>
      <c r="W18" s="1555"/>
      <c r="X18" s="1555"/>
      <c r="Y18" s="1555"/>
      <c r="Z18" s="1555"/>
      <c r="AA18" s="1555"/>
      <c r="AB18" s="1555"/>
      <c r="AC18" s="1550"/>
      <c r="AD18" s="1550"/>
      <c r="AE18" s="1550"/>
      <c r="AF18" s="1550"/>
      <c r="AG18" s="1550">
        <f t="shared" si="1"/>
        <v>0</v>
      </c>
      <c r="AH18" s="1556"/>
      <c r="AI18" s="1556"/>
      <c r="AJ18" s="1556"/>
      <c r="AK18" s="1556"/>
      <c r="AL18" s="1556"/>
      <c r="AM18" s="1556"/>
      <c r="AN18" s="1556"/>
      <c r="AO18" s="1556"/>
      <c r="AP18" s="1547"/>
      <c r="AQ18" s="1547"/>
      <c r="AR18" s="1547"/>
      <c r="AS18" s="1547"/>
      <c r="AT18" s="1547">
        <f t="shared" si="2"/>
        <v>0</v>
      </c>
      <c r="AU18" s="1555"/>
      <c r="AV18" s="1555"/>
      <c r="AW18" s="1547"/>
      <c r="AX18" s="1547"/>
      <c r="AY18" s="1547"/>
      <c r="AZ18" s="1547"/>
      <c r="BA18" s="1547"/>
      <c r="BB18" s="1547"/>
      <c r="BC18" s="1365"/>
      <c r="BD18" s="1365"/>
      <c r="BE18" s="1553" t="s">
        <v>936</v>
      </c>
      <c r="BF18" s="1554">
        <f>IF(C18="Scheme",IF(SUM(AQ18:AW18)&gt;0,IF(H18&lt;#REF!,H18-#REF!,0),0),0)</f>
        <v>0</v>
      </c>
      <c r="BH18" s="1371"/>
    </row>
    <row r="19" spans="1:60" s="1370" customFormat="1" ht="29" outlineLevel="1" x14ac:dyDescent="0.25">
      <c r="A19" s="1557">
        <v>13.1</v>
      </c>
      <c r="B19" s="1558" t="s">
        <v>1593</v>
      </c>
      <c r="C19" s="1559" t="s">
        <v>938</v>
      </c>
      <c r="D19" s="1557" t="str">
        <f>D18</f>
        <v>MERC/CAPEX/20162017/01172</v>
      </c>
      <c r="E19" s="1560">
        <f>E18</f>
        <v>42690</v>
      </c>
      <c r="F19" s="1366">
        <f>IF(F18=0,"-",F18)</f>
        <v>42713</v>
      </c>
      <c r="G19" s="1372">
        <v>7.02</v>
      </c>
      <c r="H19" s="1372">
        <v>7.02</v>
      </c>
      <c r="I19" s="1365"/>
      <c r="J19" s="1365"/>
      <c r="K19" s="1366">
        <f t="shared" si="4"/>
        <v>42713</v>
      </c>
      <c r="L19" s="1373"/>
      <c r="M19" s="1373"/>
      <c r="N19" s="1374" t="s">
        <v>1594</v>
      </c>
      <c r="O19" s="1365"/>
      <c r="P19" s="1561">
        <v>5.74</v>
      </c>
      <c r="Q19" s="1562">
        <f>AQ19-5.74</f>
        <v>0.57267910000000022</v>
      </c>
      <c r="R19" s="1562">
        <f t="shared" ref="R19:S20" si="7">AR19</f>
        <v>0</v>
      </c>
      <c r="S19" s="1563">
        <f>+AS19</f>
        <v>0.5424715</v>
      </c>
      <c r="T19" s="1547">
        <f t="shared" si="0"/>
        <v>6.8551506</v>
      </c>
      <c r="U19" s="1564"/>
      <c r="V19" s="1564"/>
      <c r="W19" s="1564"/>
      <c r="X19" s="1564"/>
      <c r="Y19" s="1564"/>
      <c r="Z19" s="1564"/>
      <c r="AA19" s="1564"/>
      <c r="AB19" s="1564"/>
      <c r="AC19" s="1550">
        <v>0.4</v>
      </c>
      <c r="AD19" s="1550">
        <v>0.6</v>
      </c>
      <c r="AE19" s="1550">
        <v>1</v>
      </c>
      <c r="AF19" s="1550"/>
      <c r="AG19" s="1550">
        <f t="shared" si="1"/>
        <v>2</v>
      </c>
      <c r="AH19" s="1556"/>
      <c r="AI19" s="1556"/>
      <c r="AJ19" s="1556"/>
      <c r="AK19" s="1556"/>
      <c r="AL19" s="1556"/>
      <c r="AM19" s="1556"/>
      <c r="AN19" s="1556"/>
      <c r="AO19" s="1556"/>
      <c r="AP19" s="1561">
        <v>0</v>
      </c>
      <c r="AQ19" s="1565">
        <f>(60442530+2684261)/10000000</f>
        <v>6.3126791000000004</v>
      </c>
      <c r="AR19" s="1565">
        <v>0</v>
      </c>
      <c r="AS19" s="1565">
        <v>0.5424715</v>
      </c>
      <c r="AT19" s="1547">
        <f t="shared" si="2"/>
        <v>6.8551506</v>
      </c>
      <c r="AU19" s="1566"/>
      <c r="AV19" s="1566"/>
      <c r="AW19" s="1565"/>
      <c r="AX19" s="1565"/>
      <c r="AY19" s="1565"/>
      <c r="AZ19" s="1565"/>
      <c r="BA19" s="1565"/>
      <c r="BB19" s="1565"/>
      <c r="BC19" s="1365"/>
      <c r="BD19" s="1365" t="s">
        <v>1595</v>
      </c>
      <c r="BE19" s="1553" t="s">
        <v>941</v>
      </c>
      <c r="BF19" s="1554" t="e">
        <f>IF(C19="Scheme",IF(SUM(AQ19:AW19)&gt;0,IF(H19&lt;#REF!,H19-#REF!,0),0),0)</f>
        <v>#REF!</v>
      </c>
      <c r="BH19" s="1371"/>
    </row>
    <row r="20" spans="1:60" s="1370" customFormat="1" ht="37.5" outlineLevel="1" x14ac:dyDescent="0.25">
      <c r="A20" s="1557">
        <v>13.2</v>
      </c>
      <c r="B20" s="1558" t="s">
        <v>1596</v>
      </c>
      <c r="C20" s="1559" t="s">
        <v>938</v>
      </c>
      <c r="D20" s="1557" t="str">
        <f t="shared" ref="D20:E22" si="8">D19</f>
        <v>MERC/CAPEX/20162017/01172</v>
      </c>
      <c r="E20" s="1560">
        <f t="shared" si="8"/>
        <v>42690</v>
      </c>
      <c r="F20" s="1366">
        <f t="shared" ref="F20:F22" si="9">IF(F19=0,"-",F19)</f>
        <v>42713</v>
      </c>
      <c r="G20" s="1372">
        <v>7.55</v>
      </c>
      <c r="H20" s="1372">
        <v>7.55</v>
      </c>
      <c r="I20" s="1365"/>
      <c r="J20" s="1365"/>
      <c r="K20" s="1366">
        <f t="shared" si="4"/>
        <v>42713</v>
      </c>
      <c r="L20" s="1373"/>
      <c r="M20" s="1373"/>
      <c r="N20" s="1374" t="s">
        <v>1597</v>
      </c>
      <c r="O20" s="1365"/>
      <c r="P20" s="1561">
        <v>2.19</v>
      </c>
      <c r="Q20" s="1562">
        <f>AQ20-2.19</f>
        <v>1.1600249539999998</v>
      </c>
      <c r="R20" s="1562">
        <f t="shared" si="7"/>
        <v>2.6067049999999998</v>
      </c>
      <c r="S20" s="1563">
        <f t="shared" si="7"/>
        <v>6.8764000000000004E-3</v>
      </c>
      <c r="T20" s="1547">
        <f t="shared" si="0"/>
        <v>5.9636063540000004</v>
      </c>
      <c r="U20" s="1564"/>
      <c r="V20" s="1564"/>
      <c r="W20" s="1564"/>
      <c r="X20" s="1564"/>
      <c r="Y20" s="1564"/>
      <c r="Z20" s="1564"/>
      <c r="AA20" s="1564"/>
      <c r="AB20" s="1564"/>
      <c r="AC20" s="1550">
        <v>0.4</v>
      </c>
      <c r="AD20" s="1550">
        <v>0.6</v>
      </c>
      <c r="AE20" s="1550">
        <v>1</v>
      </c>
      <c r="AF20" s="1550"/>
      <c r="AG20" s="1550">
        <f t="shared" si="1"/>
        <v>2</v>
      </c>
      <c r="AH20" s="1556"/>
      <c r="AI20" s="1556"/>
      <c r="AJ20" s="1556"/>
      <c r="AK20" s="1556"/>
      <c r="AL20" s="1556"/>
      <c r="AM20" s="1556"/>
      <c r="AN20" s="1556"/>
      <c r="AO20" s="1556"/>
      <c r="AP20" s="1561">
        <v>0</v>
      </c>
      <c r="AQ20" s="1565">
        <f>(23504761.55+9995487.99)/10000000</f>
        <v>3.3500249539999998</v>
      </c>
      <c r="AR20" s="1565">
        <f>26067050/10000000</f>
        <v>2.6067049999999998</v>
      </c>
      <c r="AS20" s="1565">
        <f>68764/10000000</f>
        <v>6.8764000000000004E-3</v>
      </c>
      <c r="AT20" s="1547">
        <f t="shared" si="2"/>
        <v>5.9636063540000004</v>
      </c>
      <c r="AU20" s="1566"/>
      <c r="AV20" s="1566"/>
      <c r="AW20" s="1565"/>
      <c r="AX20" s="1565"/>
      <c r="AY20" s="1565"/>
      <c r="AZ20" s="1565"/>
      <c r="BA20" s="1565"/>
      <c r="BB20" s="1565"/>
      <c r="BC20" s="1365"/>
      <c r="BD20" s="1365" t="s">
        <v>1595</v>
      </c>
      <c r="BE20" s="1553" t="s">
        <v>941</v>
      </c>
      <c r="BF20" s="1554" t="e">
        <f>IF(C20="Scheme",IF(SUM(AQ20:AW20)&gt;0,IF(H20&lt;#REF!,H20-#REF!,0),0),0)</f>
        <v>#REF!</v>
      </c>
      <c r="BH20" s="1371"/>
    </row>
    <row r="21" spans="1:60" s="1370" customFormat="1" ht="62" outlineLevel="1" x14ac:dyDescent="0.25">
      <c r="A21" s="1557">
        <v>13.3</v>
      </c>
      <c r="B21" s="1558" t="s">
        <v>1598</v>
      </c>
      <c r="C21" s="1559" t="s">
        <v>938</v>
      </c>
      <c r="D21" s="1557" t="str">
        <f t="shared" si="8"/>
        <v>MERC/CAPEX/20162017/01172</v>
      </c>
      <c r="E21" s="1560">
        <f t="shared" si="8"/>
        <v>42690</v>
      </c>
      <c r="F21" s="1366">
        <f t="shared" si="9"/>
        <v>42713</v>
      </c>
      <c r="G21" s="1372">
        <v>1.48</v>
      </c>
      <c r="H21" s="1372">
        <v>1.48</v>
      </c>
      <c r="I21" s="1365"/>
      <c r="J21" s="1365"/>
      <c r="K21" s="1366">
        <f t="shared" si="4"/>
        <v>42713</v>
      </c>
      <c r="L21" s="1373"/>
      <c r="M21" s="1373"/>
      <c r="N21" s="1374">
        <v>42942</v>
      </c>
      <c r="O21" s="1377" t="s">
        <v>1599</v>
      </c>
      <c r="P21" s="1561">
        <v>1.2847999999999999</v>
      </c>
      <c r="Q21" s="1562"/>
      <c r="R21" s="1562"/>
      <c r="S21" s="1563"/>
      <c r="T21" s="1547">
        <f t="shared" si="0"/>
        <v>1.2847999999999999</v>
      </c>
      <c r="U21" s="1564"/>
      <c r="V21" s="1564"/>
      <c r="W21" s="1564"/>
      <c r="X21" s="1564"/>
      <c r="Y21" s="1564"/>
      <c r="Z21" s="1564"/>
      <c r="AA21" s="1564"/>
      <c r="AB21" s="1564"/>
      <c r="AC21" s="1550">
        <v>1</v>
      </c>
      <c r="AD21" s="1550"/>
      <c r="AE21" s="1550"/>
      <c r="AF21" s="1550"/>
      <c r="AG21" s="1550">
        <f t="shared" si="1"/>
        <v>1</v>
      </c>
      <c r="AH21" s="1556"/>
      <c r="AI21" s="1556"/>
      <c r="AJ21" s="1556"/>
      <c r="AK21" s="1556"/>
      <c r="AL21" s="1556"/>
      <c r="AM21" s="1556"/>
      <c r="AN21" s="1556"/>
      <c r="AO21" s="1556"/>
      <c r="AP21" s="1561">
        <v>1.2847999999999999</v>
      </c>
      <c r="AQ21" s="1565"/>
      <c r="AR21" s="1565"/>
      <c r="AS21" s="1565"/>
      <c r="AT21" s="1547">
        <f t="shared" si="2"/>
        <v>1.2847999999999999</v>
      </c>
      <c r="AU21" s="1566"/>
      <c r="AV21" s="1566"/>
      <c r="AW21" s="1565"/>
      <c r="AX21" s="1565"/>
      <c r="AY21" s="1565"/>
      <c r="AZ21" s="1565"/>
      <c r="BA21" s="1565"/>
      <c r="BB21" s="1565"/>
      <c r="BC21" s="1365"/>
      <c r="BD21" s="1365" t="s">
        <v>1595</v>
      </c>
      <c r="BE21" s="1553" t="s">
        <v>941</v>
      </c>
      <c r="BF21" s="1554" t="e">
        <f>IF(C21="Scheme",IF(SUM(AQ21:AW21)&gt;0,IF(H21&lt;#REF!,H21-#REF!,0),0),0)</f>
        <v>#REF!</v>
      </c>
      <c r="BH21" s="1371"/>
    </row>
    <row r="22" spans="1:60" s="1370" customFormat="1" outlineLevel="1" x14ac:dyDescent="0.25">
      <c r="A22" s="1557"/>
      <c r="B22" s="1567" t="s">
        <v>413</v>
      </c>
      <c r="C22" s="1568" t="s">
        <v>413</v>
      </c>
      <c r="D22" s="1557" t="str">
        <f t="shared" si="8"/>
        <v>MERC/CAPEX/20162017/01172</v>
      </c>
      <c r="E22" s="1560">
        <f t="shared" si="8"/>
        <v>42690</v>
      </c>
      <c r="F22" s="1366">
        <f t="shared" si="9"/>
        <v>42713</v>
      </c>
      <c r="G22" s="1372">
        <v>0.8</v>
      </c>
      <c r="H22" s="1372">
        <v>0.8</v>
      </c>
      <c r="I22" s="1365"/>
      <c r="J22" s="1365"/>
      <c r="K22" s="1366">
        <f t="shared" si="4"/>
        <v>42713</v>
      </c>
      <c r="L22" s="1367"/>
      <c r="M22" s="1367"/>
      <c r="N22" s="1368"/>
      <c r="O22" s="1365"/>
      <c r="P22" s="1561">
        <v>0</v>
      </c>
      <c r="Q22" s="1562"/>
      <c r="R22" s="1562"/>
      <c r="S22" s="1563"/>
      <c r="T22" s="1547">
        <f t="shared" si="0"/>
        <v>0</v>
      </c>
      <c r="U22" s="1564"/>
      <c r="V22" s="1564"/>
      <c r="W22" s="1564"/>
      <c r="X22" s="1564"/>
      <c r="Y22" s="1564"/>
      <c r="Z22" s="1564"/>
      <c r="AA22" s="1564"/>
      <c r="AB22" s="1564"/>
      <c r="AC22" s="1550"/>
      <c r="AD22" s="1550"/>
      <c r="AE22" s="1550"/>
      <c r="AF22" s="1550"/>
      <c r="AG22" s="1550">
        <f t="shared" si="1"/>
        <v>0</v>
      </c>
      <c r="AH22" s="1556"/>
      <c r="AI22" s="1556"/>
      <c r="AJ22" s="1556"/>
      <c r="AK22" s="1556"/>
      <c r="AL22" s="1556"/>
      <c r="AM22" s="1556"/>
      <c r="AN22" s="1556"/>
      <c r="AO22" s="1556"/>
      <c r="AP22" s="1561">
        <v>0</v>
      </c>
      <c r="AQ22" s="1565"/>
      <c r="AR22" s="1565"/>
      <c r="AS22" s="1565"/>
      <c r="AT22" s="1547">
        <f t="shared" si="2"/>
        <v>0</v>
      </c>
      <c r="AU22" s="1566"/>
      <c r="AV22" s="1566"/>
      <c r="AW22" s="1565"/>
      <c r="AX22" s="1565"/>
      <c r="AY22" s="1565"/>
      <c r="AZ22" s="1565"/>
      <c r="BA22" s="1565"/>
      <c r="BB22" s="1565"/>
      <c r="BC22" s="1365"/>
      <c r="BD22" s="1365"/>
      <c r="BE22" s="1365" t="s">
        <v>936</v>
      </c>
      <c r="BF22" s="1554">
        <f>IF(C22="Scheme",IF(SUM(AQ22:AW22)&gt;0,IF(H22&lt;#REF!,H22-#REF!,0),0),0)</f>
        <v>0</v>
      </c>
      <c r="BH22" s="1371"/>
    </row>
    <row r="23" spans="1:60" s="1370" customFormat="1" ht="29" outlineLevel="1" x14ac:dyDescent="0.25">
      <c r="A23" s="1543">
        <v>14</v>
      </c>
      <c r="B23" s="1544" t="s">
        <v>1600</v>
      </c>
      <c r="C23" s="1543" t="s">
        <v>931</v>
      </c>
      <c r="D23" s="1543" t="s">
        <v>1601</v>
      </c>
      <c r="E23" s="1545">
        <v>42831</v>
      </c>
      <c r="F23" s="1546">
        <v>43055</v>
      </c>
      <c r="G23" s="1330">
        <f>SUM(G24:G28)</f>
        <v>18.850000000000001</v>
      </c>
      <c r="H23" s="1330">
        <f>SUM(H24:H28)</f>
        <v>18.279999999999998</v>
      </c>
      <c r="I23" s="1365"/>
      <c r="J23" s="1365"/>
      <c r="K23" s="1366">
        <f t="shared" si="4"/>
        <v>43055</v>
      </c>
      <c r="L23" s="1367"/>
      <c r="M23" s="1367"/>
      <c r="N23" s="1368"/>
      <c r="O23" s="1365"/>
      <c r="P23" s="1547"/>
      <c r="Q23" s="1548"/>
      <c r="R23" s="1548"/>
      <c r="S23" s="1547"/>
      <c r="T23" s="1547">
        <f t="shared" si="0"/>
        <v>0</v>
      </c>
      <c r="U23" s="1555"/>
      <c r="V23" s="1555"/>
      <c r="W23" s="1555"/>
      <c r="X23" s="1555"/>
      <c r="Y23" s="1555"/>
      <c r="Z23" s="1555"/>
      <c r="AA23" s="1555"/>
      <c r="AB23" s="1555"/>
      <c r="AC23" s="1550"/>
      <c r="AD23" s="1550"/>
      <c r="AE23" s="1550"/>
      <c r="AF23" s="1550"/>
      <c r="AG23" s="1550">
        <f t="shared" si="1"/>
        <v>0</v>
      </c>
      <c r="AH23" s="1556"/>
      <c r="AI23" s="1556"/>
      <c r="AJ23" s="1556"/>
      <c r="AK23" s="1556"/>
      <c r="AL23" s="1556"/>
      <c r="AM23" s="1556"/>
      <c r="AN23" s="1556"/>
      <c r="AO23" s="1556"/>
      <c r="AP23" s="1547"/>
      <c r="AQ23" s="1547"/>
      <c r="AR23" s="1547"/>
      <c r="AS23" s="1547"/>
      <c r="AT23" s="1547">
        <f t="shared" si="2"/>
        <v>0</v>
      </c>
      <c r="AU23" s="1555"/>
      <c r="AV23" s="1555"/>
      <c r="AW23" s="1547"/>
      <c r="AX23" s="1547"/>
      <c r="AY23" s="1547"/>
      <c r="AZ23" s="1547"/>
      <c r="BA23" s="1547"/>
      <c r="BB23" s="1547"/>
      <c r="BC23" s="1365"/>
      <c r="BD23" s="1547"/>
      <c r="BE23" s="1547" t="s">
        <v>936</v>
      </c>
      <c r="BF23" s="1554">
        <f>IF(C23="Scheme",IF(SUM(AQ23:AW23)&gt;0,IF(H23&lt;#REF!,H23-#REF!,0),0),0)</f>
        <v>0</v>
      </c>
      <c r="BH23" s="1371"/>
    </row>
    <row r="24" spans="1:60" s="1370" customFormat="1" ht="93" outlineLevel="1" x14ac:dyDescent="0.25">
      <c r="A24" s="1557">
        <v>14.1</v>
      </c>
      <c r="B24" s="1558" t="s">
        <v>1602</v>
      </c>
      <c r="C24" s="1559" t="s">
        <v>938</v>
      </c>
      <c r="D24" s="1557" t="str">
        <f>D23</f>
        <v>MERC/CAPEX/20172018/4711</v>
      </c>
      <c r="E24" s="1560">
        <f>E23</f>
        <v>42831</v>
      </c>
      <c r="F24" s="1366">
        <f>IF(F23=0,"-",F23)</f>
        <v>43055</v>
      </c>
      <c r="G24" s="1372">
        <v>15.1</v>
      </c>
      <c r="H24" s="1372">
        <v>15.08</v>
      </c>
      <c r="I24" s="1365"/>
      <c r="J24" s="1365"/>
      <c r="K24" s="1366">
        <f t="shared" si="4"/>
        <v>43055</v>
      </c>
      <c r="L24" s="1373">
        <v>42826</v>
      </c>
      <c r="M24" s="1373">
        <v>43784</v>
      </c>
      <c r="N24" s="1374" t="s">
        <v>1603</v>
      </c>
      <c r="O24" s="1569" t="s">
        <v>1604</v>
      </c>
      <c r="P24" s="1561">
        <v>14.17</v>
      </c>
      <c r="Q24" s="1562">
        <v>0.30726989999999965</v>
      </c>
      <c r="R24" s="1562"/>
      <c r="S24" s="1563"/>
      <c r="T24" s="1547">
        <f t="shared" si="0"/>
        <v>14.4772699</v>
      </c>
      <c r="U24" s="1564"/>
      <c r="V24" s="1564"/>
      <c r="W24" s="1564"/>
      <c r="X24" s="1564"/>
      <c r="Y24" s="1564"/>
      <c r="Z24" s="1564"/>
      <c r="AA24" s="1564"/>
      <c r="AB24" s="1564"/>
      <c r="AC24" s="1550">
        <v>0.5</v>
      </c>
      <c r="AD24" s="1550">
        <v>1</v>
      </c>
      <c r="AE24" s="1550"/>
      <c r="AF24" s="1550"/>
      <c r="AG24" s="1550">
        <f t="shared" si="1"/>
        <v>1.5</v>
      </c>
      <c r="AH24" s="1556"/>
      <c r="AI24" s="1556"/>
      <c r="AJ24" s="1556"/>
      <c r="AK24" s="1556"/>
      <c r="AL24" s="1556"/>
      <c r="AM24" s="1556"/>
      <c r="AN24" s="1556"/>
      <c r="AO24" s="1556"/>
      <c r="AP24" s="1561">
        <v>6.91</v>
      </c>
      <c r="AQ24" s="1565">
        <v>7.5672699000000003</v>
      </c>
      <c r="AR24" s="1565"/>
      <c r="AS24" s="1565"/>
      <c r="AT24" s="1547">
        <f t="shared" si="2"/>
        <v>14.4772699</v>
      </c>
      <c r="AU24" s="1566">
        <v>0</v>
      </c>
      <c r="AV24" s="1566">
        <v>0</v>
      </c>
      <c r="AW24" s="1565">
        <v>0</v>
      </c>
      <c r="AX24" s="1565">
        <v>0</v>
      </c>
      <c r="AY24" s="1565">
        <v>0</v>
      </c>
      <c r="AZ24" s="1565">
        <v>0</v>
      </c>
      <c r="BA24" s="1565">
        <v>0</v>
      </c>
      <c r="BB24" s="1565">
        <v>0</v>
      </c>
      <c r="BC24" s="1365">
        <v>2.5299999999999998</v>
      </c>
      <c r="BD24" s="1365" t="s">
        <v>1605</v>
      </c>
      <c r="BE24" s="1553" t="s">
        <v>941</v>
      </c>
      <c r="BF24" s="1554" t="e">
        <f>IF(C24="Scheme",IF(SUM(AQ24:AW24)&gt;0,IF(H24&lt;#REF!,H24-#REF!,0),0),0)</f>
        <v>#REF!</v>
      </c>
      <c r="BH24" s="1371"/>
    </row>
    <row r="25" spans="1:60" s="1370" customFormat="1" ht="31" outlineLevel="1" x14ac:dyDescent="0.25">
      <c r="A25" s="1557">
        <v>14.2</v>
      </c>
      <c r="B25" s="1558" t="s">
        <v>1606</v>
      </c>
      <c r="C25" s="1559" t="s">
        <v>938</v>
      </c>
      <c r="D25" s="1557" t="str">
        <f t="shared" ref="D25:E28" si="10">D24</f>
        <v>MERC/CAPEX/20172018/4711</v>
      </c>
      <c r="E25" s="1560">
        <f t="shared" si="10"/>
        <v>42831</v>
      </c>
      <c r="F25" s="1366">
        <f t="shared" ref="F25:F28" si="11">IF(F24=0,"-",F24)</f>
        <v>43055</v>
      </c>
      <c r="G25" s="1372">
        <v>0.3</v>
      </c>
      <c r="H25" s="1372">
        <v>0.3</v>
      </c>
      <c r="I25" s="1365"/>
      <c r="J25" s="1365"/>
      <c r="K25" s="1366">
        <f t="shared" si="4"/>
        <v>43055</v>
      </c>
      <c r="L25" s="1373">
        <v>42863</v>
      </c>
      <c r="M25" s="1373">
        <v>43784</v>
      </c>
      <c r="N25" s="1374">
        <v>43448</v>
      </c>
      <c r="O25" s="1569" t="s">
        <v>1607</v>
      </c>
      <c r="P25" s="1561">
        <f>2973600/10000000</f>
        <v>0.29736000000000001</v>
      </c>
      <c r="Q25" s="1562"/>
      <c r="R25" s="1562"/>
      <c r="S25" s="1563"/>
      <c r="T25" s="1547">
        <f t="shared" si="0"/>
        <v>0.29736000000000001</v>
      </c>
      <c r="U25" s="1564"/>
      <c r="V25" s="1564"/>
      <c r="W25" s="1564"/>
      <c r="X25" s="1564"/>
      <c r="Y25" s="1564"/>
      <c r="Z25" s="1564"/>
      <c r="AA25" s="1564"/>
      <c r="AB25" s="1564"/>
      <c r="AC25" s="1550">
        <v>1</v>
      </c>
      <c r="AD25" s="1550"/>
      <c r="AE25" s="1550"/>
      <c r="AF25" s="1550"/>
      <c r="AG25" s="1550">
        <f t="shared" si="1"/>
        <v>1</v>
      </c>
      <c r="AH25" s="1556"/>
      <c r="AI25" s="1556"/>
      <c r="AJ25" s="1556"/>
      <c r="AK25" s="1556"/>
      <c r="AL25" s="1556"/>
      <c r="AM25" s="1556"/>
      <c r="AN25" s="1556"/>
      <c r="AO25" s="1556"/>
      <c r="AP25" s="1561">
        <f>2973600/10000000</f>
        <v>0.29736000000000001</v>
      </c>
      <c r="AQ25" s="1565"/>
      <c r="AR25" s="1565"/>
      <c r="AS25" s="1565"/>
      <c r="AT25" s="1547">
        <f t="shared" si="2"/>
        <v>0.29736000000000001</v>
      </c>
      <c r="AU25" s="1566">
        <v>0</v>
      </c>
      <c r="AV25" s="1566">
        <v>0</v>
      </c>
      <c r="AW25" s="1565">
        <v>0</v>
      </c>
      <c r="AX25" s="1565">
        <v>0</v>
      </c>
      <c r="AY25" s="1565">
        <v>0</v>
      </c>
      <c r="AZ25" s="1565">
        <v>0</v>
      </c>
      <c r="BA25" s="1565">
        <v>0</v>
      </c>
      <c r="BB25" s="1565">
        <v>0</v>
      </c>
      <c r="BC25" s="1365"/>
      <c r="BD25" s="1365" t="s">
        <v>1605</v>
      </c>
      <c r="BE25" s="1553" t="s">
        <v>941</v>
      </c>
      <c r="BF25" s="1554" t="e">
        <f>IF(C25="Scheme",IF(SUM(AQ25:AW25)&gt;0,IF(H25&lt;#REF!,H25-#REF!,0),0),0)</f>
        <v>#REF!</v>
      </c>
      <c r="BH25" s="1371"/>
    </row>
    <row r="26" spans="1:60" s="1384" customFormat="1" ht="31" outlineLevel="1" x14ac:dyDescent="0.25">
      <c r="A26" s="1511">
        <v>14.3</v>
      </c>
      <c r="B26" s="1512" t="s">
        <v>1608</v>
      </c>
      <c r="C26" s="1570" t="s">
        <v>938</v>
      </c>
      <c r="D26" s="1511" t="str">
        <f t="shared" si="10"/>
        <v>MERC/CAPEX/20172018/4711</v>
      </c>
      <c r="E26" s="1571">
        <f t="shared" si="10"/>
        <v>42831</v>
      </c>
      <c r="F26" s="1378">
        <f t="shared" si="11"/>
        <v>43055</v>
      </c>
      <c r="G26" s="1379">
        <v>2.46</v>
      </c>
      <c r="H26" s="1379">
        <v>2.46</v>
      </c>
      <c r="I26" s="1380"/>
      <c r="J26" s="1380"/>
      <c r="K26" s="1378">
        <f t="shared" si="4"/>
        <v>43055</v>
      </c>
      <c r="L26" s="1381">
        <v>43066</v>
      </c>
      <c r="M26" s="1381">
        <v>43784</v>
      </c>
      <c r="N26" s="1382"/>
      <c r="O26" s="1572" t="s">
        <v>1609</v>
      </c>
      <c r="P26" s="1514">
        <v>0</v>
      </c>
      <c r="Q26" s="1573">
        <v>0</v>
      </c>
      <c r="R26" s="1573">
        <v>0</v>
      </c>
      <c r="S26" s="1574">
        <v>0</v>
      </c>
      <c r="T26" s="1509">
        <f t="shared" si="0"/>
        <v>0</v>
      </c>
      <c r="U26" s="1575">
        <v>0</v>
      </c>
      <c r="V26" s="1575">
        <v>0</v>
      </c>
      <c r="W26" s="1575">
        <v>0</v>
      </c>
      <c r="X26" s="1575">
        <v>2.46</v>
      </c>
      <c r="Y26" s="1575"/>
      <c r="Z26" s="1575"/>
      <c r="AA26" s="1575"/>
      <c r="AB26" s="1575"/>
      <c r="AC26" s="1576">
        <v>0.2</v>
      </c>
      <c r="AD26" s="1576">
        <v>0.2</v>
      </c>
      <c r="AE26" s="1576">
        <v>0.2</v>
      </c>
      <c r="AF26" s="1576">
        <v>0.2</v>
      </c>
      <c r="AG26" s="1576">
        <f t="shared" si="1"/>
        <v>0.8</v>
      </c>
      <c r="AH26" s="1577">
        <v>0.6</v>
      </c>
      <c r="AI26" s="1577">
        <v>0.6</v>
      </c>
      <c r="AJ26" s="1578">
        <v>0.6</v>
      </c>
      <c r="AK26" s="1578"/>
      <c r="AL26" s="1578"/>
      <c r="AM26" s="1578"/>
      <c r="AN26" s="1578"/>
      <c r="AO26" s="1578"/>
      <c r="AP26" s="1514">
        <v>0</v>
      </c>
      <c r="AQ26" s="1579">
        <v>0</v>
      </c>
      <c r="AR26" s="1579">
        <v>0</v>
      </c>
      <c r="AS26" s="1579">
        <v>0</v>
      </c>
      <c r="AT26" s="1509">
        <f t="shared" si="2"/>
        <v>0</v>
      </c>
      <c r="AU26" s="1580">
        <v>0</v>
      </c>
      <c r="AV26" s="1580">
        <v>0</v>
      </c>
      <c r="AW26" s="1565">
        <v>0</v>
      </c>
      <c r="AX26" s="1579">
        <v>2.46</v>
      </c>
      <c r="AY26" s="1565">
        <v>0</v>
      </c>
      <c r="AZ26" s="1565">
        <v>0</v>
      </c>
      <c r="BA26" s="1565">
        <v>0</v>
      </c>
      <c r="BB26" s="1565">
        <v>0</v>
      </c>
      <c r="BC26" s="1383"/>
      <c r="BD26" s="1383" t="s">
        <v>1610</v>
      </c>
      <c r="BE26" s="1581" t="s">
        <v>939</v>
      </c>
      <c r="BF26" s="1582">
        <f>IF(C26="Scheme",IF(SUM(AQ26:AW26)&gt;0,IF(H26&lt;#REF!,H26-#REF!,0),0),0)</f>
        <v>0</v>
      </c>
      <c r="BH26" s="1385"/>
    </row>
    <row r="27" spans="1:60" s="1370" customFormat="1" ht="46.5" outlineLevel="1" x14ac:dyDescent="0.25">
      <c r="A27" s="1557">
        <v>14.4</v>
      </c>
      <c r="B27" s="1558" t="s">
        <v>1611</v>
      </c>
      <c r="C27" s="1559" t="s">
        <v>938</v>
      </c>
      <c r="D27" s="1557" t="str">
        <f t="shared" si="10"/>
        <v>MERC/CAPEX/20172018/4711</v>
      </c>
      <c r="E27" s="1560">
        <f t="shared" si="10"/>
        <v>42831</v>
      </c>
      <c r="F27" s="1366">
        <f t="shared" si="11"/>
        <v>43055</v>
      </c>
      <c r="G27" s="1372">
        <v>0.92</v>
      </c>
      <c r="H27" s="1372">
        <v>0.31</v>
      </c>
      <c r="I27" s="1365"/>
      <c r="J27" s="1365"/>
      <c r="K27" s="1366">
        <f t="shared" si="4"/>
        <v>43055</v>
      </c>
      <c r="L27" s="1373">
        <v>43092</v>
      </c>
      <c r="M27" s="1373">
        <v>43784</v>
      </c>
      <c r="N27" s="1374">
        <v>44421</v>
      </c>
      <c r="O27" s="1569" t="s">
        <v>1612</v>
      </c>
      <c r="P27" s="1561">
        <v>0</v>
      </c>
      <c r="Q27" s="1562">
        <f t="shared" ref="Q27:S27" si="12">AQ27</f>
        <v>0</v>
      </c>
      <c r="R27" s="1562">
        <f t="shared" si="12"/>
        <v>0</v>
      </c>
      <c r="S27" s="1563">
        <f t="shared" si="12"/>
        <v>0.5057102</v>
      </c>
      <c r="T27" s="1547">
        <f t="shared" si="0"/>
        <v>0.5057102</v>
      </c>
      <c r="U27" s="1564"/>
      <c r="V27" s="1564"/>
      <c r="W27" s="1564"/>
      <c r="X27" s="1564"/>
      <c r="Y27" s="1564"/>
      <c r="Z27" s="1564"/>
      <c r="AA27" s="1564"/>
      <c r="AB27" s="1564"/>
      <c r="AC27" s="1550">
        <v>0.2</v>
      </c>
      <c r="AD27" s="1550">
        <v>0.2</v>
      </c>
      <c r="AE27" s="1550">
        <v>0.8</v>
      </c>
      <c r="AF27" s="1550">
        <v>1</v>
      </c>
      <c r="AG27" s="1550">
        <f t="shared" si="1"/>
        <v>2.2000000000000002</v>
      </c>
      <c r="AH27" s="1556"/>
      <c r="AI27" s="1556"/>
      <c r="AJ27" s="1556"/>
      <c r="AK27" s="1556"/>
      <c r="AL27" s="1556"/>
      <c r="AM27" s="1556"/>
      <c r="AN27" s="1556"/>
      <c r="AO27" s="1556"/>
      <c r="AP27" s="1561">
        <v>0</v>
      </c>
      <c r="AQ27" s="1565">
        <v>0</v>
      </c>
      <c r="AR27" s="1565">
        <v>0</v>
      </c>
      <c r="AS27" s="1565">
        <f>5057102/10000000</f>
        <v>0.5057102</v>
      </c>
      <c r="AT27" s="1547">
        <f t="shared" si="2"/>
        <v>0.5057102</v>
      </c>
      <c r="AU27" s="1566"/>
      <c r="AV27" s="1566"/>
      <c r="AW27" s="1565"/>
      <c r="AX27" s="1565"/>
      <c r="AY27" s="1565"/>
      <c r="AZ27" s="1565"/>
      <c r="BA27" s="1565"/>
      <c r="BB27" s="1565"/>
      <c r="BC27" s="1365"/>
      <c r="BD27" s="1365" t="s">
        <v>2079</v>
      </c>
      <c r="BE27" s="1553" t="s">
        <v>941</v>
      </c>
      <c r="BF27" s="1554" t="e">
        <f>IF(C27="Scheme",IF(SUM(AQ27:AW27)&gt;0,IF(H27&lt;#REF!,H27-#REF!,0),0),0)</f>
        <v>#REF!</v>
      </c>
      <c r="BH27" s="1371"/>
    </row>
    <row r="28" spans="1:60" s="1370" customFormat="1" outlineLevel="1" x14ac:dyDescent="0.25">
      <c r="A28" s="1557"/>
      <c r="B28" s="1558" t="s">
        <v>413</v>
      </c>
      <c r="C28" s="1568" t="s">
        <v>413</v>
      </c>
      <c r="D28" s="1557" t="str">
        <f t="shared" si="10"/>
        <v>MERC/CAPEX/20172018/4711</v>
      </c>
      <c r="E28" s="1560">
        <f t="shared" si="10"/>
        <v>42831</v>
      </c>
      <c r="F28" s="1366">
        <f t="shared" si="11"/>
        <v>43055</v>
      </c>
      <c r="G28" s="1372">
        <v>7.0000000000000007E-2</v>
      </c>
      <c r="H28" s="1372">
        <v>0.13</v>
      </c>
      <c r="I28" s="1365"/>
      <c r="J28" s="1365"/>
      <c r="K28" s="1366"/>
      <c r="L28" s="1366"/>
      <c r="M28" s="1366"/>
      <c r="N28" s="1366"/>
      <c r="O28" s="1365"/>
      <c r="P28" s="1561">
        <v>0</v>
      </c>
      <c r="Q28" s="1562"/>
      <c r="R28" s="1562"/>
      <c r="S28" s="1563"/>
      <c r="T28" s="1547">
        <f t="shared" si="0"/>
        <v>0</v>
      </c>
      <c r="U28" s="1564"/>
      <c r="V28" s="1564"/>
      <c r="W28" s="1564"/>
      <c r="X28" s="1564"/>
      <c r="Y28" s="1564"/>
      <c r="Z28" s="1564"/>
      <c r="AA28" s="1564"/>
      <c r="AB28" s="1564"/>
      <c r="AC28" s="1550"/>
      <c r="AD28" s="1550"/>
      <c r="AE28" s="1550"/>
      <c r="AF28" s="1550"/>
      <c r="AG28" s="1550">
        <f t="shared" si="1"/>
        <v>0</v>
      </c>
      <c r="AH28" s="1556"/>
      <c r="AI28" s="1556"/>
      <c r="AJ28" s="1556"/>
      <c r="AK28" s="1556"/>
      <c r="AL28" s="1556"/>
      <c r="AM28" s="1556"/>
      <c r="AN28" s="1556"/>
      <c r="AO28" s="1556"/>
      <c r="AP28" s="1561">
        <v>0</v>
      </c>
      <c r="AQ28" s="1565"/>
      <c r="AR28" s="1565"/>
      <c r="AS28" s="1565"/>
      <c r="AT28" s="1547">
        <f t="shared" si="2"/>
        <v>0</v>
      </c>
      <c r="AU28" s="1566"/>
      <c r="AV28" s="1566"/>
      <c r="AW28" s="1565"/>
      <c r="AX28" s="1565"/>
      <c r="AY28" s="1565"/>
      <c r="AZ28" s="1565"/>
      <c r="BA28" s="1565"/>
      <c r="BB28" s="1565"/>
      <c r="BC28" s="1365"/>
      <c r="BD28" s="1365"/>
      <c r="BE28" s="1557" t="s">
        <v>936</v>
      </c>
      <c r="BF28" s="1554">
        <f>IF(C28="Scheme",IF(SUM(AQ28:AW28)&gt;0,IF(H28&lt;#REF!,H28-#REF!,0),0),0)</f>
        <v>0</v>
      </c>
      <c r="BH28" s="1371"/>
    </row>
    <row r="29" spans="1:60" s="1370" customFormat="1" ht="29" outlineLevel="1" x14ac:dyDescent="0.25">
      <c r="A29" s="1543">
        <v>15</v>
      </c>
      <c r="B29" s="1544" t="s">
        <v>1613</v>
      </c>
      <c r="C29" s="1543" t="s">
        <v>931</v>
      </c>
      <c r="D29" s="1543" t="s">
        <v>1614</v>
      </c>
      <c r="E29" s="1545">
        <v>42992</v>
      </c>
      <c r="F29" s="1546">
        <v>43055</v>
      </c>
      <c r="G29" s="1330">
        <f>SUM(G30:G31)</f>
        <v>45.524777499999992</v>
      </c>
      <c r="H29" s="1330">
        <f>SUM(H30:H31)</f>
        <v>45.524777499999992</v>
      </c>
      <c r="I29" s="1365"/>
      <c r="J29" s="1365"/>
      <c r="K29" s="1366">
        <f t="shared" si="4"/>
        <v>43055</v>
      </c>
      <c r="L29" s="1367"/>
      <c r="M29" s="1367"/>
      <c r="N29" s="1368"/>
      <c r="O29" s="1365"/>
      <c r="P29" s="1547"/>
      <c r="Q29" s="1548"/>
      <c r="R29" s="1548"/>
      <c r="S29" s="1547"/>
      <c r="T29" s="1547">
        <f t="shared" si="0"/>
        <v>0</v>
      </c>
      <c r="U29" s="1555"/>
      <c r="V29" s="1555"/>
      <c r="W29" s="1555"/>
      <c r="X29" s="1555"/>
      <c r="Y29" s="1555"/>
      <c r="Z29" s="1555"/>
      <c r="AA29" s="1555"/>
      <c r="AB29" s="1555"/>
      <c r="AC29" s="1550"/>
      <c r="AD29" s="1550"/>
      <c r="AE29" s="1550"/>
      <c r="AF29" s="1550"/>
      <c r="AG29" s="1550">
        <f t="shared" si="1"/>
        <v>0</v>
      </c>
      <c r="AH29" s="1556"/>
      <c r="AI29" s="1556"/>
      <c r="AJ29" s="1556"/>
      <c r="AK29" s="1556"/>
      <c r="AL29" s="1556"/>
      <c r="AM29" s="1556"/>
      <c r="AN29" s="1556"/>
      <c r="AO29" s="1556"/>
      <c r="AP29" s="1547"/>
      <c r="AQ29" s="1547"/>
      <c r="AR29" s="1547"/>
      <c r="AS29" s="1547"/>
      <c r="AT29" s="1547">
        <f t="shared" si="2"/>
        <v>0</v>
      </c>
      <c r="AU29" s="1555"/>
      <c r="AV29" s="1555"/>
      <c r="AW29" s="1547"/>
      <c r="AX29" s="1547"/>
      <c r="AY29" s="1547"/>
      <c r="AZ29" s="1547"/>
      <c r="BA29" s="1547"/>
      <c r="BB29" s="1547"/>
      <c r="BC29" s="1365"/>
      <c r="BD29" s="1365"/>
      <c r="BE29" s="1553" t="s">
        <v>936</v>
      </c>
      <c r="BF29" s="1554">
        <f>IF(C29="Scheme",IF(SUM(AQ29:AW29)&gt;0,IF(H29&lt;#REF!,H29-#REF!,0),0),0)</f>
        <v>0</v>
      </c>
      <c r="BH29" s="1371"/>
    </row>
    <row r="30" spans="1:60" s="1370" customFormat="1" ht="46.5" outlineLevel="1" x14ac:dyDescent="0.25">
      <c r="A30" s="1557">
        <v>15.1</v>
      </c>
      <c r="B30" s="1558" t="s">
        <v>1613</v>
      </c>
      <c r="C30" s="1559" t="s">
        <v>938</v>
      </c>
      <c r="D30" s="1557" t="str">
        <f>D29</f>
        <v>MERC/CAPEX/20172018/4703</v>
      </c>
      <c r="E30" s="1560">
        <f>E29</f>
        <v>42992</v>
      </c>
      <c r="F30" s="1366">
        <f>IF(F29=0,"-",F29)</f>
        <v>43055</v>
      </c>
      <c r="G30" s="1372">
        <f>42.7847775+1.37</f>
        <v>44.154777499999994</v>
      </c>
      <c r="H30" s="1372">
        <f>42.7847775+1.37</f>
        <v>44.154777499999994</v>
      </c>
      <c r="I30" s="1365"/>
      <c r="J30" s="1365"/>
      <c r="K30" s="1366">
        <f t="shared" si="4"/>
        <v>43055</v>
      </c>
      <c r="L30" s="1373" t="s">
        <v>527</v>
      </c>
      <c r="M30" s="1373"/>
      <c r="N30" s="1374">
        <v>43585</v>
      </c>
      <c r="O30" s="1496" t="s">
        <v>1615</v>
      </c>
      <c r="P30" s="1561">
        <v>17.899999999999999</v>
      </c>
      <c r="Q30" s="1562">
        <f>AQ30-17.9</f>
        <v>10.167072471000001</v>
      </c>
      <c r="R30" s="1562">
        <f t="shared" ref="R30:S30" si="13">AR30</f>
        <v>0</v>
      </c>
      <c r="S30" s="1563">
        <f t="shared" si="13"/>
        <v>15.027669476</v>
      </c>
      <c r="T30" s="1547">
        <f t="shared" si="0"/>
        <v>43.094741947000003</v>
      </c>
      <c r="U30" s="1564"/>
      <c r="V30" s="1564"/>
      <c r="W30" s="1564"/>
      <c r="X30" s="1564"/>
      <c r="Y30" s="1564"/>
      <c r="Z30" s="1564"/>
      <c r="AA30" s="1564"/>
      <c r="AB30" s="1564"/>
      <c r="AC30" s="1550">
        <v>0.6</v>
      </c>
      <c r="AD30" s="1550">
        <v>1</v>
      </c>
      <c r="AE30" s="1550"/>
      <c r="AF30" s="1550"/>
      <c r="AG30" s="1550">
        <f t="shared" si="1"/>
        <v>1.6</v>
      </c>
      <c r="AH30" s="1556"/>
      <c r="AI30" s="1556"/>
      <c r="AJ30" s="1556"/>
      <c r="AK30" s="1556"/>
      <c r="AL30" s="1556"/>
      <c r="AM30" s="1556"/>
      <c r="AN30" s="1556"/>
      <c r="AO30" s="1556"/>
      <c r="AP30" s="1561">
        <v>0</v>
      </c>
      <c r="AQ30" s="1565">
        <f>280670724.71/10000000</f>
        <v>28.067072470999999</v>
      </c>
      <c r="AR30" s="1565">
        <v>0</v>
      </c>
      <c r="AS30" s="1565">
        <f>(149235594.92+1041099.84)/10000000</f>
        <v>15.027669476</v>
      </c>
      <c r="AT30" s="1547">
        <f t="shared" si="2"/>
        <v>43.094741947000003</v>
      </c>
      <c r="AU30" s="1566">
        <v>0</v>
      </c>
      <c r="AV30" s="1566">
        <v>0</v>
      </c>
      <c r="AW30" s="1565">
        <v>0</v>
      </c>
      <c r="AX30" s="1565"/>
      <c r="AY30" s="1565"/>
      <c r="AZ30" s="1565"/>
      <c r="BA30" s="1565"/>
      <c r="BB30" s="1565"/>
      <c r="BC30" s="1365"/>
      <c r="BD30" s="1365" t="s">
        <v>1616</v>
      </c>
      <c r="BE30" s="1553" t="s">
        <v>941</v>
      </c>
      <c r="BF30" s="1554" t="e">
        <f>IF(C30="Scheme",IF(SUM(AQ30:AW30)&gt;0,IF(H30&lt;#REF!,H30-#REF!,0),0),0)</f>
        <v>#REF!</v>
      </c>
      <c r="BH30" s="1371"/>
    </row>
    <row r="31" spans="1:60" s="1370" customFormat="1" outlineLevel="1" x14ac:dyDescent="0.25">
      <c r="A31" s="1557"/>
      <c r="B31" s="1558" t="s">
        <v>413</v>
      </c>
      <c r="C31" s="1568" t="s">
        <v>413</v>
      </c>
      <c r="D31" s="1557" t="str">
        <f>D30</f>
        <v>MERC/CAPEX/20172018/4703</v>
      </c>
      <c r="E31" s="1560">
        <f>E30</f>
        <v>42992</v>
      </c>
      <c r="F31" s="1366">
        <f>F30</f>
        <v>43055</v>
      </c>
      <c r="G31" s="1372">
        <v>1.37</v>
      </c>
      <c r="H31" s="1372">
        <v>1.37</v>
      </c>
      <c r="I31" s="1365"/>
      <c r="J31" s="1365"/>
      <c r="K31" s="1366">
        <f t="shared" si="4"/>
        <v>43055</v>
      </c>
      <c r="L31" s="1367"/>
      <c r="M31" s="1367"/>
      <c r="N31" s="1368"/>
      <c r="O31" s="1365"/>
      <c r="P31" s="1561">
        <v>0</v>
      </c>
      <c r="Q31" s="1562"/>
      <c r="R31" s="1562"/>
      <c r="S31" s="1563"/>
      <c r="T31" s="1547">
        <f t="shared" si="0"/>
        <v>0</v>
      </c>
      <c r="U31" s="1564"/>
      <c r="V31" s="1564"/>
      <c r="W31" s="1564"/>
      <c r="X31" s="1564"/>
      <c r="Y31" s="1564"/>
      <c r="Z31" s="1564"/>
      <c r="AA31" s="1564"/>
      <c r="AB31" s="1564"/>
      <c r="AC31" s="1550"/>
      <c r="AD31" s="1550"/>
      <c r="AE31" s="1550"/>
      <c r="AF31" s="1550"/>
      <c r="AG31" s="1550">
        <f t="shared" si="1"/>
        <v>0</v>
      </c>
      <c r="AH31" s="1556"/>
      <c r="AI31" s="1556"/>
      <c r="AJ31" s="1556"/>
      <c r="AK31" s="1556"/>
      <c r="AL31" s="1556"/>
      <c r="AM31" s="1556"/>
      <c r="AN31" s="1556"/>
      <c r="AO31" s="1556"/>
      <c r="AP31" s="1561">
        <v>0</v>
      </c>
      <c r="AQ31" s="1565"/>
      <c r="AR31" s="1565"/>
      <c r="AS31" s="1565"/>
      <c r="AT31" s="1547">
        <f t="shared" si="2"/>
        <v>0</v>
      </c>
      <c r="AU31" s="1566"/>
      <c r="AV31" s="1566"/>
      <c r="AW31" s="1565"/>
      <c r="AX31" s="1565"/>
      <c r="AY31" s="1565"/>
      <c r="AZ31" s="1565"/>
      <c r="BA31" s="1565"/>
      <c r="BB31" s="1565"/>
      <c r="BC31" s="1365"/>
      <c r="BD31" s="1365"/>
      <c r="BE31" s="1557" t="s">
        <v>936</v>
      </c>
      <c r="BF31" s="1554">
        <f>IF(C31="Scheme",IF(SUM(AQ31:AW31)&gt;0,IF(H31&lt;#REF!,H31-#REF!,0),0),0)</f>
        <v>0</v>
      </c>
      <c r="BH31" s="1371"/>
    </row>
    <row r="32" spans="1:60" s="1384" customFormat="1" outlineLevel="1" x14ac:dyDescent="0.25">
      <c r="A32" s="1506">
        <v>16</v>
      </c>
      <c r="B32" s="1507" t="s">
        <v>1617</v>
      </c>
      <c r="C32" s="1506" t="s">
        <v>931</v>
      </c>
      <c r="D32" s="1506" t="s">
        <v>1618</v>
      </c>
      <c r="E32" s="1583">
        <v>43307</v>
      </c>
      <c r="F32" s="1508">
        <v>43529</v>
      </c>
      <c r="G32" s="1386">
        <f>SUM(G33:G37)</f>
        <v>20.470572000000001</v>
      </c>
      <c r="H32" s="1386">
        <f>SUM(H33:H37)</f>
        <v>13.148149</v>
      </c>
      <c r="I32" s="1380"/>
      <c r="J32" s="1380"/>
      <c r="K32" s="1378">
        <f t="shared" si="4"/>
        <v>43529</v>
      </c>
      <c r="L32" s="1387"/>
      <c r="M32" s="1387"/>
      <c r="N32" s="1388"/>
      <c r="O32" s="1380"/>
      <c r="P32" s="1509"/>
      <c r="Q32" s="1584"/>
      <c r="R32" s="1584"/>
      <c r="S32" s="1509"/>
      <c r="T32" s="1509">
        <f t="shared" si="0"/>
        <v>0</v>
      </c>
      <c r="U32" s="1585"/>
      <c r="V32" s="1585"/>
      <c r="W32" s="1585"/>
      <c r="X32" s="1585"/>
      <c r="Y32" s="1585"/>
      <c r="Z32" s="1585"/>
      <c r="AA32" s="1585"/>
      <c r="AB32" s="1585"/>
      <c r="AC32" s="1576"/>
      <c r="AD32" s="1576"/>
      <c r="AE32" s="1576"/>
      <c r="AF32" s="1576"/>
      <c r="AG32" s="1576">
        <f t="shared" si="1"/>
        <v>0</v>
      </c>
      <c r="AH32" s="1578"/>
      <c r="AI32" s="1578"/>
      <c r="AJ32" s="1578"/>
      <c r="AK32" s="1578"/>
      <c r="AL32" s="1578"/>
      <c r="AM32" s="1578"/>
      <c r="AN32" s="1578"/>
      <c r="AO32" s="1578"/>
      <c r="AP32" s="1509"/>
      <c r="AQ32" s="1509"/>
      <c r="AR32" s="1509"/>
      <c r="AS32" s="1509"/>
      <c r="AT32" s="1509">
        <f t="shared" si="2"/>
        <v>0</v>
      </c>
      <c r="AU32" s="1585"/>
      <c r="AV32" s="1585"/>
      <c r="AW32" s="1509"/>
      <c r="AX32" s="1509"/>
      <c r="AY32" s="1509"/>
      <c r="AZ32" s="1509"/>
      <c r="BA32" s="1509"/>
      <c r="BB32" s="1509"/>
      <c r="BC32" s="1380"/>
      <c r="BD32" s="1380"/>
      <c r="BE32" s="1581" t="s">
        <v>936</v>
      </c>
      <c r="BF32" s="1582">
        <f>IF(C32="Scheme",IF(SUM(AQ32:AW32)&gt;0,IF(H32&lt;#REF!,H32-#REF!,0),0),0)</f>
        <v>0</v>
      </c>
      <c r="BH32" s="1385"/>
    </row>
    <row r="33" spans="1:60" s="1384" customFormat="1" outlineLevel="1" x14ac:dyDescent="0.25">
      <c r="A33" s="1511">
        <v>16.100000000000001</v>
      </c>
      <c r="B33" s="1512" t="s">
        <v>1619</v>
      </c>
      <c r="C33" s="1570" t="s">
        <v>938</v>
      </c>
      <c r="D33" s="1511" t="str">
        <f>D32</f>
        <v>MERC/CAPEX/2018-2019/065</v>
      </c>
      <c r="E33" s="1571">
        <f>E32</f>
        <v>43307</v>
      </c>
      <c r="F33" s="1378">
        <f>IF(F32=0,"-",F32)</f>
        <v>43529</v>
      </c>
      <c r="G33" s="1379">
        <v>8.0502839999999996</v>
      </c>
      <c r="H33" s="1379">
        <v>8.0502839999999996</v>
      </c>
      <c r="I33" s="1380"/>
      <c r="J33" s="1380"/>
      <c r="K33" s="1378">
        <f t="shared" si="4"/>
        <v>43529</v>
      </c>
      <c r="L33" s="1381" t="s">
        <v>528</v>
      </c>
      <c r="M33" s="1381">
        <v>44289</v>
      </c>
      <c r="N33" s="1382"/>
      <c r="O33" s="1389" t="s">
        <v>1620</v>
      </c>
      <c r="P33" s="1514">
        <v>0</v>
      </c>
      <c r="Q33" s="1573">
        <v>0</v>
      </c>
      <c r="R33" s="1573">
        <v>3.648307945</v>
      </c>
      <c r="S33" s="1574">
        <v>1.9710402250000001</v>
      </c>
      <c r="T33" s="1509">
        <f t="shared" si="0"/>
        <v>5.6193481700000003</v>
      </c>
      <c r="U33" s="1575">
        <v>0</v>
      </c>
      <c r="V33" s="1575">
        <v>0</v>
      </c>
      <c r="W33" s="1575">
        <v>0.37056899999999998</v>
      </c>
      <c r="X33" s="1575"/>
      <c r="Y33" s="1575"/>
      <c r="Z33" s="1575"/>
      <c r="AA33" s="1575"/>
      <c r="AB33" s="1575"/>
      <c r="AC33" s="1576"/>
      <c r="AD33" s="1576"/>
      <c r="AE33" s="1576"/>
      <c r="AF33" s="1576">
        <v>0.8</v>
      </c>
      <c r="AG33" s="1576">
        <f t="shared" si="1"/>
        <v>0.8</v>
      </c>
      <c r="AH33" s="1577">
        <v>1</v>
      </c>
      <c r="AI33" s="1578"/>
      <c r="AJ33" s="1578"/>
      <c r="AK33" s="1578"/>
      <c r="AL33" s="1578"/>
      <c r="AM33" s="1578"/>
      <c r="AN33" s="1578"/>
      <c r="AO33" s="1578"/>
      <c r="AP33" s="1514">
        <v>0</v>
      </c>
      <c r="AQ33" s="1579">
        <v>0</v>
      </c>
      <c r="AR33" s="1579">
        <v>2.7650308450000001</v>
      </c>
      <c r="AS33" s="1579">
        <v>2.8543173249999998</v>
      </c>
      <c r="AT33" s="1509">
        <f t="shared" si="2"/>
        <v>5.6193481700000003</v>
      </c>
      <c r="AU33" s="1566">
        <v>0</v>
      </c>
      <c r="AV33" s="1580">
        <v>0</v>
      </c>
      <c r="AW33" s="1579">
        <v>0.37056899999999998</v>
      </c>
      <c r="AX33" s="1565"/>
      <c r="AY33" s="1565"/>
      <c r="AZ33" s="1565"/>
      <c r="BA33" s="1565"/>
      <c r="BB33" s="1565"/>
      <c r="BC33" s="1380"/>
      <c r="BD33" s="1380" t="s">
        <v>1595</v>
      </c>
      <c r="BE33" s="1581" t="s">
        <v>941</v>
      </c>
      <c r="BF33" s="1582" t="e">
        <f>IF(C33="Scheme",IF(SUM(AQ33:AW33)&gt;0,IF(H33&lt;#REF!,H33-#REF!,0),0),0)</f>
        <v>#REF!</v>
      </c>
      <c r="BH33" s="1385"/>
    </row>
    <row r="34" spans="1:60" s="1384" customFormat="1" outlineLevel="1" x14ac:dyDescent="0.25">
      <c r="A34" s="1511">
        <v>16.2</v>
      </c>
      <c r="B34" s="1512" t="s">
        <v>1621</v>
      </c>
      <c r="C34" s="1570" t="s">
        <v>938</v>
      </c>
      <c r="D34" s="1511" t="str">
        <f t="shared" ref="D34:E37" si="14">D33</f>
        <v>MERC/CAPEX/2018-2019/065</v>
      </c>
      <c r="E34" s="1571">
        <f t="shared" si="14"/>
        <v>43307</v>
      </c>
      <c r="F34" s="1378">
        <f t="shared" ref="F34:F37" si="15">IF(F33=0,"-",F33)</f>
        <v>43529</v>
      </c>
      <c r="G34" s="1379">
        <v>2.3051249999999999</v>
      </c>
      <c r="H34" s="1379">
        <v>2.3051249999999999</v>
      </c>
      <c r="I34" s="1380"/>
      <c r="J34" s="1380"/>
      <c r="K34" s="1378">
        <f t="shared" si="4"/>
        <v>43529</v>
      </c>
      <c r="L34" s="1381" t="s">
        <v>528</v>
      </c>
      <c r="M34" s="1381">
        <v>44289</v>
      </c>
      <c r="N34" s="1382">
        <v>44530</v>
      </c>
      <c r="O34" s="1389" t="s">
        <v>1622</v>
      </c>
      <c r="P34" s="1514">
        <v>0</v>
      </c>
      <c r="Q34" s="1573">
        <f t="shared" ref="Q34:S35" si="16">AQ34</f>
        <v>0</v>
      </c>
      <c r="R34" s="1573">
        <f t="shared" si="16"/>
        <v>0</v>
      </c>
      <c r="S34" s="1574">
        <f t="shared" si="16"/>
        <v>2.0084425239999999</v>
      </c>
      <c r="T34" s="1509">
        <f t="shared" si="0"/>
        <v>2.0084425239999999</v>
      </c>
      <c r="U34" s="1575">
        <v>0</v>
      </c>
      <c r="V34" s="1586">
        <v>0</v>
      </c>
      <c r="W34" s="1586">
        <v>0</v>
      </c>
      <c r="X34" s="1586"/>
      <c r="Y34" s="1586"/>
      <c r="Z34" s="1586"/>
      <c r="AA34" s="1586"/>
      <c r="AB34" s="1586"/>
      <c r="AC34" s="1576">
        <v>0.2</v>
      </c>
      <c r="AD34" s="1576">
        <v>0.4</v>
      </c>
      <c r="AE34" s="1576">
        <v>0.8</v>
      </c>
      <c r="AF34" s="1576">
        <v>1</v>
      </c>
      <c r="AG34" s="1576">
        <f t="shared" si="1"/>
        <v>2.4000000000000004</v>
      </c>
      <c r="AH34" s="1577"/>
      <c r="AI34" s="1578"/>
      <c r="AJ34" s="1578"/>
      <c r="AK34" s="1578"/>
      <c r="AL34" s="1578"/>
      <c r="AM34" s="1578"/>
      <c r="AN34" s="1578"/>
      <c r="AO34" s="1578"/>
      <c r="AP34" s="1514">
        <v>0</v>
      </c>
      <c r="AQ34" s="1579">
        <v>0</v>
      </c>
      <c r="AR34" s="1579">
        <v>0</v>
      </c>
      <c r="AS34" s="1579">
        <f>20084425.24/10000000</f>
        <v>2.0084425239999999</v>
      </c>
      <c r="AT34" s="1509">
        <f t="shared" si="2"/>
        <v>2.0084425239999999</v>
      </c>
      <c r="AU34" s="1580"/>
      <c r="AV34" s="1566"/>
      <c r="AW34" s="1565"/>
      <c r="AX34" s="1565"/>
      <c r="AY34" s="1565"/>
      <c r="AZ34" s="1565"/>
      <c r="BA34" s="1565"/>
      <c r="BB34" s="1565"/>
      <c r="BC34" s="1380"/>
      <c r="BD34" s="1380" t="s">
        <v>1623</v>
      </c>
      <c r="BE34" s="1581" t="s">
        <v>941</v>
      </c>
      <c r="BF34" s="1582" t="e">
        <f>IF(C34="Scheme",IF(SUM(AQ34:AW34)&gt;0,IF(H34&lt;#REF!,H34-#REF!,0),0),0)</f>
        <v>#REF!</v>
      </c>
      <c r="BH34" s="1385"/>
    </row>
    <row r="35" spans="1:60" s="1384" customFormat="1" ht="29" outlineLevel="1" x14ac:dyDescent="0.25">
      <c r="A35" s="1511">
        <v>16.3</v>
      </c>
      <c r="B35" s="1512" t="s">
        <v>1624</v>
      </c>
      <c r="C35" s="1570" t="s">
        <v>938</v>
      </c>
      <c r="D35" s="1511" t="str">
        <f t="shared" si="14"/>
        <v>MERC/CAPEX/2018-2019/065</v>
      </c>
      <c r="E35" s="1571">
        <f t="shared" si="14"/>
        <v>43307</v>
      </c>
      <c r="F35" s="1378">
        <f t="shared" si="15"/>
        <v>43529</v>
      </c>
      <c r="G35" s="1379">
        <v>2.7927399999999998</v>
      </c>
      <c r="H35" s="1379">
        <v>2.7927399999999998</v>
      </c>
      <c r="I35" s="1380"/>
      <c r="J35" s="1380"/>
      <c r="K35" s="1378">
        <f t="shared" si="4"/>
        <v>43529</v>
      </c>
      <c r="L35" s="1381" t="s">
        <v>528</v>
      </c>
      <c r="M35" s="1381">
        <v>44289</v>
      </c>
      <c r="N35" s="1382">
        <v>44329</v>
      </c>
      <c r="O35" s="1389" t="s">
        <v>1625</v>
      </c>
      <c r="P35" s="1514">
        <v>0</v>
      </c>
      <c r="Q35" s="1573">
        <f t="shared" si="16"/>
        <v>0</v>
      </c>
      <c r="R35" s="1573">
        <f t="shared" si="16"/>
        <v>0</v>
      </c>
      <c r="S35" s="1574">
        <f t="shared" si="16"/>
        <v>0.161533649</v>
      </c>
      <c r="T35" s="1509">
        <f t="shared" si="0"/>
        <v>0.161533649</v>
      </c>
      <c r="U35" s="1575">
        <v>2.9588000000000001E-3</v>
      </c>
      <c r="V35" s="1575">
        <v>0</v>
      </c>
      <c r="W35" s="1575">
        <v>2.35</v>
      </c>
      <c r="X35" s="1575"/>
      <c r="Y35" s="1575"/>
      <c r="Z35" s="1575"/>
      <c r="AA35" s="1575"/>
      <c r="AB35" s="1575"/>
      <c r="AC35" s="1576">
        <v>0</v>
      </c>
      <c r="AD35" s="1576">
        <v>0.2</v>
      </c>
      <c r="AE35" s="1576">
        <v>0.4</v>
      </c>
      <c r="AF35" s="1576">
        <v>0.8</v>
      </c>
      <c r="AG35" s="1576">
        <f t="shared" si="1"/>
        <v>1.4000000000000001</v>
      </c>
      <c r="AH35" s="1577">
        <v>1</v>
      </c>
      <c r="AI35" s="1578"/>
      <c r="AJ35" s="1578"/>
      <c r="AK35" s="1578"/>
      <c r="AL35" s="1578"/>
      <c r="AM35" s="1578"/>
      <c r="AN35" s="1578"/>
      <c r="AO35" s="1578"/>
      <c r="AP35" s="1514">
        <v>0</v>
      </c>
      <c r="AQ35" s="1579">
        <v>0</v>
      </c>
      <c r="AR35" s="1579">
        <v>0</v>
      </c>
      <c r="AS35" s="1579">
        <f>1615336.49/10000000</f>
        <v>0.161533649</v>
      </c>
      <c r="AT35" s="1509">
        <f t="shared" si="2"/>
        <v>0.161533649</v>
      </c>
      <c r="AU35" s="1587">
        <v>2.9588000000000001E-3</v>
      </c>
      <c r="AV35" s="1580">
        <v>0</v>
      </c>
      <c r="AW35" s="1579">
        <v>2.35</v>
      </c>
      <c r="AX35" s="1565"/>
      <c r="AY35" s="1565"/>
      <c r="AZ35" s="1565"/>
      <c r="BA35" s="1565"/>
      <c r="BB35" s="1565"/>
      <c r="BC35" s="1380"/>
      <c r="BD35" s="1380" t="s">
        <v>2080</v>
      </c>
      <c r="BE35" s="1581" t="s">
        <v>1569</v>
      </c>
      <c r="BF35" s="1582" t="e">
        <f>IF(C35="Scheme",IF(SUM(AQ35:AW35)&gt;0,IF(H35&lt;#REF!,H35-#REF!,0),0),0)</f>
        <v>#REF!</v>
      </c>
      <c r="BH35" s="1385"/>
    </row>
    <row r="36" spans="1:60" s="1370" customFormat="1" outlineLevel="1" x14ac:dyDescent="0.25">
      <c r="A36" s="1557">
        <v>16.399999999999999</v>
      </c>
      <c r="B36" s="1558" t="s">
        <v>1626</v>
      </c>
      <c r="C36" s="1568" t="s">
        <v>938</v>
      </c>
      <c r="D36" s="1557" t="str">
        <f t="shared" si="14"/>
        <v>MERC/CAPEX/2018-2019/065</v>
      </c>
      <c r="E36" s="1560">
        <f t="shared" si="14"/>
        <v>43307</v>
      </c>
      <c r="F36" s="1366">
        <f t="shared" si="15"/>
        <v>43529</v>
      </c>
      <c r="G36" s="1372">
        <v>3.604139</v>
      </c>
      <c r="H36" s="1372">
        <v>0</v>
      </c>
      <c r="I36" s="1365"/>
      <c r="J36" s="1365"/>
      <c r="K36" s="1366"/>
      <c r="L36" s="1367"/>
      <c r="M36" s="1367"/>
      <c r="N36" s="1368"/>
      <c r="O36" s="1365" t="s">
        <v>1627</v>
      </c>
      <c r="P36" s="1561">
        <v>0</v>
      </c>
      <c r="Q36" s="1562"/>
      <c r="R36" s="1562"/>
      <c r="S36" s="1563"/>
      <c r="T36" s="1547">
        <f t="shared" si="0"/>
        <v>0</v>
      </c>
      <c r="U36" s="1564"/>
      <c r="V36" s="1564"/>
      <c r="W36" s="1564"/>
      <c r="X36" s="1564"/>
      <c r="Y36" s="1564"/>
      <c r="Z36" s="1564"/>
      <c r="AA36" s="1564"/>
      <c r="AB36" s="1564"/>
      <c r="AC36" s="1550"/>
      <c r="AD36" s="1550"/>
      <c r="AE36" s="1550"/>
      <c r="AF36" s="1550"/>
      <c r="AG36" s="1550">
        <f t="shared" si="1"/>
        <v>0</v>
      </c>
      <c r="AH36" s="1556"/>
      <c r="AI36" s="1556"/>
      <c r="AJ36" s="1556"/>
      <c r="AK36" s="1556"/>
      <c r="AL36" s="1556"/>
      <c r="AM36" s="1556"/>
      <c r="AN36" s="1556"/>
      <c r="AO36" s="1556"/>
      <c r="AP36" s="1561">
        <v>0</v>
      </c>
      <c r="AQ36" s="1565">
        <v>0</v>
      </c>
      <c r="AR36" s="1565">
        <v>0</v>
      </c>
      <c r="AS36" s="1565">
        <v>0</v>
      </c>
      <c r="AT36" s="1547">
        <f t="shared" si="2"/>
        <v>0</v>
      </c>
      <c r="AU36" s="1566">
        <v>0</v>
      </c>
      <c r="AV36" s="1566"/>
      <c r="AW36" s="1565"/>
      <c r="AX36" s="1565"/>
      <c r="AY36" s="1565"/>
      <c r="AZ36" s="1565"/>
      <c r="BA36" s="1565"/>
      <c r="BB36" s="1565"/>
      <c r="BC36" s="1365"/>
      <c r="BD36" s="1365" t="s">
        <v>1628</v>
      </c>
      <c r="BE36" s="1557" t="s">
        <v>942</v>
      </c>
      <c r="BF36" s="1554">
        <f>IF(C36="Scheme",IF(SUM(AQ36:AW36)&gt;0,IF(H36&lt;#REF!,H36-#REF!,0),0),0)</f>
        <v>0</v>
      </c>
      <c r="BH36" s="1371"/>
    </row>
    <row r="37" spans="1:60" s="1370" customFormat="1" outlineLevel="1" x14ac:dyDescent="0.25">
      <c r="A37" s="1557">
        <v>16.5</v>
      </c>
      <c r="B37" s="1558" t="s">
        <v>1629</v>
      </c>
      <c r="C37" s="1568" t="s">
        <v>938</v>
      </c>
      <c r="D37" s="1557" t="str">
        <f t="shared" si="14"/>
        <v>MERC/CAPEX/2018-2019/065</v>
      </c>
      <c r="E37" s="1560">
        <f t="shared" si="14"/>
        <v>43307</v>
      </c>
      <c r="F37" s="1366">
        <f t="shared" si="15"/>
        <v>43529</v>
      </c>
      <c r="G37" s="1372">
        <v>3.7182840000000001</v>
      </c>
      <c r="H37" s="1372">
        <v>0</v>
      </c>
      <c r="I37" s="1365"/>
      <c r="J37" s="1365"/>
      <c r="K37" s="1366"/>
      <c r="L37" s="1367"/>
      <c r="M37" s="1367"/>
      <c r="N37" s="1368"/>
      <c r="O37" s="1365"/>
      <c r="P37" s="1561">
        <v>0</v>
      </c>
      <c r="Q37" s="1562"/>
      <c r="R37" s="1562"/>
      <c r="S37" s="1563"/>
      <c r="T37" s="1547">
        <f t="shared" si="0"/>
        <v>0</v>
      </c>
      <c r="U37" s="1564"/>
      <c r="V37" s="1564"/>
      <c r="W37" s="1564"/>
      <c r="X37" s="1564"/>
      <c r="Y37" s="1564"/>
      <c r="Z37" s="1564"/>
      <c r="AA37" s="1564"/>
      <c r="AB37" s="1564"/>
      <c r="AC37" s="1550"/>
      <c r="AD37" s="1550"/>
      <c r="AE37" s="1550"/>
      <c r="AF37" s="1550"/>
      <c r="AG37" s="1550">
        <f t="shared" si="1"/>
        <v>0</v>
      </c>
      <c r="AH37" s="1556"/>
      <c r="AI37" s="1556"/>
      <c r="AJ37" s="1556"/>
      <c r="AK37" s="1556"/>
      <c r="AL37" s="1556"/>
      <c r="AM37" s="1556"/>
      <c r="AN37" s="1556"/>
      <c r="AO37" s="1556"/>
      <c r="AP37" s="1561">
        <v>0</v>
      </c>
      <c r="AQ37" s="1565"/>
      <c r="AR37" s="1565"/>
      <c r="AS37" s="1565"/>
      <c r="AT37" s="1547">
        <f t="shared" si="2"/>
        <v>0</v>
      </c>
      <c r="AU37" s="1566"/>
      <c r="AV37" s="1566"/>
      <c r="AW37" s="1565"/>
      <c r="AX37" s="1565"/>
      <c r="AY37" s="1565"/>
      <c r="AZ37" s="1565"/>
      <c r="BA37" s="1565"/>
      <c r="BB37" s="1565"/>
      <c r="BC37" s="1365"/>
      <c r="BD37" s="1365" t="s">
        <v>1628</v>
      </c>
      <c r="BE37" s="1553" t="s">
        <v>942</v>
      </c>
      <c r="BF37" s="1554">
        <f>IF(C37="Scheme",IF(SUM(AQ37:AW37)&gt;0,IF(H37&lt;#REF!,H37-#REF!,0),0),0)</f>
        <v>0</v>
      </c>
      <c r="BH37" s="1371"/>
    </row>
    <row r="38" spans="1:60" s="1384" customFormat="1" outlineLevel="1" x14ac:dyDescent="0.25">
      <c r="A38" s="1506">
        <v>17</v>
      </c>
      <c r="B38" s="1507" t="s">
        <v>1630</v>
      </c>
      <c r="C38" s="1506" t="s">
        <v>931</v>
      </c>
      <c r="D38" s="1506" t="s">
        <v>1631</v>
      </c>
      <c r="E38" s="1583">
        <v>43307</v>
      </c>
      <c r="F38" s="1508">
        <v>43481</v>
      </c>
      <c r="G38" s="1386">
        <f>SUM(G39:G46)</f>
        <v>13.26280631</v>
      </c>
      <c r="H38" s="1386">
        <f>SUM(H39:H46)</f>
        <v>11.99868781</v>
      </c>
      <c r="I38" s="1380"/>
      <c r="J38" s="1380"/>
      <c r="K38" s="1378">
        <f t="shared" si="4"/>
        <v>43481</v>
      </c>
      <c r="L38" s="1387"/>
      <c r="M38" s="1387"/>
      <c r="N38" s="1388"/>
      <c r="O38" s="1380"/>
      <c r="P38" s="1509"/>
      <c r="Q38" s="1584"/>
      <c r="R38" s="1584"/>
      <c r="S38" s="1509"/>
      <c r="T38" s="1509">
        <f t="shared" si="0"/>
        <v>0</v>
      </c>
      <c r="U38" s="1585"/>
      <c r="V38" s="1585"/>
      <c r="W38" s="1585"/>
      <c r="X38" s="1585"/>
      <c r="Y38" s="1585"/>
      <c r="Z38" s="1585"/>
      <c r="AA38" s="1585"/>
      <c r="AB38" s="1585"/>
      <c r="AC38" s="1576"/>
      <c r="AD38" s="1576"/>
      <c r="AE38" s="1576"/>
      <c r="AF38" s="1576"/>
      <c r="AG38" s="1576">
        <f t="shared" si="1"/>
        <v>0</v>
      </c>
      <c r="AH38" s="1578"/>
      <c r="AI38" s="1578"/>
      <c r="AJ38" s="1578"/>
      <c r="AK38" s="1578"/>
      <c r="AL38" s="1578"/>
      <c r="AM38" s="1578"/>
      <c r="AN38" s="1578"/>
      <c r="AO38" s="1578"/>
      <c r="AP38" s="1509"/>
      <c r="AQ38" s="1509"/>
      <c r="AR38" s="1509"/>
      <c r="AS38" s="1509"/>
      <c r="AT38" s="1509">
        <f t="shared" si="2"/>
        <v>0</v>
      </c>
      <c r="AU38" s="1585"/>
      <c r="AV38" s="1585"/>
      <c r="AW38" s="1509"/>
      <c r="AX38" s="1509"/>
      <c r="AY38" s="1509"/>
      <c r="AZ38" s="1509"/>
      <c r="BA38" s="1509"/>
      <c r="BB38" s="1509"/>
      <c r="BC38" s="1380"/>
      <c r="BD38" s="1380"/>
      <c r="BE38" s="1581" t="s">
        <v>936</v>
      </c>
      <c r="BF38" s="1582">
        <f>IF(C38="Scheme",IF(SUM(AQ38:AW38)&gt;0,IF(H38&lt;#REF!,H38-#REF!,0),0),0)</f>
        <v>0</v>
      </c>
      <c r="BH38" s="1385"/>
    </row>
    <row r="39" spans="1:60" s="1384" customFormat="1" ht="108.5" outlineLevel="1" x14ac:dyDescent="0.25">
      <c r="A39" s="1511">
        <v>17.100000000000001</v>
      </c>
      <c r="B39" s="1512" t="s">
        <v>1632</v>
      </c>
      <c r="C39" s="1570" t="s">
        <v>938</v>
      </c>
      <c r="D39" s="1511" t="str">
        <f>D38</f>
        <v>MERC/CAPEX/20182019/020</v>
      </c>
      <c r="E39" s="1571">
        <f>E38</f>
        <v>43307</v>
      </c>
      <c r="F39" s="1378">
        <f>IF(F38=0,"-",F38)</f>
        <v>43481</v>
      </c>
      <c r="G39" s="1379">
        <v>6.1932861680000002</v>
      </c>
      <c r="H39" s="1379">
        <v>6.1932861680000002</v>
      </c>
      <c r="I39" s="1380"/>
      <c r="J39" s="1380"/>
      <c r="K39" s="1378">
        <f t="shared" si="4"/>
        <v>43481</v>
      </c>
      <c r="L39" s="1381" t="s">
        <v>528</v>
      </c>
      <c r="M39" s="1381">
        <v>44211</v>
      </c>
      <c r="N39" s="1382">
        <v>44217</v>
      </c>
      <c r="O39" s="1588" t="s">
        <v>1633</v>
      </c>
      <c r="P39" s="1514">
        <v>0</v>
      </c>
      <c r="Q39" s="1573">
        <f>7377408/10000000</f>
        <v>0.73774079999999997</v>
      </c>
      <c r="R39" s="1573">
        <f>38707378/10000000</f>
        <v>3.8707378000000001</v>
      </c>
      <c r="S39" s="1574">
        <f>AS39-(7377408/10000000)-(38707378/10000000)</f>
        <v>0.67982297199999975</v>
      </c>
      <c r="T39" s="1509">
        <f t="shared" si="0"/>
        <v>5.288301572</v>
      </c>
      <c r="U39" s="1589">
        <v>0.35765140000000001</v>
      </c>
      <c r="V39" s="1586"/>
      <c r="W39" s="1586"/>
      <c r="X39" s="1586"/>
      <c r="Y39" s="1586"/>
      <c r="Z39" s="1586"/>
      <c r="AA39" s="1586"/>
      <c r="AB39" s="1586"/>
      <c r="AC39" s="1576">
        <v>0</v>
      </c>
      <c r="AD39" s="1576">
        <v>0.4</v>
      </c>
      <c r="AE39" s="1576">
        <v>0.6</v>
      </c>
      <c r="AF39" s="1576">
        <v>1</v>
      </c>
      <c r="AG39" s="1576">
        <f t="shared" si="1"/>
        <v>2</v>
      </c>
      <c r="AH39" s="1578"/>
      <c r="AI39" s="1578"/>
      <c r="AJ39" s="1578"/>
      <c r="AK39" s="1578"/>
      <c r="AL39" s="1578"/>
      <c r="AM39" s="1578"/>
      <c r="AN39" s="1578"/>
      <c r="AO39" s="1578"/>
      <c r="AP39" s="1514">
        <v>0</v>
      </c>
      <c r="AQ39" s="1579">
        <v>0</v>
      </c>
      <c r="AR39" s="1579">
        <v>0</v>
      </c>
      <c r="AS39" s="1579">
        <f>52883015.72/10000000</f>
        <v>5.288301572</v>
      </c>
      <c r="AT39" s="1509">
        <f t="shared" si="2"/>
        <v>5.288301572</v>
      </c>
      <c r="AU39" s="1590">
        <v>0.35765140000000001</v>
      </c>
      <c r="AV39" s="1566"/>
      <c r="AW39" s="1565"/>
      <c r="AX39" s="1565"/>
      <c r="AY39" s="1565"/>
      <c r="AZ39" s="1565"/>
      <c r="BA39" s="1565"/>
      <c r="BB39" s="1565"/>
      <c r="BC39" s="1380"/>
      <c r="BD39" s="1380" t="s">
        <v>1595</v>
      </c>
      <c r="BE39" s="1581" t="s">
        <v>941</v>
      </c>
      <c r="BF39" s="1582" t="e">
        <f>IF(C39="Scheme",IF(SUM(AQ39:AW39)&gt;0,IF(H39&lt;#REF!,H39-#REF!,0),0),0)</f>
        <v>#REF!</v>
      </c>
      <c r="BH39" s="1385"/>
    </row>
    <row r="40" spans="1:60" s="1370" customFormat="1" ht="29" outlineLevel="1" x14ac:dyDescent="0.25">
      <c r="A40" s="1557">
        <v>17.2</v>
      </c>
      <c r="B40" s="1558" t="s">
        <v>1634</v>
      </c>
      <c r="C40" s="1559" t="s">
        <v>938</v>
      </c>
      <c r="D40" s="1557" t="str">
        <f t="shared" ref="D40:E46" si="17">D39</f>
        <v>MERC/CAPEX/20182019/020</v>
      </c>
      <c r="E40" s="1560">
        <f t="shared" si="17"/>
        <v>43307</v>
      </c>
      <c r="F40" s="1366">
        <f t="shared" ref="F40:F46" si="18">IF(F39=0,"-",F39)</f>
        <v>43481</v>
      </c>
      <c r="G40" s="1372">
        <v>0.38584171</v>
      </c>
      <c r="H40" s="1372">
        <v>0.38584171</v>
      </c>
      <c r="I40" s="1365"/>
      <c r="J40" s="1365"/>
      <c r="K40" s="1366">
        <f t="shared" si="4"/>
        <v>43481</v>
      </c>
      <c r="L40" s="1373" t="s">
        <v>528</v>
      </c>
      <c r="M40" s="1373">
        <v>44211</v>
      </c>
      <c r="N40" s="1374">
        <v>43830</v>
      </c>
      <c r="O40" s="1591"/>
      <c r="P40" s="1561">
        <v>0</v>
      </c>
      <c r="Q40" s="1562">
        <f t="shared" ref="Q40" si="19">AQ40</f>
        <v>0.28061102900000001</v>
      </c>
      <c r="R40" s="1562"/>
      <c r="S40" s="1563"/>
      <c r="T40" s="1547">
        <f t="shared" si="0"/>
        <v>0.28061102900000001</v>
      </c>
      <c r="U40" s="1564"/>
      <c r="V40" s="1564"/>
      <c r="W40" s="1564"/>
      <c r="X40" s="1564"/>
      <c r="Y40" s="1564"/>
      <c r="Z40" s="1564"/>
      <c r="AA40" s="1564"/>
      <c r="AB40" s="1564"/>
      <c r="AC40" s="1550">
        <v>0.4</v>
      </c>
      <c r="AD40" s="1550">
        <v>1</v>
      </c>
      <c r="AE40" s="1550"/>
      <c r="AF40" s="1550"/>
      <c r="AG40" s="1550">
        <f t="shared" si="1"/>
        <v>1.4</v>
      </c>
      <c r="AH40" s="1556"/>
      <c r="AI40" s="1556"/>
      <c r="AJ40" s="1556"/>
      <c r="AK40" s="1556"/>
      <c r="AL40" s="1556"/>
      <c r="AM40" s="1556"/>
      <c r="AN40" s="1556"/>
      <c r="AO40" s="1556"/>
      <c r="AP40" s="1561">
        <v>0</v>
      </c>
      <c r="AQ40" s="1565">
        <f>2806110.29/10000000</f>
        <v>0.28061102900000001</v>
      </c>
      <c r="AR40" s="1565"/>
      <c r="AS40" s="1565"/>
      <c r="AT40" s="1547">
        <f t="shared" si="2"/>
        <v>0.28061102900000001</v>
      </c>
      <c r="AU40" s="1566"/>
      <c r="AV40" s="1566"/>
      <c r="AW40" s="1565"/>
      <c r="AX40" s="1565"/>
      <c r="AY40" s="1565"/>
      <c r="AZ40" s="1565"/>
      <c r="BA40" s="1565"/>
      <c r="BB40" s="1565"/>
      <c r="BC40" s="1365"/>
      <c r="BD40" s="1365" t="s">
        <v>1595</v>
      </c>
      <c r="BE40" s="1553" t="s">
        <v>941</v>
      </c>
      <c r="BF40" s="1554" t="e">
        <f>IF(C40="Scheme",IF(SUM(AQ40:AW40)&gt;0,IF(H40&lt;#REF!,H40-#REF!,0),0),0)</f>
        <v>#REF!</v>
      </c>
      <c r="BH40" s="1371"/>
    </row>
    <row r="41" spans="1:60" s="1384" customFormat="1" ht="29" outlineLevel="1" x14ac:dyDescent="0.25">
      <c r="A41" s="1511">
        <v>17.3</v>
      </c>
      <c r="B41" s="1512" t="s">
        <v>1635</v>
      </c>
      <c r="C41" s="1570" t="s">
        <v>938</v>
      </c>
      <c r="D41" s="1511" t="str">
        <f t="shared" si="17"/>
        <v>MERC/CAPEX/20182019/020</v>
      </c>
      <c r="E41" s="1571">
        <f t="shared" si="17"/>
        <v>43307</v>
      </c>
      <c r="F41" s="1378">
        <f t="shared" si="18"/>
        <v>43481</v>
      </c>
      <c r="G41" s="1379">
        <v>1.490824862</v>
      </c>
      <c r="H41" s="1379">
        <v>1.490824862</v>
      </c>
      <c r="I41" s="1380"/>
      <c r="J41" s="1380"/>
      <c r="K41" s="1378">
        <f t="shared" si="4"/>
        <v>43481</v>
      </c>
      <c r="L41" s="1381" t="s">
        <v>528</v>
      </c>
      <c r="M41" s="1381">
        <v>44211</v>
      </c>
      <c r="N41" s="1382"/>
      <c r="O41" s="1592"/>
      <c r="P41" s="1514">
        <v>0</v>
      </c>
      <c r="Q41" s="1573">
        <v>0</v>
      </c>
      <c r="R41" s="1573">
        <v>0</v>
      </c>
      <c r="S41" s="1574">
        <v>0</v>
      </c>
      <c r="T41" s="1509">
        <f t="shared" si="0"/>
        <v>0</v>
      </c>
      <c r="U41" s="1590">
        <v>0</v>
      </c>
      <c r="V41" s="1590">
        <v>0</v>
      </c>
      <c r="W41" s="1590">
        <v>0</v>
      </c>
      <c r="X41" s="1590">
        <v>1.49</v>
      </c>
      <c r="Y41" s="1590">
        <v>0</v>
      </c>
      <c r="Z41" s="1590">
        <v>0</v>
      </c>
      <c r="AA41" s="1590">
        <v>0</v>
      </c>
      <c r="AB41" s="1590">
        <v>0</v>
      </c>
      <c r="AC41" s="1576">
        <v>0.2</v>
      </c>
      <c r="AD41" s="1576">
        <v>0.4</v>
      </c>
      <c r="AE41" s="1576">
        <v>0.4</v>
      </c>
      <c r="AF41" s="1576">
        <v>0.4</v>
      </c>
      <c r="AG41" s="1576">
        <f t="shared" si="1"/>
        <v>1.4</v>
      </c>
      <c r="AH41" s="1578">
        <v>0.4</v>
      </c>
      <c r="AI41" s="1578">
        <v>0.4</v>
      </c>
      <c r="AJ41" s="1578">
        <v>0.4</v>
      </c>
      <c r="AK41" s="1578"/>
      <c r="AL41" s="1578"/>
      <c r="AM41" s="1578"/>
      <c r="AN41" s="1578"/>
      <c r="AO41" s="1578"/>
      <c r="AP41" s="1514">
        <v>0</v>
      </c>
      <c r="AQ41" s="1579">
        <v>0</v>
      </c>
      <c r="AR41" s="1579">
        <v>0</v>
      </c>
      <c r="AS41" s="1579">
        <v>0</v>
      </c>
      <c r="AT41" s="1509">
        <f t="shared" si="2"/>
        <v>0</v>
      </c>
      <c r="AU41" s="1566">
        <v>0</v>
      </c>
      <c r="AV41" s="1566">
        <v>0</v>
      </c>
      <c r="AW41" s="1565">
        <v>0</v>
      </c>
      <c r="AX41" s="1574">
        <v>1.49</v>
      </c>
      <c r="AY41" s="1565">
        <v>0</v>
      </c>
      <c r="AZ41" s="1565">
        <v>0</v>
      </c>
      <c r="BA41" s="1565">
        <v>0</v>
      </c>
      <c r="BB41" s="1565">
        <v>0</v>
      </c>
      <c r="BC41" s="1380"/>
      <c r="BD41" s="1380" t="s">
        <v>1636</v>
      </c>
      <c r="BE41" s="1581" t="s">
        <v>939</v>
      </c>
      <c r="BF41" s="1582">
        <f>IF(C41="Scheme",IF(SUM(AQ41:AW41)&gt;0,IF(H41&lt;#REF!,H41-#REF!,0),0),0)</f>
        <v>0</v>
      </c>
      <c r="BH41" s="1385"/>
    </row>
    <row r="42" spans="1:60" s="1370" customFormat="1" ht="43.5" outlineLevel="1" x14ac:dyDescent="0.25">
      <c r="A42" s="1557">
        <v>17.399999999999999</v>
      </c>
      <c r="B42" s="1558" t="s">
        <v>1637</v>
      </c>
      <c r="C42" s="1559" t="s">
        <v>938</v>
      </c>
      <c r="D42" s="1557" t="str">
        <f t="shared" si="17"/>
        <v>MERC/CAPEX/20182019/020</v>
      </c>
      <c r="E42" s="1560">
        <f t="shared" si="17"/>
        <v>43307</v>
      </c>
      <c r="F42" s="1366">
        <f t="shared" si="18"/>
        <v>43481</v>
      </c>
      <c r="G42" s="1372">
        <v>0.32052575999999999</v>
      </c>
      <c r="H42" s="1372">
        <v>0.32052575999999999</v>
      </c>
      <c r="I42" s="1365"/>
      <c r="J42" s="1365"/>
      <c r="K42" s="1366">
        <f t="shared" si="4"/>
        <v>43481</v>
      </c>
      <c r="L42" s="1373" t="s">
        <v>528</v>
      </c>
      <c r="M42" s="1373">
        <v>44211</v>
      </c>
      <c r="N42" s="1374">
        <v>43748</v>
      </c>
      <c r="O42" s="1591"/>
      <c r="P42" s="1561">
        <v>0</v>
      </c>
      <c r="Q42" s="1562">
        <f t="shared" ref="Q42:S42" si="20">AQ42</f>
        <v>0.23293444999999999</v>
      </c>
      <c r="R42" s="1562">
        <f t="shared" si="20"/>
        <v>0</v>
      </c>
      <c r="S42" s="1563">
        <f t="shared" si="20"/>
        <v>0</v>
      </c>
      <c r="T42" s="1547">
        <f t="shared" si="0"/>
        <v>0.23293444999999999</v>
      </c>
      <c r="U42" s="1564">
        <v>0</v>
      </c>
      <c r="V42" s="1564">
        <v>0</v>
      </c>
      <c r="W42" s="1564"/>
      <c r="X42" s="1564"/>
      <c r="Y42" s="1564"/>
      <c r="Z42" s="1564"/>
      <c r="AA42" s="1564"/>
      <c r="AB42" s="1564"/>
      <c r="AC42" s="1550">
        <v>0.4</v>
      </c>
      <c r="AD42" s="1550">
        <v>1</v>
      </c>
      <c r="AE42" s="1550"/>
      <c r="AF42" s="1550"/>
      <c r="AG42" s="1550">
        <f t="shared" si="1"/>
        <v>1.4</v>
      </c>
      <c r="AH42" s="1556"/>
      <c r="AI42" s="1556"/>
      <c r="AJ42" s="1556"/>
      <c r="AK42" s="1556"/>
      <c r="AL42" s="1556"/>
      <c r="AM42" s="1556"/>
      <c r="AN42" s="1556"/>
      <c r="AO42" s="1556"/>
      <c r="AP42" s="1561">
        <v>0</v>
      </c>
      <c r="AQ42" s="1565">
        <f>2329344.5/10000000</f>
        <v>0.23293444999999999</v>
      </c>
      <c r="AR42" s="1565">
        <v>0</v>
      </c>
      <c r="AS42" s="1565">
        <v>0</v>
      </c>
      <c r="AT42" s="1547">
        <f t="shared" si="2"/>
        <v>0.23293444999999999</v>
      </c>
      <c r="AU42" s="1566">
        <v>0</v>
      </c>
      <c r="AV42" s="1566">
        <v>0</v>
      </c>
      <c r="AW42" s="1565"/>
      <c r="AX42" s="1563"/>
      <c r="AY42" s="1565"/>
      <c r="AZ42" s="1565"/>
      <c r="BA42" s="1565"/>
      <c r="BB42" s="1565"/>
      <c r="BC42" s="1365"/>
      <c r="BD42" s="1365" t="s">
        <v>1595</v>
      </c>
      <c r="BE42" s="1553" t="s">
        <v>941</v>
      </c>
      <c r="BF42" s="1554" t="e">
        <f>IF(C42="Scheme",IF(SUM(AQ42:AW42)&gt;0,IF(H42&lt;#REF!,H42-#REF!,0),0),0)</f>
        <v>#REF!</v>
      </c>
      <c r="BH42" s="1371"/>
    </row>
    <row r="43" spans="1:60" s="1384" customFormat="1" ht="29" outlineLevel="1" x14ac:dyDescent="0.25">
      <c r="A43" s="1511">
        <v>17.5</v>
      </c>
      <c r="B43" s="1512" t="s">
        <v>1638</v>
      </c>
      <c r="C43" s="1570" t="s">
        <v>938</v>
      </c>
      <c r="D43" s="1511" t="str">
        <f t="shared" si="17"/>
        <v>MERC/CAPEX/20182019/020</v>
      </c>
      <c r="E43" s="1571">
        <f t="shared" si="17"/>
        <v>43307</v>
      </c>
      <c r="F43" s="1378">
        <f t="shared" si="18"/>
        <v>43481</v>
      </c>
      <c r="G43" s="1379">
        <v>2.7334139500000001</v>
      </c>
      <c r="H43" s="1379">
        <v>2.7334139500000001</v>
      </c>
      <c r="I43" s="1380"/>
      <c r="J43" s="1380"/>
      <c r="K43" s="1378">
        <f t="shared" si="4"/>
        <v>43481</v>
      </c>
      <c r="L43" s="1381" t="s">
        <v>528</v>
      </c>
      <c r="M43" s="1381">
        <v>44211</v>
      </c>
      <c r="N43" s="1382"/>
      <c r="O43" s="1592"/>
      <c r="P43" s="1514">
        <v>0</v>
      </c>
      <c r="Q43" s="1573">
        <v>0</v>
      </c>
      <c r="R43" s="1573">
        <v>0</v>
      </c>
      <c r="S43" s="1574">
        <v>0</v>
      </c>
      <c r="T43" s="1509">
        <f t="shared" si="0"/>
        <v>0</v>
      </c>
      <c r="U43" s="1590">
        <v>0</v>
      </c>
      <c r="V43" s="1590">
        <v>0</v>
      </c>
      <c r="W43" s="1590">
        <v>0</v>
      </c>
      <c r="X43" s="1590">
        <v>2.73</v>
      </c>
      <c r="Y43" s="1590">
        <v>0</v>
      </c>
      <c r="Z43" s="1590">
        <v>0</v>
      </c>
      <c r="AA43" s="1590">
        <v>0</v>
      </c>
      <c r="AB43" s="1590">
        <v>0</v>
      </c>
      <c r="AC43" s="1576">
        <v>0.2</v>
      </c>
      <c r="AD43" s="1576">
        <v>0.4</v>
      </c>
      <c r="AE43" s="1576">
        <v>0.4</v>
      </c>
      <c r="AF43" s="1576">
        <v>0.4</v>
      </c>
      <c r="AG43" s="1576">
        <f t="shared" si="1"/>
        <v>1.4</v>
      </c>
      <c r="AH43" s="1578">
        <v>0.4</v>
      </c>
      <c r="AI43" s="1578">
        <v>0.4</v>
      </c>
      <c r="AJ43" s="1578">
        <v>0.4</v>
      </c>
      <c r="AK43" s="1578"/>
      <c r="AL43" s="1578"/>
      <c r="AM43" s="1578"/>
      <c r="AN43" s="1578"/>
      <c r="AO43" s="1578"/>
      <c r="AP43" s="1514">
        <v>0</v>
      </c>
      <c r="AQ43" s="1579">
        <v>0</v>
      </c>
      <c r="AR43" s="1579">
        <v>0</v>
      </c>
      <c r="AS43" s="1579">
        <v>0</v>
      </c>
      <c r="AT43" s="1509">
        <f t="shared" si="2"/>
        <v>0</v>
      </c>
      <c r="AU43" s="1566">
        <v>0</v>
      </c>
      <c r="AV43" s="1566">
        <v>0</v>
      </c>
      <c r="AW43" s="1565">
        <v>0</v>
      </c>
      <c r="AX43" s="1574">
        <v>2.73</v>
      </c>
      <c r="AY43" s="1565">
        <v>0</v>
      </c>
      <c r="AZ43" s="1565">
        <v>0</v>
      </c>
      <c r="BA43" s="1565">
        <v>0</v>
      </c>
      <c r="BB43" s="1565">
        <v>0</v>
      </c>
      <c r="BC43" s="1380"/>
      <c r="BD43" s="1380" t="s">
        <v>1636</v>
      </c>
      <c r="BE43" s="1581" t="s">
        <v>939</v>
      </c>
      <c r="BF43" s="1582">
        <f>IF(C43="Scheme",IF(SUM(AQ43:AW43)&gt;0,IF(H43&lt;#REF!,H43-#REF!,0),0),0)</f>
        <v>0</v>
      </c>
      <c r="BH43" s="1385"/>
    </row>
    <row r="44" spans="1:60" s="1370" customFormat="1" ht="43.5" outlineLevel="1" x14ac:dyDescent="0.25">
      <c r="A44" s="1557">
        <v>17.600000000000001</v>
      </c>
      <c r="B44" s="1558" t="s">
        <v>1639</v>
      </c>
      <c r="C44" s="1559" t="s">
        <v>938</v>
      </c>
      <c r="D44" s="1557" t="str">
        <f t="shared" si="17"/>
        <v>MERC/CAPEX/20182019/020</v>
      </c>
      <c r="E44" s="1560">
        <f t="shared" si="17"/>
        <v>43307</v>
      </c>
      <c r="F44" s="1366">
        <f t="shared" si="18"/>
        <v>43481</v>
      </c>
      <c r="G44" s="1372">
        <v>0.58998525000000002</v>
      </c>
      <c r="H44" s="1372">
        <v>0.58998525000000002</v>
      </c>
      <c r="I44" s="1365"/>
      <c r="J44" s="1365"/>
      <c r="K44" s="1366">
        <f t="shared" si="4"/>
        <v>43481</v>
      </c>
      <c r="L44" s="1373" t="s">
        <v>528</v>
      </c>
      <c r="M44" s="1373">
        <v>44211</v>
      </c>
      <c r="N44" s="1374">
        <v>44286</v>
      </c>
      <c r="O44" s="1591"/>
      <c r="P44" s="1561">
        <v>0</v>
      </c>
      <c r="Q44" s="1562">
        <f t="shared" ref="Q44:S45" si="21">AQ44</f>
        <v>0</v>
      </c>
      <c r="R44" s="1562">
        <f t="shared" si="21"/>
        <v>0.43154335300000002</v>
      </c>
      <c r="S44" s="1563"/>
      <c r="T44" s="1547">
        <f t="shared" si="0"/>
        <v>0.43154335300000002</v>
      </c>
      <c r="U44" s="1564"/>
      <c r="V44" s="1564"/>
      <c r="W44" s="1564"/>
      <c r="X44" s="1564"/>
      <c r="Y44" s="1564"/>
      <c r="Z44" s="1564"/>
      <c r="AA44" s="1564"/>
      <c r="AB44" s="1564"/>
      <c r="AC44" s="1550">
        <v>0.2</v>
      </c>
      <c r="AD44" s="1550">
        <v>0.4</v>
      </c>
      <c r="AE44" s="1550">
        <v>1</v>
      </c>
      <c r="AF44" s="1550"/>
      <c r="AG44" s="1550">
        <f t="shared" si="1"/>
        <v>1.6</v>
      </c>
      <c r="AH44" s="1556"/>
      <c r="AI44" s="1556"/>
      <c r="AJ44" s="1556"/>
      <c r="AK44" s="1556"/>
      <c r="AL44" s="1556"/>
      <c r="AM44" s="1556"/>
      <c r="AN44" s="1556"/>
      <c r="AO44" s="1556"/>
      <c r="AP44" s="1561">
        <v>0</v>
      </c>
      <c r="AQ44" s="1565">
        <v>0</v>
      </c>
      <c r="AR44" s="1565">
        <f>4315433.53/10000000</f>
        <v>0.43154335300000002</v>
      </c>
      <c r="AS44" s="1565"/>
      <c r="AT44" s="1547">
        <f t="shared" si="2"/>
        <v>0.43154335300000002</v>
      </c>
      <c r="AU44" s="1566"/>
      <c r="AV44" s="1566"/>
      <c r="AW44" s="1565"/>
      <c r="AX44" s="1565"/>
      <c r="AY44" s="1565"/>
      <c r="AZ44" s="1565"/>
      <c r="BA44" s="1565"/>
      <c r="BB44" s="1565"/>
      <c r="BC44" s="1365"/>
      <c r="BD44" s="1365" t="s">
        <v>1595</v>
      </c>
      <c r="BE44" s="1553" t="s">
        <v>941</v>
      </c>
      <c r="BF44" s="1554" t="e">
        <f>IF(C44="Scheme",IF(SUM(AQ44:AW44)&gt;0,IF(H44&lt;#REF!,H44-#REF!,0),0),0)</f>
        <v>#REF!</v>
      </c>
      <c r="BH44" s="1371"/>
    </row>
    <row r="45" spans="1:60" s="1370" customFormat="1" ht="29" outlineLevel="1" x14ac:dyDescent="0.25">
      <c r="A45" s="1557">
        <v>17.600000000000001</v>
      </c>
      <c r="B45" s="1558" t="s">
        <v>1640</v>
      </c>
      <c r="C45" s="1559" t="s">
        <v>938</v>
      </c>
      <c r="D45" s="1557" t="str">
        <f t="shared" si="17"/>
        <v>MERC/CAPEX/20182019/020</v>
      </c>
      <c r="E45" s="1560">
        <f t="shared" si="17"/>
        <v>43307</v>
      </c>
      <c r="F45" s="1366">
        <f t="shared" si="18"/>
        <v>43481</v>
      </c>
      <c r="G45" s="1372">
        <v>0.28481011000000001</v>
      </c>
      <c r="H45" s="1372">
        <v>0.28481011000000001</v>
      </c>
      <c r="I45" s="1365"/>
      <c r="J45" s="1365"/>
      <c r="K45" s="1366">
        <f t="shared" si="4"/>
        <v>43481</v>
      </c>
      <c r="L45" s="1373" t="s">
        <v>528</v>
      </c>
      <c r="M45" s="1373">
        <v>44211</v>
      </c>
      <c r="N45" s="1374">
        <v>44428</v>
      </c>
      <c r="O45" s="1593"/>
      <c r="P45" s="1561">
        <v>0</v>
      </c>
      <c r="Q45" s="1562">
        <f t="shared" si="21"/>
        <v>0</v>
      </c>
      <c r="R45" s="1562">
        <f t="shared" si="21"/>
        <v>0</v>
      </c>
      <c r="S45" s="1563">
        <f t="shared" si="21"/>
        <v>0.20461170000000001</v>
      </c>
      <c r="T45" s="1547">
        <f t="shared" si="0"/>
        <v>0.20461170000000001</v>
      </c>
      <c r="U45" s="1564"/>
      <c r="V45" s="1564"/>
      <c r="W45" s="1564"/>
      <c r="X45" s="1564"/>
      <c r="Y45" s="1564"/>
      <c r="Z45" s="1564"/>
      <c r="AA45" s="1564"/>
      <c r="AB45" s="1564"/>
      <c r="AC45" s="1550">
        <v>0.2</v>
      </c>
      <c r="AD45" s="1550">
        <v>0.4</v>
      </c>
      <c r="AE45" s="1550">
        <v>0.6</v>
      </c>
      <c r="AF45" s="1550">
        <v>1</v>
      </c>
      <c r="AG45" s="1550">
        <f t="shared" si="1"/>
        <v>2.2000000000000002</v>
      </c>
      <c r="AH45" s="1556"/>
      <c r="AI45" s="1556"/>
      <c r="AJ45" s="1556"/>
      <c r="AK45" s="1556"/>
      <c r="AL45" s="1556"/>
      <c r="AM45" s="1556"/>
      <c r="AN45" s="1556"/>
      <c r="AO45" s="1556"/>
      <c r="AP45" s="1561">
        <v>0</v>
      </c>
      <c r="AQ45" s="1565">
        <v>0</v>
      </c>
      <c r="AR45" s="1565">
        <v>0</v>
      </c>
      <c r="AS45" s="1565">
        <f>2046117/10000000</f>
        <v>0.20461170000000001</v>
      </c>
      <c r="AT45" s="1547">
        <f t="shared" si="2"/>
        <v>0.20461170000000001</v>
      </c>
      <c r="AU45" s="1566"/>
      <c r="AV45" s="1566"/>
      <c r="AW45" s="1565"/>
      <c r="AX45" s="1565"/>
      <c r="AY45" s="1565"/>
      <c r="AZ45" s="1565"/>
      <c r="BA45" s="1565"/>
      <c r="BB45" s="1565"/>
      <c r="BC45" s="1365"/>
      <c r="BD45" s="1365" t="s">
        <v>1595</v>
      </c>
      <c r="BE45" s="1553" t="s">
        <v>941</v>
      </c>
      <c r="BF45" s="1554" t="e">
        <f>IF(C45="Scheme",IF(SUM(AQ45:AW45)&gt;0,IF(H45&lt;#REF!,H45-#REF!,0),0),0)</f>
        <v>#REF!</v>
      </c>
      <c r="BH45" s="1371"/>
    </row>
    <row r="46" spans="1:60" outlineLevel="1" x14ac:dyDescent="0.25">
      <c r="A46" s="1557"/>
      <c r="B46" s="1558" t="s">
        <v>413</v>
      </c>
      <c r="C46" s="1568" t="s">
        <v>413</v>
      </c>
      <c r="D46" s="1557" t="str">
        <f t="shared" si="17"/>
        <v>MERC/CAPEX/20182019/020</v>
      </c>
      <c r="E46" s="1560">
        <f t="shared" si="17"/>
        <v>43307</v>
      </c>
      <c r="F46" s="1366">
        <f t="shared" si="18"/>
        <v>43481</v>
      </c>
      <c r="G46" s="1372">
        <v>1.2641184999999999</v>
      </c>
      <c r="H46" s="1372">
        <v>0</v>
      </c>
      <c r="I46" s="1365"/>
      <c r="J46" s="1365"/>
      <c r="K46" s="1366"/>
      <c r="L46" s="1367"/>
      <c r="M46" s="1367"/>
      <c r="N46" s="1368"/>
      <c r="O46" s="1365"/>
      <c r="P46" s="1561">
        <v>0</v>
      </c>
      <c r="Q46" s="1562"/>
      <c r="R46" s="1562"/>
      <c r="S46" s="1563"/>
      <c r="T46" s="1594">
        <f t="shared" si="0"/>
        <v>0</v>
      </c>
      <c r="U46" s="1595"/>
      <c r="V46" s="1595"/>
      <c r="W46" s="1595"/>
      <c r="X46" s="1595"/>
      <c r="Y46" s="1595"/>
      <c r="Z46" s="1595"/>
      <c r="AA46" s="1595"/>
      <c r="AB46" s="1595"/>
      <c r="AC46" s="1550"/>
      <c r="AD46" s="1550"/>
      <c r="AE46" s="1550"/>
      <c r="AF46" s="1550"/>
      <c r="AG46" s="1541">
        <f t="shared" si="1"/>
        <v>0</v>
      </c>
      <c r="AH46" s="1596"/>
      <c r="AI46" s="1596"/>
      <c r="AJ46" s="1596"/>
      <c r="AK46" s="1596"/>
      <c r="AL46" s="1596"/>
      <c r="AM46" s="1596"/>
      <c r="AN46" s="1596"/>
      <c r="AO46" s="1596"/>
      <c r="AP46" s="1561">
        <v>0</v>
      </c>
      <c r="AQ46" s="1565"/>
      <c r="AR46" s="1565"/>
      <c r="AS46" s="1565"/>
      <c r="AT46" s="1594">
        <f t="shared" si="2"/>
        <v>0</v>
      </c>
      <c r="AU46" s="1597"/>
      <c r="AV46" s="1597"/>
      <c r="AW46" s="1565"/>
      <c r="AX46" s="1565"/>
      <c r="AY46" s="1565"/>
      <c r="AZ46" s="1565"/>
      <c r="BA46" s="1565"/>
      <c r="BB46" s="1565"/>
      <c r="BC46" s="1365"/>
      <c r="BD46" s="1365"/>
      <c r="BE46" s="1553" t="s">
        <v>936</v>
      </c>
      <c r="BF46" s="1598">
        <f>IF(C46="Scheme",IF(SUM(AQ46:AW46)&gt;0,IF(H46&lt;#REF!,H46-#REF!,0),0),0)</f>
        <v>0</v>
      </c>
      <c r="BH46" s="1355"/>
    </row>
    <row r="47" spans="1:60" s="1370" customFormat="1" ht="29" outlineLevel="1" x14ac:dyDescent="0.25">
      <c r="A47" s="1543">
        <v>18</v>
      </c>
      <c r="B47" s="1544" t="s">
        <v>1641</v>
      </c>
      <c r="C47" s="1543" t="s">
        <v>931</v>
      </c>
      <c r="D47" s="1543" t="s">
        <v>1642</v>
      </c>
      <c r="E47" s="1545">
        <v>43483</v>
      </c>
      <c r="F47" s="1546">
        <v>43672</v>
      </c>
      <c r="G47" s="1330">
        <f>SUM(G48:G50)</f>
        <v>22.72</v>
      </c>
      <c r="H47" s="1330">
        <f>SUM(H48:H50)</f>
        <v>22.72</v>
      </c>
      <c r="I47" s="1365"/>
      <c r="J47" s="1365"/>
      <c r="K47" s="1366">
        <f t="shared" si="4"/>
        <v>43672</v>
      </c>
      <c r="L47" s="1367"/>
      <c r="M47" s="1367"/>
      <c r="N47" s="1368"/>
      <c r="O47" s="1365"/>
      <c r="P47" s="1547"/>
      <c r="Q47" s="1548"/>
      <c r="R47" s="1548"/>
      <c r="S47" s="1547"/>
      <c r="T47" s="1547">
        <f t="shared" si="0"/>
        <v>0</v>
      </c>
      <c r="U47" s="1555"/>
      <c r="V47" s="1555"/>
      <c r="W47" s="1555"/>
      <c r="X47" s="1555"/>
      <c r="Y47" s="1555"/>
      <c r="Z47" s="1555"/>
      <c r="AA47" s="1555"/>
      <c r="AB47" s="1555"/>
      <c r="AC47" s="1550"/>
      <c r="AD47" s="1550"/>
      <c r="AE47" s="1550"/>
      <c r="AF47" s="1550"/>
      <c r="AG47" s="1550">
        <f t="shared" si="1"/>
        <v>0</v>
      </c>
      <c r="AH47" s="1556"/>
      <c r="AI47" s="1556"/>
      <c r="AJ47" s="1556"/>
      <c r="AK47" s="1556"/>
      <c r="AL47" s="1556"/>
      <c r="AM47" s="1556"/>
      <c r="AN47" s="1556"/>
      <c r="AO47" s="1556"/>
      <c r="AP47" s="1547"/>
      <c r="AQ47" s="1547"/>
      <c r="AR47" s="1547"/>
      <c r="AS47" s="1547"/>
      <c r="AT47" s="1547">
        <f t="shared" si="2"/>
        <v>0</v>
      </c>
      <c r="AU47" s="1555"/>
      <c r="AV47" s="1555"/>
      <c r="AW47" s="1547"/>
      <c r="AX47" s="1547"/>
      <c r="AY47" s="1547"/>
      <c r="AZ47" s="1547"/>
      <c r="BA47" s="1547"/>
      <c r="BB47" s="1547"/>
      <c r="BC47" s="1365"/>
      <c r="BD47" s="1365"/>
      <c r="BE47" s="1553" t="s">
        <v>936</v>
      </c>
      <c r="BF47" s="1554">
        <f>IF(C47="Scheme",IF(SUM(AQ47:AW47)&gt;0,IF(H47&lt;#REF!,H47-#REF!,0),0),0)</f>
        <v>0</v>
      </c>
      <c r="BH47" s="1371"/>
    </row>
    <row r="48" spans="1:60" s="1384" customFormat="1" ht="30" customHeight="1" outlineLevel="1" x14ac:dyDescent="0.25">
      <c r="A48" s="1511">
        <v>18.100000000000001</v>
      </c>
      <c r="B48" s="1512" t="s">
        <v>1643</v>
      </c>
      <c r="C48" s="1570" t="s">
        <v>938</v>
      </c>
      <c r="D48" s="1511" t="str">
        <f>D47</f>
        <v>MERC/CAPEX/2019-2020/419</v>
      </c>
      <c r="E48" s="1571">
        <f>E47</f>
        <v>43483</v>
      </c>
      <c r="F48" s="1378">
        <f t="shared" ref="F48:F54" si="22">IF(F47=0,"-",F47)</f>
        <v>43672</v>
      </c>
      <c r="G48" s="1379">
        <v>10.6</v>
      </c>
      <c r="H48" s="1379">
        <v>10.6</v>
      </c>
      <c r="I48" s="1380"/>
      <c r="J48" s="1380"/>
      <c r="K48" s="1378">
        <f t="shared" si="4"/>
        <v>43672</v>
      </c>
      <c r="L48" s="1381">
        <v>43469</v>
      </c>
      <c r="M48" s="1381">
        <v>44767</v>
      </c>
      <c r="N48" s="1382"/>
      <c r="O48" s="1920" t="s">
        <v>1644</v>
      </c>
      <c r="P48" s="1514">
        <v>0</v>
      </c>
      <c r="Q48" s="1573">
        <v>0</v>
      </c>
      <c r="R48" s="1573">
        <v>0</v>
      </c>
      <c r="S48" s="1574">
        <v>8.7955000000000005</v>
      </c>
      <c r="T48" s="1509">
        <f t="shared" si="0"/>
        <v>8.7955000000000005</v>
      </c>
      <c r="U48" s="1599">
        <v>0</v>
      </c>
      <c r="V48" s="1599">
        <v>0</v>
      </c>
      <c r="W48" s="1586">
        <v>3.7095201000000002</v>
      </c>
      <c r="X48" s="1586"/>
      <c r="Y48" s="1586"/>
      <c r="Z48" s="1586"/>
      <c r="AA48" s="1586"/>
      <c r="AB48" s="1586"/>
      <c r="AC48" s="1576">
        <v>0</v>
      </c>
      <c r="AD48" s="1576">
        <v>0.2</v>
      </c>
      <c r="AE48" s="1576">
        <v>0.4</v>
      </c>
      <c r="AF48" s="1576">
        <v>0.8</v>
      </c>
      <c r="AG48" s="1576">
        <f t="shared" si="1"/>
        <v>1.4000000000000001</v>
      </c>
      <c r="AH48" s="1577">
        <v>0.8</v>
      </c>
      <c r="AI48" s="1577">
        <v>0.8</v>
      </c>
      <c r="AJ48" s="1577">
        <v>1</v>
      </c>
      <c r="AK48" s="1577"/>
      <c r="AL48" s="1577"/>
      <c r="AM48" s="1577"/>
      <c r="AN48" s="1577"/>
      <c r="AO48" s="1577"/>
      <c r="AP48" s="1514">
        <v>0</v>
      </c>
      <c r="AQ48" s="1579">
        <v>0</v>
      </c>
      <c r="AR48" s="1579">
        <v>0</v>
      </c>
      <c r="AS48" s="1579">
        <v>0</v>
      </c>
      <c r="AT48" s="1509">
        <f t="shared" si="2"/>
        <v>0</v>
      </c>
      <c r="AU48" s="1566">
        <v>0</v>
      </c>
      <c r="AV48" s="1566">
        <v>0</v>
      </c>
      <c r="AW48" s="1579">
        <v>12.505120100000001</v>
      </c>
      <c r="AX48" s="1565"/>
      <c r="AY48" s="1565"/>
      <c r="AZ48" s="1565"/>
      <c r="BA48" s="1565"/>
      <c r="BB48" s="1565"/>
      <c r="BC48" s="1390"/>
      <c r="BD48" s="1390" t="s">
        <v>2081</v>
      </c>
      <c r="BE48" s="1581" t="s">
        <v>941</v>
      </c>
      <c r="BF48" s="1582" t="e">
        <f>IF(C48="Scheme",IF(SUM(AQ48:AW48)&gt;0,IF(H48&lt;#REF!,H48-#REF!,0),0),0)</f>
        <v>#REF!</v>
      </c>
      <c r="BH48" s="1385"/>
    </row>
    <row r="49" spans="1:61" s="1384" customFormat="1" ht="319" outlineLevel="1" x14ac:dyDescent="0.25">
      <c r="A49" s="1511">
        <v>18.2</v>
      </c>
      <c r="B49" s="1512" t="s">
        <v>1645</v>
      </c>
      <c r="C49" s="1570" t="s">
        <v>938</v>
      </c>
      <c r="D49" s="1511" t="str">
        <f t="shared" ref="D49:E50" si="23">D48</f>
        <v>MERC/CAPEX/2019-2020/419</v>
      </c>
      <c r="E49" s="1571">
        <f t="shared" si="23"/>
        <v>43483</v>
      </c>
      <c r="F49" s="1378">
        <f t="shared" si="22"/>
        <v>43672</v>
      </c>
      <c r="G49" s="1379">
        <v>10.6</v>
      </c>
      <c r="H49" s="1379">
        <v>10.6</v>
      </c>
      <c r="I49" s="1380"/>
      <c r="J49" s="1380"/>
      <c r="K49" s="1378">
        <f t="shared" si="4"/>
        <v>43672</v>
      </c>
      <c r="L49" s="1381">
        <v>43469</v>
      </c>
      <c r="M49" s="1381">
        <v>44767</v>
      </c>
      <c r="N49" s="1382"/>
      <c r="O49" s="1921"/>
      <c r="P49" s="1514">
        <v>0</v>
      </c>
      <c r="Q49" s="1573">
        <v>0</v>
      </c>
      <c r="R49" s="1573">
        <v>0</v>
      </c>
      <c r="S49" s="1574">
        <v>8.7955000000000005</v>
      </c>
      <c r="T49" s="1509">
        <f t="shared" si="0"/>
        <v>8.7955000000000005</v>
      </c>
      <c r="U49" s="1575">
        <v>3.53</v>
      </c>
      <c r="V49" s="1586">
        <v>0</v>
      </c>
      <c r="W49" s="1586">
        <v>0</v>
      </c>
      <c r="X49" s="1586"/>
      <c r="Y49" s="1586"/>
      <c r="Z49" s="1586"/>
      <c r="AA49" s="1586"/>
      <c r="AB49" s="1586"/>
      <c r="AC49" s="1576">
        <v>0</v>
      </c>
      <c r="AD49" s="1576">
        <v>0.2</v>
      </c>
      <c r="AE49" s="1576">
        <v>0.4</v>
      </c>
      <c r="AF49" s="1576">
        <v>0.8</v>
      </c>
      <c r="AG49" s="1576">
        <f t="shared" si="1"/>
        <v>1.4000000000000001</v>
      </c>
      <c r="AH49" s="1577">
        <v>1</v>
      </c>
      <c r="AI49" s="1578"/>
      <c r="AJ49" s="1578"/>
      <c r="AK49" s="1578"/>
      <c r="AL49" s="1578"/>
      <c r="AM49" s="1578"/>
      <c r="AN49" s="1578"/>
      <c r="AO49" s="1578"/>
      <c r="AP49" s="1514">
        <v>0</v>
      </c>
      <c r="AQ49" s="1579">
        <v>0</v>
      </c>
      <c r="AR49" s="1579">
        <v>0</v>
      </c>
      <c r="AS49" s="1579">
        <v>0</v>
      </c>
      <c r="AT49" s="1509">
        <f t="shared" si="2"/>
        <v>0</v>
      </c>
      <c r="AU49" s="1590">
        <v>12.328390300000001</v>
      </c>
      <c r="AV49" s="1566">
        <v>0</v>
      </c>
      <c r="AW49" s="1565">
        <v>0</v>
      </c>
      <c r="AX49" s="1565"/>
      <c r="AY49" s="1565"/>
      <c r="AZ49" s="1565"/>
      <c r="BA49" s="1565"/>
      <c r="BB49" s="1565"/>
      <c r="BC49" s="1383"/>
      <c r="BD49" s="1383" t="s">
        <v>2082</v>
      </c>
      <c r="BE49" s="1581" t="s">
        <v>941</v>
      </c>
      <c r="BF49" s="1582" t="e">
        <f>IF(C49="Scheme",IF(SUM(AQ49:AW49)&gt;0,IF(H49&lt;#REF!,H49-#REF!,0),0),0)</f>
        <v>#REF!</v>
      </c>
      <c r="BH49" s="1385"/>
    </row>
    <row r="50" spans="1:61" s="1384" customFormat="1" outlineLevel="1" x14ac:dyDescent="0.25">
      <c r="A50" s="1511"/>
      <c r="B50" s="1516" t="s">
        <v>413</v>
      </c>
      <c r="C50" s="1600" t="s">
        <v>413</v>
      </c>
      <c r="D50" s="1511" t="str">
        <f t="shared" si="23"/>
        <v>MERC/CAPEX/2019-2020/419</v>
      </c>
      <c r="E50" s="1571">
        <f t="shared" si="23"/>
        <v>43483</v>
      </c>
      <c r="F50" s="1378">
        <f t="shared" si="22"/>
        <v>43672</v>
      </c>
      <c r="G50" s="1379">
        <v>1.52</v>
      </c>
      <c r="H50" s="1379">
        <v>1.52</v>
      </c>
      <c r="I50" s="1380"/>
      <c r="J50" s="1380"/>
      <c r="K50" s="1378">
        <f t="shared" si="4"/>
        <v>43672</v>
      </c>
      <c r="L50" s="1387"/>
      <c r="M50" s="1387"/>
      <c r="N50" s="1388"/>
      <c r="O50" s="1380"/>
      <c r="P50" s="1601">
        <v>0</v>
      </c>
      <c r="Q50" s="1573"/>
      <c r="R50" s="1573"/>
      <c r="S50" s="1574"/>
      <c r="T50" s="1509">
        <f t="shared" si="0"/>
        <v>0</v>
      </c>
      <c r="U50" s="1586">
        <v>0.81066607999999996</v>
      </c>
      <c r="V50" s="1586"/>
      <c r="W50" s="1586"/>
      <c r="X50" s="1586"/>
      <c r="Y50" s="1586"/>
      <c r="Z50" s="1586"/>
      <c r="AA50" s="1586"/>
      <c r="AB50" s="1586"/>
      <c r="AC50" s="1576"/>
      <c r="AD50" s="1576"/>
      <c r="AE50" s="1576"/>
      <c r="AF50" s="1576"/>
      <c r="AG50" s="1576">
        <f t="shared" si="1"/>
        <v>0</v>
      </c>
      <c r="AH50" s="1578"/>
      <c r="AI50" s="1578"/>
      <c r="AJ50" s="1578"/>
      <c r="AK50" s="1578"/>
      <c r="AL50" s="1578"/>
      <c r="AM50" s="1578"/>
      <c r="AN50" s="1578"/>
      <c r="AO50" s="1578"/>
      <c r="AP50" s="1601">
        <v>0</v>
      </c>
      <c r="AQ50" s="1579"/>
      <c r="AR50" s="1579"/>
      <c r="AS50" s="1579"/>
      <c r="AT50" s="1509">
        <f t="shared" si="2"/>
        <v>0</v>
      </c>
      <c r="AU50" s="1590">
        <v>0.81066079999999996</v>
      </c>
      <c r="AV50" s="1566"/>
      <c r="AW50" s="1579">
        <v>1.82</v>
      </c>
      <c r="AX50" s="1565"/>
      <c r="AY50" s="1565"/>
      <c r="AZ50" s="1565"/>
      <c r="BA50" s="1565"/>
      <c r="BB50" s="1565"/>
      <c r="BC50" s="1380"/>
      <c r="BD50" s="1579" t="s">
        <v>2083</v>
      </c>
      <c r="BE50" s="1581" t="s">
        <v>941</v>
      </c>
      <c r="BF50" s="1582">
        <f>IF(C50="Scheme",IF(SUM(AQ50:AW50)&gt;0,IF(H50&lt;#REF!,H50-#REF!,0),0),0)</f>
        <v>0</v>
      </c>
      <c r="BH50" s="1385"/>
    </row>
    <row r="51" spans="1:61" s="1370" customFormat="1" ht="29" outlineLevel="1" x14ac:dyDescent="0.25">
      <c r="A51" s="1543">
        <v>19</v>
      </c>
      <c r="B51" s="1544" t="s">
        <v>1646</v>
      </c>
      <c r="C51" s="1543" t="s">
        <v>931</v>
      </c>
      <c r="D51" s="1543" t="s">
        <v>1647</v>
      </c>
      <c r="E51" s="1545">
        <v>43553</v>
      </c>
      <c r="F51" s="1546">
        <v>43676</v>
      </c>
      <c r="G51" s="1330">
        <f>SUM(G52:G54)</f>
        <v>10.719999999999999</v>
      </c>
      <c r="H51" s="1330">
        <f>SUM(H52:H54)</f>
        <v>10.719999999999999</v>
      </c>
      <c r="I51" s="1365"/>
      <c r="J51" s="1365"/>
      <c r="K51" s="1366">
        <f t="shared" si="4"/>
        <v>43676</v>
      </c>
      <c r="L51" s="1367"/>
      <c r="M51" s="1367"/>
      <c r="N51" s="1368"/>
      <c r="O51" s="1365"/>
      <c r="P51" s="1547"/>
      <c r="Q51" s="1548"/>
      <c r="R51" s="1548"/>
      <c r="S51" s="1547"/>
      <c r="T51" s="1547">
        <f t="shared" si="0"/>
        <v>0</v>
      </c>
      <c r="U51" s="1555"/>
      <c r="V51" s="1555"/>
      <c r="W51" s="1555"/>
      <c r="X51" s="1555"/>
      <c r="Y51" s="1555"/>
      <c r="Z51" s="1555"/>
      <c r="AA51" s="1555"/>
      <c r="AB51" s="1555"/>
      <c r="AC51" s="1550"/>
      <c r="AD51" s="1550"/>
      <c r="AE51" s="1550"/>
      <c r="AF51" s="1550"/>
      <c r="AG51" s="1550">
        <f t="shared" si="1"/>
        <v>0</v>
      </c>
      <c r="AH51" s="1556"/>
      <c r="AI51" s="1556"/>
      <c r="AJ51" s="1556"/>
      <c r="AK51" s="1556"/>
      <c r="AL51" s="1556"/>
      <c r="AM51" s="1556"/>
      <c r="AN51" s="1556"/>
      <c r="AO51" s="1556"/>
      <c r="AP51" s="1547"/>
      <c r="AQ51" s="1547"/>
      <c r="AR51" s="1547"/>
      <c r="AS51" s="1547"/>
      <c r="AT51" s="1547">
        <f t="shared" si="2"/>
        <v>0</v>
      </c>
      <c r="AU51" s="1555"/>
      <c r="AV51" s="1555"/>
      <c r="AW51" s="1547"/>
      <c r="AX51" s="1547"/>
      <c r="AY51" s="1547"/>
      <c r="AZ51" s="1547"/>
      <c r="BA51" s="1547"/>
      <c r="BB51" s="1547"/>
      <c r="BC51" s="1365"/>
      <c r="BD51" s="1365"/>
      <c r="BE51" s="1553" t="s">
        <v>936</v>
      </c>
      <c r="BF51" s="1554">
        <f>IF(C51="Scheme",IF(SUM(AQ51:AW51)&gt;0,IF(H51&lt;#REF!,H51-#REF!,0),0),0)</f>
        <v>0</v>
      </c>
      <c r="BH51" s="1371"/>
    </row>
    <row r="52" spans="1:61" s="1370" customFormat="1" ht="62" outlineLevel="1" x14ac:dyDescent="0.25">
      <c r="A52" s="1557">
        <v>19.100000000000001</v>
      </c>
      <c r="B52" s="1558" t="s">
        <v>1648</v>
      </c>
      <c r="C52" s="1559" t="s">
        <v>938</v>
      </c>
      <c r="D52" s="1557" t="str">
        <f t="shared" ref="D52:E54" si="24">D51</f>
        <v>MERC/CAPEX/2019-2020/451</v>
      </c>
      <c r="E52" s="1560">
        <f t="shared" si="24"/>
        <v>43553</v>
      </c>
      <c r="F52" s="1366">
        <f t="shared" si="22"/>
        <v>43676</v>
      </c>
      <c r="G52" s="1372">
        <v>3.93</v>
      </c>
      <c r="H52" s="1372">
        <v>3.93</v>
      </c>
      <c r="I52" s="1365"/>
      <c r="J52" s="1365"/>
      <c r="K52" s="1366">
        <f t="shared" si="4"/>
        <v>43676</v>
      </c>
      <c r="L52" s="1373">
        <v>43633</v>
      </c>
      <c r="M52" s="1373">
        <v>44406</v>
      </c>
      <c r="N52" s="1374">
        <v>44053</v>
      </c>
      <c r="O52" s="1377" t="s">
        <v>1649</v>
      </c>
      <c r="P52" s="1561">
        <v>0</v>
      </c>
      <c r="Q52" s="1562">
        <v>0</v>
      </c>
      <c r="R52" s="1562">
        <v>4.3292536000000004</v>
      </c>
      <c r="S52" s="1563"/>
      <c r="T52" s="1547">
        <f t="shared" si="0"/>
        <v>4.3292536000000004</v>
      </c>
      <c r="U52" s="1564"/>
      <c r="V52" s="1564"/>
      <c r="W52" s="1564"/>
      <c r="X52" s="1564"/>
      <c r="Y52" s="1564"/>
      <c r="Z52" s="1564"/>
      <c r="AA52" s="1564"/>
      <c r="AB52" s="1564"/>
      <c r="AC52" s="1550">
        <v>0</v>
      </c>
      <c r="AD52" s="1550">
        <v>0.2</v>
      </c>
      <c r="AE52" s="1550">
        <v>1</v>
      </c>
      <c r="AF52" s="1550"/>
      <c r="AG52" s="1550">
        <f t="shared" si="1"/>
        <v>1.2</v>
      </c>
      <c r="AH52" s="1556"/>
      <c r="AI52" s="1556"/>
      <c r="AJ52" s="1556"/>
      <c r="AK52" s="1556"/>
      <c r="AL52" s="1556"/>
      <c r="AM52" s="1556"/>
      <c r="AN52" s="1556"/>
      <c r="AO52" s="1556"/>
      <c r="AP52" s="1561">
        <v>0</v>
      </c>
      <c r="AQ52" s="1565">
        <v>0</v>
      </c>
      <c r="AR52" s="1565">
        <v>4.3292536000000004</v>
      </c>
      <c r="AS52" s="1565"/>
      <c r="AT52" s="1547">
        <f t="shared" si="2"/>
        <v>4.3292536000000004</v>
      </c>
      <c r="AU52" s="1566"/>
      <c r="AV52" s="1566"/>
      <c r="AW52" s="1565"/>
      <c r="AX52" s="1565"/>
      <c r="AY52" s="1565"/>
      <c r="AZ52" s="1565"/>
      <c r="BA52" s="1565"/>
      <c r="BB52" s="1565"/>
      <c r="BC52" s="1365"/>
      <c r="BD52" s="1365" t="s">
        <v>2084</v>
      </c>
      <c r="BE52" s="1553" t="s">
        <v>941</v>
      </c>
      <c r="BF52" s="1554" t="e">
        <f>IF(C52="Scheme",IF(SUM(AQ52:AW52)&gt;0,IF(H52&lt;#REF!,H52-#REF!,0),0),0)</f>
        <v>#REF!</v>
      </c>
      <c r="BH52" s="1371"/>
    </row>
    <row r="53" spans="1:61" s="1370" customFormat="1" ht="186" outlineLevel="1" x14ac:dyDescent="0.25">
      <c r="A53" s="1557">
        <v>19.2</v>
      </c>
      <c r="B53" s="1558" t="s">
        <v>1650</v>
      </c>
      <c r="C53" s="1559" t="s">
        <v>938</v>
      </c>
      <c r="D53" s="1557" t="str">
        <f t="shared" si="24"/>
        <v>MERC/CAPEX/2019-2020/451</v>
      </c>
      <c r="E53" s="1560">
        <f t="shared" si="24"/>
        <v>43553</v>
      </c>
      <c r="F53" s="1366">
        <f t="shared" si="22"/>
        <v>43676</v>
      </c>
      <c r="G53" s="1372">
        <v>6.25</v>
      </c>
      <c r="H53" s="1372">
        <v>6.25</v>
      </c>
      <c r="I53" s="1365"/>
      <c r="J53" s="1365"/>
      <c r="K53" s="1366">
        <f t="shared" si="4"/>
        <v>43676</v>
      </c>
      <c r="L53" s="1373">
        <v>43633</v>
      </c>
      <c r="M53" s="1373">
        <v>44406</v>
      </c>
      <c r="N53" s="1374" t="s">
        <v>1651</v>
      </c>
      <c r="O53" s="1377" t="s">
        <v>1652</v>
      </c>
      <c r="P53" s="1561">
        <v>0</v>
      </c>
      <c r="Q53" s="1562">
        <f t="shared" ref="Q53:S53" si="25">AQ53</f>
        <v>0</v>
      </c>
      <c r="R53" s="1562">
        <f t="shared" si="25"/>
        <v>0</v>
      </c>
      <c r="S53" s="1563">
        <f t="shared" si="25"/>
        <v>6.4416200000000003</v>
      </c>
      <c r="T53" s="1547">
        <f t="shared" si="0"/>
        <v>6.4416200000000003</v>
      </c>
      <c r="U53" s="1564"/>
      <c r="V53" s="1564"/>
      <c r="W53" s="1564"/>
      <c r="X53" s="1564"/>
      <c r="Y53" s="1564"/>
      <c r="Z53" s="1564"/>
      <c r="AA53" s="1564"/>
      <c r="AB53" s="1564"/>
      <c r="AC53" s="1550">
        <v>0</v>
      </c>
      <c r="AD53" s="1550">
        <v>0.2</v>
      </c>
      <c r="AE53" s="1550">
        <v>0.4</v>
      </c>
      <c r="AF53" s="1550">
        <v>1</v>
      </c>
      <c r="AG53" s="1550">
        <f t="shared" si="1"/>
        <v>1.6</v>
      </c>
      <c r="AH53" s="1556"/>
      <c r="AI53" s="1556"/>
      <c r="AJ53" s="1556"/>
      <c r="AK53" s="1556"/>
      <c r="AL53" s="1556"/>
      <c r="AM53" s="1556"/>
      <c r="AN53" s="1556"/>
      <c r="AO53" s="1556"/>
      <c r="AP53" s="1561">
        <v>0</v>
      </c>
      <c r="AQ53" s="1565">
        <v>0</v>
      </c>
      <c r="AR53" s="1565">
        <v>0</v>
      </c>
      <c r="AS53" s="1565">
        <f>(32208100+32208100)/10000000</f>
        <v>6.4416200000000003</v>
      </c>
      <c r="AT53" s="1547">
        <f t="shared" si="2"/>
        <v>6.4416200000000003</v>
      </c>
      <c r="AU53" s="1566"/>
      <c r="AV53" s="1566"/>
      <c r="AW53" s="1565"/>
      <c r="AX53" s="1565"/>
      <c r="AY53" s="1565"/>
      <c r="AZ53" s="1565"/>
      <c r="BA53" s="1565"/>
      <c r="BB53" s="1565"/>
      <c r="BC53" s="1365"/>
      <c r="BD53" s="1365" t="s">
        <v>2085</v>
      </c>
      <c r="BE53" s="1553" t="s">
        <v>941</v>
      </c>
      <c r="BF53" s="1554" t="e">
        <f>IF(C53="Scheme",IF(SUM(AQ53:AW53)&gt;0,IF(H53&lt;#REF!,H53-#REF!,0),0),0)</f>
        <v>#REF!</v>
      </c>
      <c r="BH53" s="1371"/>
    </row>
    <row r="54" spans="1:61" s="1370" customFormat="1" outlineLevel="1" x14ac:dyDescent="0.25">
      <c r="A54" s="1557"/>
      <c r="B54" s="1558" t="s">
        <v>413</v>
      </c>
      <c r="C54" s="1568" t="s">
        <v>413</v>
      </c>
      <c r="D54" s="1557" t="str">
        <f t="shared" si="24"/>
        <v>MERC/CAPEX/2019-2020/451</v>
      </c>
      <c r="E54" s="1560">
        <f t="shared" si="24"/>
        <v>43553</v>
      </c>
      <c r="F54" s="1366">
        <f t="shared" si="22"/>
        <v>43676</v>
      </c>
      <c r="G54" s="1372">
        <v>0.54</v>
      </c>
      <c r="H54" s="1372">
        <v>0.54</v>
      </c>
      <c r="I54" s="1365"/>
      <c r="J54" s="1365"/>
      <c r="K54" s="1366"/>
      <c r="L54" s="1367"/>
      <c r="M54" s="1367"/>
      <c r="N54" s="1368"/>
      <c r="O54" s="1365"/>
      <c r="P54" s="1602">
        <v>0</v>
      </c>
      <c r="Q54" s="1562"/>
      <c r="R54" s="1562"/>
      <c r="S54" s="1563"/>
      <c r="T54" s="1547">
        <f t="shared" si="0"/>
        <v>0</v>
      </c>
      <c r="U54" s="1564"/>
      <c r="V54" s="1564"/>
      <c r="W54" s="1564"/>
      <c r="X54" s="1564"/>
      <c r="Y54" s="1564"/>
      <c r="Z54" s="1564"/>
      <c r="AA54" s="1564"/>
      <c r="AB54" s="1564"/>
      <c r="AC54" s="1550"/>
      <c r="AD54" s="1550"/>
      <c r="AE54" s="1550"/>
      <c r="AF54" s="1550"/>
      <c r="AG54" s="1550">
        <f t="shared" si="1"/>
        <v>0</v>
      </c>
      <c r="AH54" s="1556"/>
      <c r="AI54" s="1556"/>
      <c r="AJ54" s="1556"/>
      <c r="AK54" s="1556"/>
      <c r="AL54" s="1556"/>
      <c r="AM54" s="1556"/>
      <c r="AN54" s="1556"/>
      <c r="AO54" s="1556"/>
      <c r="AP54" s="1602">
        <v>0</v>
      </c>
      <c r="AQ54" s="1565"/>
      <c r="AR54" s="1565"/>
      <c r="AS54" s="1565"/>
      <c r="AT54" s="1547">
        <f t="shared" si="2"/>
        <v>0</v>
      </c>
      <c r="AU54" s="1566"/>
      <c r="AV54" s="1566"/>
      <c r="AW54" s="1565"/>
      <c r="AX54" s="1565"/>
      <c r="AY54" s="1565"/>
      <c r="AZ54" s="1565"/>
      <c r="BA54" s="1565"/>
      <c r="BB54" s="1565"/>
      <c r="BC54" s="1365"/>
      <c r="BD54" s="1365"/>
      <c r="BE54" s="1391" t="s">
        <v>936</v>
      </c>
      <c r="BF54" s="1554">
        <f>IF(C54="Scheme",IF(SUM(AQ54:AW54)&gt;0,IF(H54&lt;#REF!,H54-#REF!,0),0),0)</f>
        <v>0</v>
      </c>
      <c r="BH54" s="1371"/>
    </row>
    <row r="55" spans="1:61" s="1370" customFormat="1" ht="58" outlineLevel="1" x14ac:dyDescent="0.25">
      <c r="A55" s="1543">
        <v>20</v>
      </c>
      <c r="B55" s="1544" t="s">
        <v>1653</v>
      </c>
      <c r="C55" s="1543" t="s">
        <v>931</v>
      </c>
      <c r="D55" s="1543" t="s">
        <v>1654</v>
      </c>
      <c r="E55" s="1545">
        <v>43553</v>
      </c>
      <c r="F55" s="1546" t="s">
        <v>1655</v>
      </c>
      <c r="G55" s="1330">
        <f>SUM(G56:G60)</f>
        <v>26.55</v>
      </c>
      <c r="H55" s="1330">
        <f>SUM(H56:H60)</f>
        <v>21.26</v>
      </c>
      <c r="I55" s="1365"/>
      <c r="J55" s="1365"/>
      <c r="K55" s="1366" t="str">
        <f t="shared" si="4"/>
        <v>01-08-2019,
10-10-2019</v>
      </c>
      <c r="L55" s="1367"/>
      <c r="M55" s="1367"/>
      <c r="N55" s="1368"/>
      <c r="O55" s="1365"/>
      <c r="P55" s="1547"/>
      <c r="Q55" s="1548"/>
      <c r="R55" s="1548"/>
      <c r="S55" s="1547"/>
      <c r="T55" s="1547">
        <f t="shared" si="0"/>
        <v>0</v>
      </c>
      <c r="U55" s="1555"/>
      <c r="V55" s="1555"/>
      <c r="W55" s="1555"/>
      <c r="X55" s="1555"/>
      <c r="Y55" s="1555"/>
      <c r="Z55" s="1555"/>
      <c r="AA55" s="1555"/>
      <c r="AB55" s="1555"/>
      <c r="AC55" s="1550"/>
      <c r="AD55" s="1550"/>
      <c r="AE55" s="1550"/>
      <c r="AF55" s="1550"/>
      <c r="AG55" s="1550">
        <f t="shared" si="1"/>
        <v>0</v>
      </c>
      <c r="AH55" s="1556"/>
      <c r="AI55" s="1556"/>
      <c r="AJ55" s="1556"/>
      <c r="AK55" s="1556"/>
      <c r="AL55" s="1556"/>
      <c r="AM55" s="1556"/>
      <c r="AN55" s="1556"/>
      <c r="AO55" s="1556"/>
      <c r="AP55" s="1547"/>
      <c r="AQ55" s="1547"/>
      <c r="AR55" s="1547"/>
      <c r="AS55" s="1547"/>
      <c r="AT55" s="1547">
        <f t="shared" si="2"/>
        <v>0</v>
      </c>
      <c r="AU55" s="1555"/>
      <c r="AV55" s="1555"/>
      <c r="AW55" s="1547"/>
      <c r="AX55" s="1547"/>
      <c r="AY55" s="1547"/>
      <c r="AZ55" s="1547"/>
      <c r="BA55" s="1547"/>
      <c r="BB55" s="1547"/>
      <c r="BC55" s="1365"/>
      <c r="BD55" s="1365"/>
      <c r="BE55" s="1553" t="s">
        <v>936</v>
      </c>
      <c r="BF55" s="1554">
        <f>IF(C55="Scheme",IF(SUM(AQ55:AW55)&gt;0,IF(H55&lt;#REF!,H55-#REF!,0),0),0)</f>
        <v>0</v>
      </c>
      <c r="BH55" s="1371"/>
    </row>
    <row r="56" spans="1:61" s="1370" customFormat="1" ht="170.5" outlineLevel="1" x14ac:dyDescent="0.25">
      <c r="A56" s="1557">
        <v>20.100000000000001</v>
      </c>
      <c r="B56" s="1558" t="s">
        <v>1656</v>
      </c>
      <c r="C56" s="1559" t="s">
        <v>938</v>
      </c>
      <c r="D56" s="1557" t="str">
        <f>D55</f>
        <v>MERC/CAPEX/2019-2020/476,
MERC/CAPEX/2019-2020/858</v>
      </c>
      <c r="E56" s="1560">
        <f>E55</f>
        <v>43553</v>
      </c>
      <c r="F56" s="1366" t="str">
        <f>IF(F55=0,"-",F55)</f>
        <v>01-08-2019,
10-10-2019</v>
      </c>
      <c r="G56" s="1372">
        <v>14.39</v>
      </c>
      <c r="H56" s="1372">
        <v>14.39</v>
      </c>
      <c r="I56" s="1365"/>
      <c r="J56" s="1365"/>
      <c r="K56" s="1366" t="str">
        <f t="shared" si="4"/>
        <v>01-08-2019,
10-10-2019</v>
      </c>
      <c r="L56" s="1373">
        <v>43567</v>
      </c>
      <c r="M56" s="1373">
        <v>44226</v>
      </c>
      <c r="N56" s="1374" t="s">
        <v>1657</v>
      </c>
      <c r="O56" s="1377" t="s">
        <v>1658</v>
      </c>
      <c r="P56" s="1561">
        <v>0</v>
      </c>
      <c r="Q56" s="1562">
        <v>0</v>
      </c>
      <c r="R56" s="1562">
        <v>14.1187</v>
      </c>
      <c r="S56" s="1563"/>
      <c r="T56" s="1547">
        <f t="shared" si="0"/>
        <v>14.1187</v>
      </c>
      <c r="U56" s="1564"/>
      <c r="V56" s="1564"/>
      <c r="W56" s="1564"/>
      <c r="X56" s="1564"/>
      <c r="Y56" s="1564"/>
      <c r="Z56" s="1564"/>
      <c r="AA56" s="1564"/>
      <c r="AB56" s="1564"/>
      <c r="AC56" s="1550">
        <v>0</v>
      </c>
      <c r="AD56" s="1550">
        <v>0.4</v>
      </c>
      <c r="AE56" s="1550">
        <v>1</v>
      </c>
      <c r="AF56" s="1550"/>
      <c r="AG56" s="1550">
        <f t="shared" si="1"/>
        <v>1.4</v>
      </c>
      <c r="AH56" s="1556"/>
      <c r="AI56" s="1556"/>
      <c r="AJ56" s="1556"/>
      <c r="AK56" s="1556"/>
      <c r="AL56" s="1556"/>
      <c r="AM56" s="1556"/>
      <c r="AN56" s="1556"/>
      <c r="AO56" s="1556"/>
      <c r="AP56" s="1561">
        <v>0</v>
      </c>
      <c r="AQ56" s="1565">
        <v>0</v>
      </c>
      <c r="AR56" s="1565">
        <v>14.1187</v>
      </c>
      <c r="AS56" s="1565"/>
      <c r="AT56" s="1547">
        <f t="shared" si="2"/>
        <v>14.1187</v>
      </c>
      <c r="AU56" s="1566"/>
      <c r="AV56" s="1566"/>
      <c r="AW56" s="1565"/>
      <c r="AX56" s="1565"/>
      <c r="AY56" s="1565"/>
      <c r="AZ56" s="1565"/>
      <c r="BA56" s="1565"/>
      <c r="BB56" s="1565"/>
      <c r="BC56" s="1365"/>
      <c r="BD56" s="1365" t="s">
        <v>1659</v>
      </c>
      <c r="BE56" s="1553" t="s">
        <v>941</v>
      </c>
      <c r="BF56" s="1554" t="e">
        <f>IF(C56="Scheme",IF(SUM(AQ56:AW56)&gt;0,IF(H56&lt;#REF!,H56-#REF!,0),0),0)</f>
        <v>#REF!</v>
      </c>
      <c r="BH56" s="1371"/>
    </row>
    <row r="57" spans="1:61" s="1370" customFormat="1" ht="93" outlineLevel="1" x14ac:dyDescent="0.25">
      <c r="A57" s="1557">
        <v>20.2</v>
      </c>
      <c r="B57" s="1558" t="s">
        <v>1660</v>
      </c>
      <c r="C57" s="1568"/>
      <c r="D57" s="1557"/>
      <c r="E57" s="1560">
        <f t="shared" ref="E57:E60" si="26">E56</f>
        <v>43553</v>
      </c>
      <c r="F57" s="1603" t="s">
        <v>1661</v>
      </c>
      <c r="G57" s="1372">
        <v>4.62</v>
      </c>
      <c r="H57" s="1372">
        <v>0</v>
      </c>
      <c r="I57" s="1365"/>
      <c r="J57" s="1365"/>
      <c r="K57" s="1392" t="str">
        <f t="shared" si="4"/>
        <v>Not Approved</v>
      </c>
      <c r="L57" s="1393" t="s">
        <v>1662</v>
      </c>
      <c r="M57" s="1394"/>
      <c r="N57" s="1395"/>
      <c r="O57" s="1377" t="s">
        <v>1663</v>
      </c>
      <c r="P57" s="1604"/>
      <c r="Q57" s="1605"/>
      <c r="R57" s="1606"/>
      <c r="S57" s="1607"/>
      <c r="T57" s="1547">
        <f t="shared" si="0"/>
        <v>0</v>
      </c>
      <c r="U57" s="1608"/>
      <c r="V57" s="1608"/>
      <c r="W57" s="1608"/>
      <c r="X57" s="1608"/>
      <c r="Y57" s="1608"/>
      <c r="Z57" s="1608"/>
      <c r="AA57" s="1608"/>
      <c r="AB57" s="1608"/>
      <c r="AC57" s="1607"/>
      <c r="AD57" s="1607"/>
      <c r="AE57" s="1607"/>
      <c r="AF57" s="1607"/>
      <c r="AG57" s="1550">
        <f t="shared" si="1"/>
        <v>0</v>
      </c>
      <c r="AH57" s="1608"/>
      <c r="AI57" s="1608"/>
      <c r="AJ57" s="1608"/>
      <c r="AK57" s="1608"/>
      <c r="AL57" s="1608"/>
      <c r="AM57" s="1608"/>
      <c r="AN57" s="1608"/>
      <c r="AO57" s="1608"/>
      <c r="AP57" s="1607"/>
      <c r="AQ57" s="1607"/>
      <c r="AR57" s="1607"/>
      <c r="AS57" s="1607"/>
      <c r="AT57" s="1547">
        <f t="shared" si="2"/>
        <v>0</v>
      </c>
      <c r="AU57" s="1608"/>
      <c r="AV57" s="1608"/>
      <c r="AW57" s="1607"/>
      <c r="AX57" s="1607"/>
      <c r="AY57" s="1607"/>
      <c r="AZ57" s="1607"/>
      <c r="BA57" s="1607"/>
      <c r="BB57" s="1607"/>
      <c r="BC57" s="1609"/>
      <c r="BD57" s="1609" t="s">
        <v>1628</v>
      </c>
      <c r="BE57" s="1391" t="s">
        <v>942</v>
      </c>
      <c r="BF57" s="1554">
        <f>IF(C57="Scheme",IF(SUM(AQ57:AW57)&gt;0,IF(H57&lt;#REF!,H57-#REF!,0),0),0)</f>
        <v>0</v>
      </c>
      <c r="BH57" s="1371"/>
    </row>
    <row r="58" spans="1:61" s="1384" customFormat="1" ht="60" customHeight="1" outlineLevel="1" x14ac:dyDescent="0.25">
      <c r="A58" s="1511">
        <v>20.3</v>
      </c>
      <c r="B58" s="1512" t="s">
        <v>1664</v>
      </c>
      <c r="C58" s="1570" t="s">
        <v>938</v>
      </c>
      <c r="D58" s="1511" t="str">
        <f>D56</f>
        <v>MERC/CAPEX/2019-2020/476,
MERC/CAPEX/2019-2020/858</v>
      </c>
      <c r="E58" s="1571">
        <f t="shared" si="26"/>
        <v>43553</v>
      </c>
      <c r="F58" s="1378" t="str">
        <f>F56</f>
        <v>01-08-2019,
10-10-2019</v>
      </c>
      <c r="G58" s="1379">
        <v>5.94</v>
      </c>
      <c r="H58" s="1379">
        <v>5.94</v>
      </c>
      <c r="I58" s="1380"/>
      <c r="J58" s="1380"/>
      <c r="K58" s="1378" t="str">
        <f t="shared" si="4"/>
        <v>01-08-2019,
10-10-2019</v>
      </c>
      <c r="L58" s="1381">
        <v>43570</v>
      </c>
      <c r="M58" s="1381">
        <v>44443</v>
      </c>
      <c r="N58" s="1382" t="s">
        <v>1665</v>
      </c>
      <c r="O58" s="1922" t="s">
        <v>1666</v>
      </c>
      <c r="P58" s="1514">
        <v>0</v>
      </c>
      <c r="Q58" s="1573">
        <v>0</v>
      </c>
      <c r="R58" s="1573">
        <v>0</v>
      </c>
      <c r="S58" s="1574">
        <f>59323320/10000000</f>
        <v>5.9323319999999997</v>
      </c>
      <c r="T58" s="1509">
        <f t="shared" si="0"/>
        <v>5.9323319999999997</v>
      </c>
      <c r="U58" s="1586"/>
      <c r="V58" s="1586">
        <v>0</v>
      </c>
      <c r="W58" s="1586">
        <v>0</v>
      </c>
      <c r="X58" s="1586"/>
      <c r="Y58" s="1586"/>
      <c r="Z58" s="1586"/>
      <c r="AA58" s="1586"/>
      <c r="AB58" s="1586"/>
      <c r="AC58" s="1576">
        <v>0</v>
      </c>
      <c r="AD58" s="1576">
        <v>0.2</v>
      </c>
      <c r="AE58" s="1576">
        <v>0.4</v>
      </c>
      <c r="AF58" s="1576">
        <v>0.8</v>
      </c>
      <c r="AG58" s="1576">
        <f t="shared" si="1"/>
        <v>1.4000000000000001</v>
      </c>
      <c r="AH58" s="1577">
        <v>1</v>
      </c>
      <c r="AI58" s="1578"/>
      <c r="AJ58" s="1578"/>
      <c r="AK58" s="1578"/>
      <c r="AL58" s="1578"/>
      <c r="AM58" s="1578"/>
      <c r="AN58" s="1578"/>
      <c r="AO58" s="1578"/>
      <c r="AP58" s="1514">
        <v>0</v>
      </c>
      <c r="AQ58" s="1579">
        <v>0</v>
      </c>
      <c r="AR58" s="1579">
        <v>0</v>
      </c>
      <c r="AS58" s="1579">
        <v>0</v>
      </c>
      <c r="AT58" s="1509">
        <f t="shared" si="2"/>
        <v>0</v>
      </c>
      <c r="AU58" s="1575">
        <v>5.9323319999999997</v>
      </c>
      <c r="AV58" s="1566">
        <v>0</v>
      </c>
      <c r="AW58" s="1565"/>
      <c r="AX58" s="1565"/>
      <c r="AY58" s="1565"/>
      <c r="AZ58" s="1565"/>
      <c r="BA58" s="1565"/>
      <c r="BB58" s="1565"/>
      <c r="BC58" s="1380"/>
      <c r="BD58" s="1380" t="s">
        <v>1584</v>
      </c>
      <c r="BE58" s="1581" t="s">
        <v>941</v>
      </c>
      <c r="BF58" s="1582" t="e">
        <f>IF(C58="Scheme",IF(SUM(AQ58:AW58)&gt;0,IF(H58&lt;#REF!,H58-#REF!,0),0),0)</f>
        <v>#REF!</v>
      </c>
      <c r="BH58" s="1385"/>
    </row>
    <row r="59" spans="1:61" s="1384" customFormat="1" ht="58" outlineLevel="1" x14ac:dyDescent="0.25">
      <c r="A59" s="1511">
        <v>20.399999999999999</v>
      </c>
      <c r="B59" s="1512" t="s">
        <v>1667</v>
      </c>
      <c r="C59" s="1570" t="s">
        <v>938</v>
      </c>
      <c r="D59" s="1511" t="str">
        <f t="shared" ref="D59:D60" si="27">D58</f>
        <v>MERC/CAPEX/2019-2020/476,
MERC/CAPEX/2019-2020/858</v>
      </c>
      <c r="E59" s="1571">
        <f t="shared" si="26"/>
        <v>43553</v>
      </c>
      <c r="F59" s="1378" t="str">
        <f>IF(F58=0,"-",F58)</f>
        <v>01-08-2019,
10-10-2019</v>
      </c>
      <c r="G59" s="1379">
        <v>0.28999999999999998</v>
      </c>
      <c r="H59" s="1379">
        <v>0.28999999999999998</v>
      </c>
      <c r="I59" s="1380"/>
      <c r="J59" s="1380"/>
      <c r="K59" s="1378" t="str">
        <f t="shared" si="4"/>
        <v>01-08-2019,
10-10-2019</v>
      </c>
      <c r="L59" s="1381">
        <v>43570</v>
      </c>
      <c r="M59" s="1381">
        <v>44443</v>
      </c>
      <c r="N59" s="1382" t="s">
        <v>1665</v>
      </c>
      <c r="O59" s="1923"/>
      <c r="P59" s="1514">
        <v>0</v>
      </c>
      <c r="Q59" s="1573">
        <v>0</v>
      </c>
      <c r="R59" s="1573">
        <v>0</v>
      </c>
      <c r="S59" s="1574">
        <v>0</v>
      </c>
      <c r="T59" s="1509">
        <f t="shared" si="0"/>
        <v>0</v>
      </c>
      <c r="U59" s="1575">
        <v>0.28320000000000001</v>
      </c>
      <c r="V59" s="1586">
        <v>0</v>
      </c>
      <c r="W59" s="1586">
        <v>0</v>
      </c>
      <c r="X59" s="1586"/>
      <c r="Y59" s="1586"/>
      <c r="Z59" s="1586"/>
      <c r="AA59" s="1586"/>
      <c r="AB59" s="1586"/>
      <c r="AC59" s="1576">
        <v>0</v>
      </c>
      <c r="AD59" s="1576">
        <v>0.2</v>
      </c>
      <c r="AE59" s="1576">
        <v>0.4</v>
      </c>
      <c r="AF59" s="1576">
        <v>0.8</v>
      </c>
      <c r="AG59" s="1576">
        <f t="shared" si="1"/>
        <v>1.4000000000000001</v>
      </c>
      <c r="AH59" s="1577">
        <v>1</v>
      </c>
      <c r="AI59" s="1578"/>
      <c r="AJ59" s="1578"/>
      <c r="AK59" s="1578"/>
      <c r="AL59" s="1578"/>
      <c r="AM59" s="1578"/>
      <c r="AN59" s="1578"/>
      <c r="AO59" s="1578"/>
      <c r="AP59" s="1514">
        <v>0</v>
      </c>
      <c r="AQ59" s="1579">
        <v>0</v>
      </c>
      <c r="AR59" s="1579">
        <v>0</v>
      </c>
      <c r="AS59" s="1579">
        <v>0</v>
      </c>
      <c r="AT59" s="1509">
        <f t="shared" si="2"/>
        <v>0</v>
      </c>
      <c r="AU59" s="1587">
        <v>0.28320000000000001</v>
      </c>
      <c r="AV59" s="1566">
        <v>0</v>
      </c>
      <c r="AW59" s="1565"/>
      <c r="AX59" s="1565"/>
      <c r="AY59" s="1565"/>
      <c r="AZ59" s="1565"/>
      <c r="BA59" s="1565"/>
      <c r="BB59" s="1565"/>
      <c r="BC59" s="1380"/>
      <c r="BD59" s="1380" t="s">
        <v>1595</v>
      </c>
      <c r="BE59" s="1581" t="s">
        <v>941</v>
      </c>
      <c r="BF59" s="1582" t="e">
        <f>IF(C59="Scheme",IF(SUM(AQ59:AW59)&gt;0,IF(H59&lt;#REF!,H59-#REF!,0),0),0)</f>
        <v>#REF!</v>
      </c>
      <c r="BH59" s="1385"/>
    </row>
    <row r="60" spans="1:61" s="1384" customFormat="1" ht="29" outlineLevel="1" x14ac:dyDescent="0.25">
      <c r="A60" s="1511"/>
      <c r="B60" s="1512" t="s">
        <v>413</v>
      </c>
      <c r="C60" s="1600" t="s">
        <v>413</v>
      </c>
      <c r="D60" s="1511" t="str">
        <f t="shared" si="27"/>
        <v>MERC/CAPEX/2019-2020/476,
MERC/CAPEX/2019-2020/858</v>
      </c>
      <c r="E60" s="1571">
        <f t="shared" si="26"/>
        <v>43553</v>
      </c>
      <c r="F60" s="1378" t="str">
        <f t="shared" ref="F60" si="28">IF(F59=0,"-",F59)</f>
        <v>01-08-2019,
10-10-2019</v>
      </c>
      <c r="G60" s="1379">
        <v>1.31</v>
      </c>
      <c r="H60" s="1379">
        <v>0.64</v>
      </c>
      <c r="I60" s="1380"/>
      <c r="J60" s="1380"/>
      <c r="K60" s="1378"/>
      <c r="L60" s="1378"/>
      <c r="M60" s="1378"/>
      <c r="N60" s="1378"/>
      <c r="O60" s="1380"/>
      <c r="P60" s="1514">
        <v>0</v>
      </c>
      <c r="Q60" s="1573"/>
      <c r="R60" s="1573"/>
      <c r="S60" s="1574"/>
      <c r="T60" s="1509">
        <f t="shared" si="0"/>
        <v>0</v>
      </c>
      <c r="U60" s="1575">
        <v>0.51657549999999997</v>
      </c>
      <c r="V60" s="1586"/>
      <c r="W60" s="1586"/>
      <c r="X60" s="1586"/>
      <c r="Y60" s="1586"/>
      <c r="Z60" s="1586"/>
      <c r="AA60" s="1586"/>
      <c r="AB60" s="1586"/>
      <c r="AC60" s="1576"/>
      <c r="AD60" s="1576"/>
      <c r="AE60" s="1576"/>
      <c r="AF60" s="1576"/>
      <c r="AG60" s="1576">
        <f t="shared" si="1"/>
        <v>0</v>
      </c>
      <c r="AH60" s="1578"/>
      <c r="AI60" s="1578"/>
      <c r="AJ60" s="1578"/>
      <c r="AK60" s="1578"/>
      <c r="AL60" s="1578"/>
      <c r="AM60" s="1578"/>
      <c r="AN60" s="1578"/>
      <c r="AO60" s="1578"/>
      <c r="AP60" s="1514">
        <v>0</v>
      </c>
      <c r="AQ60" s="1579"/>
      <c r="AR60" s="1579"/>
      <c r="AS60" s="1579"/>
      <c r="AT60" s="1509">
        <f t="shared" si="2"/>
        <v>0</v>
      </c>
      <c r="AU60" s="1587">
        <v>0.51657549999999997</v>
      </c>
      <c r="AV60" s="1566"/>
      <c r="AW60" s="1565"/>
      <c r="AX60" s="1565"/>
      <c r="AY60" s="1565"/>
      <c r="AZ60" s="1565"/>
      <c r="BA60" s="1565"/>
      <c r="BB60" s="1565"/>
      <c r="BC60" s="1380"/>
      <c r="BD60" s="1380"/>
      <c r="BE60" s="1396" t="s">
        <v>936</v>
      </c>
      <c r="BF60" s="1582">
        <f>IF(C60="Scheme",IF(SUM(AQ60:AW60)&gt;0,IF(H60&lt;#REF!,H60-#REF!,0),0),0)</f>
        <v>0</v>
      </c>
      <c r="BH60" s="1385"/>
    </row>
    <row r="61" spans="1:61" s="1370" customFormat="1" ht="43.5" outlineLevel="1" x14ac:dyDescent="0.25">
      <c r="A61" s="1543">
        <v>21</v>
      </c>
      <c r="B61" s="1544" t="s">
        <v>1668</v>
      </c>
      <c r="C61" s="1543" t="s">
        <v>931</v>
      </c>
      <c r="D61" s="1543" t="s">
        <v>1669</v>
      </c>
      <c r="E61" s="1545">
        <v>43629</v>
      </c>
      <c r="F61" s="1546">
        <v>43748</v>
      </c>
      <c r="G61" s="1330">
        <f>SUM(G62:G66)</f>
        <v>13.489999999999998</v>
      </c>
      <c r="H61" s="1330">
        <f>SUM(H62:H66)</f>
        <v>13.2</v>
      </c>
      <c r="I61" s="1365"/>
      <c r="J61" s="1365"/>
      <c r="K61" s="1366">
        <f t="shared" si="4"/>
        <v>43748</v>
      </c>
      <c r="L61" s="1367"/>
      <c r="M61" s="1367"/>
      <c r="N61" s="1368"/>
      <c r="O61" s="1365"/>
      <c r="P61" s="1547"/>
      <c r="Q61" s="1548"/>
      <c r="R61" s="1548"/>
      <c r="S61" s="1547"/>
      <c r="T61" s="1547">
        <f t="shared" si="0"/>
        <v>0</v>
      </c>
      <c r="U61" s="1555"/>
      <c r="V61" s="1555"/>
      <c r="W61" s="1555"/>
      <c r="X61" s="1555"/>
      <c r="Y61" s="1555"/>
      <c r="Z61" s="1555"/>
      <c r="AA61" s="1555"/>
      <c r="AB61" s="1555"/>
      <c r="AC61" s="1550"/>
      <c r="AD61" s="1550"/>
      <c r="AE61" s="1550"/>
      <c r="AF61" s="1550"/>
      <c r="AG61" s="1550">
        <f t="shared" si="1"/>
        <v>0</v>
      </c>
      <c r="AH61" s="1556"/>
      <c r="AI61" s="1556"/>
      <c r="AJ61" s="1556"/>
      <c r="AK61" s="1556"/>
      <c r="AL61" s="1556"/>
      <c r="AM61" s="1556"/>
      <c r="AN61" s="1556"/>
      <c r="AO61" s="1556"/>
      <c r="AP61" s="1547"/>
      <c r="AQ61" s="1547"/>
      <c r="AR61" s="1547"/>
      <c r="AS61" s="1547"/>
      <c r="AT61" s="1547">
        <f t="shared" si="2"/>
        <v>0</v>
      </c>
      <c r="AU61" s="1555"/>
      <c r="AV61" s="1555"/>
      <c r="AW61" s="1547"/>
      <c r="AX61" s="1547"/>
      <c r="AY61" s="1547"/>
      <c r="AZ61" s="1547"/>
      <c r="BA61" s="1547"/>
      <c r="BB61" s="1547"/>
      <c r="BC61" s="1365"/>
      <c r="BD61" s="1365"/>
      <c r="BE61" s="1553" t="s">
        <v>936</v>
      </c>
      <c r="BF61" s="1554">
        <f>IF(C61="Scheme",IF(SUM(AQ61:AW61)&gt;0,IF(H61&lt;#REF!,H61-#REF!,0),0),0)</f>
        <v>0</v>
      </c>
      <c r="BH61" s="1371"/>
    </row>
    <row r="62" spans="1:61" s="1384" customFormat="1" ht="356.5" outlineLevel="1" x14ac:dyDescent="0.25">
      <c r="A62" s="1511">
        <v>21.1</v>
      </c>
      <c r="B62" s="1512" t="s">
        <v>1670</v>
      </c>
      <c r="C62" s="1570" t="s">
        <v>938</v>
      </c>
      <c r="D62" s="1511" t="str">
        <f>D61</f>
        <v>MERC/CAPEX/2019-2020/854</v>
      </c>
      <c r="E62" s="1571">
        <f>E61</f>
        <v>43629</v>
      </c>
      <c r="F62" s="1378">
        <f t="shared" ref="F62:F66" si="29">IF(F61=0,"-",F61)</f>
        <v>43748</v>
      </c>
      <c r="G62" s="1379">
        <v>10.49</v>
      </c>
      <c r="H62" s="1379">
        <v>10.49</v>
      </c>
      <c r="I62" s="1380"/>
      <c r="J62" s="1380"/>
      <c r="K62" s="1378">
        <f t="shared" si="4"/>
        <v>43748</v>
      </c>
      <c r="L62" s="1381">
        <v>43805</v>
      </c>
      <c r="M62" s="1381">
        <v>44443</v>
      </c>
      <c r="N62" s="1382" t="s">
        <v>1671</v>
      </c>
      <c r="O62" s="1397" t="s">
        <v>1672</v>
      </c>
      <c r="P62" s="1514">
        <v>0</v>
      </c>
      <c r="Q62" s="1573">
        <v>0</v>
      </c>
      <c r="R62" s="1573">
        <v>0</v>
      </c>
      <c r="S62" s="1574">
        <v>0</v>
      </c>
      <c r="T62" s="1509">
        <f t="shared" si="0"/>
        <v>0</v>
      </c>
      <c r="U62" s="1590">
        <v>9.06</v>
      </c>
      <c r="V62" s="1586">
        <v>0</v>
      </c>
      <c r="W62" s="1586">
        <v>0</v>
      </c>
      <c r="X62" s="1586">
        <v>0</v>
      </c>
      <c r="Y62" s="1586">
        <v>0</v>
      </c>
      <c r="Z62" s="1586">
        <v>0</v>
      </c>
      <c r="AA62" s="1586">
        <v>0</v>
      </c>
      <c r="AB62" s="1586">
        <v>0</v>
      </c>
      <c r="AC62" s="1576">
        <v>0</v>
      </c>
      <c r="AD62" s="1576">
        <v>0.2</v>
      </c>
      <c r="AE62" s="1576">
        <v>0.2</v>
      </c>
      <c r="AF62" s="1576">
        <v>0.4</v>
      </c>
      <c r="AG62" s="1576">
        <f t="shared" si="1"/>
        <v>0.8</v>
      </c>
      <c r="AH62" s="1577">
        <v>0.6</v>
      </c>
      <c r="AI62" s="1578">
        <v>0.8</v>
      </c>
      <c r="AJ62" s="1578">
        <v>1</v>
      </c>
      <c r="AK62" s="1578"/>
      <c r="AL62" s="1578"/>
      <c r="AM62" s="1578"/>
      <c r="AN62" s="1578"/>
      <c r="AO62" s="1578"/>
      <c r="AP62" s="1514">
        <v>0</v>
      </c>
      <c r="AQ62" s="1579">
        <v>0</v>
      </c>
      <c r="AR62" s="1579">
        <v>0</v>
      </c>
      <c r="AS62" s="1579">
        <v>0</v>
      </c>
      <c r="AT62" s="1509">
        <f t="shared" si="2"/>
        <v>0</v>
      </c>
      <c r="AU62" s="1590">
        <v>4.7251481000000002</v>
      </c>
      <c r="AV62" s="1549">
        <v>0</v>
      </c>
      <c r="AW62" s="1579">
        <v>4.7251481000000002</v>
      </c>
      <c r="AX62" s="1561">
        <v>0</v>
      </c>
      <c r="AY62" s="1561">
        <v>0</v>
      </c>
      <c r="AZ62" s="1561">
        <v>0</v>
      </c>
      <c r="BA62" s="1561">
        <v>0</v>
      </c>
      <c r="BB62" s="1561">
        <v>0</v>
      </c>
      <c r="BC62" s="1383"/>
      <c r="BD62" s="1383" t="s">
        <v>2086</v>
      </c>
      <c r="BE62" s="1581" t="s">
        <v>941</v>
      </c>
      <c r="BF62" s="1582" t="e">
        <f>IF(C62="Scheme",IF(SUM(AQ62:AW62)&gt;0,IF(H62&lt;#REF!,H62-#REF!,0),0),0)</f>
        <v>#REF!</v>
      </c>
      <c r="BH62" s="1385"/>
    </row>
    <row r="63" spans="1:61" s="1384" customFormat="1" outlineLevel="1" x14ac:dyDescent="0.25">
      <c r="A63" s="1511"/>
      <c r="B63" s="1512" t="s">
        <v>413</v>
      </c>
      <c r="C63" s="1600"/>
      <c r="D63" s="1511"/>
      <c r="E63" s="1571"/>
      <c r="F63" s="1378"/>
      <c r="G63" s="1398"/>
      <c r="H63" s="1398"/>
      <c r="I63" s="1380"/>
      <c r="J63" s="1380"/>
      <c r="K63" s="1378"/>
      <c r="L63" s="1387"/>
      <c r="M63" s="1387"/>
      <c r="N63" s="1388"/>
      <c r="O63" s="1380"/>
      <c r="P63" s="1514"/>
      <c r="Q63" s="1573"/>
      <c r="R63" s="1573"/>
      <c r="S63" s="1574"/>
      <c r="T63" s="1509">
        <f t="shared" si="0"/>
        <v>0</v>
      </c>
      <c r="U63" s="1586">
        <v>0.20089699999999999</v>
      </c>
      <c r="V63" s="1586"/>
      <c r="W63" s="1586"/>
      <c r="X63" s="1586"/>
      <c r="Y63" s="1586"/>
      <c r="Z63" s="1586"/>
      <c r="AA63" s="1586"/>
      <c r="AB63" s="1586"/>
      <c r="AC63" s="1576"/>
      <c r="AD63" s="1576"/>
      <c r="AE63" s="1576"/>
      <c r="AF63" s="1576"/>
      <c r="AG63" s="1576">
        <f t="shared" si="1"/>
        <v>0</v>
      </c>
      <c r="AH63" s="1578"/>
      <c r="AI63" s="1578"/>
      <c r="AJ63" s="1578"/>
      <c r="AK63" s="1578"/>
      <c r="AL63" s="1578"/>
      <c r="AM63" s="1578"/>
      <c r="AN63" s="1578"/>
      <c r="AO63" s="1578"/>
      <c r="AP63" s="1514"/>
      <c r="AQ63" s="1579"/>
      <c r="AR63" s="1579"/>
      <c r="AS63" s="1579"/>
      <c r="AT63" s="1509">
        <f t="shared" si="2"/>
        <v>0</v>
      </c>
      <c r="AU63" s="1590">
        <v>0.20089699999999999</v>
      </c>
      <c r="AV63" s="1566"/>
      <c r="AW63" s="1579">
        <v>0.52765789999999946</v>
      </c>
      <c r="AX63" s="1565"/>
      <c r="AY63" s="1565"/>
      <c r="AZ63" s="1565"/>
      <c r="BA63" s="1565"/>
      <c r="BB63" s="1565"/>
      <c r="BC63" s="1380"/>
      <c r="BD63" s="1380" t="s">
        <v>2083</v>
      </c>
      <c r="BE63" s="1581"/>
      <c r="BF63" s="1582"/>
      <c r="BG63" s="1582"/>
      <c r="BI63" s="1385"/>
    </row>
    <row r="64" spans="1:61" s="1384" customFormat="1" ht="31.5" customHeight="1" outlineLevel="1" x14ac:dyDescent="0.25">
      <c r="A64" s="1511">
        <v>21.2</v>
      </c>
      <c r="B64" s="1512" t="s">
        <v>1673</v>
      </c>
      <c r="C64" s="1570" t="s">
        <v>938</v>
      </c>
      <c r="D64" s="1511" t="str">
        <f>D62</f>
        <v>MERC/CAPEX/2019-2020/854</v>
      </c>
      <c r="E64" s="1571">
        <f>E62</f>
        <v>43629</v>
      </c>
      <c r="F64" s="1378">
        <f>IF(F62=0,"-",F62)</f>
        <v>43748</v>
      </c>
      <c r="G64" s="1379">
        <v>1.01</v>
      </c>
      <c r="H64" s="1379">
        <v>1.01</v>
      </c>
      <c r="I64" s="1380"/>
      <c r="J64" s="1380"/>
      <c r="K64" s="1378">
        <f t="shared" si="4"/>
        <v>43748</v>
      </c>
      <c r="L64" s="1381">
        <v>43634</v>
      </c>
      <c r="M64" s="1381">
        <v>44084</v>
      </c>
      <c r="N64" s="1399" t="s">
        <v>1674</v>
      </c>
      <c r="O64" s="1922" t="s">
        <v>1675</v>
      </c>
      <c r="P64" s="1514">
        <v>0</v>
      </c>
      <c r="Q64" s="1573">
        <v>0</v>
      </c>
      <c r="R64" s="1573">
        <v>0</v>
      </c>
      <c r="S64" s="1574">
        <v>0</v>
      </c>
      <c r="T64" s="1509">
        <f t="shared" si="0"/>
        <v>0</v>
      </c>
      <c r="U64" s="1575">
        <v>1.0442298999999999</v>
      </c>
      <c r="V64" s="1586">
        <v>0</v>
      </c>
      <c r="W64" s="1586">
        <v>0</v>
      </c>
      <c r="X64" s="1586"/>
      <c r="Y64" s="1586"/>
      <c r="Z64" s="1586"/>
      <c r="AA64" s="1586"/>
      <c r="AB64" s="1586"/>
      <c r="AC64" s="1576">
        <v>0</v>
      </c>
      <c r="AD64" s="1576">
        <v>0.2</v>
      </c>
      <c r="AE64" s="1576">
        <v>0.4</v>
      </c>
      <c r="AF64" s="1576">
        <v>0.4</v>
      </c>
      <c r="AG64" s="1576">
        <f t="shared" si="1"/>
        <v>1</v>
      </c>
      <c r="AH64" s="1577">
        <v>1</v>
      </c>
      <c r="AI64" s="1578"/>
      <c r="AJ64" s="1578"/>
      <c r="AK64" s="1578"/>
      <c r="AL64" s="1578"/>
      <c r="AM64" s="1578"/>
      <c r="AN64" s="1578"/>
      <c r="AO64" s="1578"/>
      <c r="AP64" s="1514">
        <v>0</v>
      </c>
      <c r="AQ64" s="1579">
        <v>0</v>
      </c>
      <c r="AR64" s="1579">
        <v>0</v>
      </c>
      <c r="AS64" s="1579">
        <v>0</v>
      </c>
      <c r="AT64" s="1509">
        <f t="shared" si="2"/>
        <v>0</v>
      </c>
      <c r="AU64" s="1586">
        <v>1.0442298999999999</v>
      </c>
      <c r="AV64" s="1566">
        <v>0</v>
      </c>
      <c r="AW64" s="1565">
        <v>0</v>
      </c>
      <c r="AX64" s="1565"/>
      <c r="AY64" s="1565"/>
      <c r="AZ64" s="1565"/>
      <c r="BA64" s="1565"/>
      <c r="BB64" s="1565"/>
      <c r="BC64" s="1383"/>
      <c r="BD64" s="1383" t="s">
        <v>1676</v>
      </c>
      <c r="BE64" s="1581" t="s">
        <v>941</v>
      </c>
      <c r="BF64" s="1582" t="e">
        <f>IF(C64="Scheme",IF(SUM(AQ64:AW64)&gt;0,IF(H64&lt;#REF!,H64-#REF!,0),0),0)</f>
        <v>#REF!</v>
      </c>
      <c r="BH64" s="1385"/>
    </row>
    <row r="65" spans="1:62" s="1384" customFormat="1" ht="43.5" outlineLevel="1" x14ac:dyDescent="0.25">
      <c r="A65" s="1511">
        <v>21.3</v>
      </c>
      <c r="B65" s="1512" t="s">
        <v>1677</v>
      </c>
      <c r="C65" s="1570" t="s">
        <v>938</v>
      </c>
      <c r="D65" s="1511" t="str">
        <f t="shared" ref="D65:E66" si="30">D64</f>
        <v>MERC/CAPEX/2019-2020/854</v>
      </c>
      <c r="E65" s="1571">
        <f t="shared" si="30"/>
        <v>43629</v>
      </c>
      <c r="F65" s="1378">
        <f t="shared" si="29"/>
        <v>43748</v>
      </c>
      <c r="G65" s="1379">
        <v>1.7</v>
      </c>
      <c r="H65" s="1379">
        <v>1.7</v>
      </c>
      <c r="I65" s="1380"/>
      <c r="J65" s="1380"/>
      <c r="K65" s="1378">
        <f t="shared" si="4"/>
        <v>43748</v>
      </c>
      <c r="L65" s="1381">
        <v>43634</v>
      </c>
      <c r="M65" s="1381">
        <v>44084</v>
      </c>
      <c r="N65" s="1399" t="s">
        <v>1678</v>
      </c>
      <c r="O65" s="1923"/>
      <c r="P65" s="1514">
        <v>0</v>
      </c>
      <c r="Q65" s="1573">
        <v>0</v>
      </c>
      <c r="R65" s="1573">
        <v>0</v>
      </c>
      <c r="S65" s="1574">
        <v>0</v>
      </c>
      <c r="T65" s="1509">
        <f t="shared" si="0"/>
        <v>0</v>
      </c>
      <c r="U65" s="1587">
        <v>1.6232219000000001</v>
      </c>
      <c r="V65" s="1586">
        <v>0</v>
      </c>
      <c r="W65" s="1586">
        <v>0</v>
      </c>
      <c r="X65" s="1586"/>
      <c r="Y65" s="1586"/>
      <c r="Z65" s="1586"/>
      <c r="AA65" s="1586"/>
      <c r="AB65" s="1586"/>
      <c r="AC65" s="1576">
        <v>0</v>
      </c>
      <c r="AD65" s="1576">
        <v>0.2</v>
      </c>
      <c r="AE65" s="1576">
        <v>0.2</v>
      </c>
      <c r="AF65" s="1576">
        <v>0.4</v>
      </c>
      <c r="AG65" s="1576">
        <f t="shared" si="1"/>
        <v>0.8</v>
      </c>
      <c r="AH65" s="1578">
        <v>1</v>
      </c>
      <c r="AI65" s="1578"/>
      <c r="AJ65" s="1578"/>
      <c r="AK65" s="1578"/>
      <c r="AL65" s="1578"/>
      <c r="AM65" s="1578"/>
      <c r="AN65" s="1578"/>
      <c r="AO65" s="1578"/>
      <c r="AP65" s="1514">
        <v>0</v>
      </c>
      <c r="AQ65" s="1579">
        <v>0</v>
      </c>
      <c r="AR65" s="1579">
        <v>0</v>
      </c>
      <c r="AS65" s="1579">
        <v>0</v>
      </c>
      <c r="AT65" s="1509">
        <f t="shared" si="2"/>
        <v>0</v>
      </c>
      <c r="AU65" s="1590">
        <v>1.6232219000000001</v>
      </c>
      <c r="AV65" s="1566">
        <v>0</v>
      </c>
      <c r="AW65" s="1565">
        <v>0</v>
      </c>
      <c r="AX65" s="1565"/>
      <c r="AY65" s="1565"/>
      <c r="AZ65" s="1565"/>
      <c r="BA65" s="1565"/>
      <c r="BB65" s="1565"/>
      <c r="BC65" s="1383"/>
      <c r="BD65" s="1383" t="s">
        <v>1679</v>
      </c>
      <c r="BE65" s="1581" t="s">
        <v>941</v>
      </c>
      <c r="BF65" s="1582" t="e">
        <f>IF(C65="Scheme",IF(SUM(AQ65:AW65)&gt;0,IF(H65&lt;#REF!,H65-#REF!,0),0),0)</f>
        <v>#REF!</v>
      </c>
      <c r="BH65" s="1385"/>
    </row>
    <row r="66" spans="1:62" s="1384" customFormat="1" outlineLevel="1" x14ac:dyDescent="0.25">
      <c r="A66" s="1511"/>
      <c r="B66" s="1512" t="s">
        <v>413</v>
      </c>
      <c r="C66" s="1600" t="s">
        <v>413</v>
      </c>
      <c r="D66" s="1511" t="str">
        <f t="shared" si="30"/>
        <v>MERC/CAPEX/2019-2020/854</v>
      </c>
      <c r="E66" s="1571">
        <f t="shared" si="30"/>
        <v>43629</v>
      </c>
      <c r="F66" s="1378">
        <f t="shared" si="29"/>
        <v>43748</v>
      </c>
      <c r="G66" s="1398">
        <v>0.28999999999999998</v>
      </c>
      <c r="H66" s="1398">
        <v>0</v>
      </c>
      <c r="I66" s="1380"/>
      <c r="J66" s="1380"/>
      <c r="K66" s="1378">
        <f t="shared" si="4"/>
        <v>43748</v>
      </c>
      <c r="L66" s="1387"/>
      <c r="M66" s="1387"/>
      <c r="N66" s="1388"/>
      <c r="O66" s="1380"/>
      <c r="P66" s="1514"/>
      <c r="Q66" s="1573"/>
      <c r="R66" s="1573"/>
      <c r="S66" s="1574"/>
      <c r="T66" s="1509">
        <f t="shared" si="0"/>
        <v>0</v>
      </c>
      <c r="U66" s="1586">
        <v>0</v>
      </c>
      <c r="V66" s="1586"/>
      <c r="W66" s="1586"/>
      <c r="X66" s="1586"/>
      <c r="Y66" s="1586"/>
      <c r="Z66" s="1586"/>
      <c r="AA66" s="1586"/>
      <c r="AB66" s="1586"/>
      <c r="AC66" s="1576"/>
      <c r="AD66" s="1576"/>
      <c r="AE66" s="1576"/>
      <c r="AF66" s="1576"/>
      <c r="AG66" s="1576">
        <f t="shared" si="1"/>
        <v>0</v>
      </c>
      <c r="AH66" s="1578"/>
      <c r="AI66" s="1578"/>
      <c r="AJ66" s="1578"/>
      <c r="AK66" s="1578"/>
      <c r="AL66" s="1578"/>
      <c r="AM66" s="1578"/>
      <c r="AN66" s="1578"/>
      <c r="AO66" s="1578"/>
      <c r="AP66" s="1514"/>
      <c r="AQ66" s="1579"/>
      <c r="AR66" s="1579"/>
      <c r="AS66" s="1579"/>
      <c r="AT66" s="1509">
        <f t="shared" si="2"/>
        <v>0</v>
      </c>
      <c r="AU66" s="1590">
        <v>0</v>
      </c>
      <c r="AV66" s="1590"/>
      <c r="AW66" s="1579"/>
      <c r="AX66" s="1579"/>
      <c r="AY66" s="1579"/>
      <c r="AZ66" s="1579"/>
      <c r="BA66" s="1579"/>
      <c r="BB66" s="1579"/>
      <c r="BC66" s="1380"/>
      <c r="BD66" s="1380"/>
      <c r="BE66" s="1581"/>
      <c r="BF66" s="1582">
        <f>IF(C66="Scheme",IF(SUM(AQ66:AW66)&gt;0,IF(H66&lt;#REF!,H66-#REF!,0),0),0)</f>
        <v>0</v>
      </c>
      <c r="BH66" s="1385"/>
    </row>
    <row r="67" spans="1:62" s="1384" customFormat="1" outlineLevel="1" x14ac:dyDescent="0.25">
      <c r="A67" s="1506">
        <v>22</v>
      </c>
      <c r="B67" s="1507" t="s">
        <v>1680</v>
      </c>
      <c r="C67" s="1506" t="s">
        <v>931</v>
      </c>
      <c r="D67" s="1506" t="s">
        <v>1681</v>
      </c>
      <c r="E67" s="1583">
        <v>44305</v>
      </c>
      <c r="F67" s="1508">
        <v>44739</v>
      </c>
      <c r="G67" s="1386">
        <f>SUM(G68:G69)</f>
        <v>145.01688209794372</v>
      </c>
      <c r="H67" s="1386">
        <f>SUM(H68:H69)</f>
        <v>145.01688209794372</v>
      </c>
      <c r="I67" s="1380"/>
      <c r="J67" s="1380"/>
      <c r="K67" s="1378">
        <f t="shared" si="4"/>
        <v>44739</v>
      </c>
      <c r="L67" s="1387"/>
      <c r="M67" s="1387"/>
      <c r="N67" s="1388"/>
      <c r="O67" s="1380"/>
      <c r="P67" s="1509"/>
      <c r="Q67" s="1584"/>
      <c r="R67" s="1584"/>
      <c r="S67" s="1509"/>
      <c r="T67" s="1509">
        <f t="shared" si="0"/>
        <v>0</v>
      </c>
      <c r="U67" s="1585"/>
      <c r="V67" s="1585"/>
      <c r="W67" s="1585"/>
      <c r="X67" s="1585"/>
      <c r="Y67" s="1585"/>
      <c r="Z67" s="1585"/>
      <c r="AA67" s="1585"/>
      <c r="AB67" s="1585"/>
      <c r="AC67" s="1576"/>
      <c r="AD67" s="1576"/>
      <c r="AE67" s="1576"/>
      <c r="AF67" s="1576"/>
      <c r="AG67" s="1576">
        <f t="shared" si="1"/>
        <v>0</v>
      </c>
      <c r="AH67" s="1578"/>
      <c r="AI67" s="1578"/>
      <c r="AJ67" s="1578"/>
      <c r="AK67" s="1578"/>
      <c r="AL67" s="1578"/>
      <c r="AM67" s="1578"/>
      <c r="AN67" s="1578"/>
      <c r="AO67" s="1578"/>
      <c r="AP67" s="1509"/>
      <c r="AQ67" s="1509"/>
      <c r="AR67" s="1509"/>
      <c r="AS67" s="1509"/>
      <c r="AT67" s="1509">
        <f t="shared" si="2"/>
        <v>0</v>
      </c>
      <c r="AU67" s="1585"/>
      <c r="AV67" s="1585"/>
      <c r="AW67" s="1509"/>
      <c r="AX67" s="1509"/>
      <c r="AY67" s="1509"/>
      <c r="AZ67" s="1509"/>
      <c r="BA67" s="1509"/>
      <c r="BB67" s="1509"/>
      <c r="BC67" s="1380"/>
      <c r="BD67" s="1380"/>
      <c r="BE67" s="1581" t="s">
        <v>936</v>
      </c>
      <c r="BF67" s="1582">
        <f>IF(C67="Scheme",IF(SUM(AQ67:AW67)&gt;0,IF(H67&lt;#REF!,H67-#REF!,0),0),0)</f>
        <v>0</v>
      </c>
      <c r="BH67" s="1385"/>
    </row>
    <row r="68" spans="1:62" s="1384" customFormat="1" ht="116" outlineLevel="1" x14ac:dyDescent="0.25">
      <c r="A68" s="1511">
        <v>22.1</v>
      </c>
      <c r="B68" s="1512" t="s">
        <v>1682</v>
      </c>
      <c r="C68" s="1570" t="s">
        <v>938</v>
      </c>
      <c r="D68" s="1511" t="str">
        <f>D67</f>
        <v>MERC/CAPEX/2021-2022/0284</v>
      </c>
      <c r="E68" s="1571">
        <f t="shared" ref="E68:E71" si="31">E67</f>
        <v>44305</v>
      </c>
      <c r="F68" s="1378">
        <f t="shared" ref="F68:F69" si="32">IF(F67=0,"-",F67)</f>
        <v>44739</v>
      </c>
      <c r="G68" s="1379">
        <f>137.94+0.5</f>
        <v>138.44</v>
      </c>
      <c r="H68" s="1379">
        <f>137.94+0.5</f>
        <v>138.44</v>
      </c>
      <c r="I68" s="1380"/>
      <c r="J68" s="1380"/>
      <c r="K68" s="1378">
        <f t="shared" si="4"/>
        <v>44739</v>
      </c>
      <c r="L68" s="1381" t="s">
        <v>1683</v>
      </c>
      <c r="M68" s="1381"/>
      <c r="N68" s="1382"/>
      <c r="O68" s="1383" t="s">
        <v>1684</v>
      </c>
      <c r="P68" s="1514"/>
      <c r="Q68" s="1573"/>
      <c r="R68" s="1573"/>
      <c r="S68" s="1574"/>
      <c r="T68" s="1509">
        <f t="shared" si="0"/>
        <v>0</v>
      </c>
      <c r="U68" s="1586">
        <v>0</v>
      </c>
      <c r="V68" s="1575">
        <v>18.25</v>
      </c>
      <c r="W68" s="1575">
        <v>136.60509999999999</v>
      </c>
      <c r="X68" s="1575">
        <v>0</v>
      </c>
      <c r="Y68" s="1575">
        <v>0</v>
      </c>
      <c r="Z68" s="1575">
        <v>0</v>
      </c>
      <c r="AA68" s="1575">
        <v>0</v>
      </c>
      <c r="AB68" s="1575"/>
      <c r="AC68" s="1576"/>
      <c r="AD68" s="1576"/>
      <c r="AE68" s="1576"/>
      <c r="AF68" s="1576"/>
      <c r="AG68" s="1576">
        <f t="shared" si="1"/>
        <v>0</v>
      </c>
      <c r="AH68" s="1578"/>
      <c r="AI68" s="1578"/>
      <c r="AJ68" s="1577">
        <v>1</v>
      </c>
      <c r="AK68" s="1577"/>
      <c r="AL68" s="1577"/>
      <c r="AM68" s="1577"/>
      <c r="AN68" s="1577"/>
      <c r="AO68" s="1577"/>
      <c r="AP68" s="1514"/>
      <c r="AQ68" s="1579"/>
      <c r="AR68" s="1579"/>
      <c r="AS68" s="1579"/>
      <c r="AT68" s="1509">
        <f t="shared" si="2"/>
        <v>0</v>
      </c>
      <c r="AU68" s="1555">
        <v>0</v>
      </c>
      <c r="AV68" s="1555">
        <v>0</v>
      </c>
      <c r="AW68" s="1579"/>
      <c r="AX68" s="1579">
        <v>163.28</v>
      </c>
      <c r="AY68" s="1547"/>
      <c r="AZ68" s="1547"/>
      <c r="BA68" s="1565"/>
      <c r="BB68" s="1565"/>
      <c r="BC68" s="1380"/>
      <c r="BD68" s="1380" t="s">
        <v>1685</v>
      </c>
      <c r="BE68" s="1581" t="s">
        <v>939</v>
      </c>
      <c r="BF68" s="1582">
        <f>IF(C68="Scheme",IF(SUM(AQ68:AW68)&gt;0,IF(H68&lt;#REF!,H68-#REF!,0),0),0)</f>
        <v>0</v>
      </c>
      <c r="BH68" s="1385"/>
    </row>
    <row r="69" spans="1:62" s="1384" customFormat="1" outlineLevel="1" x14ac:dyDescent="0.25">
      <c r="A69" s="1511"/>
      <c r="B69" s="1512" t="s">
        <v>413</v>
      </c>
      <c r="C69" s="1600" t="s">
        <v>413</v>
      </c>
      <c r="D69" s="1511" t="str">
        <f t="shared" ref="D69:D71" si="33">D68</f>
        <v>MERC/CAPEX/2021-2022/0284</v>
      </c>
      <c r="E69" s="1571">
        <f t="shared" si="31"/>
        <v>44305</v>
      </c>
      <c r="F69" s="1378">
        <f t="shared" si="32"/>
        <v>44739</v>
      </c>
      <c r="G69" s="1379">
        <v>6.5768820979437104</v>
      </c>
      <c r="H69" s="1379">
        <v>6.5768820979437104</v>
      </c>
      <c r="I69" s="1380"/>
      <c r="J69" s="1380"/>
      <c r="K69" s="1378">
        <f t="shared" si="4"/>
        <v>44739</v>
      </c>
      <c r="L69" s="1387"/>
      <c r="M69" s="1387"/>
      <c r="N69" s="1388"/>
      <c r="O69" s="1380"/>
      <c r="P69" s="1514"/>
      <c r="Q69" s="1573"/>
      <c r="R69" s="1573"/>
      <c r="S69" s="1574"/>
      <c r="T69" s="1509">
        <f t="shared" si="0"/>
        <v>0</v>
      </c>
      <c r="U69" s="1586"/>
      <c r="V69" s="1586">
        <v>0.56999999999999995</v>
      </c>
      <c r="W69" s="1586">
        <v>6.58</v>
      </c>
      <c r="X69" s="1586"/>
      <c r="Y69" s="1586"/>
      <c r="Z69" s="1586"/>
      <c r="AA69" s="1586"/>
      <c r="AB69" s="1586"/>
      <c r="AC69" s="1576"/>
      <c r="AD69" s="1576"/>
      <c r="AE69" s="1576"/>
      <c r="AF69" s="1576"/>
      <c r="AG69" s="1576">
        <f t="shared" si="1"/>
        <v>0</v>
      </c>
      <c r="AH69" s="1578"/>
      <c r="AI69" s="1578"/>
      <c r="AJ69" s="1578"/>
      <c r="AK69" s="1578"/>
      <c r="AL69" s="1578"/>
      <c r="AM69" s="1578"/>
      <c r="AN69" s="1578"/>
      <c r="AO69" s="1578"/>
      <c r="AP69" s="1514"/>
      <c r="AQ69" s="1579"/>
      <c r="AR69" s="1579"/>
      <c r="AS69" s="1579"/>
      <c r="AT69" s="1509">
        <f t="shared" si="2"/>
        <v>0</v>
      </c>
      <c r="AU69" s="1590"/>
      <c r="AV69" s="1590"/>
      <c r="AW69" s="1509"/>
      <c r="AX69" s="1579"/>
      <c r="AY69" s="1579"/>
      <c r="AZ69" s="1579"/>
      <c r="BA69" s="1579"/>
      <c r="BB69" s="1579"/>
      <c r="BC69" s="1380"/>
      <c r="BD69" s="1380"/>
      <c r="BE69" s="1396" t="s">
        <v>936</v>
      </c>
      <c r="BF69" s="1582">
        <f>IF(C69="Scheme",IF(SUM(AQ69:AW69)&gt;0,IF(H69&lt;#REF!,H69-#REF!,0),0),0)</f>
        <v>0</v>
      </c>
      <c r="BH69" s="1385"/>
    </row>
    <row r="70" spans="1:62" s="1384" customFormat="1" ht="43.5" outlineLevel="1" x14ac:dyDescent="0.25">
      <c r="A70" s="1506" t="s">
        <v>945</v>
      </c>
      <c r="B70" s="1507" t="s">
        <v>946</v>
      </c>
      <c r="C70" s="1506" t="s">
        <v>931</v>
      </c>
      <c r="D70" s="1506" t="s">
        <v>947</v>
      </c>
      <c r="E70" s="1583">
        <v>41913</v>
      </c>
      <c r="F70" s="1508">
        <v>41968</v>
      </c>
      <c r="G70" s="1386">
        <f>SUM(G71:G71)</f>
        <v>3.05</v>
      </c>
      <c r="H70" s="1386">
        <f>SUM(H71:H71)</f>
        <v>3.05</v>
      </c>
      <c r="I70" s="1380"/>
      <c r="J70" s="1380"/>
      <c r="K70" s="1378">
        <f t="shared" si="4"/>
        <v>41968</v>
      </c>
      <c r="L70" s="1387"/>
      <c r="M70" s="1387"/>
      <c r="N70" s="1388"/>
      <c r="O70" s="1380"/>
      <c r="P70" s="1509"/>
      <c r="Q70" s="1584"/>
      <c r="R70" s="1584"/>
      <c r="S70" s="1509"/>
      <c r="T70" s="1509">
        <f t="shared" si="0"/>
        <v>0</v>
      </c>
      <c r="U70" s="1585"/>
      <c r="V70" s="1585"/>
      <c r="W70" s="1585"/>
      <c r="X70" s="1585"/>
      <c r="Y70" s="1585"/>
      <c r="Z70" s="1585"/>
      <c r="AA70" s="1585"/>
      <c r="AB70" s="1585"/>
      <c r="AC70" s="1576"/>
      <c r="AD70" s="1576"/>
      <c r="AE70" s="1576"/>
      <c r="AF70" s="1576"/>
      <c r="AG70" s="1576">
        <f t="shared" si="1"/>
        <v>0</v>
      </c>
      <c r="AH70" s="1578"/>
      <c r="AI70" s="1578"/>
      <c r="AJ70" s="1578"/>
      <c r="AK70" s="1578"/>
      <c r="AL70" s="1578"/>
      <c r="AM70" s="1578"/>
      <c r="AN70" s="1578"/>
      <c r="AO70" s="1578"/>
      <c r="AP70" s="1509"/>
      <c r="AQ70" s="1509"/>
      <c r="AR70" s="1509"/>
      <c r="AS70" s="1509"/>
      <c r="AT70" s="1509">
        <f t="shared" si="2"/>
        <v>0</v>
      </c>
      <c r="AU70" s="1585"/>
      <c r="AV70" s="1585"/>
      <c r="AW70" s="1509"/>
      <c r="AX70" s="1509"/>
      <c r="AY70" s="1509"/>
      <c r="AZ70" s="1509"/>
      <c r="BA70" s="1509"/>
      <c r="BB70" s="1509"/>
      <c r="BC70" s="1380"/>
      <c r="BD70" s="1380"/>
      <c r="BE70" s="1581" t="s">
        <v>936</v>
      </c>
      <c r="BF70" s="1582">
        <f>IF(C70="Scheme",IF(SUM(AQ70:AW70)&gt;0,IF(H70&lt;#REF!,H70-#REF!,0),0),0)</f>
        <v>0</v>
      </c>
      <c r="BH70" s="1385"/>
    </row>
    <row r="71" spans="1:62" s="1384" customFormat="1" ht="43.5" outlineLevel="1" x14ac:dyDescent="0.25">
      <c r="A71" s="1511" t="s">
        <v>1686</v>
      </c>
      <c r="B71" s="1512" t="s">
        <v>1687</v>
      </c>
      <c r="C71" s="1570" t="s">
        <v>938</v>
      </c>
      <c r="D71" s="1511" t="str">
        <f t="shared" si="33"/>
        <v>MERC/TECH 1/CAPEX/20142015/01218</v>
      </c>
      <c r="E71" s="1571">
        <f t="shared" si="31"/>
        <v>41913</v>
      </c>
      <c r="F71" s="1378">
        <f t="shared" ref="F71:F76" si="34">IF(F70=0,"-",F70)</f>
        <v>41968</v>
      </c>
      <c r="G71" s="1379">
        <f>1.05+2</f>
        <v>3.05</v>
      </c>
      <c r="H71" s="1379">
        <f>1.05+2</f>
        <v>3.05</v>
      </c>
      <c r="I71" s="1380"/>
      <c r="J71" s="1380"/>
      <c r="K71" s="1378">
        <f t="shared" si="4"/>
        <v>41968</v>
      </c>
      <c r="L71" s="1381"/>
      <c r="M71" s="1381"/>
      <c r="N71" s="1382" t="s">
        <v>1688</v>
      </c>
      <c r="O71" s="1400" t="s">
        <v>1689</v>
      </c>
      <c r="P71" s="1514">
        <v>0</v>
      </c>
      <c r="Q71" s="1573">
        <f t="shared" ref="Q71:R71" si="35">AQ71</f>
        <v>0</v>
      </c>
      <c r="R71" s="1573">
        <f t="shared" si="35"/>
        <v>0.26589200000000002</v>
      </c>
      <c r="S71" s="1574">
        <f>(2183000/10000000)+(1917500/10000000)+(7339600/10000000)</f>
        <v>1.14401</v>
      </c>
      <c r="T71" s="1509">
        <f t="shared" si="0"/>
        <v>1.409902</v>
      </c>
      <c r="U71" s="1586">
        <v>0</v>
      </c>
      <c r="V71" s="1586">
        <v>0</v>
      </c>
      <c r="W71" s="1586">
        <v>0</v>
      </c>
      <c r="X71" s="1586"/>
      <c r="Y71" s="1586"/>
      <c r="Z71" s="1586"/>
      <c r="AA71" s="1586"/>
      <c r="AB71" s="1586"/>
      <c r="AC71" s="1576">
        <v>0.2</v>
      </c>
      <c r="AD71" s="1576">
        <v>0.4</v>
      </c>
      <c r="AE71" s="1576">
        <v>0.8</v>
      </c>
      <c r="AF71" s="1576">
        <v>1</v>
      </c>
      <c r="AG71" s="1576">
        <f t="shared" si="1"/>
        <v>2.4000000000000004</v>
      </c>
      <c r="AH71" s="1578">
        <v>1</v>
      </c>
      <c r="AI71" s="1578"/>
      <c r="AJ71" s="1578"/>
      <c r="AK71" s="1578"/>
      <c r="AL71" s="1578"/>
      <c r="AM71" s="1578"/>
      <c r="AN71" s="1578"/>
      <c r="AO71" s="1578"/>
      <c r="AP71" s="1514">
        <v>0</v>
      </c>
      <c r="AQ71" s="1579">
        <v>0</v>
      </c>
      <c r="AR71" s="1579">
        <f>2658920/10000000</f>
        <v>0.26589200000000002</v>
      </c>
      <c r="AS71" s="1579">
        <f>(1917500+2183000)/10000000</f>
        <v>0.41005000000000003</v>
      </c>
      <c r="AT71" s="1509">
        <f t="shared" si="2"/>
        <v>0.67594200000000004</v>
      </c>
      <c r="AU71" s="1587">
        <v>0.73395999999999995</v>
      </c>
      <c r="AV71" s="1566">
        <v>0</v>
      </c>
      <c r="AW71" s="1565">
        <v>0</v>
      </c>
      <c r="AX71" s="1565"/>
      <c r="AY71" s="1565"/>
      <c r="AZ71" s="1565"/>
      <c r="BA71" s="1565"/>
      <c r="BB71" s="1565"/>
      <c r="BC71" s="1383"/>
      <c r="BD71" s="1383" t="s">
        <v>1690</v>
      </c>
      <c r="BE71" s="1581" t="s">
        <v>941</v>
      </c>
      <c r="BF71" s="1582" t="e">
        <f>IF(C71="Scheme",IF(SUM(AQ71:AW71)&gt;0,IF(H71&lt;#REF!,H71-#REF!,0),0),0)</f>
        <v>#REF!</v>
      </c>
      <c r="BH71" s="1385"/>
    </row>
    <row r="72" spans="1:62" s="1384" customFormat="1" ht="43.5" outlineLevel="1" x14ac:dyDescent="0.25">
      <c r="A72" s="1506" t="s">
        <v>1691</v>
      </c>
      <c r="B72" s="1507" t="s">
        <v>948</v>
      </c>
      <c r="C72" s="1506" t="s">
        <v>931</v>
      </c>
      <c r="D72" s="1506" t="s">
        <v>949</v>
      </c>
      <c r="E72" s="1583">
        <v>42403</v>
      </c>
      <c r="F72" s="1508">
        <v>42585</v>
      </c>
      <c r="G72" s="1386">
        <f>SUM(G73)</f>
        <v>1.3257526714285699</v>
      </c>
      <c r="H72" s="1386">
        <f>SUM(H73)</f>
        <v>1.3257526714285699</v>
      </c>
      <c r="I72" s="1380"/>
      <c r="J72" s="1380"/>
      <c r="K72" s="1378">
        <f t="shared" si="4"/>
        <v>42585</v>
      </c>
      <c r="L72" s="1387"/>
      <c r="M72" s="1387"/>
      <c r="N72" s="1388"/>
      <c r="O72" s="1380"/>
      <c r="P72" s="1509"/>
      <c r="Q72" s="1584"/>
      <c r="R72" s="1584"/>
      <c r="S72" s="1509"/>
      <c r="T72" s="1509">
        <f t="shared" si="0"/>
        <v>0</v>
      </c>
      <c r="U72" s="1585"/>
      <c r="V72" s="1585"/>
      <c r="W72" s="1585"/>
      <c r="X72" s="1585"/>
      <c r="Y72" s="1585"/>
      <c r="Z72" s="1585"/>
      <c r="AA72" s="1585"/>
      <c r="AB72" s="1585"/>
      <c r="AC72" s="1576"/>
      <c r="AD72" s="1576"/>
      <c r="AE72" s="1576"/>
      <c r="AF72" s="1576"/>
      <c r="AG72" s="1576">
        <f t="shared" si="1"/>
        <v>0</v>
      </c>
      <c r="AH72" s="1578"/>
      <c r="AI72" s="1578"/>
      <c r="AJ72" s="1578"/>
      <c r="AK72" s="1578"/>
      <c r="AL72" s="1578"/>
      <c r="AM72" s="1578"/>
      <c r="AN72" s="1578"/>
      <c r="AO72" s="1578"/>
      <c r="AP72" s="1509"/>
      <c r="AQ72" s="1509"/>
      <c r="AR72" s="1509"/>
      <c r="AS72" s="1509"/>
      <c r="AT72" s="1509">
        <f t="shared" si="2"/>
        <v>0</v>
      </c>
      <c r="AU72" s="1585"/>
      <c r="AV72" s="1585"/>
      <c r="AW72" s="1509"/>
      <c r="AX72" s="1509"/>
      <c r="AY72" s="1509"/>
      <c r="AZ72" s="1509"/>
      <c r="BA72" s="1509"/>
      <c r="BB72" s="1509"/>
      <c r="BC72" s="1380"/>
      <c r="BD72" s="1509"/>
      <c r="BE72" s="1581" t="s">
        <v>936</v>
      </c>
      <c r="BF72" s="1582">
        <f>IF(C72="Scheme",IF(SUM(AQ72:AW72)&gt;0,IF(H72&lt;#REF!,H72-#REF!,0),0),0)</f>
        <v>0</v>
      </c>
      <c r="BH72" s="1385"/>
    </row>
    <row r="73" spans="1:62" s="1384" customFormat="1" ht="43.5" outlineLevel="1" x14ac:dyDescent="0.25">
      <c r="A73" s="1511" t="s">
        <v>1692</v>
      </c>
      <c r="B73" s="1512" t="s">
        <v>1693</v>
      </c>
      <c r="C73" s="1570" t="s">
        <v>938</v>
      </c>
      <c r="D73" s="1511" t="str">
        <f t="shared" ref="D73:E80" si="36">D72</f>
        <v>MERC/CAPEX/20162017/00423</v>
      </c>
      <c r="E73" s="1571">
        <f t="shared" si="36"/>
        <v>42403</v>
      </c>
      <c r="F73" s="1378">
        <f t="shared" si="34"/>
        <v>42585</v>
      </c>
      <c r="G73" s="1379">
        <v>1.3257526714285699</v>
      </c>
      <c r="H73" s="1379">
        <v>1.3257526714285699</v>
      </c>
      <c r="I73" s="1380"/>
      <c r="J73" s="1380"/>
      <c r="K73" s="1378">
        <f t="shared" si="4"/>
        <v>42585</v>
      </c>
      <c r="L73" s="1381"/>
      <c r="M73" s="1381"/>
      <c r="N73" s="1382">
        <v>43868</v>
      </c>
      <c r="O73" s="1380"/>
      <c r="P73" s="1514">
        <v>0</v>
      </c>
      <c r="Q73" s="1573">
        <f t="shared" ref="Q73:S73" si="37">AQ73</f>
        <v>0.93839989999999995</v>
      </c>
      <c r="R73" s="1573">
        <f t="shared" si="37"/>
        <v>0</v>
      </c>
      <c r="S73" s="1574">
        <f t="shared" si="37"/>
        <v>0</v>
      </c>
      <c r="T73" s="1509">
        <f t="shared" si="0"/>
        <v>0.93839989999999995</v>
      </c>
      <c r="U73" s="1587">
        <v>2.875E-3</v>
      </c>
      <c r="V73" s="1586">
        <v>0</v>
      </c>
      <c r="W73" s="1586">
        <v>0</v>
      </c>
      <c r="X73" s="1586"/>
      <c r="Y73" s="1586"/>
      <c r="Z73" s="1586"/>
      <c r="AA73" s="1586"/>
      <c r="AB73" s="1586"/>
      <c r="AC73" s="1576">
        <v>0.2</v>
      </c>
      <c r="AD73" s="1576">
        <v>0.4</v>
      </c>
      <c r="AE73" s="1576">
        <v>0.8</v>
      </c>
      <c r="AF73" s="1576">
        <v>1</v>
      </c>
      <c r="AG73" s="1576">
        <f t="shared" si="1"/>
        <v>2.4000000000000004</v>
      </c>
      <c r="AH73" s="1578"/>
      <c r="AI73" s="1578"/>
      <c r="AJ73" s="1578"/>
      <c r="AK73" s="1578"/>
      <c r="AL73" s="1578"/>
      <c r="AM73" s="1578"/>
      <c r="AN73" s="1578"/>
      <c r="AO73" s="1578"/>
      <c r="AP73" s="1514">
        <v>0</v>
      </c>
      <c r="AQ73" s="1579">
        <f>9383999/10000000</f>
        <v>0.93839989999999995</v>
      </c>
      <c r="AR73" s="1579">
        <v>0</v>
      </c>
      <c r="AS73" s="1579">
        <v>0</v>
      </c>
      <c r="AT73" s="1509">
        <f t="shared" si="2"/>
        <v>0.93839989999999995</v>
      </c>
      <c r="AU73" s="1587">
        <v>2.875E-3</v>
      </c>
      <c r="AV73" s="1566">
        <v>0</v>
      </c>
      <c r="AW73" s="1565">
        <v>0</v>
      </c>
      <c r="AX73" s="1565"/>
      <c r="AY73" s="1565"/>
      <c r="AZ73" s="1565"/>
      <c r="BA73" s="1565"/>
      <c r="BB73" s="1565"/>
      <c r="BC73" s="1380"/>
      <c r="BD73" s="1380" t="s">
        <v>1694</v>
      </c>
      <c r="BE73" s="1581" t="s">
        <v>941</v>
      </c>
      <c r="BF73" s="1582" t="e">
        <f>IF(C73="Scheme",IF(SUM(AQ73:AW73)&gt;0,IF(H73&lt;#REF!,H73-#REF!,0),0),0)</f>
        <v>#REF!</v>
      </c>
      <c r="BH73" s="1385"/>
    </row>
    <row r="74" spans="1:62" s="1384" customFormat="1" ht="33" customHeight="1" outlineLevel="1" x14ac:dyDescent="0.25">
      <c r="A74" s="1511"/>
      <c r="B74" s="1511" t="s">
        <v>413</v>
      </c>
      <c r="C74" s="1511"/>
      <c r="D74" s="1511"/>
      <c r="E74" s="1511"/>
      <c r="F74" s="1511"/>
      <c r="G74" s="1511"/>
      <c r="H74" s="1511"/>
      <c r="I74" s="1511"/>
      <c r="J74" s="1511"/>
      <c r="K74" s="1511"/>
      <c r="L74" s="1511"/>
      <c r="M74" s="1511"/>
      <c r="N74" s="1511"/>
      <c r="O74" s="1511"/>
      <c r="P74" s="1511"/>
      <c r="Q74" s="1511"/>
      <c r="R74" s="1511"/>
      <c r="S74" s="1511"/>
      <c r="T74" s="1509">
        <f t="shared" si="0"/>
        <v>0</v>
      </c>
      <c r="U74" s="1587">
        <v>3.9603800000000002E-2</v>
      </c>
      <c r="V74" s="1610"/>
      <c r="W74" s="1610"/>
      <c r="X74" s="1610"/>
      <c r="Y74" s="1610"/>
      <c r="Z74" s="1610"/>
      <c r="AA74" s="1610"/>
      <c r="AB74" s="1610"/>
      <c r="AC74" s="1511"/>
      <c r="AD74" s="1511"/>
      <c r="AE74" s="1511"/>
      <c r="AF74" s="1511"/>
      <c r="AG74" s="1576">
        <f t="shared" si="1"/>
        <v>0</v>
      </c>
      <c r="AH74" s="1610"/>
      <c r="AI74" s="1610"/>
      <c r="AJ74" s="1610"/>
      <c r="AK74" s="1610"/>
      <c r="AL74" s="1610"/>
      <c r="AM74" s="1610"/>
      <c r="AN74" s="1610"/>
      <c r="AO74" s="1610"/>
      <c r="AP74" s="1511"/>
      <c r="AQ74" s="1511"/>
      <c r="AR74" s="1511"/>
      <c r="AS74" s="1511"/>
      <c r="AT74" s="1509">
        <f t="shared" si="2"/>
        <v>0</v>
      </c>
      <c r="AU74" s="1587">
        <v>3.9603800000000002E-2</v>
      </c>
      <c r="AV74" s="1611"/>
      <c r="AW74" s="1557"/>
      <c r="AX74" s="1557"/>
      <c r="AY74" s="1557"/>
      <c r="AZ74" s="1557"/>
      <c r="BA74" s="1557"/>
      <c r="BB74" s="1557"/>
      <c r="BC74" s="1380"/>
      <c r="BD74" s="1511"/>
      <c r="BE74" s="1581" t="s">
        <v>941</v>
      </c>
      <c r="BG74" s="1582"/>
      <c r="BH74" s="1582"/>
      <c r="BJ74" s="1385"/>
    </row>
    <row r="75" spans="1:62" s="1384" customFormat="1" ht="43.5" outlineLevel="1" x14ac:dyDescent="0.25">
      <c r="A75" s="1506" t="s">
        <v>950</v>
      </c>
      <c r="B75" s="1507" t="s">
        <v>951</v>
      </c>
      <c r="C75" s="1506" t="s">
        <v>931</v>
      </c>
      <c r="D75" s="1506" t="s">
        <v>952</v>
      </c>
      <c r="E75" s="1583">
        <v>42608</v>
      </c>
      <c r="F75" s="1508">
        <v>42643</v>
      </c>
      <c r="G75" s="1386">
        <f>SUM(G76)</f>
        <v>7.0965999999999996</v>
      </c>
      <c r="H75" s="1386">
        <f>SUM(H76)</f>
        <v>7.0965999999999996</v>
      </c>
      <c r="I75" s="1380"/>
      <c r="J75" s="1380"/>
      <c r="K75" s="1378">
        <f t="shared" si="4"/>
        <v>42643</v>
      </c>
      <c r="L75" s="1387"/>
      <c r="M75" s="1387"/>
      <c r="N75" s="1388"/>
      <c r="O75" s="1380"/>
      <c r="P75" s="1509"/>
      <c r="Q75" s="1584"/>
      <c r="R75" s="1584"/>
      <c r="S75" s="1509"/>
      <c r="T75" s="1509">
        <f t="shared" ref="T75:T138" si="38">SUM(P75:S75)</f>
        <v>0</v>
      </c>
      <c r="U75" s="1585"/>
      <c r="V75" s="1585"/>
      <c r="W75" s="1585"/>
      <c r="X75" s="1585"/>
      <c r="Y75" s="1585"/>
      <c r="Z75" s="1585"/>
      <c r="AA75" s="1585"/>
      <c r="AB75" s="1585"/>
      <c r="AC75" s="1576"/>
      <c r="AD75" s="1576"/>
      <c r="AE75" s="1576"/>
      <c r="AF75" s="1576"/>
      <c r="AG75" s="1576">
        <f t="shared" ref="AG75:AG138" si="39">SUM(AC75:AF75)</f>
        <v>0</v>
      </c>
      <c r="AH75" s="1610"/>
      <c r="AI75" s="1610"/>
      <c r="AJ75" s="1578"/>
      <c r="AK75" s="1578"/>
      <c r="AL75" s="1578"/>
      <c r="AM75" s="1578"/>
      <c r="AN75" s="1578"/>
      <c r="AO75" s="1578"/>
      <c r="AP75" s="1509"/>
      <c r="AQ75" s="1509"/>
      <c r="AR75" s="1509"/>
      <c r="AS75" s="1509"/>
      <c r="AT75" s="1509">
        <f t="shared" ref="AT75:AT138" si="40">SUM(AP75:AS75)</f>
        <v>0</v>
      </c>
      <c r="AU75" s="1585"/>
      <c r="AV75" s="1585">
        <v>0</v>
      </c>
      <c r="AW75" s="1509"/>
      <c r="AX75" s="1509"/>
      <c r="AY75" s="1509"/>
      <c r="AZ75" s="1509"/>
      <c r="BA75" s="1509"/>
      <c r="BB75" s="1509"/>
      <c r="BC75" s="1579"/>
      <c r="BD75" s="1509"/>
      <c r="BE75" s="1581" t="s">
        <v>936</v>
      </c>
      <c r="BF75" s="1582">
        <f>IF(C75="Scheme",IF(SUM(AQ75:AW75)&gt;0,IF(H75&lt;#REF!,H75-#REF!,0),0),0)</f>
        <v>0</v>
      </c>
      <c r="BH75" s="1385"/>
    </row>
    <row r="76" spans="1:62" s="1384" customFormat="1" ht="43.5" outlineLevel="1" x14ac:dyDescent="0.25">
      <c r="A76" s="1511" t="s">
        <v>1695</v>
      </c>
      <c r="B76" s="1512" t="s">
        <v>1693</v>
      </c>
      <c r="C76" s="1570" t="s">
        <v>938</v>
      </c>
      <c r="D76" s="1511" t="str">
        <f t="shared" si="36"/>
        <v>MERC/CAPEX/20162017/00774</v>
      </c>
      <c r="E76" s="1571">
        <f t="shared" si="36"/>
        <v>42608</v>
      </c>
      <c r="F76" s="1378">
        <f t="shared" si="34"/>
        <v>42643</v>
      </c>
      <c r="G76" s="1379">
        <v>7.0965999999999996</v>
      </c>
      <c r="H76" s="1379">
        <v>7.0965999999999996</v>
      </c>
      <c r="I76" s="1380"/>
      <c r="J76" s="1380"/>
      <c r="K76" s="1378">
        <f t="shared" ref="K76:K84" si="41">IF(F76=0,"-",F76)</f>
        <v>42643</v>
      </c>
      <c r="L76" s="1381" t="s">
        <v>1696</v>
      </c>
      <c r="M76" s="1381"/>
      <c r="N76" s="1382"/>
      <c r="O76" s="1380"/>
      <c r="P76" s="1514">
        <v>0</v>
      </c>
      <c r="Q76" s="1573">
        <v>0</v>
      </c>
      <c r="R76" s="1573">
        <v>0</v>
      </c>
      <c r="S76" s="1574">
        <v>0</v>
      </c>
      <c r="T76" s="1509">
        <f t="shared" si="38"/>
        <v>0</v>
      </c>
      <c r="U76" s="1585">
        <v>0</v>
      </c>
      <c r="V76" s="1585">
        <v>0</v>
      </c>
      <c r="W76" s="1585">
        <v>0</v>
      </c>
      <c r="X76" s="1585"/>
      <c r="Y76" s="1585"/>
      <c r="Z76" s="1585"/>
      <c r="AA76" s="1585"/>
      <c r="AB76" s="1585"/>
      <c r="AC76" s="1576"/>
      <c r="AD76" s="1576"/>
      <c r="AE76" s="1576"/>
      <c r="AF76" s="1576"/>
      <c r="AG76" s="1576">
        <f t="shared" si="39"/>
        <v>0</v>
      </c>
      <c r="AH76" s="1578"/>
      <c r="AI76" s="1578"/>
      <c r="AJ76" s="1578">
        <v>1</v>
      </c>
      <c r="AK76" s="1578"/>
      <c r="AL76" s="1578"/>
      <c r="AM76" s="1578"/>
      <c r="AN76" s="1578"/>
      <c r="AO76" s="1578"/>
      <c r="AP76" s="1514"/>
      <c r="AQ76" s="1579"/>
      <c r="AR76" s="1579"/>
      <c r="AS76" s="1579"/>
      <c r="AT76" s="1509">
        <f t="shared" si="40"/>
        <v>0</v>
      </c>
      <c r="AU76" s="1555">
        <v>0</v>
      </c>
      <c r="AV76" s="1555">
        <v>0</v>
      </c>
      <c r="AW76" s="1547">
        <v>0</v>
      </c>
      <c r="AX76" s="1547"/>
      <c r="AY76" s="1547"/>
      <c r="AZ76" s="1547"/>
      <c r="BA76" s="1547"/>
      <c r="BB76" s="1547"/>
      <c r="BC76" s="1380"/>
      <c r="BD76" s="1380" t="s">
        <v>1697</v>
      </c>
      <c r="BE76" s="1581" t="s">
        <v>939</v>
      </c>
      <c r="BF76" s="1582">
        <f>IF(C76="Scheme",IF(SUM(AQ76:AW76)&gt;0,IF(H76&lt;#REF!,H76-#REF!,0),0),0)</f>
        <v>0</v>
      </c>
      <c r="BH76" s="1385"/>
    </row>
    <row r="77" spans="1:62" s="1370" customFormat="1" ht="43.5" outlineLevel="1" x14ac:dyDescent="0.25">
      <c r="A77" s="1543" t="s">
        <v>1698</v>
      </c>
      <c r="B77" s="1544" t="s">
        <v>1699</v>
      </c>
      <c r="C77" s="1543" t="s">
        <v>931</v>
      </c>
      <c r="D77" s="1543" t="s">
        <v>1700</v>
      </c>
      <c r="E77" s="1545">
        <v>42844</v>
      </c>
      <c r="F77" s="1546">
        <v>43052</v>
      </c>
      <c r="G77" s="1330">
        <f>SUM(G78:G80)</f>
        <v>3.97</v>
      </c>
      <c r="H77" s="1330">
        <f>SUM(H78:H80)</f>
        <v>3.97</v>
      </c>
      <c r="I77" s="1365"/>
      <c r="J77" s="1365"/>
      <c r="K77" s="1366">
        <f t="shared" si="41"/>
        <v>43052</v>
      </c>
      <c r="L77" s="1367"/>
      <c r="M77" s="1367"/>
      <c r="N77" s="1368"/>
      <c r="O77" s="1365"/>
      <c r="P77" s="1547"/>
      <c r="Q77" s="1548"/>
      <c r="R77" s="1548"/>
      <c r="S77" s="1547"/>
      <c r="T77" s="1547">
        <f t="shared" si="38"/>
        <v>0</v>
      </c>
      <c r="U77" s="1555"/>
      <c r="V77" s="1555"/>
      <c r="W77" s="1555"/>
      <c r="X77" s="1555"/>
      <c r="Y77" s="1555"/>
      <c r="Z77" s="1555"/>
      <c r="AA77" s="1555"/>
      <c r="AB77" s="1555"/>
      <c r="AC77" s="1550"/>
      <c r="AD77" s="1550"/>
      <c r="AE77" s="1550"/>
      <c r="AF77" s="1550"/>
      <c r="AG77" s="1550">
        <f t="shared" si="39"/>
        <v>0</v>
      </c>
      <c r="AH77" s="1556"/>
      <c r="AI77" s="1556"/>
      <c r="AJ77" s="1556"/>
      <c r="AK77" s="1556"/>
      <c r="AL77" s="1556"/>
      <c r="AM77" s="1556"/>
      <c r="AN77" s="1556"/>
      <c r="AO77" s="1556"/>
      <c r="AP77" s="1547"/>
      <c r="AQ77" s="1547"/>
      <c r="AR77" s="1547"/>
      <c r="AS77" s="1547"/>
      <c r="AT77" s="1547">
        <f t="shared" si="40"/>
        <v>0</v>
      </c>
      <c r="AU77" s="1555">
        <v>0</v>
      </c>
      <c r="AV77" s="1555">
        <v>0</v>
      </c>
      <c r="AW77" s="1547">
        <v>0</v>
      </c>
      <c r="AX77" s="1547"/>
      <c r="AY77" s="1547"/>
      <c r="AZ77" s="1547"/>
      <c r="BA77" s="1547"/>
      <c r="BB77" s="1547"/>
      <c r="BC77" s="1565"/>
      <c r="BD77" s="1365"/>
      <c r="BE77" s="1553" t="s">
        <v>941</v>
      </c>
      <c r="BF77" s="1554">
        <f>IF(C77="Scheme",IF(SUM(AQ77:AW77)&gt;0,IF(H77&lt;#REF!,H77-#REF!,0),0),0)</f>
        <v>0</v>
      </c>
      <c r="BH77" s="1371"/>
    </row>
    <row r="78" spans="1:62" s="1370" customFormat="1" ht="43.5" outlineLevel="1" x14ac:dyDescent="0.25">
      <c r="A78" s="1557" t="s">
        <v>1701</v>
      </c>
      <c r="B78" s="1558" t="s">
        <v>1702</v>
      </c>
      <c r="C78" s="1559" t="s">
        <v>938</v>
      </c>
      <c r="D78" s="1557" t="str">
        <f t="shared" si="36"/>
        <v>MERC/CAPEX/20172018/4653</v>
      </c>
      <c r="E78" s="1560">
        <f t="shared" si="36"/>
        <v>42844</v>
      </c>
      <c r="F78" s="1366">
        <f t="shared" ref="F78:F80" si="42">IF(F77=0,"-",F77)</f>
        <v>43052</v>
      </c>
      <c r="G78" s="1372">
        <v>2.72</v>
      </c>
      <c r="H78" s="1372">
        <v>2.72</v>
      </c>
      <c r="I78" s="1365"/>
      <c r="J78" s="1365"/>
      <c r="K78" s="1366">
        <f t="shared" si="41"/>
        <v>43052</v>
      </c>
      <c r="L78" s="1373"/>
      <c r="M78" s="1373"/>
      <c r="N78" s="1374">
        <v>44448</v>
      </c>
      <c r="O78" s="1365" t="s">
        <v>1703</v>
      </c>
      <c r="P78" s="1561">
        <v>0</v>
      </c>
      <c r="Q78" s="1562">
        <f t="shared" ref="Q78:S78" si="43">AQ78</f>
        <v>0</v>
      </c>
      <c r="R78" s="1562">
        <f t="shared" si="43"/>
        <v>0</v>
      </c>
      <c r="S78" s="1563">
        <f t="shared" si="43"/>
        <v>1.7765</v>
      </c>
      <c r="T78" s="1547">
        <f t="shared" si="38"/>
        <v>1.7765</v>
      </c>
      <c r="U78" s="1564">
        <v>0</v>
      </c>
      <c r="V78" s="1564">
        <v>0</v>
      </c>
      <c r="W78" s="1564">
        <v>0</v>
      </c>
      <c r="X78" s="1564"/>
      <c r="Y78" s="1564"/>
      <c r="Z78" s="1564"/>
      <c r="AA78" s="1564"/>
      <c r="AB78" s="1564"/>
      <c r="AC78" s="1550">
        <v>0.4</v>
      </c>
      <c r="AD78" s="1550">
        <v>0.8</v>
      </c>
      <c r="AE78" s="1550">
        <v>0.8</v>
      </c>
      <c r="AF78" s="1550">
        <v>1</v>
      </c>
      <c r="AG78" s="1550">
        <f t="shared" si="39"/>
        <v>3</v>
      </c>
      <c r="AH78" s="1556"/>
      <c r="AI78" s="1556"/>
      <c r="AJ78" s="1556"/>
      <c r="AK78" s="1556"/>
      <c r="AL78" s="1556"/>
      <c r="AM78" s="1556"/>
      <c r="AN78" s="1556"/>
      <c r="AO78" s="1556"/>
      <c r="AP78" s="1561">
        <v>0</v>
      </c>
      <c r="AQ78" s="1565">
        <v>0</v>
      </c>
      <c r="AR78" s="1565">
        <v>0</v>
      </c>
      <c r="AS78" s="1565">
        <f>17765000/10000000</f>
        <v>1.7765</v>
      </c>
      <c r="AT78" s="1547">
        <f t="shared" si="40"/>
        <v>1.7765</v>
      </c>
      <c r="AU78" s="1566">
        <v>0</v>
      </c>
      <c r="AV78" s="1566">
        <v>0</v>
      </c>
      <c r="AW78" s="1565">
        <v>0</v>
      </c>
      <c r="AX78" s="1565"/>
      <c r="AY78" s="1565"/>
      <c r="AZ78" s="1565"/>
      <c r="BA78" s="1565"/>
      <c r="BB78" s="1565"/>
      <c r="BC78" s="1365"/>
      <c r="BD78" s="1365" t="s">
        <v>1704</v>
      </c>
      <c r="BE78" s="1553" t="s">
        <v>941</v>
      </c>
      <c r="BF78" s="1554" t="e">
        <f>IF(C78="Scheme",IF(SUM(AQ78:AW78)&gt;0,IF(H78&lt;#REF!,H78-#REF!,0),0),0)</f>
        <v>#REF!</v>
      </c>
      <c r="BH78" s="1371"/>
    </row>
    <row r="79" spans="1:62" s="1370" customFormat="1" ht="43.5" outlineLevel="1" x14ac:dyDescent="0.25">
      <c r="A79" s="1557" t="s">
        <v>1705</v>
      </c>
      <c r="B79" s="1558" t="s">
        <v>1706</v>
      </c>
      <c r="C79" s="1559" t="s">
        <v>938</v>
      </c>
      <c r="D79" s="1557" t="str">
        <f t="shared" si="36"/>
        <v>MERC/CAPEX/20172018/4653</v>
      </c>
      <c r="E79" s="1560">
        <f t="shared" si="36"/>
        <v>42844</v>
      </c>
      <c r="F79" s="1366">
        <f t="shared" si="42"/>
        <v>43052</v>
      </c>
      <c r="G79" s="1372">
        <v>1.25</v>
      </c>
      <c r="H79" s="1372">
        <f>1*1.25</f>
        <v>1.25</v>
      </c>
      <c r="I79" s="1365"/>
      <c r="J79" s="1365"/>
      <c r="K79" s="1366">
        <f t="shared" si="41"/>
        <v>43052</v>
      </c>
      <c r="L79" s="1373"/>
      <c r="M79" s="1373"/>
      <c r="N79" s="1374"/>
      <c r="O79" s="1365"/>
      <c r="P79" s="1561">
        <v>0</v>
      </c>
      <c r="Q79" s="1562">
        <v>0</v>
      </c>
      <c r="R79" s="1562">
        <v>0</v>
      </c>
      <c r="S79" s="1563">
        <v>0</v>
      </c>
      <c r="T79" s="1547">
        <f t="shared" si="38"/>
        <v>0</v>
      </c>
      <c r="U79" s="1566">
        <v>0</v>
      </c>
      <c r="V79" s="1566"/>
      <c r="W79" s="1566"/>
      <c r="X79" s="1566"/>
      <c r="Y79" s="1566"/>
      <c r="Z79" s="1566"/>
      <c r="AA79" s="1566"/>
      <c r="AB79" s="1566"/>
      <c r="AC79" s="1550">
        <v>0.2</v>
      </c>
      <c r="AD79" s="1550">
        <v>0.2</v>
      </c>
      <c r="AE79" s="1550">
        <v>0.4</v>
      </c>
      <c r="AF79" s="1550">
        <v>0.8</v>
      </c>
      <c r="AG79" s="1550">
        <f t="shared" si="39"/>
        <v>1.6</v>
      </c>
      <c r="AH79" s="1566"/>
      <c r="AI79" s="1566"/>
      <c r="AJ79" s="1566"/>
      <c r="AK79" s="1566"/>
      <c r="AL79" s="1566"/>
      <c r="AM79" s="1566"/>
      <c r="AN79" s="1566"/>
      <c r="AO79" s="1566"/>
      <c r="AP79" s="1561">
        <v>0</v>
      </c>
      <c r="AQ79" s="1565">
        <v>0</v>
      </c>
      <c r="AR79" s="1565">
        <v>0</v>
      </c>
      <c r="AS79" s="1565">
        <v>0</v>
      </c>
      <c r="AT79" s="1547">
        <f t="shared" si="40"/>
        <v>0</v>
      </c>
      <c r="AU79" s="1566">
        <v>0</v>
      </c>
      <c r="AV79" s="1566"/>
      <c r="AW79" s="1565"/>
      <c r="AX79" s="1565"/>
      <c r="AY79" s="1565"/>
      <c r="AZ79" s="1565"/>
      <c r="BA79" s="1565"/>
      <c r="BB79" s="1565"/>
      <c r="BC79" s="1565"/>
      <c r="BD79" s="1365"/>
      <c r="BE79" s="1553" t="s">
        <v>936</v>
      </c>
      <c r="BF79" s="1554">
        <f>IF(C79="Scheme",IF(SUM(AQ79:AW79)&gt;0,IF(H79&lt;#REF!,H79-#REF!,0),0),0)</f>
        <v>0</v>
      </c>
      <c r="BH79" s="1371"/>
    </row>
    <row r="80" spans="1:62" outlineLevel="1" x14ac:dyDescent="0.25">
      <c r="A80" s="1557"/>
      <c r="B80" s="1558" t="s">
        <v>413</v>
      </c>
      <c r="C80" s="1568" t="s">
        <v>413</v>
      </c>
      <c r="D80" s="1557" t="str">
        <f t="shared" si="36"/>
        <v>MERC/CAPEX/20172018/4653</v>
      </c>
      <c r="E80" s="1560">
        <f t="shared" si="36"/>
        <v>42844</v>
      </c>
      <c r="F80" s="1366">
        <f t="shared" si="42"/>
        <v>43052</v>
      </c>
      <c r="G80" s="1333"/>
      <c r="H80" s="1333"/>
      <c r="I80" s="1365"/>
      <c r="J80" s="1365"/>
      <c r="K80" s="1366">
        <f t="shared" si="41"/>
        <v>43052</v>
      </c>
      <c r="L80" s="1367"/>
      <c r="M80" s="1367"/>
      <c r="N80" s="1368"/>
      <c r="O80" s="1365"/>
      <c r="P80" s="1561">
        <v>0</v>
      </c>
      <c r="Q80" s="1562"/>
      <c r="R80" s="1562"/>
      <c r="S80" s="1563"/>
      <c r="T80" s="1594">
        <f t="shared" si="38"/>
        <v>0</v>
      </c>
      <c r="U80" s="1595"/>
      <c r="V80" s="1595"/>
      <c r="W80" s="1595"/>
      <c r="X80" s="1595"/>
      <c r="Y80" s="1595"/>
      <c r="Z80" s="1595"/>
      <c r="AA80" s="1595"/>
      <c r="AB80" s="1595"/>
      <c r="AC80" s="1550"/>
      <c r="AD80" s="1550"/>
      <c r="AE80" s="1550"/>
      <c r="AF80" s="1550"/>
      <c r="AG80" s="1541">
        <f t="shared" si="39"/>
        <v>0</v>
      </c>
      <c r="AH80" s="1596"/>
      <c r="AI80" s="1596"/>
      <c r="AJ80" s="1596"/>
      <c r="AK80" s="1596"/>
      <c r="AL80" s="1596"/>
      <c r="AM80" s="1596"/>
      <c r="AN80" s="1596"/>
      <c r="AO80" s="1596"/>
      <c r="AP80" s="1561">
        <v>0</v>
      </c>
      <c r="AQ80" s="1565"/>
      <c r="AR80" s="1565"/>
      <c r="AS80" s="1565"/>
      <c r="AT80" s="1594">
        <f t="shared" si="40"/>
        <v>0</v>
      </c>
      <c r="AU80" s="1612"/>
      <c r="AV80" s="1612"/>
      <c r="AW80" s="1547"/>
      <c r="AX80" s="1547"/>
      <c r="AY80" s="1547"/>
      <c r="AZ80" s="1547"/>
      <c r="BA80" s="1547"/>
      <c r="BB80" s="1547"/>
      <c r="BC80" s="1365"/>
      <c r="BD80" s="1365"/>
      <c r="BE80" s="1613" t="s">
        <v>936</v>
      </c>
      <c r="BF80" s="1598">
        <f>IF(C80="Scheme",IF(SUM(AQ80:AW80)&gt;0,IF(H80&lt;#REF!,H80-#REF!,0),0),0)</f>
        <v>0</v>
      </c>
      <c r="BH80" s="1355"/>
    </row>
    <row r="81" spans="1:60" s="1384" customFormat="1" ht="43.5" outlineLevel="1" x14ac:dyDescent="0.25">
      <c r="A81" s="1506" t="s">
        <v>1707</v>
      </c>
      <c r="B81" s="1507" t="s">
        <v>1708</v>
      </c>
      <c r="C81" s="1506" t="s">
        <v>931</v>
      </c>
      <c r="D81" s="1506" t="s">
        <v>1709</v>
      </c>
      <c r="E81" s="1583">
        <v>43112</v>
      </c>
      <c r="F81" s="1508">
        <v>43137</v>
      </c>
      <c r="G81" s="1386">
        <f>SUM(G82)</f>
        <v>2.36</v>
      </c>
      <c r="H81" s="1386">
        <f>SUM(H82)</f>
        <v>2.36</v>
      </c>
      <c r="I81" s="1380"/>
      <c r="J81" s="1380"/>
      <c r="K81" s="1378">
        <f t="shared" si="41"/>
        <v>43137</v>
      </c>
      <c r="L81" s="1387"/>
      <c r="M81" s="1387"/>
      <c r="N81" s="1388"/>
      <c r="O81" s="1380"/>
      <c r="P81" s="1509"/>
      <c r="Q81" s="1584"/>
      <c r="R81" s="1584"/>
      <c r="S81" s="1509"/>
      <c r="T81" s="1509">
        <f t="shared" si="38"/>
        <v>0</v>
      </c>
      <c r="U81" s="1585"/>
      <c r="V81" s="1585"/>
      <c r="W81" s="1585"/>
      <c r="X81" s="1585"/>
      <c r="Y81" s="1585"/>
      <c r="Z81" s="1585"/>
      <c r="AA81" s="1585"/>
      <c r="AB81" s="1585"/>
      <c r="AC81" s="1576"/>
      <c r="AD81" s="1576"/>
      <c r="AE81" s="1576"/>
      <c r="AF81" s="1576"/>
      <c r="AG81" s="1576">
        <f t="shared" si="39"/>
        <v>0</v>
      </c>
      <c r="AH81" s="1578"/>
      <c r="AI81" s="1578"/>
      <c r="AJ81" s="1578"/>
      <c r="AK81" s="1578"/>
      <c r="AL81" s="1578"/>
      <c r="AM81" s="1578"/>
      <c r="AN81" s="1578"/>
      <c r="AO81" s="1578"/>
      <c r="AP81" s="1509"/>
      <c r="AQ81" s="1509"/>
      <c r="AR81" s="1509"/>
      <c r="AS81" s="1509"/>
      <c r="AT81" s="1509">
        <f t="shared" si="40"/>
        <v>0</v>
      </c>
      <c r="AU81" s="1585"/>
      <c r="AV81" s="1585"/>
      <c r="AW81" s="1509"/>
      <c r="AX81" s="1509"/>
      <c r="AY81" s="1509"/>
      <c r="AZ81" s="1509"/>
      <c r="BA81" s="1509"/>
      <c r="BB81" s="1509"/>
      <c r="BC81" s="1380"/>
      <c r="BD81" s="1380"/>
      <c r="BE81" s="1581" t="s">
        <v>936</v>
      </c>
      <c r="BF81" s="1582">
        <f>IF(C81="Scheme",IF(SUM(AQ81:AW81)&gt;0,IF(H81&lt;#REF!,H81-#REF!,0),0),0)</f>
        <v>0</v>
      </c>
      <c r="BH81" s="1385"/>
    </row>
    <row r="82" spans="1:60" s="1384" customFormat="1" ht="43.5" outlineLevel="1" x14ac:dyDescent="0.25">
      <c r="A82" s="1511" t="s">
        <v>1710</v>
      </c>
      <c r="B82" s="1512" t="s">
        <v>1693</v>
      </c>
      <c r="C82" s="1570" t="s">
        <v>938</v>
      </c>
      <c r="D82" s="1511" t="str">
        <f t="shared" ref="D82:E82" si="44">D81</f>
        <v>MERC/CAPEX/20172018/0177</v>
      </c>
      <c r="E82" s="1571">
        <f t="shared" si="44"/>
        <v>43112</v>
      </c>
      <c r="F82" s="1378">
        <f t="shared" ref="F82" si="45">IF(F81=0,"-",F81)</f>
        <v>43137</v>
      </c>
      <c r="G82" s="1379">
        <v>2.36</v>
      </c>
      <c r="H82" s="1379">
        <v>2.36</v>
      </c>
      <c r="I82" s="1380"/>
      <c r="J82" s="1380"/>
      <c r="K82" s="1378">
        <f t="shared" si="41"/>
        <v>43137</v>
      </c>
      <c r="L82" s="1381"/>
      <c r="M82" s="1381"/>
      <c r="N82" s="1382" t="s">
        <v>1711</v>
      </c>
      <c r="O82" s="1380" t="s">
        <v>1712</v>
      </c>
      <c r="P82" s="1514">
        <v>0</v>
      </c>
      <c r="Q82" s="1573">
        <f t="shared" ref="Q82:S82" si="46">AQ82</f>
        <v>0.28422423399999996</v>
      </c>
      <c r="R82" s="1573">
        <f t="shared" si="46"/>
        <v>1.3007284330000002</v>
      </c>
      <c r="S82" s="1574">
        <f t="shared" si="46"/>
        <v>0</v>
      </c>
      <c r="T82" s="1509">
        <f t="shared" si="38"/>
        <v>1.584952667</v>
      </c>
      <c r="U82" s="1575">
        <v>0</v>
      </c>
      <c r="V82" s="1575">
        <v>0</v>
      </c>
      <c r="W82" s="1586">
        <v>0</v>
      </c>
      <c r="X82" s="1586">
        <v>1</v>
      </c>
      <c r="Y82" s="1586"/>
      <c r="Z82" s="1586"/>
      <c r="AA82" s="1586"/>
      <c r="AB82" s="1586"/>
      <c r="AC82" s="1576">
        <v>0.4</v>
      </c>
      <c r="AD82" s="1576">
        <v>0.4</v>
      </c>
      <c r="AE82" s="1576">
        <v>0.6</v>
      </c>
      <c r="AF82" s="1576">
        <v>0.8</v>
      </c>
      <c r="AG82" s="1576">
        <f t="shared" si="39"/>
        <v>2.2000000000000002</v>
      </c>
      <c r="AH82" s="1577">
        <v>0.8</v>
      </c>
      <c r="AI82" s="1577">
        <v>0.8</v>
      </c>
      <c r="AJ82" s="1577">
        <v>1</v>
      </c>
      <c r="AK82" s="1577"/>
      <c r="AL82" s="1577"/>
      <c r="AM82" s="1577"/>
      <c r="AN82" s="1577"/>
      <c r="AO82" s="1577"/>
      <c r="AP82" s="1514">
        <v>0</v>
      </c>
      <c r="AQ82" s="1579">
        <f>2842242.34/10000000</f>
        <v>0.28422423399999996</v>
      </c>
      <c r="AR82" s="1579">
        <f>4707120/10000000+0.830016433</f>
        <v>1.3007284330000002</v>
      </c>
      <c r="AS82" s="1579">
        <v>0</v>
      </c>
      <c r="AT82" s="1509">
        <f t="shared" si="40"/>
        <v>1.584952667</v>
      </c>
      <c r="AU82" s="1587">
        <v>0</v>
      </c>
      <c r="AV82" s="1587">
        <v>0</v>
      </c>
      <c r="AW82" s="1579">
        <v>0</v>
      </c>
      <c r="AX82" s="1579">
        <v>1</v>
      </c>
      <c r="AY82" s="1565"/>
      <c r="AZ82" s="1565"/>
      <c r="BA82" s="1565"/>
      <c r="BB82" s="1565"/>
      <c r="BC82" s="1380"/>
      <c r="BD82" s="1383" t="s">
        <v>1713</v>
      </c>
      <c r="BE82" s="1581" t="s">
        <v>1569</v>
      </c>
      <c r="BF82" s="1582" t="e">
        <f>IF(C82="Scheme",IF(SUM(AQ82:AW82)&gt;0,IF(H82&lt;#REF!,H82-#REF!,0),0),0)</f>
        <v>#REF!</v>
      </c>
      <c r="BH82" s="1385"/>
    </row>
    <row r="83" spans="1:60" s="1370" customFormat="1" ht="43.5" outlineLevel="1" x14ac:dyDescent="0.25">
      <c r="A83" s="1543" t="s">
        <v>1714</v>
      </c>
      <c r="B83" s="1544" t="s">
        <v>1715</v>
      </c>
      <c r="C83" s="1543" t="s">
        <v>931</v>
      </c>
      <c r="D83" s="1543" t="s">
        <v>1716</v>
      </c>
      <c r="E83" s="1545">
        <v>43484</v>
      </c>
      <c r="F83" s="1546">
        <v>43703</v>
      </c>
      <c r="G83" s="1330">
        <f>SUM(G84:G84)</f>
        <v>2.12</v>
      </c>
      <c r="H83" s="1330">
        <f>SUM(H84:H84)</f>
        <v>2.12</v>
      </c>
      <c r="I83" s="1365"/>
      <c r="J83" s="1365"/>
      <c r="K83" s="1366">
        <f t="shared" si="41"/>
        <v>43703</v>
      </c>
      <c r="L83" s="1367"/>
      <c r="M83" s="1367"/>
      <c r="N83" s="1368"/>
      <c r="O83" s="1365"/>
      <c r="P83" s="1547"/>
      <c r="Q83" s="1548"/>
      <c r="R83" s="1548"/>
      <c r="S83" s="1547"/>
      <c r="T83" s="1547">
        <f t="shared" si="38"/>
        <v>0</v>
      </c>
      <c r="U83" s="1555"/>
      <c r="V83" s="1555"/>
      <c r="W83" s="1555"/>
      <c r="X83" s="1555"/>
      <c r="Y83" s="1555"/>
      <c r="Z83" s="1555"/>
      <c r="AA83" s="1555"/>
      <c r="AB83" s="1555"/>
      <c r="AC83" s="1550"/>
      <c r="AD83" s="1550"/>
      <c r="AE83" s="1550"/>
      <c r="AF83" s="1550"/>
      <c r="AG83" s="1550">
        <f t="shared" si="39"/>
        <v>0</v>
      </c>
      <c r="AH83" s="1556"/>
      <c r="AI83" s="1556"/>
      <c r="AJ83" s="1556"/>
      <c r="AK83" s="1556"/>
      <c r="AL83" s="1556"/>
      <c r="AM83" s="1556"/>
      <c r="AN83" s="1556"/>
      <c r="AO83" s="1556"/>
      <c r="AP83" s="1547"/>
      <c r="AQ83" s="1547"/>
      <c r="AR83" s="1547"/>
      <c r="AS83" s="1547"/>
      <c r="AT83" s="1547">
        <f t="shared" si="40"/>
        <v>0</v>
      </c>
      <c r="AU83" s="1555"/>
      <c r="AV83" s="1555"/>
      <c r="AW83" s="1547"/>
      <c r="AX83" s="1547"/>
      <c r="AY83" s="1547"/>
      <c r="AZ83" s="1547"/>
      <c r="BA83" s="1547"/>
      <c r="BB83" s="1547"/>
      <c r="BC83" s="1547"/>
      <c r="BD83" s="1547"/>
      <c r="BE83" s="1553" t="s">
        <v>936</v>
      </c>
      <c r="BF83" s="1554">
        <f>IF(C83="Scheme",IF(SUM(AQ83:AW83)&gt;0,IF(H83&lt;#REF!,H83-#REF!,0),0),0)</f>
        <v>0</v>
      </c>
      <c r="BH83" s="1371"/>
    </row>
    <row r="84" spans="1:60" s="1370" customFormat="1" ht="77.5" outlineLevel="1" x14ac:dyDescent="0.25">
      <c r="A84" s="1557" t="s">
        <v>1717</v>
      </c>
      <c r="B84" s="1558" t="s">
        <v>1718</v>
      </c>
      <c r="C84" s="1559" t="s">
        <v>938</v>
      </c>
      <c r="D84" s="1557" t="str">
        <f>D83</f>
        <v>MERC/CAPEX/2019-2020/643</v>
      </c>
      <c r="E84" s="1560">
        <f>E83</f>
        <v>43484</v>
      </c>
      <c r="F84" s="1366">
        <f>IF(F83=0,"-",F83)</f>
        <v>43703</v>
      </c>
      <c r="G84" s="1372">
        <v>2.12</v>
      </c>
      <c r="H84" s="1372">
        <v>2.12</v>
      </c>
      <c r="I84" s="1365"/>
      <c r="J84" s="1365"/>
      <c r="K84" s="1366">
        <f t="shared" si="41"/>
        <v>43703</v>
      </c>
      <c r="L84" s="1373">
        <v>43586</v>
      </c>
      <c r="M84" s="1373">
        <v>44433</v>
      </c>
      <c r="N84" s="1374">
        <v>44561</v>
      </c>
      <c r="O84" s="1377" t="s">
        <v>1719</v>
      </c>
      <c r="P84" s="1561">
        <v>0</v>
      </c>
      <c r="Q84" s="1562">
        <f t="shared" ref="Q84" si="47">AQ84</f>
        <v>0</v>
      </c>
      <c r="R84" s="1562">
        <f>21630823/10000000</f>
        <v>2.1630823000000001</v>
      </c>
      <c r="S84" s="1563">
        <f>AS84-(21630823/10000000)</f>
        <v>0.29492463000000013</v>
      </c>
      <c r="T84" s="1547">
        <f t="shared" si="38"/>
        <v>2.4580069300000003</v>
      </c>
      <c r="U84" s="1564"/>
      <c r="V84" s="1564"/>
      <c r="W84" s="1564"/>
      <c r="X84" s="1564"/>
      <c r="Y84" s="1564"/>
      <c r="Z84" s="1564"/>
      <c r="AA84" s="1564"/>
      <c r="AB84" s="1564"/>
      <c r="AC84" s="1550">
        <v>0.2</v>
      </c>
      <c r="AD84" s="1550">
        <v>0.4</v>
      </c>
      <c r="AE84" s="1550">
        <v>0.8</v>
      </c>
      <c r="AF84" s="1550">
        <v>1</v>
      </c>
      <c r="AG84" s="1550">
        <f t="shared" si="39"/>
        <v>2.4000000000000004</v>
      </c>
      <c r="AH84" s="1556"/>
      <c r="AI84" s="1556"/>
      <c r="AJ84" s="1556"/>
      <c r="AK84" s="1556"/>
      <c r="AL84" s="1556"/>
      <c r="AM84" s="1556"/>
      <c r="AN84" s="1556"/>
      <c r="AO84" s="1556"/>
      <c r="AP84" s="1561">
        <v>0</v>
      </c>
      <c r="AQ84" s="1565">
        <v>0</v>
      </c>
      <c r="AR84" s="1565">
        <v>0</v>
      </c>
      <c r="AS84" s="1565">
        <f>24580069.3/10000000</f>
        <v>2.4580069300000003</v>
      </c>
      <c r="AT84" s="1547">
        <f t="shared" si="40"/>
        <v>2.4580069300000003</v>
      </c>
      <c r="AU84" s="1566"/>
      <c r="AV84" s="1566"/>
      <c r="AW84" s="1565"/>
      <c r="AX84" s="1565"/>
      <c r="AY84" s="1565"/>
      <c r="AZ84" s="1565"/>
      <c r="BA84" s="1565"/>
      <c r="BB84" s="1565"/>
      <c r="BC84" s="1365"/>
      <c r="BD84" s="1365" t="s">
        <v>2087</v>
      </c>
      <c r="BE84" s="1614" t="s">
        <v>941</v>
      </c>
      <c r="BF84" s="1554" t="e">
        <f>IF(C84="Scheme",IF(SUM(AQ84:AW84)&gt;0,IF(H84&lt;#REF!,H84-#REF!,0),0),0)</f>
        <v>#REF!</v>
      </c>
      <c r="BH84" s="1371"/>
    </row>
    <row r="85" spans="1:60" s="1384" customFormat="1" ht="46.5" outlineLevel="1" x14ac:dyDescent="0.25">
      <c r="A85" s="1615" t="s">
        <v>1720</v>
      </c>
      <c r="B85" s="1616" t="s">
        <v>1721</v>
      </c>
      <c r="C85" s="1615" t="s">
        <v>931</v>
      </c>
      <c r="D85" s="1615" t="s">
        <v>1722</v>
      </c>
      <c r="E85" s="1617">
        <v>43343</v>
      </c>
      <c r="F85" s="1617">
        <v>44604</v>
      </c>
      <c r="G85" s="1401">
        <v>113.91</v>
      </c>
      <c r="H85" s="1401">
        <v>57</v>
      </c>
      <c r="I85" s="1402"/>
      <c r="J85" s="1402"/>
      <c r="K85" s="1403"/>
      <c r="L85" s="1404"/>
      <c r="M85" s="1404"/>
      <c r="N85" s="1404"/>
      <c r="O85" s="1402"/>
      <c r="P85" s="1618"/>
      <c r="Q85" s="1618"/>
      <c r="R85" s="1618"/>
      <c r="S85" s="1618"/>
      <c r="T85" s="1509">
        <f t="shared" si="38"/>
        <v>0</v>
      </c>
      <c r="U85" s="1619"/>
      <c r="V85" s="1619"/>
      <c r="W85" s="1619"/>
      <c r="X85" s="1619"/>
      <c r="Y85" s="1619"/>
      <c r="Z85" s="1619"/>
      <c r="AA85" s="1619"/>
      <c r="AB85" s="1619"/>
      <c r="AC85" s="1620"/>
      <c r="AD85" s="1620"/>
      <c r="AE85" s="1620"/>
      <c r="AF85" s="1620"/>
      <c r="AG85" s="1576">
        <f t="shared" si="39"/>
        <v>0</v>
      </c>
      <c r="AH85" s="1620"/>
      <c r="AI85" s="1620"/>
      <c r="AJ85" s="1620"/>
      <c r="AK85" s="1620"/>
      <c r="AL85" s="1620"/>
      <c r="AM85" s="1620"/>
      <c r="AN85" s="1620"/>
      <c r="AO85" s="1620"/>
      <c r="AP85" s="1618"/>
      <c r="AQ85" s="1618"/>
      <c r="AR85" s="1618"/>
      <c r="AS85" s="1618"/>
      <c r="AT85" s="1509">
        <f t="shared" si="40"/>
        <v>0</v>
      </c>
      <c r="AU85" s="1618"/>
      <c r="AV85" s="1618"/>
      <c r="AW85" s="1618"/>
      <c r="AX85" s="1618"/>
      <c r="AY85" s="1618"/>
      <c r="AZ85" s="1618"/>
      <c r="BA85" s="1618"/>
      <c r="BB85" s="1618"/>
      <c r="BC85" s="1402"/>
      <c r="BD85" s="1402"/>
      <c r="BE85" s="1621"/>
      <c r="BF85" s="1622"/>
      <c r="BH85" s="1385"/>
    </row>
    <row r="86" spans="1:60" s="1384" customFormat="1" ht="46.5" outlineLevel="1" x14ac:dyDescent="0.25">
      <c r="A86" s="1623" t="s">
        <v>1723</v>
      </c>
      <c r="B86" s="1624" t="s">
        <v>1721</v>
      </c>
      <c r="C86" s="1625" t="s">
        <v>938</v>
      </c>
      <c r="D86" s="1625" t="s">
        <v>1722</v>
      </c>
      <c r="E86" s="1626">
        <v>43343</v>
      </c>
      <c r="F86" s="1626">
        <v>44604</v>
      </c>
      <c r="G86" s="1405">
        <v>108.48</v>
      </c>
      <c r="H86" s="1405">
        <v>54.24</v>
      </c>
      <c r="I86" s="1402"/>
      <c r="J86" s="1402"/>
      <c r="K86" s="1403"/>
      <c r="L86" s="1404"/>
      <c r="M86" s="1404"/>
      <c r="N86" s="1404"/>
      <c r="O86" s="1402"/>
      <c r="P86" s="1618"/>
      <c r="Q86" s="1618"/>
      <c r="R86" s="1618"/>
      <c r="S86" s="1618"/>
      <c r="T86" s="1509">
        <f t="shared" si="38"/>
        <v>0</v>
      </c>
      <c r="U86" s="1619"/>
      <c r="V86" s="1619"/>
      <c r="W86" s="1619"/>
      <c r="X86" s="1619"/>
      <c r="Y86" s="1619"/>
      <c r="Z86" s="1619"/>
      <c r="AA86" s="1619"/>
      <c r="AB86" s="1619"/>
      <c r="AC86" s="1620"/>
      <c r="AD86" s="1620"/>
      <c r="AE86" s="1620"/>
      <c r="AF86" s="1620"/>
      <c r="AG86" s="1576">
        <f t="shared" si="39"/>
        <v>0</v>
      </c>
      <c r="AH86" s="1620"/>
      <c r="AI86" s="1620"/>
      <c r="AJ86" s="1620"/>
      <c r="AK86" s="1620"/>
      <c r="AL86" s="1620"/>
      <c r="AM86" s="1620"/>
      <c r="AN86" s="1620"/>
      <c r="AO86" s="1620"/>
      <c r="AP86" s="1618"/>
      <c r="AQ86" s="1618"/>
      <c r="AR86" s="1618"/>
      <c r="AS86" s="1618"/>
      <c r="AT86" s="1509">
        <f t="shared" si="40"/>
        <v>0</v>
      </c>
      <c r="AU86" s="1618"/>
      <c r="AV86" s="1618"/>
      <c r="AW86" s="1618"/>
      <c r="AX86" s="1618"/>
      <c r="AY86" s="1618"/>
      <c r="AZ86" s="1618"/>
      <c r="BA86" s="1618"/>
      <c r="BB86" s="1618"/>
      <c r="BC86" s="1402"/>
      <c r="BD86" s="1402"/>
      <c r="BE86" s="1621"/>
      <c r="BF86" s="1622"/>
      <c r="BH86" s="1385"/>
    </row>
    <row r="87" spans="1:60" s="1384" customFormat="1" ht="15.5" outlineLevel="1" x14ac:dyDescent="0.25">
      <c r="A87" s="1625"/>
      <c r="B87" s="1624" t="s">
        <v>413</v>
      </c>
      <c r="C87" s="1625" t="s">
        <v>413</v>
      </c>
      <c r="D87" s="1625" t="s">
        <v>1722</v>
      </c>
      <c r="E87" s="1626">
        <v>43343</v>
      </c>
      <c r="F87" s="1626">
        <v>44604</v>
      </c>
      <c r="G87" s="1405">
        <v>5.43</v>
      </c>
      <c r="H87" s="1405">
        <v>2.76</v>
      </c>
      <c r="I87" s="1402"/>
      <c r="J87" s="1402"/>
      <c r="K87" s="1403"/>
      <c r="L87" s="1404"/>
      <c r="M87" s="1404"/>
      <c r="N87" s="1404"/>
      <c r="O87" s="1402"/>
      <c r="P87" s="1618"/>
      <c r="Q87" s="1618"/>
      <c r="R87" s="1618"/>
      <c r="S87" s="1618"/>
      <c r="T87" s="1509">
        <f t="shared" si="38"/>
        <v>0</v>
      </c>
      <c r="U87" s="1619"/>
      <c r="V87" s="1619"/>
      <c r="W87" s="1619"/>
      <c r="X87" s="1619"/>
      <c r="Y87" s="1619"/>
      <c r="Z87" s="1619"/>
      <c r="AA87" s="1619"/>
      <c r="AB87" s="1619"/>
      <c r="AC87" s="1620"/>
      <c r="AD87" s="1620"/>
      <c r="AE87" s="1620"/>
      <c r="AF87" s="1620"/>
      <c r="AG87" s="1576">
        <f t="shared" si="39"/>
        <v>0</v>
      </c>
      <c r="AH87" s="1620"/>
      <c r="AI87" s="1620"/>
      <c r="AJ87" s="1620"/>
      <c r="AK87" s="1620"/>
      <c r="AL87" s="1620"/>
      <c r="AM87" s="1620"/>
      <c r="AN87" s="1620"/>
      <c r="AO87" s="1620"/>
      <c r="AP87" s="1618"/>
      <c r="AQ87" s="1618"/>
      <c r="AR87" s="1618"/>
      <c r="AS87" s="1618"/>
      <c r="AT87" s="1509">
        <f t="shared" si="40"/>
        <v>0</v>
      </c>
      <c r="AU87" s="1618"/>
      <c r="AV87" s="1618"/>
      <c r="AW87" s="1618"/>
      <c r="AX87" s="1618"/>
      <c r="AY87" s="1618"/>
      <c r="AZ87" s="1618"/>
      <c r="BA87" s="1618"/>
      <c r="BB87" s="1618"/>
      <c r="BC87" s="1402"/>
      <c r="BD87" s="1402"/>
      <c r="BE87" s="1621"/>
      <c r="BF87" s="1622"/>
      <c r="BH87" s="1385"/>
    </row>
    <row r="88" spans="1:60" s="1384" customFormat="1" ht="46.5" outlineLevel="1" x14ac:dyDescent="0.25">
      <c r="A88" s="1615" t="s">
        <v>1724</v>
      </c>
      <c r="B88" s="1616" t="s">
        <v>1725</v>
      </c>
      <c r="C88" s="1615" t="s">
        <v>931</v>
      </c>
      <c r="D88" s="1615" t="s">
        <v>1726</v>
      </c>
      <c r="E88" s="1617">
        <v>45013</v>
      </c>
      <c r="F88" s="1617">
        <v>45232</v>
      </c>
      <c r="G88" s="1401">
        <v>69.308999999999997</v>
      </c>
      <c r="H88" s="1401">
        <v>69.308999999999997</v>
      </c>
      <c r="I88" s="1402"/>
      <c r="J88" s="1402"/>
      <c r="K88" s="1403"/>
      <c r="L88" s="1404"/>
      <c r="M88" s="1404"/>
      <c r="N88" s="1404"/>
      <c r="O88" s="1402"/>
      <c r="P88" s="1618"/>
      <c r="Q88" s="1618"/>
      <c r="R88" s="1618"/>
      <c r="S88" s="1618"/>
      <c r="T88" s="1509">
        <f t="shared" si="38"/>
        <v>0</v>
      </c>
      <c r="U88" s="1619"/>
      <c r="V88" s="1619"/>
      <c r="W88" s="1619"/>
      <c r="X88" s="1619"/>
      <c r="Y88" s="1619"/>
      <c r="Z88" s="1619"/>
      <c r="AA88" s="1619"/>
      <c r="AB88" s="1619"/>
      <c r="AC88" s="1620"/>
      <c r="AD88" s="1620"/>
      <c r="AE88" s="1620"/>
      <c r="AF88" s="1620"/>
      <c r="AG88" s="1576">
        <f t="shared" si="39"/>
        <v>0</v>
      </c>
      <c r="AH88" s="1620"/>
      <c r="AI88" s="1620"/>
      <c r="AJ88" s="1620"/>
      <c r="AK88" s="1620"/>
      <c r="AL88" s="1620"/>
      <c r="AM88" s="1620"/>
      <c r="AN88" s="1620"/>
      <c r="AO88" s="1620"/>
      <c r="AP88" s="1618"/>
      <c r="AQ88" s="1618"/>
      <c r="AR88" s="1618"/>
      <c r="AS88" s="1618"/>
      <c r="AT88" s="1509">
        <f t="shared" si="40"/>
        <v>0</v>
      </c>
      <c r="AU88" s="1618"/>
      <c r="AV88" s="1618"/>
      <c r="AW88" s="1618"/>
      <c r="AX88" s="1618"/>
      <c r="AY88" s="1618"/>
      <c r="AZ88" s="1618"/>
      <c r="BA88" s="1618"/>
      <c r="BB88" s="1618"/>
      <c r="BD88" s="1402"/>
      <c r="BE88" s="1621"/>
      <c r="BF88" s="1622"/>
      <c r="BH88" s="1385"/>
    </row>
    <row r="89" spans="1:60" s="1384" customFormat="1" ht="46.5" outlineLevel="1" x14ac:dyDescent="0.25">
      <c r="A89" s="1623" t="s">
        <v>1727</v>
      </c>
      <c r="B89" s="1624" t="s">
        <v>1725</v>
      </c>
      <c r="C89" s="1625" t="s">
        <v>938</v>
      </c>
      <c r="D89" s="1625" t="s">
        <v>1726</v>
      </c>
      <c r="E89" s="1626">
        <v>45013</v>
      </c>
      <c r="F89" s="1626">
        <v>45232</v>
      </c>
      <c r="G89" s="1405">
        <v>66.009</v>
      </c>
      <c r="H89" s="1405">
        <v>66.009</v>
      </c>
      <c r="I89" s="1402"/>
      <c r="J89" s="1402"/>
      <c r="K89" s="1403"/>
      <c r="L89" s="1404"/>
      <c r="M89" s="1404"/>
      <c r="N89" s="1404"/>
      <c r="O89" s="1402"/>
      <c r="P89" s="1618"/>
      <c r="Q89" s="1618"/>
      <c r="R89" s="1618"/>
      <c r="S89" s="1618"/>
      <c r="T89" s="1509">
        <f t="shared" si="38"/>
        <v>0</v>
      </c>
      <c r="U89" s="1619"/>
      <c r="V89" s="1619"/>
      <c r="W89" s="1619">
        <v>4.46</v>
      </c>
      <c r="X89" s="1619"/>
      <c r="Y89" s="1619"/>
      <c r="Z89" s="1619"/>
      <c r="AA89" s="1619"/>
      <c r="AB89" s="1619"/>
      <c r="AC89" s="1620"/>
      <c r="AD89" s="1620"/>
      <c r="AE89" s="1620"/>
      <c r="AF89" s="1620"/>
      <c r="AG89" s="1576">
        <f t="shared" si="39"/>
        <v>0</v>
      </c>
      <c r="AH89" s="1620"/>
      <c r="AI89" s="1620"/>
      <c r="AJ89" s="1620">
        <v>0.3</v>
      </c>
      <c r="AK89" s="1620"/>
      <c r="AL89" s="1620"/>
      <c r="AM89" s="1620"/>
      <c r="AN89" s="1620"/>
      <c r="AO89" s="1620"/>
      <c r="AP89" s="1618"/>
      <c r="AQ89" s="1618"/>
      <c r="AR89" s="1618"/>
      <c r="AS89" s="1618"/>
      <c r="AT89" s="1509">
        <f t="shared" si="40"/>
        <v>0</v>
      </c>
      <c r="AU89" s="1627"/>
      <c r="AV89" s="1627"/>
      <c r="AW89" s="1335">
        <v>4.46</v>
      </c>
      <c r="AX89" s="1628"/>
      <c r="AY89" s="1628"/>
      <c r="AZ89" s="1628"/>
      <c r="BA89" s="1628"/>
      <c r="BB89" s="1628"/>
      <c r="BC89" s="1402"/>
      <c r="BD89" s="1402" t="s">
        <v>2088</v>
      </c>
      <c r="BE89" s="1610" t="s">
        <v>939</v>
      </c>
      <c r="BF89" s="1622"/>
      <c r="BH89" s="1385"/>
    </row>
    <row r="90" spans="1:60" s="1384" customFormat="1" ht="15.5" outlineLevel="1" x14ac:dyDescent="0.25">
      <c r="A90" s="1625"/>
      <c r="B90" s="1624" t="s">
        <v>413</v>
      </c>
      <c r="C90" s="1625" t="s">
        <v>413</v>
      </c>
      <c r="D90" s="1625" t="s">
        <v>1726</v>
      </c>
      <c r="E90" s="1626">
        <v>45013</v>
      </c>
      <c r="F90" s="1626">
        <v>45232</v>
      </c>
      <c r="G90" s="1405">
        <v>3.3</v>
      </c>
      <c r="H90" s="1405">
        <v>3.3</v>
      </c>
      <c r="I90" s="1402"/>
      <c r="J90" s="1402"/>
      <c r="K90" s="1403"/>
      <c r="L90" s="1404"/>
      <c r="M90" s="1404"/>
      <c r="N90" s="1404"/>
      <c r="O90" s="1402"/>
      <c r="P90" s="1618"/>
      <c r="Q90" s="1618"/>
      <c r="R90" s="1618"/>
      <c r="S90" s="1618"/>
      <c r="T90" s="1509">
        <f t="shared" si="38"/>
        <v>0</v>
      </c>
      <c r="U90" s="1619"/>
      <c r="V90" s="1619"/>
      <c r="W90" s="1619"/>
      <c r="X90" s="1619"/>
      <c r="Y90" s="1619"/>
      <c r="Z90" s="1619"/>
      <c r="AA90" s="1619"/>
      <c r="AB90" s="1619"/>
      <c r="AC90" s="1620"/>
      <c r="AD90" s="1620"/>
      <c r="AE90" s="1620"/>
      <c r="AF90" s="1620"/>
      <c r="AG90" s="1576">
        <f t="shared" si="39"/>
        <v>0</v>
      </c>
      <c r="AH90" s="1577"/>
      <c r="AI90" s="1577"/>
      <c r="AJ90" s="1577"/>
      <c r="AK90" s="1577"/>
      <c r="AL90" s="1577"/>
      <c r="AM90" s="1577"/>
      <c r="AN90" s="1577"/>
      <c r="AO90" s="1577"/>
      <c r="AP90" s="1618"/>
      <c r="AQ90" s="1618"/>
      <c r="AR90" s="1618"/>
      <c r="AS90" s="1618"/>
      <c r="AT90" s="1509">
        <f t="shared" si="40"/>
        <v>0</v>
      </c>
      <c r="AU90" s="1587"/>
      <c r="AV90" s="1587"/>
      <c r="AW90" s="1579"/>
      <c r="AX90" s="1579"/>
      <c r="AY90" s="1579"/>
      <c r="AZ90" s="1579"/>
      <c r="BA90" s="1579"/>
      <c r="BB90" s="1579"/>
      <c r="BC90" s="1507"/>
      <c r="BD90" s="1507"/>
      <c r="BE90" s="1581"/>
      <c r="BF90" s="1622"/>
      <c r="BH90" s="1385"/>
    </row>
    <row r="91" spans="1:60" s="1384" customFormat="1" ht="29" outlineLevel="1" x14ac:dyDescent="0.25">
      <c r="A91" s="1506">
        <v>23</v>
      </c>
      <c r="B91" s="1507" t="s">
        <v>1728</v>
      </c>
      <c r="C91" s="1506" t="s">
        <v>931</v>
      </c>
      <c r="D91" s="1506" t="s">
        <v>1729</v>
      </c>
      <c r="E91" s="1583">
        <v>45322</v>
      </c>
      <c r="F91" s="1378"/>
      <c r="G91" s="1386">
        <f>SUM(G92:G96)</f>
        <v>27.599999999999998</v>
      </c>
      <c r="H91" s="1406"/>
      <c r="I91" s="1380"/>
      <c r="J91" s="1380"/>
      <c r="K91" s="1407"/>
      <c r="L91" s="1387"/>
      <c r="M91" s="1387"/>
      <c r="N91" s="1388"/>
      <c r="O91" s="1380"/>
      <c r="P91" s="1514"/>
      <c r="Q91" s="1573"/>
      <c r="R91" s="1573"/>
      <c r="S91" s="1574"/>
      <c r="T91" s="1509">
        <f t="shared" si="38"/>
        <v>0</v>
      </c>
      <c r="U91" s="1575"/>
      <c r="V91" s="1575"/>
      <c r="W91" s="1575"/>
      <c r="X91" s="1575"/>
      <c r="Y91" s="1575"/>
      <c r="Z91" s="1575"/>
      <c r="AA91" s="1575"/>
      <c r="AB91" s="1575"/>
      <c r="AC91" s="1576"/>
      <c r="AD91" s="1576"/>
      <c r="AE91" s="1576"/>
      <c r="AF91" s="1576"/>
      <c r="AG91" s="1576">
        <f t="shared" si="39"/>
        <v>0</v>
      </c>
      <c r="AH91" s="1577"/>
      <c r="AI91" s="1577"/>
      <c r="AJ91" s="1577"/>
      <c r="AK91" s="1577"/>
      <c r="AL91" s="1577"/>
      <c r="AM91" s="1577"/>
      <c r="AN91" s="1577"/>
      <c r="AO91" s="1577"/>
      <c r="AP91" s="1514"/>
      <c r="AQ91" s="1579"/>
      <c r="AR91" s="1579"/>
      <c r="AS91" s="1579"/>
      <c r="AT91" s="1509">
        <f t="shared" si="40"/>
        <v>0</v>
      </c>
      <c r="AU91" s="1629"/>
      <c r="AV91" s="1587"/>
      <c r="AW91" s="1513"/>
      <c r="AX91" s="1513"/>
      <c r="AY91" s="1513"/>
      <c r="AZ91" s="1513"/>
      <c r="BA91" s="1513"/>
      <c r="BB91" s="1513"/>
      <c r="BC91" s="1383"/>
      <c r="BD91" s="1383"/>
      <c r="BE91" s="1581"/>
      <c r="BF91" s="1582"/>
    </row>
    <row r="92" spans="1:60" s="1384" customFormat="1" ht="232" outlineLevel="1" x14ac:dyDescent="0.25">
      <c r="A92" s="1511">
        <v>23.1</v>
      </c>
      <c r="B92" s="1512" t="s">
        <v>1730</v>
      </c>
      <c r="C92" s="1600" t="s">
        <v>938</v>
      </c>
      <c r="D92" s="1511" t="str">
        <f>D91</f>
        <v>Yet to be approve</v>
      </c>
      <c r="E92" s="1571">
        <f>E91</f>
        <v>45322</v>
      </c>
      <c r="F92" s="1378"/>
      <c r="G92" s="1406">
        <v>12.96</v>
      </c>
      <c r="H92" s="1406"/>
      <c r="I92" s="1380"/>
      <c r="J92" s="1380"/>
      <c r="K92" s="1407"/>
      <c r="L92" s="1387"/>
      <c r="M92" s="1387"/>
      <c r="N92" s="1388"/>
      <c r="O92" s="1630" t="s">
        <v>1731</v>
      </c>
      <c r="P92" s="1514"/>
      <c r="Q92" s="1514"/>
      <c r="R92" s="1514"/>
      <c r="S92" s="1514"/>
      <c r="T92" s="1509">
        <f t="shared" si="38"/>
        <v>0</v>
      </c>
      <c r="U92" s="1619"/>
      <c r="V92" s="1619">
        <v>0</v>
      </c>
      <c r="W92" s="1408">
        <v>12.96</v>
      </c>
      <c r="X92" s="1408">
        <v>0</v>
      </c>
      <c r="Y92" s="1408">
        <v>0</v>
      </c>
      <c r="Z92" s="1408">
        <v>0</v>
      </c>
      <c r="AA92" s="1408">
        <v>0</v>
      </c>
      <c r="AB92" s="1408">
        <v>0</v>
      </c>
      <c r="AC92" s="1576"/>
      <c r="AD92" s="1576"/>
      <c r="AE92" s="1576"/>
      <c r="AF92" s="1576"/>
      <c r="AG92" s="1576">
        <f t="shared" si="39"/>
        <v>0</v>
      </c>
      <c r="AH92" s="1631"/>
      <c r="AI92" s="1631"/>
      <c r="AJ92" s="1577">
        <v>1</v>
      </c>
      <c r="AK92" s="1577"/>
      <c r="AL92" s="1577"/>
      <c r="AM92" s="1577"/>
      <c r="AN92" s="1577"/>
      <c r="AO92" s="1577"/>
      <c r="AP92" s="1514"/>
      <c r="AQ92" s="1514"/>
      <c r="AR92" s="1514"/>
      <c r="AS92" s="1514"/>
      <c r="AT92" s="1509">
        <f t="shared" si="40"/>
        <v>0</v>
      </c>
      <c r="AU92" s="1627"/>
      <c r="AV92" s="1627"/>
      <c r="AW92" s="1335">
        <v>12.96</v>
      </c>
      <c r="AX92" s="1628">
        <v>0</v>
      </c>
      <c r="AY92" s="1628">
        <v>0</v>
      </c>
      <c r="AZ92" s="1628">
        <v>0</v>
      </c>
      <c r="BA92" s="1628">
        <v>0</v>
      </c>
      <c r="BB92" s="1628">
        <v>0</v>
      </c>
      <c r="BC92" s="1632"/>
      <c r="BD92" s="1632" t="s">
        <v>2089</v>
      </c>
      <c r="BE92" s="1581" t="s">
        <v>939</v>
      </c>
      <c r="BF92" s="1582"/>
    </row>
    <row r="93" spans="1:60" s="1384" customFormat="1" ht="203" outlineLevel="1" x14ac:dyDescent="0.25">
      <c r="A93" s="1511">
        <v>23.2</v>
      </c>
      <c r="B93" s="1512" t="s">
        <v>1732</v>
      </c>
      <c r="C93" s="1600" t="s">
        <v>938</v>
      </c>
      <c r="D93" s="1511" t="str">
        <f t="shared" ref="D93:E96" si="48">D92</f>
        <v>Yet to be approve</v>
      </c>
      <c r="E93" s="1571">
        <f t="shared" si="48"/>
        <v>45322</v>
      </c>
      <c r="F93" s="1378"/>
      <c r="G93" s="1406">
        <v>3.52</v>
      </c>
      <c r="H93" s="1406"/>
      <c r="I93" s="1380"/>
      <c r="J93" s="1380"/>
      <c r="K93" s="1407"/>
      <c r="L93" s="1387"/>
      <c r="M93" s="1387"/>
      <c r="N93" s="1388"/>
      <c r="O93" s="1630" t="s">
        <v>1733</v>
      </c>
      <c r="P93" s="1514"/>
      <c r="Q93" s="1514"/>
      <c r="R93" s="1514"/>
      <c r="S93" s="1514"/>
      <c r="T93" s="1509">
        <f t="shared" si="38"/>
        <v>0</v>
      </c>
      <c r="U93" s="1619"/>
      <c r="V93" s="1619"/>
      <c r="W93" s="1408">
        <v>3.52</v>
      </c>
      <c r="X93" s="1408">
        <v>0</v>
      </c>
      <c r="Y93" s="1408">
        <v>0</v>
      </c>
      <c r="Z93" s="1408">
        <v>0</v>
      </c>
      <c r="AA93" s="1408">
        <v>0</v>
      </c>
      <c r="AB93" s="1408">
        <v>0</v>
      </c>
      <c r="AC93" s="1576"/>
      <c r="AD93" s="1576"/>
      <c r="AE93" s="1576"/>
      <c r="AF93" s="1576"/>
      <c r="AG93" s="1576">
        <f t="shared" si="39"/>
        <v>0</v>
      </c>
      <c r="AH93" s="1631"/>
      <c r="AI93" s="1631"/>
      <c r="AJ93" s="1577">
        <v>1</v>
      </c>
      <c r="AK93" s="1577"/>
      <c r="AL93" s="1577"/>
      <c r="AM93" s="1577"/>
      <c r="AN93" s="1577"/>
      <c r="AO93" s="1577"/>
      <c r="AP93" s="1514"/>
      <c r="AQ93" s="1514"/>
      <c r="AR93" s="1514"/>
      <c r="AS93" s="1514"/>
      <c r="AT93" s="1509">
        <f t="shared" si="40"/>
        <v>0</v>
      </c>
      <c r="AU93" s="1627"/>
      <c r="AV93" s="1627"/>
      <c r="AW93" s="1335">
        <v>3.52</v>
      </c>
      <c r="AX93" s="1628">
        <v>0</v>
      </c>
      <c r="AY93" s="1628">
        <v>0</v>
      </c>
      <c r="AZ93" s="1628">
        <v>0</v>
      </c>
      <c r="BA93" s="1628">
        <v>0</v>
      </c>
      <c r="BB93" s="1628">
        <v>0</v>
      </c>
      <c r="BC93" s="1633"/>
      <c r="BD93" s="1633" t="s">
        <v>2090</v>
      </c>
      <c r="BE93" s="1581" t="s">
        <v>939</v>
      </c>
      <c r="BF93" s="1582"/>
    </row>
    <row r="94" spans="1:60" s="1384" customFormat="1" ht="217.5" outlineLevel="1" x14ac:dyDescent="0.25">
      <c r="A94" s="1511">
        <v>23.3</v>
      </c>
      <c r="B94" s="1512" t="s">
        <v>1734</v>
      </c>
      <c r="C94" s="1600" t="s">
        <v>938</v>
      </c>
      <c r="D94" s="1511" t="str">
        <f t="shared" si="48"/>
        <v>Yet to be approve</v>
      </c>
      <c r="E94" s="1571">
        <f t="shared" si="48"/>
        <v>45322</v>
      </c>
      <c r="F94" s="1378"/>
      <c r="G94" s="1406">
        <v>3.54</v>
      </c>
      <c r="H94" s="1406"/>
      <c r="I94" s="1380"/>
      <c r="J94" s="1380"/>
      <c r="K94" s="1407"/>
      <c r="L94" s="1387"/>
      <c r="M94" s="1387"/>
      <c r="N94" s="1388"/>
      <c r="O94" s="1630" t="s">
        <v>1735</v>
      </c>
      <c r="P94" s="1514"/>
      <c r="Q94" s="1514"/>
      <c r="R94" s="1514"/>
      <c r="S94" s="1514"/>
      <c r="T94" s="1509">
        <f t="shared" si="38"/>
        <v>0</v>
      </c>
      <c r="U94" s="1619"/>
      <c r="V94" s="1619"/>
      <c r="W94" s="1408">
        <v>3.54</v>
      </c>
      <c r="X94" s="1408">
        <v>0</v>
      </c>
      <c r="Y94" s="1408">
        <v>0</v>
      </c>
      <c r="Z94" s="1408">
        <v>0</v>
      </c>
      <c r="AA94" s="1408">
        <v>0</v>
      </c>
      <c r="AB94" s="1408">
        <v>0</v>
      </c>
      <c r="AC94" s="1576"/>
      <c r="AD94" s="1576"/>
      <c r="AE94" s="1576"/>
      <c r="AF94" s="1576"/>
      <c r="AG94" s="1576">
        <f t="shared" si="39"/>
        <v>0</v>
      </c>
      <c r="AH94" s="1631"/>
      <c r="AI94" s="1631"/>
      <c r="AJ94" s="1577">
        <v>1</v>
      </c>
      <c r="AK94" s="1577"/>
      <c r="AL94" s="1577"/>
      <c r="AM94" s="1577"/>
      <c r="AN94" s="1577"/>
      <c r="AO94" s="1577"/>
      <c r="AP94" s="1514"/>
      <c r="AQ94" s="1514"/>
      <c r="AR94" s="1514"/>
      <c r="AS94" s="1514"/>
      <c r="AT94" s="1509">
        <f t="shared" si="40"/>
        <v>0</v>
      </c>
      <c r="AU94" s="1627"/>
      <c r="AV94" s="1627"/>
      <c r="AW94" s="1335">
        <v>3.54</v>
      </c>
      <c r="AX94" s="1628">
        <v>0</v>
      </c>
      <c r="AY94" s="1628">
        <v>0</v>
      </c>
      <c r="AZ94" s="1628">
        <v>0</v>
      </c>
      <c r="BA94" s="1628">
        <v>0</v>
      </c>
      <c r="BB94" s="1628">
        <v>0</v>
      </c>
      <c r="BC94" s="1633"/>
      <c r="BD94" s="1633" t="s">
        <v>2091</v>
      </c>
      <c r="BE94" s="1581" t="s">
        <v>939</v>
      </c>
      <c r="BF94" s="1582"/>
    </row>
    <row r="95" spans="1:60" ht="203" outlineLevel="1" x14ac:dyDescent="0.25">
      <c r="A95" s="1634">
        <v>23.4</v>
      </c>
      <c r="B95" s="1635" t="s">
        <v>1736</v>
      </c>
      <c r="C95" s="1636" t="s">
        <v>938</v>
      </c>
      <c r="D95" s="1634" t="str">
        <f t="shared" si="48"/>
        <v>Yet to be approve</v>
      </c>
      <c r="E95" s="1637">
        <f t="shared" si="48"/>
        <v>45322</v>
      </c>
      <c r="F95" s="1360"/>
      <c r="G95" s="1335">
        <v>7</v>
      </c>
      <c r="H95" s="1335"/>
      <c r="I95" s="1361"/>
      <c r="J95" s="1361"/>
      <c r="K95" s="1359"/>
      <c r="L95" s="1362"/>
      <c r="M95" s="1362"/>
      <c r="N95" s="1363"/>
      <c r="O95" s="1638" t="s">
        <v>1737</v>
      </c>
      <c r="P95" s="1538"/>
      <c r="Q95" s="1538"/>
      <c r="R95" s="1538"/>
      <c r="S95" s="1538"/>
      <c r="T95" s="1594">
        <f t="shared" si="38"/>
        <v>0</v>
      </c>
      <c r="U95" s="1639"/>
      <c r="V95" s="1639"/>
      <c r="W95" s="1409">
        <v>7</v>
      </c>
      <c r="X95" s="1409">
        <v>0</v>
      </c>
      <c r="Y95" s="1409">
        <v>0</v>
      </c>
      <c r="Z95" s="1409">
        <v>0</v>
      </c>
      <c r="AA95" s="1409">
        <v>0</v>
      </c>
      <c r="AB95" s="1409">
        <v>0</v>
      </c>
      <c r="AC95" s="1541"/>
      <c r="AD95" s="1541"/>
      <c r="AE95" s="1541"/>
      <c r="AF95" s="1541"/>
      <c r="AG95" s="1541">
        <f t="shared" si="39"/>
        <v>0</v>
      </c>
      <c r="AH95" s="1640"/>
      <c r="AI95" s="1640"/>
      <c r="AJ95" s="1641">
        <v>1</v>
      </c>
      <c r="AK95" s="1641"/>
      <c r="AL95" s="1641"/>
      <c r="AM95" s="1641"/>
      <c r="AN95" s="1641"/>
      <c r="AO95" s="1641"/>
      <c r="AP95" s="1538"/>
      <c r="AQ95" s="1538"/>
      <c r="AR95" s="1538"/>
      <c r="AS95" s="1538"/>
      <c r="AT95" s="1594">
        <f t="shared" si="40"/>
        <v>0</v>
      </c>
      <c r="AU95" s="1627"/>
      <c r="AV95" s="1627"/>
      <c r="AW95" s="1335">
        <v>7</v>
      </c>
      <c r="AX95" s="1628">
        <v>0</v>
      </c>
      <c r="AY95" s="1628">
        <v>0</v>
      </c>
      <c r="AZ95" s="1628">
        <v>0</v>
      </c>
      <c r="BA95" s="1628">
        <v>0</v>
      </c>
      <c r="BB95" s="1628">
        <v>0</v>
      </c>
      <c r="BC95" s="1642"/>
      <c r="BD95" s="1643" t="s">
        <v>2092</v>
      </c>
      <c r="BE95" s="1553" t="s">
        <v>939</v>
      </c>
      <c r="BF95" s="1598"/>
    </row>
    <row r="96" spans="1:60" s="1384" customFormat="1" ht="15.5" outlineLevel="1" x14ac:dyDescent="0.25">
      <c r="A96" s="1511"/>
      <c r="B96" s="1515" t="s">
        <v>413</v>
      </c>
      <c r="C96" s="1600" t="s">
        <v>413</v>
      </c>
      <c r="D96" s="1511" t="str">
        <f t="shared" si="48"/>
        <v>Yet to be approve</v>
      </c>
      <c r="E96" s="1571">
        <f t="shared" si="48"/>
        <v>45322</v>
      </c>
      <c r="F96" s="1378"/>
      <c r="G96" s="1406">
        <v>0.57999999999999996</v>
      </c>
      <c r="H96" s="1406"/>
      <c r="I96" s="1380"/>
      <c r="J96" s="1380"/>
      <c r="K96" s="1407"/>
      <c r="L96" s="1387"/>
      <c r="M96" s="1387"/>
      <c r="N96" s="1388"/>
      <c r="O96" s="1397"/>
      <c r="P96" s="1514"/>
      <c r="Q96" s="1514"/>
      <c r="R96" s="1514"/>
      <c r="S96" s="1514"/>
      <c r="T96" s="1509">
        <f t="shared" si="38"/>
        <v>0</v>
      </c>
      <c r="U96" s="1586"/>
      <c r="V96" s="1586"/>
      <c r="W96" s="1631"/>
      <c r="X96" s="1631"/>
      <c r="Y96" s="1631"/>
      <c r="Z96" s="1631"/>
      <c r="AA96" s="1631"/>
      <c r="AB96" s="1631"/>
      <c r="AC96" s="1576"/>
      <c r="AD96" s="1576"/>
      <c r="AE96" s="1576"/>
      <c r="AF96" s="1576"/>
      <c r="AG96" s="1576">
        <f t="shared" si="39"/>
        <v>0</v>
      </c>
      <c r="AH96" s="1599"/>
      <c r="AI96" s="1599"/>
      <c r="AJ96" s="1599"/>
      <c r="AK96" s="1599"/>
      <c r="AL96" s="1599"/>
      <c r="AM96" s="1599"/>
      <c r="AN96" s="1599"/>
      <c r="AO96" s="1599"/>
      <c r="AP96" s="1514"/>
      <c r="AQ96" s="1514"/>
      <c r="AR96" s="1514"/>
      <c r="AS96" s="1514"/>
      <c r="AT96" s="1509">
        <f t="shared" si="40"/>
        <v>0</v>
      </c>
      <c r="AU96" s="1599"/>
      <c r="AV96" s="1599"/>
      <c r="AW96" s="1514"/>
      <c r="AX96" s="1514"/>
      <c r="AY96" s="1514"/>
      <c r="AZ96" s="1514"/>
      <c r="BA96" s="1514"/>
      <c r="BB96" s="1514"/>
      <c r="BC96" s="1514"/>
      <c r="BD96" s="1514"/>
      <c r="BE96" s="1514"/>
      <c r="BF96" s="1582"/>
    </row>
    <row r="97" spans="1:16381" s="1384" customFormat="1" ht="29" outlineLevel="1" x14ac:dyDescent="0.25">
      <c r="A97" s="1506">
        <v>24</v>
      </c>
      <c r="B97" s="1507" t="s">
        <v>1738</v>
      </c>
      <c r="C97" s="1600" t="s">
        <v>931</v>
      </c>
      <c r="D97" s="1506" t="s">
        <v>1729</v>
      </c>
      <c r="E97" s="1583">
        <v>45396</v>
      </c>
      <c r="F97" s="1378"/>
      <c r="G97" s="1386">
        <f>SUM(G98:G103)</f>
        <v>44.12</v>
      </c>
      <c r="H97" s="1410"/>
      <c r="I97" s="1380"/>
      <c r="J97" s="1380"/>
      <c r="K97" s="1378"/>
      <c r="L97" s="1387"/>
      <c r="M97" s="1387"/>
      <c r="N97" s="1388"/>
      <c r="O97" s="1400"/>
      <c r="P97" s="1514"/>
      <c r="Q97" s="1573"/>
      <c r="R97" s="1573"/>
      <c r="S97" s="1574"/>
      <c r="T97" s="1509">
        <f t="shared" si="38"/>
        <v>0</v>
      </c>
      <c r="U97" s="1575"/>
      <c r="V97" s="1575"/>
      <c r="W97" s="1575"/>
      <c r="X97" s="1575"/>
      <c r="Y97" s="1575"/>
      <c r="Z97" s="1575"/>
      <c r="AA97" s="1575"/>
      <c r="AB97" s="1575"/>
      <c r="AC97" s="1576"/>
      <c r="AD97" s="1576"/>
      <c r="AE97" s="1576"/>
      <c r="AF97" s="1576"/>
      <c r="AG97" s="1576">
        <f t="shared" si="39"/>
        <v>0</v>
      </c>
      <c r="AH97" s="1577"/>
      <c r="AI97" s="1577"/>
      <c r="AJ97" s="1577"/>
      <c r="AK97" s="1577"/>
      <c r="AL97" s="1577"/>
      <c r="AM97" s="1577"/>
      <c r="AN97" s="1577"/>
      <c r="AO97" s="1577"/>
      <c r="AP97" s="1514"/>
      <c r="AQ97" s="1579"/>
      <c r="AR97" s="1579"/>
      <c r="AS97" s="1579"/>
      <c r="AT97" s="1509">
        <f t="shared" si="40"/>
        <v>0</v>
      </c>
      <c r="AU97" s="1587"/>
      <c r="AV97" s="1587"/>
      <c r="AW97" s="1579"/>
      <c r="AX97" s="1579"/>
      <c r="AY97" s="1579"/>
      <c r="AZ97" s="1579"/>
      <c r="BA97" s="1579"/>
      <c r="BB97" s="1579"/>
      <c r="BC97" s="1383"/>
      <c r="BD97" s="1383"/>
      <c r="BE97" s="1581"/>
      <c r="BH97" s="1385"/>
    </row>
    <row r="98" spans="1:16381" s="1384" customFormat="1" ht="93" outlineLevel="1" x14ac:dyDescent="0.25">
      <c r="A98" s="1511">
        <v>24.1</v>
      </c>
      <c r="B98" s="1512" t="s">
        <v>1739</v>
      </c>
      <c r="C98" s="1600" t="s">
        <v>938</v>
      </c>
      <c r="D98" s="1511" t="str">
        <f>D97</f>
        <v>Yet to be approve</v>
      </c>
      <c r="E98" s="1571">
        <f>E97</f>
        <v>45396</v>
      </c>
      <c r="F98" s="1378"/>
      <c r="G98" s="1410">
        <v>6.5</v>
      </c>
      <c r="H98" s="1410"/>
      <c r="I98" s="1380"/>
      <c r="J98" s="1380"/>
      <c r="K98" s="1378"/>
      <c r="L98" s="1387"/>
      <c r="M98" s="1387"/>
      <c r="N98" s="1388"/>
      <c r="O98" s="1400" t="s">
        <v>1740</v>
      </c>
      <c r="P98" s="1514"/>
      <c r="Q98" s="1573"/>
      <c r="R98" s="1573"/>
      <c r="S98" s="1574"/>
      <c r="T98" s="1509">
        <f t="shared" si="38"/>
        <v>0</v>
      </c>
      <c r="U98" s="1619">
        <v>0</v>
      </c>
      <c r="V98" s="1619">
        <v>0</v>
      </c>
      <c r="W98" s="1619">
        <v>0</v>
      </c>
      <c r="X98" s="1619">
        <v>6.5</v>
      </c>
      <c r="Y98" s="1619">
        <v>0</v>
      </c>
      <c r="Z98" s="1619">
        <v>0</v>
      </c>
      <c r="AA98" s="1619">
        <v>0</v>
      </c>
      <c r="AB98" s="1619">
        <v>0</v>
      </c>
      <c r="AC98" s="1576"/>
      <c r="AD98" s="1576"/>
      <c r="AE98" s="1576"/>
      <c r="AF98" s="1576"/>
      <c r="AG98" s="1576">
        <f t="shared" si="39"/>
        <v>0</v>
      </c>
      <c r="AH98" s="1631"/>
      <c r="AI98" s="1631"/>
      <c r="AJ98" s="1577">
        <v>0.6</v>
      </c>
      <c r="AK98" s="1577"/>
      <c r="AL98" s="1577"/>
      <c r="AM98" s="1577"/>
      <c r="AN98" s="1577"/>
      <c r="AO98" s="1577"/>
      <c r="AP98" s="1514"/>
      <c r="AQ98" s="1579"/>
      <c r="AR98" s="1579"/>
      <c r="AS98" s="1579"/>
      <c r="AT98" s="1509">
        <f t="shared" si="40"/>
        <v>0</v>
      </c>
      <c r="AU98" s="1644">
        <v>0</v>
      </c>
      <c r="AV98" s="1644">
        <v>0</v>
      </c>
      <c r="AW98" s="1628">
        <v>0</v>
      </c>
      <c r="AX98" s="1410">
        <v>6.5</v>
      </c>
      <c r="AY98" s="1628">
        <v>0</v>
      </c>
      <c r="AZ98" s="1628">
        <v>0</v>
      </c>
      <c r="BA98" s="1628">
        <v>0</v>
      </c>
      <c r="BB98" s="1628">
        <v>0</v>
      </c>
      <c r="BC98" s="1645"/>
      <c r="BD98" s="1645" t="s">
        <v>1741</v>
      </c>
      <c r="BE98" s="1581" t="s">
        <v>939</v>
      </c>
      <c r="BH98" s="1385"/>
    </row>
    <row r="99" spans="1:16381" s="1384" customFormat="1" ht="93" outlineLevel="1" x14ac:dyDescent="0.25">
      <c r="A99" s="1511">
        <v>24.2</v>
      </c>
      <c r="B99" s="1512" t="s">
        <v>1742</v>
      </c>
      <c r="C99" s="1600" t="s">
        <v>938</v>
      </c>
      <c r="D99" s="1511" t="str">
        <f t="shared" ref="D99:E103" si="49">D98</f>
        <v>Yet to be approve</v>
      </c>
      <c r="E99" s="1571">
        <f t="shared" si="49"/>
        <v>45396</v>
      </c>
      <c r="F99" s="1378"/>
      <c r="G99" s="1410">
        <v>4.01</v>
      </c>
      <c r="H99" s="1410"/>
      <c r="I99" s="1380"/>
      <c r="J99" s="1380"/>
      <c r="K99" s="1378"/>
      <c r="L99" s="1387"/>
      <c r="M99" s="1387"/>
      <c r="N99" s="1388"/>
      <c r="O99" s="1400" t="s">
        <v>1743</v>
      </c>
      <c r="P99" s="1514"/>
      <c r="Q99" s="1573"/>
      <c r="R99" s="1573"/>
      <c r="S99" s="1574"/>
      <c r="T99" s="1509">
        <f t="shared" si="38"/>
        <v>0</v>
      </c>
      <c r="U99" s="1619">
        <v>0</v>
      </c>
      <c r="V99" s="1619">
        <v>0</v>
      </c>
      <c r="W99" s="1619">
        <v>0</v>
      </c>
      <c r="X99" s="1619">
        <v>4.01</v>
      </c>
      <c r="Y99" s="1619">
        <v>0</v>
      </c>
      <c r="Z99" s="1619">
        <v>0</v>
      </c>
      <c r="AA99" s="1619">
        <v>0</v>
      </c>
      <c r="AB99" s="1619">
        <v>0</v>
      </c>
      <c r="AC99" s="1576"/>
      <c r="AD99" s="1576"/>
      <c r="AE99" s="1576"/>
      <c r="AF99" s="1576"/>
      <c r="AG99" s="1576">
        <f t="shared" si="39"/>
        <v>0</v>
      </c>
      <c r="AH99" s="1631"/>
      <c r="AI99" s="1631"/>
      <c r="AJ99" s="1577">
        <v>0.6</v>
      </c>
      <c r="AK99" s="1577"/>
      <c r="AL99" s="1577"/>
      <c r="AM99" s="1577"/>
      <c r="AN99" s="1577"/>
      <c r="AO99" s="1577"/>
      <c r="AP99" s="1514"/>
      <c r="AQ99" s="1579"/>
      <c r="AR99" s="1579"/>
      <c r="AS99" s="1579"/>
      <c r="AT99" s="1509">
        <f t="shared" si="40"/>
        <v>0</v>
      </c>
      <c r="AU99" s="1644">
        <v>0</v>
      </c>
      <c r="AV99" s="1644">
        <v>0</v>
      </c>
      <c r="AW99" s="1628">
        <v>0</v>
      </c>
      <c r="AX99" s="1410">
        <v>4.01</v>
      </c>
      <c r="AY99" s="1628">
        <v>0</v>
      </c>
      <c r="AZ99" s="1628">
        <v>0</v>
      </c>
      <c r="BA99" s="1628">
        <v>0</v>
      </c>
      <c r="BB99" s="1628">
        <v>0</v>
      </c>
      <c r="BC99" s="1645"/>
      <c r="BD99" s="1645" t="s">
        <v>1744</v>
      </c>
      <c r="BE99" s="1581" t="s">
        <v>939</v>
      </c>
      <c r="BH99" s="1385"/>
    </row>
    <row r="100" spans="1:16381" s="1384" customFormat="1" ht="93" outlineLevel="1" x14ac:dyDescent="0.25">
      <c r="A100" s="1511">
        <v>24.3</v>
      </c>
      <c r="B100" s="1512" t="s">
        <v>1745</v>
      </c>
      <c r="C100" s="1600" t="s">
        <v>938</v>
      </c>
      <c r="D100" s="1511" t="str">
        <f t="shared" si="49"/>
        <v>Yet to be approve</v>
      </c>
      <c r="E100" s="1571">
        <f t="shared" si="49"/>
        <v>45396</v>
      </c>
      <c r="F100" s="1378"/>
      <c r="G100" s="1410">
        <v>14.24</v>
      </c>
      <c r="H100" s="1410"/>
      <c r="I100" s="1380"/>
      <c r="J100" s="1380"/>
      <c r="K100" s="1378"/>
      <c r="L100" s="1387"/>
      <c r="M100" s="1387"/>
      <c r="N100" s="1388"/>
      <c r="O100" s="1400" t="s">
        <v>1740</v>
      </c>
      <c r="P100" s="1514"/>
      <c r="Q100" s="1573"/>
      <c r="R100" s="1573"/>
      <c r="S100" s="1574"/>
      <c r="T100" s="1509">
        <f t="shared" si="38"/>
        <v>0</v>
      </c>
      <c r="U100" s="1619">
        <v>0</v>
      </c>
      <c r="V100" s="1619">
        <v>0</v>
      </c>
      <c r="W100" s="1619">
        <v>0</v>
      </c>
      <c r="X100" s="1619">
        <v>14.24</v>
      </c>
      <c r="Y100" s="1619">
        <v>0</v>
      </c>
      <c r="Z100" s="1619">
        <v>0</v>
      </c>
      <c r="AA100" s="1619">
        <v>0</v>
      </c>
      <c r="AB100" s="1619">
        <v>0</v>
      </c>
      <c r="AC100" s="1576"/>
      <c r="AD100" s="1576"/>
      <c r="AE100" s="1576"/>
      <c r="AF100" s="1576"/>
      <c r="AG100" s="1576">
        <f t="shared" si="39"/>
        <v>0</v>
      </c>
      <c r="AH100" s="1631"/>
      <c r="AI100" s="1631"/>
      <c r="AJ100" s="1577">
        <v>0.6</v>
      </c>
      <c r="AK100" s="1577"/>
      <c r="AL100" s="1577"/>
      <c r="AM100" s="1577"/>
      <c r="AN100" s="1577"/>
      <c r="AO100" s="1577"/>
      <c r="AP100" s="1514"/>
      <c r="AQ100" s="1579"/>
      <c r="AR100" s="1579"/>
      <c r="AS100" s="1579"/>
      <c r="AT100" s="1509">
        <f t="shared" si="40"/>
        <v>0</v>
      </c>
      <c r="AU100" s="1644">
        <v>0</v>
      </c>
      <c r="AV100" s="1644">
        <v>0</v>
      </c>
      <c r="AW100" s="1628">
        <v>0</v>
      </c>
      <c r="AX100" s="1410">
        <v>14.24</v>
      </c>
      <c r="AY100" s="1628">
        <v>0</v>
      </c>
      <c r="AZ100" s="1628">
        <v>0</v>
      </c>
      <c r="BA100" s="1628">
        <v>0</v>
      </c>
      <c r="BB100" s="1628">
        <v>0</v>
      </c>
      <c r="BC100" s="1645"/>
      <c r="BD100" s="1645" t="s">
        <v>1746</v>
      </c>
      <c r="BE100" s="1581" t="s">
        <v>939</v>
      </c>
      <c r="BH100" s="1385"/>
    </row>
    <row r="101" spans="1:16381" s="1384" customFormat="1" ht="108.5" outlineLevel="1" x14ac:dyDescent="0.25">
      <c r="A101" s="1511">
        <v>24.4</v>
      </c>
      <c r="B101" s="1512" t="s">
        <v>1747</v>
      </c>
      <c r="C101" s="1600" t="s">
        <v>938</v>
      </c>
      <c r="D101" s="1511" t="str">
        <f t="shared" si="49"/>
        <v>Yet to be approve</v>
      </c>
      <c r="E101" s="1571">
        <f t="shared" si="49"/>
        <v>45396</v>
      </c>
      <c r="F101" s="1378"/>
      <c r="G101" s="1410">
        <v>9.18</v>
      </c>
      <c r="H101" s="1410"/>
      <c r="I101" s="1380"/>
      <c r="J101" s="1380"/>
      <c r="K101" s="1378"/>
      <c r="L101" s="1387"/>
      <c r="M101" s="1387"/>
      <c r="N101" s="1388"/>
      <c r="O101" s="1400" t="s">
        <v>1748</v>
      </c>
      <c r="P101" s="1514"/>
      <c r="Q101" s="1573"/>
      <c r="R101" s="1573"/>
      <c r="S101" s="1574"/>
      <c r="T101" s="1509">
        <f t="shared" si="38"/>
        <v>0</v>
      </c>
      <c r="U101" s="1619">
        <v>0</v>
      </c>
      <c r="V101" s="1619">
        <v>0</v>
      </c>
      <c r="W101" s="1619">
        <v>0</v>
      </c>
      <c r="X101" s="1619">
        <v>9.18</v>
      </c>
      <c r="Y101" s="1619">
        <v>0</v>
      </c>
      <c r="Z101" s="1619">
        <v>0</v>
      </c>
      <c r="AA101" s="1619">
        <v>0</v>
      </c>
      <c r="AB101" s="1619">
        <v>0</v>
      </c>
      <c r="AC101" s="1576"/>
      <c r="AD101" s="1576"/>
      <c r="AE101" s="1576"/>
      <c r="AF101" s="1576"/>
      <c r="AG101" s="1576">
        <f t="shared" si="39"/>
        <v>0</v>
      </c>
      <c r="AH101" s="1631"/>
      <c r="AI101" s="1631"/>
      <c r="AJ101" s="1577">
        <v>0.6</v>
      </c>
      <c r="AK101" s="1577"/>
      <c r="AL101" s="1577"/>
      <c r="AM101" s="1577"/>
      <c r="AN101" s="1577"/>
      <c r="AO101" s="1577"/>
      <c r="AP101" s="1514"/>
      <c r="AQ101" s="1579"/>
      <c r="AR101" s="1579"/>
      <c r="AS101" s="1579"/>
      <c r="AT101" s="1509">
        <f t="shared" si="40"/>
        <v>0</v>
      </c>
      <c r="AU101" s="1644">
        <v>0</v>
      </c>
      <c r="AV101" s="1644">
        <v>0</v>
      </c>
      <c r="AW101" s="1628">
        <v>0</v>
      </c>
      <c r="AX101" s="1410">
        <v>9.18</v>
      </c>
      <c r="AY101" s="1628">
        <v>0</v>
      </c>
      <c r="AZ101" s="1628">
        <v>0</v>
      </c>
      <c r="BA101" s="1628">
        <v>0</v>
      </c>
      <c r="BB101" s="1628">
        <v>0</v>
      </c>
      <c r="BC101" s="1645"/>
      <c r="BD101" s="1645" t="s">
        <v>1749</v>
      </c>
      <c r="BE101" s="1581" t="s">
        <v>939</v>
      </c>
      <c r="BH101" s="1385"/>
    </row>
    <row r="102" spans="1:16381" s="1384" customFormat="1" ht="93" outlineLevel="1" x14ac:dyDescent="0.25">
      <c r="A102" s="1511">
        <v>24.5</v>
      </c>
      <c r="B102" s="1512" t="s">
        <v>1750</v>
      </c>
      <c r="C102" s="1600" t="s">
        <v>938</v>
      </c>
      <c r="D102" s="1511" t="str">
        <f t="shared" si="49"/>
        <v>Yet to be approve</v>
      </c>
      <c r="E102" s="1571">
        <f t="shared" si="49"/>
        <v>45396</v>
      </c>
      <c r="F102" s="1378"/>
      <c r="G102" s="1410">
        <v>8.19</v>
      </c>
      <c r="H102" s="1410"/>
      <c r="I102" s="1380"/>
      <c r="J102" s="1380"/>
      <c r="K102" s="1378"/>
      <c r="L102" s="1387"/>
      <c r="M102" s="1387"/>
      <c r="N102" s="1388"/>
      <c r="O102" s="1400" t="s">
        <v>1751</v>
      </c>
      <c r="P102" s="1514"/>
      <c r="Q102" s="1573"/>
      <c r="R102" s="1573"/>
      <c r="S102" s="1574"/>
      <c r="T102" s="1509">
        <f t="shared" si="38"/>
        <v>0</v>
      </c>
      <c r="U102" s="1619">
        <v>0</v>
      </c>
      <c r="V102" s="1619">
        <v>0</v>
      </c>
      <c r="W102" s="1619">
        <v>0</v>
      </c>
      <c r="X102" s="1619">
        <v>8.19</v>
      </c>
      <c r="Y102" s="1619">
        <v>0</v>
      </c>
      <c r="Z102" s="1619">
        <v>0</v>
      </c>
      <c r="AA102" s="1619">
        <v>0</v>
      </c>
      <c r="AB102" s="1619">
        <v>0</v>
      </c>
      <c r="AC102" s="1576"/>
      <c r="AD102" s="1576"/>
      <c r="AE102" s="1576"/>
      <c r="AF102" s="1576"/>
      <c r="AG102" s="1576">
        <f t="shared" si="39"/>
        <v>0</v>
      </c>
      <c r="AH102" s="1631"/>
      <c r="AI102" s="1631"/>
      <c r="AJ102" s="1577">
        <v>0.6</v>
      </c>
      <c r="AK102" s="1577"/>
      <c r="AL102" s="1577"/>
      <c r="AM102" s="1577"/>
      <c r="AN102" s="1577"/>
      <c r="AO102" s="1577"/>
      <c r="AP102" s="1514"/>
      <c r="AQ102" s="1579"/>
      <c r="AR102" s="1579"/>
      <c r="AS102" s="1579"/>
      <c r="AT102" s="1509">
        <f t="shared" si="40"/>
        <v>0</v>
      </c>
      <c r="AU102" s="1644">
        <v>0</v>
      </c>
      <c r="AV102" s="1644">
        <v>0</v>
      </c>
      <c r="AW102" s="1628">
        <v>0</v>
      </c>
      <c r="AX102" s="1410">
        <v>8.19</v>
      </c>
      <c r="AY102" s="1628">
        <v>0</v>
      </c>
      <c r="AZ102" s="1628">
        <v>0</v>
      </c>
      <c r="BA102" s="1628">
        <v>0</v>
      </c>
      <c r="BB102" s="1628">
        <v>0</v>
      </c>
      <c r="BC102" s="1645"/>
      <c r="BD102" s="1645" t="s">
        <v>1752</v>
      </c>
      <c r="BE102" s="1581" t="s">
        <v>939</v>
      </c>
      <c r="BH102" s="1385"/>
    </row>
    <row r="103" spans="1:16381" s="1384" customFormat="1" ht="15.5" outlineLevel="1" x14ac:dyDescent="0.25">
      <c r="A103" s="1511"/>
      <c r="B103" s="1507" t="s">
        <v>413</v>
      </c>
      <c r="C103" s="1600"/>
      <c r="D103" s="1511" t="str">
        <f t="shared" si="49"/>
        <v>Yet to be approve</v>
      </c>
      <c r="E103" s="1571">
        <f t="shared" si="49"/>
        <v>45396</v>
      </c>
      <c r="F103" s="1378"/>
      <c r="G103" s="1410">
        <v>2</v>
      </c>
      <c r="H103" s="1410"/>
      <c r="I103" s="1380"/>
      <c r="J103" s="1380"/>
      <c r="K103" s="1378"/>
      <c r="L103" s="1387"/>
      <c r="M103" s="1387"/>
      <c r="N103" s="1388"/>
      <c r="O103" s="1400"/>
      <c r="P103" s="1514"/>
      <c r="Q103" s="1573"/>
      <c r="R103" s="1573"/>
      <c r="S103" s="1574"/>
      <c r="T103" s="1509">
        <f t="shared" si="38"/>
        <v>0</v>
      </c>
      <c r="U103" s="1619">
        <v>0</v>
      </c>
      <c r="V103" s="1619">
        <v>0</v>
      </c>
      <c r="W103" s="1619">
        <v>0</v>
      </c>
      <c r="X103" s="1619">
        <v>2</v>
      </c>
      <c r="Y103" s="1619">
        <v>0</v>
      </c>
      <c r="Z103" s="1619">
        <v>0</v>
      </c>
      <c r="AA103" s="1619">
        <v>0</v>
      </c>
      <c r="AB103" s="1619">
        <v>0</v>
      </c>
      <c r="AC103" s="1576"/>
      <c r="AD103" s="1576"/>
      <c r="AE103" s="1576"/>
      <c r="AF103" s="1576"/>
      <c r="AG103" s="1576">
        <f t="shared" si="39"/>
        <v>0</v>
      </c>
      <c r="AH103" s="1578"/>
      <c r="AI103" s="1578"/>
      <c r="AJ103" s="1578"/>
      <c r="AK103" s="1578"/>
      <c r="AL103" s="1578"/>
      <c r="AM103" s="1578"/>
      <c r="AN103" s="1578"/>
      <c r="AO103" s="1578"/>
      <c r="AP103" s="1514"/>
      <c r="AQ103" s="1579"/>
      <c r="AR103" s="1579"/>
      <c r="AS103" s="1579"/>
      <c r="AT103" s="1509">
        <f t="shared" si="40"/>
        <v>0</v>
      </c>
      <c r="AU103" s="1644"/>
      <c r="AV103" s="1644"/>
      <c r="AW103" s="1628"/>
      <c r="AX103" s="1410">
        <v>2</v>
      </c>
      <c r="AY103" s="1628"/>
      <c r="AZ103" s="1628"/>
      <c r="BA103" s="1628"/>
      <c r="BB103" s="1628"/>
      <c r="BC103" s="1383"/>
      <c r="BD103" s="1383"/>
      <c r="BE103" s="1581"/>
      <c r="BH103" s="1385"/>
    </row>
    <row r="104" spans="1:16381" s="1384" customFormat="1" outlineLevel="1" x14ac:dyDescent="0.25">
      <c r="A104" s="1646">
        <v>25</v>
      </c>
      <c r="B104" s="1647" t="s">
        <v>1753</v>
      </c>
      <c r="C104" s="1506" t="s">
        <v>931</v>
      </c>
      <c r="D104" s="1506" t="s">
        <v>1754</v>
      </c>
      <c r="E104" s="1583"/>
      <c r="F104" s="1508"/>
      <c r="G104" s="1386"/>
      <c r="H104" s="1386"/>
      <c r="I104" s="1380"/>
      <c r="J104" s="1380"/>
      <c r="K104" s="1407"/>
      <c r="L104" s="1387"/>
      <c r="M104" s="1387"/>
      <c r="N104" s="1388"/>
      <c r="O104" s="1380"/>
      <c r="P104" s="1509"/>
      <c r="Q104" s="1584"/>
      <c r="R104" s="1584"/>
      <c r="S104" s="1509"/>
      <c r="T104" s="1509">
        <f t="shared" si="38"/>
        <v>0</v>
      </c>
      <c r="U104" s="1585"/>
      <c r="V104" s="1585"/>
      <c r="W104" s="1585"/>
      <c r="X104" s="1585"/>
      <c r="Y104" s="1585"/>
      <c r="Z104" s="1585"/>
      <c r="AA104" s="1585"/>
      <c r="AB104" s="1585"/>
      <c r="AC104" s="1509"/>
      <c r="AD104" s="1509"/>
      <c r="AE104" s="1509"/>
      <c r="AF104" s="1509"/>
      <c r="AG104" s="1576">
        <f t="shared" si="39"/>
        <v>0</v>
      </c>
      <c r="AH104" s="1578"/>
      <c r="AI104" s="1578"/>
      <c r="AJ104" s="1578"/>
      <c r="AK104" s="1578"/>
      <c r="AL104" s="1578"/>
      <c r="AM104" s="1578"/>
      <c r="AN104" s="1578"/>
      <c r="AO104" s="1578"/>
      <c r="AP104" s="1576"/>
      <c r="AQ104" s="1576"/>
      <c r="AR104" s="1576"/>
      <c r="AS104" s="1576"/>
      <c r="AT104" s="1509">
        <f t="shared" si="40"/>
        <v>0</v>
      </c>
      <c r="AU104" s="1587">
        <v>0</v>
      </c>
      <c r="AV104" s="1587">
        <v>0</v>
      </c>
      <c r="AW104" s="1579">
        <v>0</v>
      </c>
      <c r="AX104" s="1579"/>
      <c r="AY104" s="1579"/>
      <c r="AZ104" s="1579"/>
      <c r="BA104" s="1579"/>
      <c r="BB104" s="1579"/>
      <c r="BC104" s="1380"/>
      <c r="BD104" s="1380" t="s">
        <v>1755</v>
      </c>
      <c r="BE104" s="1581"/>
      <c r="BF104" s="1579">
        <v>0</v>
      </c>
      <c r="BG104" s="1579">
        <v>0</v>
      </c>
      <c r="BH104" s="1579">
        <v>0</v>
      </c>
      <c r="BI104" s="1579">
        <v>0</v>
      </c>
      <c r="BJ104" s="1579">
        <v>0</v>
      </c>
      <c r="BK104" s="1579">
        <v>0</v>
      </c>
      <c r="BL104" s="1579"/>
      <c r="BM104" s="1579"/>
      <c r="BN104" s="1579"/>
      <c r="BO104" s="1579"/>
      <c r="BP104" s="1579"/>
      <c r="BQ104" s="1579"/>
      <c r="BR104" s="1380" t="s">
        <v>1755</v>
      </c>
      <c r="BS104" s="1380"/>
      <c r="BT104" s="1581"/>
      <c r="BX104" s="1385"/>
    </row>
    <row r="105" spans="1:16381" s="1384" customFormat="1" ht="174" outlineLevel="1" x14ac:dyDescent="0.25">
      <c r="A105" s="1511">
        <v>25.1</v>
      </c>
      <c r="B105" s="1512" t="s">
        <v>1753</v>
      </c>
      <c r="C105" s="1570" t="s">
        <v>938</v>
      </c>
      <c r="D105" s="1511" t="s">
        <v>1754</v>
      </c>
      <c r="E105" s="1571"/>
      <c r="F105" s="1378"/>
      <c r="G105" s="1379">
        <v>20</v>
      </c>
      <c r="H105" s="1379"/>
      <c r="I105" s="1380"/>
      <c r="J105" s="1380"/>
      <c r="K105" s="1378"/>
      <c r="L105" s="1381"/>
      <c r="M105" s="1381"/>
      <c r="N105" s="1382"/>
      <c r="O105" s="1380"/>
      <c r="P105" s="1618">
        <v>0</v>
      </c>
      <c r="Q105" s="1618">
        <v>0</v>
      </c>
      <c r="R105" s="1618">
        <v>0</v>
      </c>
      <c r="S105" s="1618">
        <v>0</v>
      </c>
      <c r="T105" s="1509">
        <f t="shared" si="38"/>
        <v>0</v>
      </c>
      <c r="U105" s="1619">
        <v>0</v>
      </c>
      <c r="V105" s="1619">
        <v>0</v>
      </c>
      <c r="W105" s="1619">
        <v>0</v>
      </c>
      <c r="X105" s="1619">
        <v>0</v>
      </c>
      <c r="Y105" s="1619">
        <v>0</v>
      </c>
      <c r="Z105" s="1619">
        <v>0</v>
      </c>
      <c r="AA105" s="1619">
        <v>25</v>
      </c>
      <c r="AB105" s="1619"/>
      <c r="AC105" s="1618">
        <v>0</v>
      </c>
      <c r="AD105" s="1618">
        <v>0</v>
      </c>
      <c r="AE105" s="1618">
        <v>0</v>
      </c>
      <c r="AF105" s="1574">
        <v>25</v>
      </c>
      <c r="AG105" s="1576">
        <f t="shared" si="39"/>
        <v>25</v>
      </c>
      <c r="AH105" s="1578"/>
      <c r="AI105" s="1578"/>
      <c r="AJ105" s="1578">
        <v>0.2</v>
      </c>
      <c r="AK105" s="1578"/>
      <c r="AL105" s="1578"/>
      <c r="AM105" s="1578"/>
      <c r="AN105" s="1578"/>
      <c r="AO105" s="1578"/>
      <c r="AP105" s="1576"/>
      <c r="AQ105" s="1576"/>
      <c r="AR105" s="1576"/>
      <c r="AS105" s="1576"/>
      <c r="AT105" s="1509">
        <f t="shared" si="40"/>
        <v>0</v>
      </c>
      <c r="AU105" s="1555"/>
      <c r="AV105" s="1555"/>
      <c r="AW105" s="1547"/>
      <c r="AX105" s="1547"/>
      <c r="AY105" s="1547"/>
      <c r="AZ105" s="1509">
        <v>25</v>
      </c>
      <c r="BA105" s="1547"/>
      <c r="BB105" s="1547"/>
      <c r="BC105" s="1507"/>
      <c r="BD105" s="1507" t="s">
        <v>1756</v>
      </c>
      <c r="BE105" s="1581" t="s">
        <v>936</v>
      </c>
      <c r="BF105" s="1509"/>
      <c r="BG105" s="1509"/>
      <c r="BH105" s="1509"/>
      <c r="BI105" s="1509"/>
      <c r="BJ105" s="1509"/>
      <c r="BK105" s="1509"/>
      <c r="BL105" s="1509"/>
      <c r="BM105" s="1509"/>
      <c r="BN105" s="1509">
        <v>25</v>
      </c>
      <c r="BO105" s="1509"/>
      <c r="BP105" s="1509"/>
      <c r="BQ105" s="1509"/>
      <c r="BR105" s="1507" t="s">
        <v>1756</v>
      </c>
      <c r="BS105" s="1507"/>
      <c r="BT105" s="1581" t="s">
        <v>936</v>
      </c>
    </row>
    <row r="106" spans="1:16381" s="1384" customFormat="1" ht="72.5" outlineLevel="1" x14ac:dyDescent="0.25">
      <c r="A106" s="1511">
        <v>26</v>
      </c>
      <c r="B106" s="1507" t="s">
        <v>1757</v>
      </c>
      <c r="C106" s="1506" t="s">
        <v>931</v>
      </c>
      <c r="D106" s="1506" t="s">
        <v>1754</v>
      </c>
      <c r="E106" s="1571"/>
      <c r="F106" s="1378"/>
      <c r="G106" s="1648">
        <f>SUM(G107:G110)</f>
        <v>41.593800000000002</v>
      </c>
      <c r="H106" s="1406"/>
      <c r="I106" s="1380"/>
      <c r="J106" s="1380"/>
      <c r="K106" s="1407"/>
      <c r="L106" s="1387"/>
      <c r="M106" s="1387"/>
      <c r="N106" s="1388"/>
      <c r="O106" s="1380"/>
      <c r="P106" s="1514"/>
      <c r="Q106" s="1573"/>
      <c r="R106" s="1573"/>
      <c r="S106" s="1574"/>
      <c r="T106" s="1509">
        <f t="shared" si="38"/>
        <v>0</v>
      </c>
      <c r="U106" s="1574"/>
      <c r="V106" s="1574"/>
      <c r="W106" s="1574"/>
      <c r="X106" s="1574"/>
      <c r="Y106" s="1576"/>
      <c r="Z106" s="1576"/>
      <c r="AA106" s="1576"/>
      <c r="AB106" s="1576"/>
      <c r="AC106" s="1576"/>
      <c r="AD106" s="1576"/>
      <c r="AE106" s="1576"/>
      <c r="AF106" s="1576"/>
      <c r="AG106" s="1576">
        <f t="shared" si="39"/>
        <v>0</v>
      </c>
      <c r="AH106" s="1576"/>
      <c r="AI106" s="1576"/>
      <c r="AJ106" s="1576"/>
      <c r="AK106" s="1576"/>
      <c r="AL106" s="1576"/>
      <c r="AM106" s="1576"/>
      <c r="AN106" s="1576"/>
      <c r="AO106" s="1576"/>
      <c r="AP106" s="1576"/>
      <c r="AQ106" s="1576"/>
      <c r="AR106" s="1576"/>
      <c r="AS106" s="1509"/>
      <c r="AT106" s="1509">
        <f t="shared" si="40"/>
        <v>0</v>
      </c>
      <c r="AU106" s="1547"/>
      <c r="AV106" s="1547"/>
      <c r="AW106" s="1547"/>
      <c r="AX106" s="1547"/>
      <c r="AY106" s="1547"/>
      <c r="AZ106" s="1547"/>
      <c r="BA106" s="1547"/>
      <c r="BB106" s="1547"/>
      <c r="BC106" s="1383"/>
      <c r="BD106" s="1383" t="s">
        <v>1758</v>
      </c>
      <c r="BE106" s="1581" t="s">
        <v>939</v>
      </c>
    </row>
    <row r="107" spans="1:16381" s="1384" customFormat="1" ht="43.5" outlineLevel="1" x14ac:dyDescent="0.25">
      <c r="A107" s="1511">
        <v>26.1</v>
      </c>
      <c r="B107" s="1337" t="s">
        <v>1759</v>
      </c>
      <c r="C107" s="1600" t="s">
        <v>938</v>
      </c>
      <c r="D107" s="1506" t="s">
        <v>1754</v>
      </c>
      <c r="E107" s="1571"/>
      <c r="F107" s="1378"/>
      <c r="G107" s="1406">
        <v>9.17</v>
      </c>
      <c r="H107" s="1379"/>
      <c r="I107" s="1380"/>
      <c r="J107" s="1380"/>
      <c r="K107" s="1378"/>
      <c r="L107" s="1381"/>
      <c r="M107" s="1381"/>
      <c r="N107" s="1382"/>
      <c r="O107" s="1383" t="s">
        <v>1760</v>
      </c>
      <c r="P107" s="1649">
        <v>0</v>
      </c>
      <c r="Q107" s="1649">
        <v>0</v>
      </c>
      <c r="R107" s="1649">
        <v>0</v>
      </c>
      <c r="S107" s="1649">
        <v>0</v>
      </c>
      <c r="T107" s="1509">
        <f t="shared" si="38"/>
        <v>0</v>
      </c>
      <c r="U107" s="1649">
        <v>0</v>
      </c>
      <c r="V107" s="1649">
        <v>0</v>
      </c>
      <c r="W107" s="1406">
        <v>0.9</v>
      </c>
      <c r="X107" s="1406">
        <v>8.31</v>
      </c>
      <c r="Y107" s="1649">
        <v>0</v>
      </c>
      <c r="Z107" s="1649">
        <v>0</v>
      </c>
      <c r="AA107" s="1649">
        <v>0</v>
      </c>
      <c r="AB107" s="1649">
        <v>0</v>
      </c>
      <c r="AC107" s="1649"/>
      <c r="AD107" s="1649"/>
      <c r="AE107" s="1649"/>
      <c r="AF107" s="1649"/>
      <c r="AG107" s="1576">
        <f t="shared" si="39"/>
        <v>0</v>
      </c>
      <c r="AH107" s="1649"/>
      <c r="AI107" s="1649"/>
      <c r="AJ107" s="1650">
        <v>0.4</v>
      </c>
      <c r="AK107" s="1650">
        <v>1</v>
      </c>
      <c r="AL107" s="1649"/>
      <c r="AM107" s="1649"/>
      <c r="AN107" s="1649"/>
      <c r="AO107" s="1649"/>
      <c r="AP107" s="1649">
        <v>0</v>
      </c>
      <c r="AQ107" s="1649">
        <v>0</v>
      </c>
      <c r="AR107" s="1649">
        <v>0</v>
      </c>
      <c r="AS107" s="1649">
        <v>0</v>
      </c>
      <c r="AT107" s="1509">
        <f t="shared" si="40"/>
        <v>0</v>
      </c>
      <c r="AU107" s="1651">
        <v>0</v>
      </c>
      <c r="AV107" s="1651">
        <v>0</v>
      </c>
      <c r="AW107" s="1651">
        <v>0</v>
      </c>
      <c r="AX107" s="1649">
        <v>9.2100000000000009</v>
      </c>
      <c r="AY107" s="1651">
        <v>0</v>
      </c>
      <c r="AZ107" s="1651">
        <v>0</v>
      </c>
      <c r="BA107" s="1651">
        <v>0</v>
      </c>
      <c r="BB107" s="1651">
        <v>0</v>
      </c>
      <c r="BC107" s="1383"/>
      <c r="BD107" s="1383" t="s">
        <v>2093</v>
      </c>
      <c r="BE107" s="1581" t="s">
        <v>939</v>
      </c>
      <c r="BF107" s="1385"/>
    </row>
    <row r="108" spans="1:16381" s="1384" customFormat="1" ht="92.25" customHeight="1" outlineLevel="1" x14ac:dyDescent="0.25">
      <c r="A108" s="1511">
        <v>26.2</v>
      </c>
      <c r="B108" s="1337" t="s">
        <v>1761</v>
      </c>
      <c r="C108" s="1600" t="s">
        <v>938</v>
      </c>
      <c r="D108" s="1506" t="s">
        <v>1754</v>
      </c>
      <c r="E108" s="1571"/>
      <c r="F108" s="1378"/>
      <c r="G108" s="1406">
        <v>14.61</v>
      </c>
      <c r="H108" s="1379"/>
      <c r="I108" s="1380"/>
      <c r="J108" s="1380"/>
      <c r="K108" s="1378"/>
      <c r="L108" s="1381"/>
      <c r="M108" s="1381"/>
      <c r="N108" s="1382"/>
      <c r="O108" s="1383" t="s">
        <v>1762</v>
      </c>
      <c r="P108" s="1649">
        <v>0</v>
      </c>
      <c r="Q108" s="1649">
        <v>0</v>
      </c>
      <c r="R108" s="1649">
        <v>0</v>
      </c>
      <c r="S108" s="1649">
        <v>0</v>
      </c>
      <c r="T108" s="1509">
        <f t="shared" si="38"/>
        <v>0</v>
      </c>
      <c r="U108" s="1649">
        <v>0</v>
      </c>
      <c r="V108" s="1649">
        <v>0</v>
      </c>
      <c r="W108" s="1649">
        <v>0</v>
      </c>
      <c r="X108" s="1649">
        <v>14.61</v>
      </c>
      <c r="Y108" s="1649">
        <v>0</v>
      </c>
      <c r="Z108" s="1649">
        <v>0</v>
      </c>
      <c r="AA108" s="1649">
        <v>0</v>
      </c>
      <c r="AB108" s="1649">
        <v>0</v>
      </c>
      <c r="AC108" s="1649"/>
      <c r="AD108" s="1649"/>
      <c r="AE108" s="1649"/>
      <c r="AF108" s="1649"/>
      <c r="AG108" s="1576">
        <f t="shared" si="39"/>
        <v>0</v>
      </c>
      <c r="AH108" s="1649"/>
      <c r="AI108" s="1649"/>
      <c r="AJ108" s="1650">
        <v>0.2</v>
      </c>
      <c r="AK108" s="1650">
        <v>1</v>
      </c>
      <c r="AL108" s="1649"/>
      <c r="AM108" s="1649"/>
      <c r="AN108" s="1649"/>
      <c r="AO108" s="1649"/>
      <c r="AP108" s="1649">
        <v>0</v>
      </c>
      <c r="AQ108" s="1649">
        <v>0</v>
      </c>
      <c r="AR108" s="1649">
        <v>0</v>
      </c>
      <c r="AS108" s="1649">
        <v>0</v>
      </c>
      <c r="AT108" s="1509">
        <f t="shared" si="40"/>
        <v>0</v>
      </c>
      <c r="AU108" s="1651">
        <v>0</v>
      </c>
      <c r="AV108" s="1651">
        <v>0</v>
      </c>
      <c r="AW108" s="1651">
        <v>0</v>
      </c>
      <c r="AX108" s="1649">
        <v>14.61</v>
      </c>
      <c r="AY108" s="1651">
        <v>0</v>
      </c>
      <c r="AZ108" s="1651">
        <v>0</v>
      </c>
      <c r="BA108" s="1651">
        <v>0</v>
      </c>
      <c r="BB108" s="1651">
        <v>0</v>
      </c>
      <c r="BC108" s="1383"/>
      <c r="BD108" s="1383" t="s">
        <v>2094</v>
      </c>
      <c r="BE108" s="1581" t="s">
        <v>939</v>
      </c>
      <c r="BF108" s="1385"/>
    </row>
    <row r="109" spans="1:16381" s="1384" customFormat="1" ht="70.5" customHeight="1" outlineLevel="1" x14ac:dyDescent="0.25">
      <c r="A109" s="1511">
        <v>26.3</v>
      </c>
      <c r="B109" s="1337" t="s">
        <v>1763</v>
      </c>
      <c r="C109" s="1600" t="s">
        <v>938</v>
      </c>
      <c r="D109" s="1506" t="s">
        <v>1754</v>
      </c>
      <c r="E109" s="1571"/>
      <c r="F109" s="1378"/>
      <c r="G109" s="1406">
        <v>9.2026000000000003</v>
      </c>
      <c r="H109" s="1379"/>
      <c r="I109" s="1380"/>
      <c r="J109" s="1380"/>
      <c r="K109" s="1378"/>
      <c r="L109" s="1381"/>
      <c r="M109" s="1381"/>
      <c r="N109" s="1382"/>
      <c r="O109" s="1383" t="s">
        <v>1764</v>
      </c>
      <c r="P109" s="1649">
        <v>0</v>
      </c>
      <c r="Q109" s="1649">
        <v>0</v>
      </c>
      <c r="R109" s="1649">
        <v>0</v>
      </c>
      <c r="S109" s="1649">
        <v>0</v>
      </c>
      <c r="T109" s="1509">
        <f t="shared" si="38"/>
        <v>0</v>
      </c>
      <c r="U109" s="1649">
        <v>0</v>
      </c>
      <c r="V109" s="1649">
        <v>0</v>
      </c>
      <c r="W109" s="1649">
        <v>0</v>
      </c>
      <c r="X109" s="1649">
        <v>9.2100000000000009</v>
      </c>
      <c r="Y109" s="1649">
        <v>0</v>
      </c>
      <c r="Z109" s="1649">
        <v>0</v>
      </c>
      <c r="AA109" s="1649">
        <v>0</v>
      </c>
      <c r="AB109" s="1649">
        <v>0</v>
      </c>
      <c r="AC109" s="1649"/>
      <c r="AD109" s="1649"/>
      <c r="AE109" s="1649"/>
      <c r="AF109" s="1649"/>
      <c r="AG109" s="1576">
        <f t="shared" si="39"/>
        <v>0</v>
      </c>
      <c r="AH109" s="1649"/>
      <c r="AI109" s="1649"/>
      <c r="AJ109" s="1650">
        <v>0.2</v>
      </c>
      <c r="AK109" s="1650">
        <v>1</v>
      </c>
      <c r="AL109" s="1649"/>
      <c r="AM109" s="1649"/>
      <c r="AN109" s="1649"/>
      <c r="AO109" s="1649"/>
      <c r="AP109" s="1649">
        <v>0</v>
      </c>
      <c r="AQ109" s="1649">
        <v>0</v>
      </c>
      <c r="AR109" s="1649">
        <v>0</v>
      </c>
      <c r="AS109" s="1649">
        <v>0</v>
      </c>
      <c r="AT109" s="1509">
        <f t="shared" si="40"/>
        <v>0</v>
      </c>
      <c r="AU109" s="1651">
        <v>0</v>
      </c>
      <c r="AV109" s="1651">
        <v>0</v>
      </c>
      <c r="AW109" s="1651">
        <v>0</v>
      </c>
      <c r="AX109" s="1649">
        <v>9.2100000000000009</v>
      </c>
      <c r="AY109" s="1651">
        <v>0</v>
      </c>
      <c r="AZ109" s="1651">
        <v>0</v>
      </c>
      <c r="BA109" s="1651">
        <v>0</v>
      </c>
      <c r="BB109" s="1651">
        <v>0</v>
      </c>
      <c r="BC109" s="1383"/>
      <c r="BD109" s="1383" t="s">
        <v>2095</v>
      </c>
      <c r="BE109" s="1581" t="s">
        <v>939</v>
      </c>
      <c r="BF109" s="1385"/>
    </row>
    <row r="110" spans="1:16381" s="1384" customFormat="1" ht="76.5" customHeight="1" outlineLevel="1" x14ac:dyDescent="0.25">
      <c r="A110" s="1511">
        <v>26.4</v>
      </c>
      <c r="B110" s="1337" t="s">
        <v>1765</v>
      </c>
      <c r="C110" s="1600" t="s">
        <v>938</v>
      </c>
      <c r="D110" s="1506" t="s">
        <v>1754</v>
      </c>
      <c r="E110" s="1571"/>
      <c r="F110" s="1378"/>
      <c r="G110" s="1406">
        <v>8.6112000000000002</v>
      </c>
      <c r="H110" s="1379"/>
      <c r="I110" s="1380"/>
      <c r="J110" s="1380"/>
      <c r="K110" s="1378"/>
      <c r="L110" s="1381"/>
      <c r="M110" s="1381"/>
      <c r="N110" s="1382"/>
      <c r="O110" s="1383" t="s">
        <v>1766</v>
      </c>
      <c r="P110" s="1649">
        <v>0</v>
      </c>
      <c r="Q110" s="1649">
        <v>0</v>
      </c>
      <c r="R110" s="1649">
        <v>0</v>
      </c>
      <c r="S110" s="1649">
        <v>0</v>
      </c>
      <c r="T110" s="1509">
        <f t="shared" si="38"/>
        <v>0</v>
      </c>
      <c r="U110" s="1649">
        <v>0</v>
      </c>
      <c r="V110" s="1649">
        <v>0</v>
      </c>
      <c r="W110" s="1649">
        <v>0</v>
      </c>
      <c r="X110" s="1649">
        <v>8.6199999999999992</v>
      </c>
      <c r="Y110" s="1649">
        <v>0</v>
      </c>
      <c r="Z110" s="1649">
        <v>0</v>
      </c>
      <c r="AA110" s="1649">
        <v>0</v>
      </c>
      <c r="AB110" s="1649">
        <v>0</v>
      </c>
      <c r="AC110" s="1649"/>
      <c r="AD110" s="1649"/>
      <c r="AE110" s="1649"/>
      <c r="AF110" s="1649"/>
      <c r="AG110" s="1576">
        <f t="shared" si="39"/>
        <v>0</v>
      </c>
      <c r="AH110" s="1649"/>
      <c r="AI110" s="1649"/>
      <c r="AJ110" s="1650">
        <v>0.2</v>
      </c>
      <c r="AK110" s="1650">
        <v>1</v>
      </c>
      <c r="AL110" s="1649"/>
      <c r="AM110" s="1649"/>
      <c r="AN110" s="1649"/>
      <c r="AO110" s="1649"/>
      <c r="AP110" s="1649">
        <v>0</v>
      </c>
      <c r="AQ110" s="1649">
        <v>0</v>
      </c>
      <c r="AR110" s="1649">
        <v>0</v>
      </c>
      <c r="AS110" s="1649">
        <v>0</v>
      </c>
      <c r="AT110" s="1509">
        <f t="shared" si="40"/>
        <v>0</v>
      </c>
      <c r="AU110" s="1651">
        <v>0</v>
      </c>
      <c r="AV110" s="1651">
        <v>0</v>
      </c>
      <c r="AW110" s="1651">
        <v>0</v>
      </c>
      <c r="AX110" s="1649">
        <v>8.6199999999999992</v>
      </c>
      <c r="AY110" s="1651">
        <v>0</v>
      </c>
      <c r="AZ110" s="1651">
        <v>0</v>
      </c>
      <c r="BA110" s="1651">
        <v>0</v>
      </c>
      <c r="BB110" s="1651">
        <v>0</v>
      </c>
      <c r="BC110" s="1383"/>
      <c r="BD110" s="1383" t="s">
        <v>2096</v>
      </c>
      <c r="BE110" s="1581" t="s">
        <v>939</v>
      </c>
      <c r="BF110" s="1385"/>
    </row>
    <row r="111" spans="1:16381" s="1384" customFormat="1" ht="33.75" customHeight="1" outlineLevel="1" x14ac:dyDescent="0.25">
      <c r="A111" s="1649"/>
      <c r="B111" s="1649" t="s">
        <v>413</v>
      </c>
      <c r="C111" s="1649"/>
      <c r="D111" s="1649"/>
      <c r="E111" s="1649"/>
      <c r="F111" s="1649"/>
      <c r="G111" s="1649">
        <v>1.41</v>
      </c>
      <c r="H111" s="1649"/>
      <c r="I111" s="1649"/>
      <c r="J111" s="1649"/>
      <c r="K111" s="1649"/>
      <c r="L111" s="1649"/>
      <c r="M111" s="1649"/>
      <c r="N111" s="1649"/>
      <c r="O111" s="1649"/>
      <c r="P111" s="1649"/>
      <c r="Q111" s="1649"/>
      <c r="R111" s="1649"/>
      <c r="S111" s="1649"/>
      <c r="T111" s="1509">
        <f t="shared" si="38"/>
        <v>0</v>
      </c>
      <c r="U111" s="1649"/>
      <c r="V111" s="1649"/>
      <c r="W111" s="1652"/>
      <c r="X111" s="1652">
        <v>1.41</v>
      </c>
      <c r="Y111" s="1652"/>
      <c r="Z111" s="1652"/>
      <c r="AA111" s="1652"/>
      <c r="AB111" s="1652"/>
      <c r="AC111" s="1649"/>
      <c r="AD111" s="1649"/>
      <c r="AE111" s="1649"/>
      <c r="AF111" s="1649"/>
      <c r="AG111" s="1576">
        <f t="shared" si="39"/>
        <v>0</v>
      </c>
      <c r="AH111" s="1649"/>
      <c r="AI111" s="1649"/>
      <c r="AJ111" s="1650"/>
      <c r="AK111" s="1650"/>
      <c r="AL111" s="1649"/>
      <c r="AM111" s="1649"/>
      <c r="AN111" s="1649"/>
      <c r="AO111" s="1649"/>
      <c r="AP111" s="1649"/>
      <c r="AQ111" s="1649"/>
      <c r="AR111" s="1649"/>
      <c r="AS111" s="1649"/>
      <c r="AT111" s="1509">
        <f t="shared" si="40"/>
        <v>0</v>
      </c>
      <c r="AU111" s="1651"/>
      <c r="AV111" s="1651"/>
      <c r="AW111" s="1651"/>
      <c r="AX111" s="1649">
        <v>1.41</v>
      </c>
      <c r="AY111" s="1651"/>
      <c r="AZ111" s="1651"/>
      <c r="BA111" s="1651"/>
      <c r="BB111" s="1651"/>
      <c r="BC111" s="1579"/>
      <c r="BD111" s="1579"/>
      <c r="BE111" s="1579" t="s">
        <v>936</v>
      </c>
      <c r="BF111" s="1385"/>
    </row>
    <row r="112" spans="1:16381" s="1654" customFormat="1" ht="87" outlineLevel="1" x14ac:dyDescent="0.25">
      <c r="A112" s="1543" t="s">
        <v>1767</v>
      </c>
      <c r="B112" s="1544" t="s">
        <v>1768</v>
      </c>
      <c r="C112" s="1568" t="s">
        <v>938</v>
      </c>
      <c r="D112" s="1557" t="s">
        <v>936</v>
      </c>
      <c r="E112" s="1560"/>
      <c r="F112" s="1366"/>
      <c r="G112" s="1333"/>
      <c r="H112" s="1333"/>
      <c r="I112" s="1365"/>
      <c r="J112" s="1365"/>
      <c r="K112" s="1411"/>
      <c r="L112" s="1367"/>
      <c r="M112" s="1367"/>
      <c r="N112" s="1368"/>
      <c r="O112" s="1365"/>
      <c r="P112" s="1563">
        <v>0</v>
      </c>
      <c r="Q112" s="1563">
        <f t="shared" ref="Q112:S112" si="50">AQ112</f>
        <v>0</v>
      </c>
      <c r="R112" s="1563">
        <f t="shared" si="50"/>
        <v>0</v>
      </c>
      <c r="S112" s="1563">
        <f t="shared" si="50"/>
        <v>3.8414035910000002</v>
      </c>
      <c r="T112" s="1547">
        <f t="shared" si="38"/>
        <v>3.8414035910000002</v>
      </c>
      <c r="U112" s="1564">
        <v>0</v>
      </c>
      <c r="V112" s="1564"/>
      <c r="W112" s="1564"/>
      <c r="X112" s="1564"/>
      <c r="Y112" s="1564"/>
      <c r="Z112" s="1564"/>
      <c r="AA112" s="1564"/>
      <c r="AB112" s="1564"/>
      <c r="AC112" s="1550">
        <v>0</v>
      </c>
      <c r="AD112" s="1550">
        <v>0</v>
      </c>
      <c r="AE112" s="1550">
        <v>0</v>
      </c>
      <c r="AF112" s="1550">
        <v>0.8</v>
      </c>
      <c r="AG112" s="1550">
        <f t="shared" si="39"/>
        <v>0.8</v>
      </c>
      <c r="AH112" s="1556">
        <v>1</v>
      </c>
      <c r="AI112" s="1556"/>
      <c r="AJ112" s="1556"/>
      <c r="AK112" s="1556"/>
      <c r="AL112" s="1556"/>
      <c r="AM112" s="1556"/>
      <c r="AN112" s="1556"/>
      <c r="AO112" s="1556"/>
      <c r="AP112" s="1563">
        <v>0</v>
      </c>
      <c r="AQ112" s="1563">
        <v>0</v>
      </c>
      <c r="AR112" s="1563">
        <v>0</v>
      </c>
      <c r="AS112" s="1565">
        <v>3.8414035910000002</v>
      </c>
      <c r="AT112" s="1547">
        <f t="shared" si="40"/>
        <v>3.8414035910000002</v>
      </c>
      <c r="AU112" s="1564"/>
      <c r="AV112" s="1564"/>
      <c r="AW112" s="1563"/>
      <c r="AX112" s="1563"/>
      <c r="AY112" s="1563"/>
      <c r="AZ112" s="1563"/>
      <c r="BA112" s="1563"/>
      <c r="BB112" s="1563"/>
      <c r="BC112" s="1365"/>
      <c r="BD112" s="1563"/>
      <c r="BE112" s="1553" t="s">
        <v>941</v>
      </c>
      <c r="BF112" s="1370" t="s">
        <v>1769</v>
      </c>
      <c r="BG112" s="1653"/>
      <c r="BH112" s="1370"/>
      <c r="BI112" s="1371"/>
      <c r="BJ112" s="1370"/>
      <c r="BK112" s="1370"/>
      <c r="BL112" s="1370"/>
      <c r="BM112" s="1370"/>
      <c r="BN112" s="1370"/>
      <c r="BO112" s="1370"/>
      <c r="BP112" s="1370"/>
      <c r="BQ112" s="1370"/>
      <c r="BR112" s="1370"/>
      <c r="BS112" s="1370"/>
      <c r="BT112" s="1370"/>
      <c r="BU112" s="1370"/>
      <c r="BV112" s="1370"/>
      <c r="BW112" s="1370"/>
      <c r="BX112" s="1370"/>
      <c r="BY112" s="1370"/>
      <c r="BZ112" s="1370"/>
      <c r="CA112" s="1370"/>
      <c r="CB112" s="1370"/>
      <c r="CC112" s="1370"/>
      <c r="CD112" s="1370"/>
      <c r="CE112" s="1370"/>
      <c r="CF112" s="1370"/>
      <c r="CG112" s="1370"/>
      <c r="CH112" s="1370"/>
      <c r="CI112" s="1370"/>
      <c r="CJ112" s="1370"/>
      <c r="CK112" s="1370"/>
      <c r="CL112" s="1370"/>
      <c r="CM112" s="1370"/>
      <c r="CN112" s="1370"/>
      <c r="CO112" s="1370"/>
      <c r="CP112" s="1370"/>
      <c r="CQ112" s="1370"/>
      <c r="CR112" s="1370"/>
      <c r="CS112" s="1370"/>
      <c r="CT112" s="1370"/>
      <c r="CU112" s="1370"/>
      <c r="CV112" s="1370"/>
      <c r="CW112" s="1370"/>
      <c r="CX112" s="1370"/>
      <c r="CY112" s="1370"/>
      <c r="CZ112" s="1370"/>
      <c r="DA112" s="1370"/>
      <c r="DB112" s="1370"/>
      <c r="DC112" s="1370"/>
      <c r="DD112" s="1370"/>
      <c r="DE112" s="1370"/>
      <c r="DF112" s="1370"/>
      <c r="DG112" s="1370"/>
      <c r="DH112" s="1370"/>
      <c r="DI112" s="1370"/>
      <c r="DJ112" s="1370"/>
      <c r="DK112" s="1370"/>
      <c r="DL112" s="1370"/>
      <c r="DM112" s="1370"/>
      <c r="DN112" s="1370"/>
      <c r="DO112" s="1370"/>
      <c r="DP112" s="1370"/>
      <c r="DQ112" s="1370"/>
      <c r="DR112" s="1370"/>
      <c r="DS112" s="1370"/>
      <c r="DT112" s="1370"/>
      <c r="DU112" s="1370"/>
      <c r="DV112" s="1370"/>
      <c r="DW112" s="1370"/>
      <c r="DX112" s="1370"/>
      <c r="DY112" s="1370"/>
      <c r="DZ112" s="1370"/>
      <c r="EA112" s="1370"/>
      <c r="EB112" s="1370"/>
      <c r="EC112" s="1370"/>
      <c r="ED112" s="1370"/>
      <c r="EE112" s="1370"/>
      <c r="EF112" s="1370"/>
      <c r="EG112" s="1370"/>
      <c r="EH112" s="1370"/>
      <c r="EI112" s="1370"/>
      <c r="EJ112" s="1370"/>
      <c r="EK112" s="1370"/>
      <c r="EL112" s="1370"/>
      <c r="EM112" s="1370"/>
      <c r="EN112" s="1370"/>
      <c r="EO112" s="1370"/>
      <c r="EP112" s="1370"/>
      <c r="EQ112" s="1370"/>
      <c r="ER112" s="1370"/>
      <c r="ES112" s="1370"/>
      <c r="ET112" s="1370"/>
      <c r="EU112" s="1370"/>
      <c r="EV112" s="1370"/>
      <c r="EW112" s="1370"/>
      <c r="EX112" s="1370"/>
      <c r="EY112" s="1370"/>
      <c r="EZ112" s="1370"/>
      <c r="FA112" s="1370"/>
      <c r="FB112" s="1370"/>
      <c r="FC112" s="1370"/>
      <c r="FD112" s="1370"/>
      <c r="FE112" s="1370"/>
      <c r="FF112" s="1370"/>
      <c r="FG112" s="1370"/>
      <c r="FH112" s="1370"/>
      <c r="FI112" s="1370"/>
      <c r="FJ112" s="1370"/>
      <c r="FK112" s="1370"/>
      <c r="FL112" s="1370"/>
      <c r="FM112" s="1370"/>
      <c r="FN112" s="1370"/>
      <c r="FO112" s="1370"/>
      <c r="FP112" s="1370"/>
      <c r="FQ112" s="1370"/>
      <c r="FR112" s="1370"/>
      <c r="FS112" s="1370"/>
      <c r="FT112" s="1370"/>
      <c r="FU112" s="1370"/>
      <c r="FV112" s="1370"/>
      <c r="FW112" s="1370"/>
      <c r="FX112" s="1370"/>
      <c r="FY112" s="1370"/>
      <c r="FZ112" s="1370"/>
      <c r="GA112" s="1370"/>
      <c r="GB112" s="1370"/>
      <c r="GC112" s="1370"/>
      <c r="GD112" s="1370"/>
      <c r="GE112" s="1370"/>
      <c r="GF112" s="1370"/>
      <c r="GG112" s="1370"/>
      <c r="GH112" s="1370"/>
      <c r="GI112" s="1370"/>
      <c r="GJ112" s="1370"/>
      <c r="GK112" s="1370"/>
      <c r="GL112" s="1370"/>
      <c r="GM112" s="1370"/>
      <c r="GN112" s="1370"/>
      <c r="GO112" s="1370"/>
      <c r="GP112" s="1370"/>
      <c r="GQ112" s="1370"/>
      <c r="GR112" s="1370"/>
      <c r="GS112" s="1370"/>
      <c r="GT112" s="1370"/>
      <c r="GU112" s="1370"/>
      <c r="GV112" s="1370"/>
      <c r="GW112" s="1370"/>
      <c r="GX112" s="1370"/>
      <c r="GY112" s="1370"/>
      <c r="GZ112" s="1370"/>
      <c r="HA112" s="1370"/>
      <c r="HB112" s="1370"/>
      <c r="HC112" s="1370"/>
      <c r="HD112" s="1370"/>
      <c r="HE112" s="1370"/>
      <c r="HF112" s="1370"/>
      <c r="HG112" s="1370"/>
      <c r="HH112" s="1370"/>
      <c r="HI112" s="1370"/>
      <c r="HJ112" s="1370"/>
      <c r="HK112" s="1370"/>
      <c r="HL112" s="1370"/>
      <c r="HM112" s="1370"/>
      <c r="HN112" s="1370"/>
      <c r="HO112" s="1370"/>
      <c r="HP112" s="1370"/>
      <c r="HQ112" s="1370"/>
      <c r="HR112" s="1370"/>
      <c r="HS112" s="1370"/>
      <c r="HT112" s="1370"/>
      <c r="HU112" s="1370"/>
      <c r="HV112" s="1370"/>
      <c r="HW112" s="1370"/>
      <c r="HX112" s="1370"/>
      <c r="HY112" s="1370"/>
      <c r="HZ112" s="1370"/>
      <c r="IA112" s="1370"/>
      <c r="IB112" s="1370"/>
      <c r="IC112" s="1370"/>
      <c r="ID112" s="1370"/>
      <c r="IE112" s="1370"/>
      <c r="IF112" s="1370"/>
      <c r="IG112" s="1370"/>
      <c r="IH112" s="1370"/>
      <c r="II112" s="1370"/>
      <c r="IJ112" s="1370"/>
      <c r="IK112" s="1370"/>
      <c r="IL112" s="1370"/>
      <c r="IM112" s="1370"/>
      <c r="IN112" s="1370"/>
      <c r="IO112" s="1370"/>
      <c r="IP112" s="1370"/>
      <c r="IQ112" s="1370"/>
      <c r="IR112" s="1370"/>
      <c r="IS112" s="1370"/>
      <c r="IT112" s="1370"/>
      <c r="IU112" s="1370"/>
      <c r="IV112" s="1370"/>
      <c r="IW112" s="1370"/>
      <c r="IX112" s="1370"/>
      <c r="IY112" s="1370"/>
      <c r="IZ112" s="1370"/>
      <c r="JA112" s="1370"/>
      <c r="JB112" s="1370"/>
      <c r="JC112" s="1370"/>
      <c r="JD112" s="1370"/>
      <c r="JE112" s="1370"/>
      <c r="JF112" s="1370"/>
      <c r="JG112" s="1370"/>
      <c r="JH112" s="1370"/>
      <c r="JI112" s="1370"/>
      <c r="JJ112" s="1370"/>
      <c r="JK112" s="1370"/>
      <c r="JL112" s="1370"/>
      <c r="JM112" s="1370"/>
      <c r="JN112" s="1370"/>
      <c r="JO112" s="1370"/>
      <c r="JP112" s="1370"/>
      <c r="JQ112" s="1370"/>
      <c r="JR112" s="1370"/>
      <c r="JS112" s="1370"/>
      <c r="JT112" s="1370"/>
      <c r="JU112" s="1370"/>
      <c r="JV112" s="1370"/>
      <c r="JW112" s="1370"/>
      <c r="JX112" s="1370"/>
      <c r="JY112" s="1370"/>
      <c r="JZ112" s="1370"/>
      <c r="KA112" s="1370"/>
      <c r="KB112" s="1370"/>
      <c r="KC112" s="1370"/>
      <c r="KD112" s="1370"/>
      <c r="KE112" s="1370"/>
      <c r="KF112" s="1370"/>
      <c r="KG112" s="1370"/>
      <c r="KH112" s="1370"/>
      <c r="KI112" s="1370"/>
      <c r="KJ112" s="1370"/>
      <c r="KK112" s="1370"/>
      <c r="KL112" s="1370"/>
      <c r="KM112" s="1370"/>
      <c r="KN112" s="1370"/>
      <c r="KO112" s="1370"/>
      <c r="KP112" s="1370"/>
      <c r="KQ112" s="1370"/>
      <c r="KR112" s="1370"/>
      <c r="KS112" s="1370"/>
      <c r="KT112" s="1370"/>
      <c r="KU112" s="1370"/>
      <c r="KV112" s="1370"/>
      <c r="KW112" s="1370"/>
      <c r="KX112" s="1370"/>
      <c r="KY112" s="1370"/>
      <c r="KZ112" s="1370"/>
      <c r="LA112" s="1370"/>
      <c r="LB112" s="1370"/>
      <c r="LC112" s="1370"/>
      <c r="LD112" s="1370"/>
      <c r="LE112" s="1370"/>
      <c r="LF112" s="1370"/>
      <c r="LG112" s="1370"/>
      <c r="LH112" s="1370"/>
      <c r="LI112" s="1370"/>
      <c r="LJ112" s="1370"/>
      <c r="LK112" s="1370"/>
      <c r="LL112" s="1370"/>
      <c r="LM112" s="1370"/>
      <c r="LN112" s="1370"/>
      <c r="LO112" s="1370"/>
      <c r="LP112" s="1370"/>
      <c r="LQ112" s="1370"/>
      <c r="LR112" s="1370"/>
      <c r="LS112" s="1370"/>
      <c r="LT112" s="1370"/>
      <c r="LU112" s="1370"/>
      <c r="LV112" s="1370"/>
      <c r="LW112" s="1370"/>
      <c r="LX112" s="1370"/>
      <c r="LY112" s="1370"/>
      <c r="LZ112" s="1370"/>
      <c r="MA112" s="1370"/>
      <c r="MB112" s="1370"/>
      <c r="MC112" s="1370"/>
      <c r="MD112" s="1370"/>
      <c r="ME112" s="1370"/>
      <c r="MF112" s="1370"/>
      <c r="MG112" s="1370"/>
      <c r="MH112" s="1370"/>
      <c r="MI112" s="1370"/>
      <c r="MJ112" s="1370"/>
      <c r="MK112" s="1370"/>
      <c r="ML112" s="1370"/>
      <c r="MM112" s="1370"/>
      <c r="MN112" s="1370"/>
      <c r="MO112" s="1370"/>
      <c r="MP112" s="1370"/>
      <c r="MQ112" s="1370"/>
      <c r="MR112" s="1370"/>
      <c r="MS112" s="1370"/>
      <c r="MT112" s="1370"/>
      <c r="MU112" s="1370"/>
      <c r="MV112" s="1370"/>
      <c r="MW112" s="1370"/>
      <c r="MX112" s="1370"/>
      <c r="MY112" s="1370"/>
      <c r="MZ112" s="1370"/>
      <c r="NA112" s="1370"/>
      <c r="NB112" s="1370"/>
      <c r="NC112" s="1370"/>
      <c r="ND112" s="1370"/>
      <c r="NE112" s="1370"/>
      <c r="NF112" s="1370"/>
      <c r="NG112" s="1370"/>
      <c r="NH112" s="1370"/>
      <c r="NI112" s="1370"/>
      <c r="NJ112" s="1370"/>
      <c r="NK112" s="1370"/>
      <c r="NL112" s="1370"/>
      <c r="NM112" s="1370"/>
      <c r="NN112" s="1370"/>
      <c r="NO112" s="1370"/>
      <c r="NP112" s="1370"/>
      <c r="NQ112" s="1370"/>
      <c r="NR112" s="1370"/>
      <c r="NS112" s="1370"/>
      <c r="NT112" s="1370"/>
      <c r="NU112" s="1370"/>
      <c r="NV112" s="1370"/>
      <c r="NW112" s="1370"/>
      <c r="NX112" s="1370"/>
      <c r="NY112" s="1370"/>
      <c r="NZ112" s="1370"/>
      <c r="OA112" s="1370"/>
      <c r="OB112" s="1370"/>
      <c r="OC112" s="1370"/>
      <c r="OD112" s="1370"/>
      <c r="OE112" s="1370"/>
      <c r="OF112" s="1370"/>
      <c r="OG112" s="1370"/>
      <c r="OH112" s="1370"/>
      <c r="OI112" s="1370"/>
      <c r="OJ112" s="1370"/>
      <c r="OK112" s="1370"/>
      <c r="OL112" s="1370"/>
      <c r="OM112" s="1370"/>
      <c r="ON112" s="1370"/>
      <c r="OO112" s="1370"/>
      <c r="OP112" s="1370"/>
      <c r="OQ112" s="1370"/>
      <c r="OR112" s="1370"/>
      <c r="OS112" s="1370"/>
      <c r="OT112" s="1370"/>
      <c r="OU112" s="1370"/>
      <c r="OV112" s="1370"/>
      <c r="OW112" s="1370"/>
      <c r="OX112" s="1370"/>
      <c r="OY112" s="1370"/>
      <c r="OZ112" s="1370"/>
      <c r="PA112" s="1370"/>
      <c r="PB112" s="1370"/>
      <c r="PC112" s="1370"/>
      <c r="PD112" s="1370"/>
      <c r="PE112" s="1370"/>
      <c r="PF112" s="1370"/>
      <c r="PG112" s="1370"/>
      <c r="PH112" s="1370"/>
      <c r="PI112" s="1370"/>
      <c r="PJ112" s="1370"/>
      <c r="PK112" s="1370"/>
      <c r="PL112" s="1370"/>
      <c r="PM112" s="1370"/>
      <c r="PN112" s="1370"/>
      <c r="PO112" s="1370"/>
      <c r="PP112" s="1370"/>
      <c r="PQ112" s="1370"/>
      <c r="PR112" s="1370"/>
      <c r="PS112" s="1370"/>
      <c r="PT112" s="1370"/>
      <c r="PU112" s="1370"/>
      <c r="PV112" s="1370"/>
      <c r="PW112" s="1370"/>
      <c r="PX112" s="1370"/>
      <c r="PY112" s="1370"/>
      <c r="PZ112" s="1370"/>
      <c r="QA112" s="1370"/>
      <c r="QB112" s="1370"/>
      <c r="QC112" s="1370"/>
      <c r="QD112" s="1370"/>
      <c r="QE112" s="1370"/>
      <c r="QF112" s="1370"/>
      <c r="QG112" s="1370"/>
      <c r="QH112" s="1370"/>
      <c r="QI112" s="1370"/>
      <c r="QJ112" s="1370"/>
      <c r="QK112" s="1370"/>
      <c r="QL112" s="1370"/>
      <c r="QM112" s="1370"/>
      <c r="QN112" s="1370"/>
      <c r="QO112" s="1370"/>
      <c r="QP112" s="1370"/>
      <c r="QQ112" s="1370"/>
      <c r="QR112" s="1370"/>
      <c r="QS112" s="1370"/>
      <c r="QT112" s="1370"/>
      <c r="QU112" s="1370"/>
      <c r="QV112" s="1370"/>
      <c r="QW112" s="1370"/>
      <c r="QX112" s="1370"/>
      <c r="QY112" s="1370"/>
      <c r="QZ112" s="1370"/>
      <c r="RA112" s="1370"/>
      <c r="RB112" s="1370"/>
      <c r="RC112" s="1370"/>
      <c r="RD112" s="1370"/>
      <c r="RE112" s="1370"/>
      <c r="RF112" s="1370"/>
      <c r="RG112" s="1370"/>
      <c r="RH112" s="1370"/>
      <c r="RI112" s="1370"/>
      <c r="RJ112" s="1370"/>
      <c r="RK112" s="1370"/>
      <c r="RL112" s="1370"/>
      <c r="RM112" s="1370"/>
      <c r="RN112" s="1370"/>
      <c r="RO112" s="1370"/>
      <c r="RP112" s="1370"/>
      <c r="RQ112" s="1370"/>
      <c r="RR112" s="1370"/>
      <c r="RS112" s="1370"/>
      <c r="RT112" s="1370"/>
      <c r="RU112" s="1370"/>
      <c r="RV112" s="1370"/>
      <c r="RW112" s="1370"/>
      <c r="RX112" s="1370"/>
      <c r="RY112" s="1370"/>
      <c r="RZ112" s="1370"/>
      <c r="SA112" s="1370"/>
      <c r="SB112" s="1370"/>
      <c r="SC112" s="1370"/>
      <c r="SD112" s="1370"/>
      <c r="SE112" s="1370"/>
      <c r="SF112" s="1370"/>
      <c r="SG112" s="1370"/>
      <c r="SH112" s="1370"/>
      <c r="SI112" s="1370"/>
      <c r="SJ112" s="1370"/>
      <c r="SK112" s="1370"/>
      <c r="SL112" s="1370"/>
      <c r="SM112" s="1370"/>
      <c r="SN112" s="1370"/>
      <c r="SO112" s="1370"/>
      <c r="SP112" s="1370"/>
      <c r="SQ112" s="1370"/>
      <c r="SR112" s="1370"/>
      <c r="SS112" s="1370"/>
      <c r="ST112" s="1370"/>
      <c r="SU112" s="1370"/>
      <c r="SV112" s="1370"/>
      <c r="SW112" s="1370"/>
      <c r="SX112" s="1370"/>
      <c r="SY112" s="1370"/>
      <c r="SZ112" s="1370"/>
      <c r="TA112" s="1370"/>
      <c r="TB112" s="1370"/>
      <c r="TC112" s="1370"/>
      <c r="TD112" s="1370"/>
      <c r="TE112" s="1370"/>
      <c r="TF112" s="1370"/>
      <c r="TG112" s="1370"/>
      <c r="TH112" s="1370"/>
      <c r="TI112" s="1370"/>
      <c r="TJ112" s="1370"/>
      <c r="TK112" s="1370"/>
      <c r="TL112" s="1370"/>
      <c r="TM112" s="1370"/>
      <c r="TN112" s="1370"/>
      <c r="TO112" s="1370"/>
      <c r="TP112" s="1370"/>
      <c r="TQ112" s="1370"/>
      <c r="TR112" s="1370"/>
      <c r="TS112" s="1370"/>
      <c r="TT112" s="1370"/>
      <c r="TU112" s="1370"/>
      <c r="TV112" s="1370"/>
      <c r="TW112" s="1370"/>
      <c r="TX112" s="1370"/>
      <c r="TY112" s="1370"/>
      <c r="TZ112" s="1370"/>
      <c r="UA112" s="1370"/>
      <c r="UB112" s="1370"/>
      <c r="UC112" s="1370"/>
      <c r="UD112" s="1370"/>
      <c r="UE112" s="1370"/>
      <c r="UF112" s="1370"/>
      <c r="UG112" s="1370"/>
      <c r="UH112" s="1370"/>
      <c r="UI112" s="1370"/>
      <c r="UJ112" s="1370"/>
      <c r="UK112" s="1370"/>
      <c r="UL112" s="1370"/>
      <c r="UM112" s="1370"/>
      <c r="UN112" s="1370"/>
      <c r="UO112" s="1370"/>
      <c r="UP112" s="1370"/>
      <c r="UQ112" s="1370"/>
      <c r="UR112" s="1370"/>
      <c r="US112" s="1370"/>
      <c r="UT112" s="1370"/>
      <c r="UU112" s="1370"/>
      <c r="UV112" s="1370"/>
      <c r="UW112" s="1370"/>
      <c r="UX112" s="1370"/>
      <c r="UY112" s="1370"/>
      <c r="UZ112" s="1370"/>
      <c r="VA112" s="1370"/>
      <c r="VB112" s="1370"/>
      <c r="VC112" s="1370"/>
      <c r="VD112" s="1370"/>
      <c r="VE112" s="1370"/>
      <c r="VF112" s="1370"/>
      <c r="VG112" s="1370"/>
      <c r="VH112" s="1370"/>
      <c r="VI112" s="1370"/>
      <c r="VJ112" s="1370"/>
      <c r="VK112" s="1370"/>
      <c r="VL112" s="1370"/>
      <c r="VM112" s="1370"/>
      <c r="VN112" s="1370"/>
      <c r="VO112" s="1370"/>
      <c r="VP112" s="1370"/>
      <c r="VQ112" s="1370"/>
      <c r="VR112" s="1370"/>
      <c r="VS112" s="1370"/>
      <c r="VT112" s="1370"/>
      <c r="VU112" s="1370"/>
      <c r="VV112" s="1370"/>
      <c r="VW112" s="1370"/>
      <c r="VX112" s="1370"/>
      <c r="VY112" s="1370"/>
      <c r="VZ112" s="1370"/>
      <c r="WA112" s="1370"/>
      <c r="WB112" s="1370"/>
      <c r="WC112" s="1370"/>
      <c r="WD112" s="1370"/>
      <c r="WE112" s="1370"/>
      <c r="WF112" s="1370"/>
      <c r="WG112" s="1370"/>
      <c r="WH112" s="1370"/>
      <c r="WI112" s="1370"/>
      <c r="WJ112" s="1370"/>
      <c r="WK112" s="1370"/>
      <c r="WL112" s="1370"/>
      <c r="WM112" s="1370"/>
      <c r="WN112" s="1370"/>
      <c r="WO112" s="1370"/>
      <c r="WP112" s="1370"/>
      <c r="WQ112" s="1370"/>
      <c r="WR112" s="1370"/>
      <c r="WS112" s="1370"/>
      <c r="WT112" s="1370"/>
      <c r="WU112" s="1370"/>
      <c r="WV112" s="1370"/>
      <c r="WW112" s="1370"/>
      <c r="WX112" s="1370"/>
      <c r="WY112" s="1370"/>
      <c r="WZ112" s="1370"/>
      <c r="XA112" s="1370"/>
      <c r="XB112" s="1370"/>
      <c r="XC112" s="1370"/>
      <c r="XD112" s="1370"/>
      <c r="XE112" s="1370"/>
      <c r="XF112" s="1370"/>
      <c r="XG112" s="1370"/>
      <c r="XH112" s="1370"/>
      <c r="XI112" s="1370"/>
      <c r="XJ112" s="1370"/>
      <c r="XK112" s="1370"/>
      <c r="XL112" s="1370"/>
      <c r="XM112" s="1370"/>
      <c r="XN112" s="1370"/>
      <c r="XO112" s="1370"/>
      <c r="XP112" s="1370"/>
      <c r="XQ112" s="1370"/>
      <c r="XR112" s="1370"/>
      <c r="XS112" s="1370"/>
      <c r="XT112" s="1370"/>
      <c r="XU112" s="1370"/>
      <c r="XV112" s="1370"/>
      <c r="XW112" s="1370"/>
      <c r="XX112" s="1370"/>
      <c r="XY112" s="1370"/>
      <c r="XZ112" s="1370"/>
      <c r="YA112" s="1370"/>
      <c r="YB112" s="1370"/>
      <c r="YC112" s="1370"/>
      <c r="YD112" s="1370"/>
      <c r="YE112" s="1370"/>
      <c r="YF112" s="1370"/>
      <c r="YG112" s="1370"/>
      <c r="YH112" s="1370"/>
      <c r="YI112" s="1370"/>
      <c r="YJ112" s="1370"/>
      <c r="YK112" s="1370"/>
      <c r="YL112" s="1370"/>
      <c r="YM112" s="1370"/>
      <c r="YN112" s="1370"/>
      <c r="YO112" s="1370"/>
      <c r="YP112" s="1370"/>
      <c r="YQ112" s="1370"/>
      <c r="YR112" s="1370"/>
      <c r="YS112" s="1370"/>
      <c r="YT112" s="1370"/>
      <c r="YU112" s="1370"/>
      <c r="YV112" s="1370"/>
      <c r="YW112" s="1370"/>
      <c r="YX112" s="1370"/>
      <c r="YY112" s="1370"/>
      <c r="YZ112" s="1370"/>
      <c r="ZA112" s="1370"/>
      <c r="ZB112" s="1370"/>
      <c r="ZC112" s="1370"/>
      <c r="ZD112" s="1370"/>
      <c r="ZE112" s="1370"/>
      <c r="ZF112" s="1370"/>
      <c r="ZG112" s="1370"/>
      <c r="ZH112" s="1370"/>
      <c r="ZI112" s="1370"/>
      <c r="ZJ112" s="1370"/>
      <c r="ZK112" s="1370"/>
      <c r="ZL112" s="1370"/>
      <c r="ZM112" s="1370"/>
      <c r="ZN112" s="1370"/>
      <c r="ZO112" s="1370"/>
      <c r="ZP112" s="1370"/>
      <c r="ZQ112" s="1370"/>
      <c r="ZR112" s="1370"/>
      <c r="ZS112" s="1370"/>
      <c r="ZT112" s="1370"/>
      <c r="ZU112" s="1370"/>
      <c r="ZV112" s="1370"/>
      <c r="ZW112" s="1370"/>
      <c r="ZX112" s="1370"/>
      <c r="ZY112" s="1370"/>
      <c r="ZZ112" s="1370"/>
      <c r="AAA112" s="1370"/>
      <c r="AAB112" s="1370"/>
      <c r="AAC112" s="1370"/>
      <c r="AAD112" s="1370"/>
      <c r="AAE112" s="1370"/>
      <c r="AAF112" s="1370"/>
      <c r="AAG112" s="1370"/>
      <c r="AAH112" s="1370"/>
      <c r="AAI112" s="1370"/>
      <c r="AAJ112" s="1370"/>
      <c r="AAK112" s="1370"/>
      <c r="AAL112" s="1370"/>
      <c r="AAM112" s="1370"/>
      <c r="AAN112" s="1370"/>
      <c r="AAO112" s="1370"/>
      <c r="AAP112" s="1370"/>
      <c r="AAQ112" s="1370"/>
      <c r="AAR112" s="1370"/>
      <c r="AAS112" s="1370"/>
      <c r="AAT112" s="1370"/>
      <c r="AAU112" s="1370"/>
      <c r="AAV112" s="1370"/>
      <c r="AAW112" s="1370"/>
      <c r="AAX112" s="1370"/>
      <c r="AAY112" s="1370"/>
      <c r="AAZ112" s="1370"/>
      <c r="ABA112" s="1370"/>
      <c r="ABB112" s="1370"/>
      <c r="ABC112" s="1370"/>
      <c r="ABD112" s="1370"/>
      <c r="ABE112" s="1370"/>
      <c r="ABF112" s="1370"/>
      <c r="ABG112" s="1370"/>
      <c r="ABH112" s="1370"/>
      <c r="ABI112" s="1370"/>
      <c r="ABJ112" s="1370"/>
      <c r="ABK112" s="1370"/>
      <c r="ABL112" s="1370"/>
      <c r="ABM112" s="1370"/>
      <c r="ABN112" s="1370"/>
      <c r="ABO112" s="1370"/>
      <c r="ABP112" s="1370"/>
      <c r="ABQ112" s="1370"/>
      <c r="ABR112" s="1370"/>
      <c r="ABS112" s="1370"/>
      <c r="ABT112" s="1370"/>
      <c r="ABU112" s="1370"/>
      <c r="ABV112" s="1370"/>
      <c r="ABW112" s="1370"/>
      <c r="ABX112" s="1370"/>
      <c r="ABY112" s="1370"/>
      <c r="ABZ112" s="1370"/>
      <c r="ACA112" s="1370"/>
      <c r="ACB112" s="1370"/>
      <c r="ACC112" s="1370"/>
      <c r="ACD112" s="1370"/>
      <c r="ACE112" s="1370"/>
      <c r="ACF112" s="1370"/>
      <c r="ACG112" s="1370"/>
      <c r="ACH112" s="1370"/>
      <c r="ACI112" s="1370"/>
      <c r="ACJ112" s="1370"/>
      <c r="ACK112" s="1370"/>
      <c r="ACL112" s="1370"/>
      <c r="ACM112" s="1370"/>
      <c r="ACN112" s="1370"/>
      <c r="ACO112" s="1370"/>
      <c r="ACP112" s="1370"/>
      <c r="ACQ112" s="1370"/>
      <c r="ACR112" s="1370"/>
      <c r="ACS112" s="1370"/>
      <c r="ACT112" s="1370"/>
      <c r="ACU112" s="1370"/>
      <c r="ACV112" s="1370"/>
      <c r="ACW112" s="1370"/>
      <c r="ACX112" s="1370"/>
      <c r="ACY112" s="1370"/>
      <c r="ACZ112" s="1370"/>
      <c r="ADA112" s="1370"/>
      <c r="ADB112" s="1370"/>
      <c r="ADC112" s="1370"/>
      <c r="ADD112" s="1370"/>
      <c r="ADE112" s="1370"/>
      <c r="ADF112" s="1370"/>
      <c r="ADG112" s="1370"/>
      <c r="ADH112" s="1370"/>
      <c r="ADI112" s="1370"/>
      <c r="ADJ112" s="1370"/>
      <c r="ADK112" s="1370"/>
      <c r="ADL112" s="1370"/>
      <c r="ADM112" s="1370"/>
      <c r="ADN112" s="1370"/>
      <c r="ADO112" s="1370"/>
      <c r="ADP112" s="1370"/>
      <c r="ADQ112" s="1370"/>
      <c r="ADR112" s="1370"/>
      <c r="ADS112" s="1370"/>
      <c r="ADT112" s="1370"/>
      <c r="ADU112" s="1370"/>
      <c r="ADV112" s="1370"/>
      <c r="ADW112" s="1370"/>
      <c r="ADX112" s="1370"/>
      <c r="ADY112" s="1370"/>
      <c r="ADZ112" s="1370"/>
      <c r="AEA112" s="1370"/>
      <c r="AEB112" s="1370"/>
      <c r="AEC112" s="1370"/>
      <c r="AED112" s="1370"/>
      <c r="AEE112" s="1370"/>
      <c r="AEF112" s="1370"/>
      <c r="AEG112" s="1370"/>
      <c r="AEH112" s="1370"/>
      <c r="AEI112" s="1370"/>
      <c r="AEJ112" s="1370"/>
      <c r="AEK112" s="1370"/>
      <c r="AEL112" s="1370"/>
      <c r="AEM112" s="1370"/>
      <c r="AEN112" s="1370"/>
      <c r="AEO112" s="1370"/>
      <c r="AEP112" s="1370"/>
      <c r="AEQ112" s="1370"/>
      <c r="AER112" s="1370"/>
      <c r="AES112" s="1370"/>
      <c r="AET112" s="1370"/>
      <c r="AEU112" s="1370"/>
      <c r="AEV112" s="1370"/>
      <c r="AEW112" s="1370"/>
      <c r="AEX112" s="1370"/>
      <c r="AEY112" s="1370"/>
      <c r="AEZ112" s="1370"/>
      <c r="AFA112" s="1370"/>
      <c r="AFB112" s="1370"/>
      <c r="AFC112" s="1370"/>
      <c r="AFD112" s="1370"/>
      <c r="AFE112" s="1370"/>
      <c r="AFF112" s="1370"/>
      <c r="AFG112" s="1370"/>
      <c r="AFH112" s="1370"/>
      <c r="AFI112" s="1370"/>
      <c r="AFJ112" s="1370"/>
      <c r="AFK112" s="1370"/>
      <c r="AFL112" s="1370"/>
      <c r="AFM112" s="1370"/>
      <c r="AFN112" s="1370"/>
      <c r="AFO112" s="1370"/>
      <c r="AFP112" s="1370"/>
      <c r="AFQ112" s="1370"/>
      <c r="AFR112" s="1370"/>
      <c r="AFS112" s="1370"/>
      <c r="AFT112" s="1370"/>
      <c r="AFU112" s="1370"/>
      <c r="AFV112" s="1370"/>
      <c r="AFW112" s="1370"/>
      <c r="AFX112" s="1370"/>
      <c r="AFY112" s="1370"/>
      <c r="AFZ112" s="1370"/>
      <c r="AGA112" s="1370"/>
      <c r="AGB112" s="1370"/>
      <c r="AGC112" s="1370"/>
      <c r="AGD112" s="1370"/>
      <c r="AGE112" s="1370"/>
      <c r="AGF112" s="1370"/>
      <c r="AGG112" s="1370"/>
      <c r="AGH112" s="1370"/>
      <c r="AGI112" s="1370"/>
      <c r="AGJ112" s="1370"/>
      <c r="AGK112" s="1370"/>
      <c r="AGL112" s="1370"/>
      <c r="AGM112" s="1370"/>
      <c r="AGN112" s="1370"/>
      <c r="AGO112" s="1370"/>
      <c r="AGP112" s="1370"/>
      <c r="AGQ112" s="1370"/>
      <c r="AGR112" s="1370"/>
      <c r="AGS112" s="1370"/>
      <c r="AGT112" s="1370"/>
      <c r="AGU112" s="1370"/>
      <c r="AGV112" s="1370"/>
      <c r="AGW112" s="1370"/>
      <c r="AGX112" s="1370"/>
      <c r="AGY112" s="1370"/>
      <c r="AGZ112" s="1370"/>
      <c r="AHA112" s="1370"/>
      <c r="AHB112" s="1370"/>
      <c r="AHC112" s="1370"/>
      <c r="AHD112" s="1370"/>
      <c r="AHE112" s="1370"/>
      <c r="AHF112" s="1370"/>
      <c r="AHG112" s="1370"/>
      <c r="AHH112" s="1370"/>
      <c r="AHI112" s="1370"/>
      <c r="AHJ112" s="1370"/>
      <c r="AHK112" s="1370"/>
      <c r="AHL112" s="1370"/>
      <c r="AHM112" s="1370"/>
      <c r="AHN112" s="1370"/>
      <c r="AHO112" s="1370"/>
      <c r="AHP112" s="1370"/>
      <c r="AHQ112" s="1370"/>
      <c r="AHR112" s="1370"/>
      <c r="AHS112" s="1370"/>
      <c r="AHT112" s="1370"/>
      <c r="AHU112" s="1370"/>
      <c r="AHV112" s="1370"/>
      <c r="AHW112" s="1370"/>
      <c r="AHX112" s="1370"/>
      <c r="AHY112" s="1370"/>
      <c r="AHZ112" s="1370"/>
      <c r="AIA112" s="1370"/>
      <c r="AIB112" s="1370"/>
      <c r="AIC112" s="1370"/>
      <c r="AID112" s="1370"/>
      <c r="AIE112" s="1370"/>
      <c r="AIF112" s="1370"/>
      <c r="AIG112" s="1370"/>
      <c r="AIH112" s="1370"/>
      <c r="AII112" s="1370"/>
      <c r="AIJ112" s="1370"/>
      <c r="AIK112" s="1370"/>
      <c r="AIL112" s="1370"/>
      <c r="AIM112" s="1370"/>
      <c r="AIN112" s="1370"/>
      <c r="AIO112" s="1370"/>
      <c r="AIP112" s="1370"/>
      <c r="AIQ112" s="1370"/>
      <c r="AIR112" s="1370"/>
      <c r="AIS112" s="1370"/>
      <c r="AIT112" s="1370"/>
      <c r="AIU112" s="1370"/>
      <c r="AIV112" s="1370"/>
      <c r="AIW112" s="1370"/>
      <c r="AIX112" s="1370"/>
      <c r="AIY112" s="1370"/>
      <c r="AIZ112" s="1370"/>
      <c r="AJA112" s="1370"/>
      <c r="AJB112" s="1370"/>
      <c r="AJC112" s="1370"/>
      <c r="AJD112" s="1370"/>
      <c r="AJE112" s="1370"/>
      <c r="AJF112" s="1370"/>
      <c r="AJG112" s="1370"/>
      <c r="AJH112" s="1370"/>
      <c r="AJI112" s="1370"/>
      <c r="AJJ112" s="1370"/>
      <c r="AJK112" s="1370"/>
      <c r="AJL112" s="1370"/>
      <c r="AJM112" s="1370"/>
      <c r="AJN112" s="1370"/>
      <c r="AJO112" s="1370"/>
      <c r="AJP112" s="1370"/>
      <c r="AJQ112" s="1370"/>
      <c r="AJR112" s="1370"/>
      <c r="AJS112" s="1370"/>
      <c r="AJT112" s="1370"/>
      <c r="AJU112" s="1370"/>
      <c r="AJV112" s="1370"/>
      <c r="AJW112" s="1370"/>
      <c r="AJX112" s="1370"/>
      <c r="AJY112" s="1370"/>
      <c r="AJZ112" s="1370"/>
      <c r="AKA112" s="1370"/>
      <c r="AKB112" s="1370"/>
      <c r="AKC112" s="1370"/>
      <c r="AKD112" s="1370"/>
      <c r="AKE112" s="1370"/>
      <c r="AKF112" s="1370"/>
      <c r="AKG112" s="1370"/>
      <c r="AKH112" s="1370"/>
      <c r="AKI112" s="1370"/>
      <c r="AKJ112" s="1370"/>
      <c r="AKK112" s="1370"/>
      <c r="AKL112" s="1370"/>
      <c r="AKM112" s="1370"/>
      <c r="AKN112" s="1370"/>
      <c r="AKO112" s="1370"/>
      <c r="AKP112" s="1370"/>
      <c r="AKQ112" s="1370"/>
      <c r="AKR112" s="1370"/>
      <c r="AKS112" s="1370"/>
      <c r="AKT112" s="1370"/>
      <c r="AKU112" s="1370"/>
      <c r="AKV112" s="1370"/>
      <c r="AKW112" s="1370"/>
      <c r="AKX112" s="1370"/>
      <c r="AKY112" s="1370"/>
      <c r="AKZ112" s="1370"/>
      <c r="ALA112" s="1370"/>
      <c r="ALB112" s="1370"/>
      <c r="ALC112" s="1370"/>
      <c r="ALD112" s="1370"/>
      <c r="ALE112" s="1370"/>
      <c r="ALF112" s="1370"/>
      <c r="ALG112" s="1370"/>
      <c r="ALH112" s="1370"/>
      <c r="ALI112" s="1370"/>
      <c r="ALJ112" s="1370"/>
      <c r="ALK112" s="1370"/>
      <c r="ALL112" s="1370"/>
      <c r="ALM112" s="1370"/>
      <c r="ALN112" s="1370"/>
      <c r="ALO112" s="1370"/>
      <c r="ALP112" s="1370"/>
      <c r="ALQ112" s="1370"/>
      <c r="ALR112" s="1370"/>
      <c r="ALS112" s="1370"/>
      <c r="ALT112" s="1370"/>
      <c r="ALU112" s="1370"/>
      <c r="ALV112" s="1370"/>
      <c r="ALW112" s="1370"/>
      <c r="ALX112" s="1370"/>
      <c r="ALY112" s="1370"/>
      <c r="ALZ112" s="1370"/>
      <c r="AMA112" s="1370"/>
      <c r="AMB112" s="1370"/>
      <c r="AMC112" s="1370"/>
      <c r="AMD112" s="1370"/>
      <c r="AME112" s="1370"/>
      <c r="AMF112" s="1370"/>
      <c r="AMG112" s="1370"/>
      <c r="AMH112" s="1370"/>
      <c r="AMI112" s="1370"/>
      <c r="AMJ112" s="1370"/>
      <c r="AMK112" s="1370"/>
      <c r="AML112" s="1370"/>
      <c r="AMM112" s="1370"/>
      <c r="AMN112" s="1370"/>
      <c r="AMO112" s="1370"/>
      <c r="AMP112" s="1370"/>
      <c r="AMQ112" s="1370"/>
      <c r="AMR112" s="1370"/>
      <c r="AMS112" s="1370"/>
      <c r="AMT112" s="1370"/>
      <c r="AMU112" s="1370"/>
      <c r="AMV112" s="1370"/>
      <c r="AMW112" s="1370"/>
      <c r="AMX112" s="1370"/>
      <c r="AMY112" s="1370"/>
      <c r="AMZ112" s="1370"/>
      <c r="ANA112" s="1370"/>
      <c r="ANB112" s="1370"/>
      <c r="ANC112" s="1370"/>
      <c r="AND112" s="1370"/>
      <c r="ANE112" s="1370"/>
      <c r="ANF112" s="1370"/>
      <c r="ANG112" s="1370"/>
      <c r="ANH112" s="1370"/>
      <c r="ANI112" s="1370"/>
      <c r="ANJ112" s="1370"/>
      <c r="ANK112" s="1370"/>
      <c r="ANL112" s="1370"/>
      <c r="ANM112" s="1370"/>
      <c r="ANN112" s="1370"/>
      <c r="ANO112" s="1370"/>
      <c r="ANP112" s="1370"/>
      <c r="ANQ112" s="1370"/>
      <c r="ANR112" s="1370"/>
      <c r="ANS112" s="1370"/>
      <c r="ANT112" s="1370"/>
      <c r="ANU112" s="1370"/>
      <c r="ANV112" s="1370"/>
      <c r="ANW112" s="1370"/>
      <c r="ANX112" s="1370"/>
      <c r="ANY112" s="1370"/>
      <c r="ANZ112" s="1370"/>
      <c r="AOA112" s="1370"/>
      <c r="AOB112" s="1370"/>
      <c r="AOC112" s="1370"/>
      <c r="AOD112" s="1370"/>
      <c r="AOE112" s="1370"/>
      <c r="AOF112" s="1370"/>
      <c r="AOG112" s="1370"/>
      <c r="AOH112" s="1370"/>
      <c r="AOI112" s="1370"/>
      <c r="AOJ112" s="1370"/>
      <c r="AOK112" s="1370"/>
      <c r="AOL112" s="1370"/>
      <c r="AOM112" s="1370"/>
      <c r="AON112" s="1370"/>
      <c r="AOO112" s="1370"/>
      <c r="AOP112" s="1370"/>
      <c r="AOQ112" s="1370"/>
      <c r="AOR112" s="1370"/>
      <c r="AOS112" s="1370"/>
      <c r="AOT112" s="1370"/>
      <c r="AOU112" s="1370"/>
      <c r="AOV112" s="1370"/>
      <c r="AOW112" s="1370"/>
      <c r="AOX112" s="1370"/>
      <c r="AOY112" s="1370"/>
      <c r="AOZ112" s="1370"/>
      <c r="APA112" s="1370"/>
      <c r="APB112" s="1370"/>
      <c r="APC112" s="1370"/>
      <c r="APD112" s="1370"/>
      <c r="APE112" s="1370"/>
      <c r="APF112" s="1370"/>
      <c r="APG112" s="1370"/>
      <c r="APH112" s="1370"/>
      <c r="API112" s="1370"/>
      <c r="APJ112" s="1370"/>
      <c r="APK112" s="1370"/>
      <c r="APL112" s="1370"/>
      <c r="APM112" s="1370"/>
      <c r="APN112" s="1370"/>
      <c r="APO112" s="1370"/>
      <c r="APP112" s="1370"/>
      <c r="APQ112" s="1370"/>
      <c r="APR112" s="1370"/>
      <c r="APS112" s="1370"/>
      <c r="APT112" s="1370"/>
      <c r="APU112" s="1370"/>
      <c r="APV112" s="1370"/>
      <c r="APW112" s="1370"/>
      <c r="APX112" s="1370"/>
      <c r="APY112" s="1370"/>
      <c r="APZ112" s="1370"/>
      <c r="AQA112" s="1370"/>
      <c r="AQB112" s="1370"/>
      <c r="AQC112" s="1370"/>
      <c r="AQD112" s="1370"/>
      <c r="AQE112" s="1370"/>
      <c r="AQF112" s="1370"/>
      <c r="AQG112" s="1370"/>
      <c r="AQH112" s="1370"/>
      <c r="AQI112" s="1370"/>
      <c r="AQJ112" s="1370"/>
      <c r="AQK112" s="1370"/>
      <c r="AQL112" s="1370"/>
      <c r="AQM112" s="1370"/>
      <c r="AQN112" s="1370"/>
      <c r="AQO112" s="1370"/>
      <c r="AQP112" s="1370"/>
      <c r="AQQ112" s="1370"/>
      <c r="AQR112" s="1370"/>
      <c r="AQS112" s="1370"/>
      <c r="AQT112" s="1370"/>
      <c r="AQU112" s="1370"/>
      <c r="AQV112" s="1370"/>
      <c r="AQW112" s="1370"/>
      <c r="AQX112" s="1370"/>
      <c r="AQY112" s="1370"/>
      <c r="AQZ112" s="1370"/>
      <c r="ARA112" s="1370"/>
      <c r="ARB112" s="1370"/>
      <c r="ARC112" s="1370"/>
      <c r="ARD112" s="1370"/>
      <c r="ARE112" s="1370"/>
      <c r="ARF112" s="1370"/>
      <c r="ARG112" s="1370"/>
      <c r="ARH112" s="1370"/>
      <c r="ARI112" s="1370"/>
      <c r="ARJ112" s="1370"/>
      <c r="ARK112" s="1370"/>
      <c r="ARL112" s="1370"/>
      <c r="ARM112" s="1370"/>
      <c r="ARN112" s="1370"/>
      <c r="ARO112" s="1370"/>
      <c r="ARP112" s="1370"/>
      <c r="ARQ112" s="1370"/>
      <c r="ARR112" s="1370"/>
      <c r="ARS112" s="1370"/>
      <c r="ART112" s="1370"/>
      <c r="ARU112" s="1370"/>
      <c r="ARV112" s="1370"/>
      <c r="ARW112" s="1370"/>
      <c r="ARX112" s="1370"/>
      <c r="ARY112" s="1370"/>
      <c r="ARZ112" s="1370"/>
      <c r="ASA112" s="1370"/>
      <c r="ASB112" s="1370"/>
      <c r="ASC112" s="1370"/>
      <c r="ASD112" s="1370"/>
      <c r="ASE112" s="1370"/>
      <c r="ASF112" s="1370"/>
      <c r="ASG112" s="1370"/>
      <c r="ASH112" s="1370"/>
      <c r="ASI112" s="1370"/>
      <c r="ASJ112" s="1370"/>
      <c r="ASK112" s="1370"/>
      <c r="ASL112" s="1370"/>
      <c r="ASM112" s="1370"/>
      <c r="ASN112" s="1370"/>
      <c r="ASO112" s="1370"/>
      <c r="ASP112" s="1370"/>
      <c r="ASQ112" s="1370"/>
      <c r="ASR112" s="1370"/>
      <c r="ASS112" s="1370"/>
      <c r="AST112" s="1370"/>
      <c r="ASU112" s="1370"/>
      <c r="ASV112" s="1370"/>
      <c r="ASW112" s="1370"/>
      <c r="ASX112" s="1370"/>
      <c r="ASY112" s="1370"/>
      <c r="ASZ112" s="1370"/>
      <c r="ATA112" s="1370"/>
      <c r="ATB112" s="1370"/>
      <c r="ATC112" s="1370"/>
      <c r="ATD112" s="1370"/>
      <c r="ATE112" s="1370"/>
      <c r="ATF112" s="1370"/>
      <c r="ATG112" s="1370"/>
      <c r="ATH112" s="1370"/>
      <c r="ATI112" s="1370"/>
      <c r="ATJ112" s="1370"/>
      <c r="ATK112" s="1370"/>
      <c r="ATL112" s="1370"/>
      <c r="ATM112" s="1370"/>
      <c r="ATN112" s="1370"/>
      <c r="ATO112" s="1370"/>
      <c r="ATP112" s="1370"/>
      <c r="ATQ112" s="1370"/>
      <c r="ATR112" s="1370"/>
      <c r="ATS112" s="1370"/>
      <c r="ATT112" s="1370"/>
      <c r="ATU112" s="1370"/>
      <c r="ATV112" s="1370"/>
      <c r="ATW112" s="1370"/>
      <c r="ATX112" s="1370"/>
      <c r="ATY112" s="1370"/>
      <c r="ATZ112" s="1370"/>
      <c r="AUA112" s="1370"/>
      <c r="AUB112" s="1370"/>
      <c r="AUC112" s="1370"/>
      <c r="AUD112" s="1370"/>
      <c r="AUE112" s="1370"/>
      <c r="AUF112" s="1370"/>
      <c r="AUG112" s="1370"/>
      <c r="AUH112" s="1370"/>
      <c r="AUI112" s="1370"/>
      <c r="AUJ112" s="1370"/>
      <c r="AUK112" s="1370"/>
      <c r="AUL112" s="1370"/>
      <c r="AUM112" s="1370"/>
      <c r="AUN112" s="1370"/>
      <c r="AUO112" s="1370"/>
      <c r="AUP112" s="1370"/>
      <c r="AUQ112" s="1370"/>
      <c r="AUR112" s="1370"/>
      <c r="AUS112" s="1370"/>
      <c r="AUT112" s="1370"/>
      <c r="AUU112" s="1370"/>
      <c r="AUV112" s="1370"/>
      <c r="AUW112" s="1370"/>
      <c r="AUX112" s="1370"/>
      <c r="AUY112" s="1370"/>
      <c r="AUZ112" s="1370"/>
      <c r="AVA112" s="1370"/>
      <c r="AVB112" s="1370"/>
      <c r="AVC112" s="1370"/>
      <c r="AVD112" s="1370"/>
      <c r="AVE112" s="1370"/>
      <c r="AVF112" s="1370"/>
      <c r="AVG112" s="1370"/>
      <c r="AVH112" s="1370"/>
      <c r="AVI112" s="1370"/>
      <c r="AVJ112" s="1370"/>
      <c r="AVK112" s="1370"/>
      <c r="AVL112" s="1370"/>
      <c r="AVM112" s="1370"/>
      <c r="AVN112" s="1370"/>
      <c r="AVO112" s="1370"/>
      <c r="AVP112" s="1370"/>
      <c r="AVQ112" s="1370"/>
      <c r="AVR112" s="1370"/>
      <c r="AVS112" s="1370"/>
      <c r="AVT112" s="1370"/>
      <c r="AVU112" s="1370"/>
      <c r="AVV112" s="1370"/>
      <c r="AVW112" s="1370"/>
      <c r="AVX112" s="1370"/>
      <c r="AVY112" s="1370"/>
      <c r="AVZ112" s="1370"/>
      <c r="AWA112" s="1370"/>
      <c r="AWB112" s="1370"/>
      <c r="AWC112" s="1370"/>
      <c r="AWD112" s="1370"/>
      <c r="AWE112" s="1370"/>
      <c r="AWF112" s="1370"/>
      <c r="AWG112" s="1370"/>
      <c r="AWH112" s="1370"/>
      <c r="AWI112" s="1370"/>
      <c r="AWJ112" s="1370"/>
      <c r="AWK112" s="1370"/>
      <c r="AWL112" s="1370"/>
      <c r="AWM112" s="1370"/>
      <c r="AWN112" s="1370"/>
      <c r="AWO112" s="1370"/>
      <c r="AWP112" s="1370"/>
      <c r="AWQ112" s="1370"/>
      <c r="AWR112" s="1370"/>
      <c r="AWS112" s="1370"/>
      <c r="AWT112" s="1370"/>
      <c r="AWU112" s="1370"/>
      <c r="AWV112" s="1370"/>
      <c r="AWW112" s="1370"/>
      <c r="AWX112" s="1370"/>
      <c r="AWY112" s="1370"/>
      <c r="AWZ112" s="1370"/>
      <c r="AXA112" s="1370"/>
      <c r="AXB112" s="1370"/>
      <c r="AXC112" s="1370"/>
      <c r="AXD112" s="1370"/>
      <c r="AXE112" s="1370"/>
      <c r="AXF112" s="1370"/>
      <c r="AXG112" s="1370"/>
      <c r="AXH112" s="1370"/>
      <c r="AXI112" s="1370"/>
      <c r="AXJ112" s="1370"/>
      <c r="AXK112" s="1370"/>
      <c r="AXL112" s="1370"/>
      <c r="AXM112" s="1370"/>
      <c r="AXN112" s="1370"/>
      <c r="AXO112" s="1370"/>
      <c r="AXP112" s="1370"/>
      <c r="AXQ112" s="1370"/>
      <c r="AXR112" s="1370"/>
      <c r="AXS112" s="1370"/>
      <c r="AXT112" s="1370"/>
      <c r="AXU112" s="1370"/>
      <c r="AXV112" s="1370"/>
      <c r="AXW112" s="1370"/>
      <c r="AXX112" s="1370"/>
      <c r="AXY112" s="1370"/>
      <c r="AXZ112" s="1370"/>
      <c r="AYA112" s="1370"/>
      <c r="AYB112" s="1370"/>
      <c r="AYC112" s="1370"/>
      <c r="AYD112" s="1370"/>
      <c r="AYE112" s="1370"/>
      <c r="AYF112" s="1370"/>
      <c r="AYG112" s="1370"/>
      <c r="AYH112" s="1370"/>
      <c r="AYI112" s="1370"/>
      <c r="AYJ112" s="1370"/>
      <c r="AYK112" s="1370"/>
      <c r="AYL112" s="1370"/>
      <c r="AYM112" s="1370"/>
      <c r="AYN112" s="1370"/>
      <c r="AYO112" s="1370"/>
      <c r="AYP112" s="1370"/>
      <c r="AYQ112" s="1370"/>
      <c r="AYR112" s="1370"/>
      <c r="AYS112" s="1370"/>
      <c r="AYT112" s="1370"/>
      <c r="AYU112" s="1370"/>
      <c r="AYV112" s="1370"/>
      <c r="AYW112" s="1370"/>
      <c r="AYX112" s="1370"/>
      <c r="AYY112" s="1370"/>
      <c r="AYZ112" s="1370"/>
      <c r="AZA112" s="1370"/>
      <c r="AZB112" s="1370"/>
      <c r="AZC112" s="1370"/>
      <c r="AZD112" s="1370"/>
      <c r="AZE112" s="1370"/>
      <c r="AZF112" s="1370"/>
      <c r="AZG112" s="1370"/>
      <c r="AZH112" s="1370"/>
      <c r="AZI112" s="1370"/>
      <c r="AZJ112" s="1370"/>
      <c r="AZK112" s="1370"/>
      <c r="AZL112" s="1370"/>
      <c r="AZM112" s="1370"/>
      <c r="AZN112" s="1370"/>
      <c r="AZO112" s="1370"/>
      <c r="AZP112" s="1370"/>
      <c r="AZQ112" s="1370"/>
      <c r="AZR112" s="1370"/>
      <c r="AZS112" s="1370"/>
      <c r="AZT112" s="1370"/>
      <c r="AZU112" s="1370"/>
      <c r="AZV112" s="1370"/>
      <c r="AZW112" s="1370"/>
      <c r="AZX112" s="1370"/>
      <c r="AZY112" s="1370"/>
      <c r="AZZ112" s="1370"/>
      <c r="BAA112" s="1370"/>
      <c r="BAB112" s="1370"/>
      <c r="BAC112" s="1370"/>
      <c r="BAD112" s="1370"/>
      <c r="BAE112" s="1370"/>
      <c r="BAF112" s="1370"/>
      <c r="BAG112" s="1370"/>
      <c r="BAH112" s="1370"/>
      <c r="BAI112" s="1370"/>
      <c r="BAJ112" s="1370"/>
      <c r="BAK112" s="1370"/>
      <c r="BAL112" s="1370"/>
      <c r="BAM112" s="1370"/>
      <c r="BAN112" s="1370"/>
      <c r="BAO112" s="1370"/>
      <c r="BAP112" s="1370"/>
      <c r="BAQ112" s="1370"/>
      <c r="BAR112" s="1370"/>
      <c r="BAS112" s="1370"/>
      <c r="BAT112" s="1370"/>
      <c r="BAU112" s="1370"/>
      <c r="BAV112" s="1370"/>
      <c r="BAW112" s="1370"/>
      <c r="BAX112" s="1370"/>
      <c r="BAY112" s="1370"/>
      <c r="BAZ112" s="1370"/>
      <c r="BBA112" s="1370"/>
      <c r="BBB112" s="1370"/>
      <c r="BBC112" s="1370"/>
      <c r="BBD112" s="1370"/>
      <c r="BBE112" s="1370"/>
      <c r="BBF112" s="1370"/>
      <c r="BBG112" s="1370"/>
      <c r="BBH112" s="1370"/>
      <c r="BBI112" s="1370"/>
      <c r="BBJ112" s="1370"/>
      <c r="BBK112" s="1370"/>
      <c r="BBL112" s="1370"/>
      <c r="BBM112" s="1370"/>
      <c r="BBN112" s="1370"/>
      <c r="BBO112" s="1370"/>
      <c r="BBP112" s="1370"/>
      <c r="BBQ112" s="1370"/>
      <c r="BBR112" s="1370"/>
      <c r="BBS112" s="1370"/>
      <c r="BBT112" s="1370"/>
      <c r="BBU112" s="1370"/>
      <c r="BBV112" s="1370"/>
      <c r="BBW112" s="1370"/>
      <c r="BBX112" s="1370"/>
      <c r="BBY112" s="1370"/>
      <c r="BBZ112" s="1370"/>
      <c r="BCA112" s="1370"/>
      <c r="BCB112" s="1370"/>
      <c r="BCC112" s="1370"/>
      <c r="BCD112" s="1370"/>
      <c r="BCE112" s="1370"/>
      <c r="BCF112" s="1370"/>
      <c r="BCG112" s="1370"/>
      <c r="BCH112" s="1370"/>
      <c r="BCI112" s="1370"/>
      <c r="BCJ112" s="1370"/>
      <c r="BCK112" s="1370"/>
      <c r="BCL112" s="1370"/>
      <c r="BCM112" s="1370"/>
      <c r="BCN112" s="1370"/>
      <c r="BCO112" s="1370"/>
      <c r="BCP112" s="1370"/>
      <c r="BCQ112" s="1370"/>
      <c r="BCR112" s="1370"/>
      <c r="BCS112" s="1370"/>
      <c r="BCT112" s="1370"/>
      <c r="BCU112" s="1370"/>
      <c r="BCV112" s="1370"/>
      <c r="BCW112" s="1370"/>
      <c r="BCX112" s="1370"/>
      <c r="BCY112" s="1370"/>
      <c r="BCZ112" s="1370"/>
      <c r="BDA112" s="1370"/>
      <c r="BDB112" s="1370"/>
      <c r="BDC112" s="1370"/>
      <c r="BDD112" s="1370"/>
      <c r="BDE112" s="1370"/>
      <c r="BDF112" s="1370"/>
      <c r="BDG112" s="1370"/>
      <c r="BDH112" s="1370"/>
      <c r="BDI112" s="1370"/>
      <c r="BDJ112" s="1370"/>
      <c r="BDK112" s="1370"/>
      <c r="BDL112" s="1370"/>
      <c r="BDM112" s="1370"/>
      <c r="BDN112" s="1370"/>
      <c r="BDO112" s="1370"/>
      <c r="BDP112" s="1370"/>
      <c r="BDQ112" s="1370"/>
      <c r="BDR112" s="1370"/>
      <c r="BDS112" s="1370"/>
      <c r="BDT112" s="1370"/>
      <c r="BDU112" s="1370"/>
      <c r="BDV112" s="1370"/>
      <c r="BDW112" s="1370"/>
      <c r="BDX112" s="1370"/>
      <c r="BDY112" s="1370"/>
      <c r="BDZ112" s="1370"/>
      <c r="BEA112" s="1370"/>
      <c r="BEB112" s="1370"/>
      <c r="BEC112" s="1370"/>
      <c r="BED112" s="1370"/>
      <c r="BEE112" s="1370"/>
      <c r="BEF112" s="1370"/>
      <c r="BEG112" s="1370"/>
      <c r="BEH112" s="1370"/>
      <c r="BEI112" s="1370"/>
      <c r="BEJ112" s="1370"/>
      <c r="BEK112" s="1370"/>
      <c r="BEL112" s="1370"/>
      <c r="BEM112" s="1370"/>
      <c r="BEN112" s="1370"/>
      <c r="BEO112" s="1370"/>
      <c r="BEP112" s="1370"/>
      <c r="BEQ112" s="1370"/>
      <c r="BER112" s="1370"/>
      <c r="BES112" s="1370"/>
      <c r="BET112" s="1370"/>
      <c r="BEU112" s="1370"/>
      <c r="BEV112" s="1370"/>
      <c r="BEW112" s="1370"/>
      <c r="BEX112" s="1370"/>
      <c r="BEY112" s="1370"/>
      <c r="BEZ112" s="1370"/>
      <c r="BFA112" s="1370"/>
      <c r="BFB112" s="1370"/>
      <c r="BFC112" s="1370"/>
      <c r="BFD112" s="1370"/>
      <c r="BFE112" s="1370"/>
      <c r="BFF112" s="1370"/>
      <c r="BFG112" s="1370"/>
      <c r="BFH112" s="1370"/>
      <c r="BFI112" s="1370"/>
      <c r="BFJ112" s="1370"/>
      <c r="BFK112" s="1370"/>
      <c r="BFL112" s="1370"/>
      <c r="BFM112" s="1370"/>
      <c r="BFN112" s="1370"/>
      <c r="BFO112" s="1370"/>
      <c r="BFP112" s="1370"/>
      <c r="BFQ112" s="1370"/>
      <c r="BFR112" s="1370"/>
      <c r="BFS112" s="1370"/>
      <c r="BFT112" s="1370"/>
      <c r="BFU112" s="1370"/>
      <c r="BFV112" s="1370"/>
      <c r="BFW112" s="1370"/>
      <c r="BFX112" s="1370"/>
      <c r="BFY112" s="1370"/>
      <c r="BFZ112" s="1370"/>
      <c r="BGA112" s="1370"/>
      <c r="BGB112" s="1370"/>
      <c r="BGC112" s="1370"/>
      <c r="BGD112" s="1370"/>
      <c r="BGE112" s="1370"/>
      <c r="BGF112" s="1370"/>
      <c r="BGG112" s="1370"/>
      <c r="BGH112" s="1370"/>
      <c r="BGI112" s="1370"/>
      <c r="BGJ112" s="1370"/>
      <c r="BGK112" s="1370"/>
      <c r="BGL112" s="1370"/>
      <c r="BGM112" s="1370"/>
      <c r="BGN112" s="1370"/>
      <c r="BGO112" s="1370"/>
      <c r="BGP112" s="1370"/>
      <c r="BGQ112" s="1370"/>
      <c r="BGR112" s="1370"/>
      <c r="BGS112" s="1370"/>
      <c r="BGT112" s="1370"/>
      <c r="BGU112" s="1370"/>
      <c r="BGV112" s="1370"/>
      <c r="BGW112" s="1370"/>
      <c r="BGX112" s="1370"/>
      <c r="BGY112" s="1370"/>
      <c r="BGZ112" s="1370"/>
      <c r="BHA112" s="1370"/>
      <c r="BHB112" s="1370"/>
      <c r="BHC112" s="1370"/>
      <c r="BHD112" s="1370"/>
      <c r="BHE112" s="1370"/>
      <c r="BHF112" s="1370"/>
      <c r="BHG112" s="1370"/>
      <c r="BHH112" s="1370"/>
      <c r="BHI112" s="1370"/>
      <c r="BHJ112" s="1370"/>
      <c r="BHK112" s="1370"/>
      <c r="BHL112" s="1370"/>
      <c r="BHM112" s="1370"/>
      <c r="BHN112" s="1370"/>
      <c r="BHO112" s="1370"/>
      <c r="BHP112" s="1370"/>
      <c r="BHQ112" s="1370"/>
      <c r="BHR112" s="1370"/>
      <c r="BHS112" s="1370"/>
      <c r="BHT112" s="1370"/>
      <c r="BHU112" s="1370"/>
      <c r="BHV112" s="1370"/>
      <c r="BHW112" s="1370"/>
      <c r="BHX112" s="1370"/>
      <c r="BHY112" s="1370"/>
      <c r="BHZ112" s="1370"/>
      <c r="BIA112" s="1370"/>
      <c r="BIB112" s="1370"/>
      <c r="BIC112" s="1370"/>
      <c r="BID112" s="1370"/>
      <c r="BIE112" s="1370"/>
      <c r="BIF112" s="1370"/>
      <c r="BIG112" s="1370"/>
      <c r="BIH112" s="1370"/>
      <c r="BII112" s="1370"/>
      <c r="BIJ112" s="1370"/>
      <c r="BIK112" s="1370"/>
      <c r="BIL112" s="1370"/>
      <c r="BIM112" s="1370"/>
      <c r="BIN112" s="1370"/>
      <c r="BIO112" s="1370"/>
      <c r="BIP112" s="1370"/>
      <c r="BIQ112" s="1370"/>
      <c r="BIR112" s="1370"/>
      <c r="BIS112" s="1370"/>
      <c r="BIT112" s="1370"/>
      <c r="BIU112" s="1370"/>
      <c r="BIV112" s="1370"/>
      <c r="BIW112" s="1370"/>
      <c r="BIX112" s="1370"/>
      <c r="BIY112" s="1370"/>
      <c r="BIZ112" s="1370"/>
      <c r="BJA112" s="1370"/>
      <c r="BJB112" s="1370"/>
      <c r="BJC112" s="1370"/>
      <c r="BJD112" s="1370"/>
      <c r="BJE112" s="1370"/>
      <c r="BJF112" s="1370"/>
      <c r="BJG112" s="1370"/>
      <c r="BJH112" s="1370"/>
      <c r="BJI112" s="1370"/>
      <c r="BJJ112" s="1370"/>
      <c r="BJK112" s="1370"/>
      <c r="BJL112" s="1370"/>
      <c r="BJM112" s="1370"/>
      <c r="BJN112" s="1370"/>
      <c r="BJO112" s="1370"/>
      <c r="BJP112" s="1370"/>
      <c r="BJQ112" s="1370"/>
      <c r="BJR112" s="1370"/>
      <c r="BJS112" s="1370"/>
      <c r="BJT112" s="1370"/>
      <c r="BJU112" s="1370"/>
      <c r="BJV112" s="1370"/>
      <c r="BJW112" s="1370"/>
      <c r="BJX112" s="1370"/>
      <c r="BJY112" s="1370"/>
      <c r="BJZ112" s="1370"/>
      <c r="BKA112" s="1370"/>
      <c r="BKB112" s="1370"/>
      <c r="BKC112" s="1370"/>
      <c r="BKD112" s="1370"/>
      <c r="BKE112" s="1370"/>
      <c r="BKF112" s="1370"/>
      <c r="BKG112" s="1370"/>
      <c r="BKH112" s="1370"/>
      <c r="BKI112" s="1370"/>
      <c r="BKJ112" s="1370"/>
      <c r="BKK112" s="1370"/>
      <c r="BKL112" s="1370"/>
      <c r="BKM112" s="1370"/>
      <c r="BKN112" s="1370"/>
      <c r="BKO112" s="1370"/>
      <c r="BKP112" s="1370"/>
      <c r="BKQ112" s="1370"/>
      <c r="BKR112" s="1370"/>
      <c r="BKS112" s="1370"/>
      <c r="BKT112" s="1370"/>
      <c r="BKU112" s="1370"/>
      <c r="BKV112" s="1370"/>
      <c r="BKW112" s="1370"/>
      <c r="BKX112" s="1370"/>
      <c r="BKY112" s="1370"/>
      <c r="BKZ112" s="1370"/>
      <c r="BLA112" s="1370"/>
      <c r="BLB112" s="1370"/>
      <c r="BLC112" s="1370"/>
      <c r="BLD112" s="1370"/>
      <c r="BLE112" s="1370"/>
      <c r="BLF112" s="1370"/>
      <c r="BLG112" s="1370"/>
      <c r="BLH112" s="1370"/>
      <c r="BLI112" s="1370"/>
      <c r="BLJ112" s="1370"/>
      <c r="BLK112" s="1370"/>
      <c r="BLL112" s="1370"/>
      <c r="BLM112" s="1370"/>
      <c r="BLN112" s="1370"/>
      <c r="BLO112" s="1370"/>
      <c r="BLP112" s="1370"/>
      <c r="BLQ112" s="1370"/>
      <c r="BLR112" s="1370"/>
      <c r="BLS112" s="1370"/>
      <c r="BLT112" s="1370"/>
      <c r="BLU112" s="1370"/>
      <c r="BLV112" s="1370"/>
      <c r="BLW112" s="1370"/>
      <c r="BLX112" s="1370"/>
      <c r="BLY112" s="1370"/>
      <c r="BLZ112" s="1370"/>
      <c r="BMA112" s="1370"/>
      <c r="BMB112" s="1370"/>
      <c r="BMC112" s="1370"/>
      <c r="BMD112" s="1370"/>
      <c r="BME112" s="1370"/>
      <c r="BMF112" s="1370"/>
      <c r="BMG112" s="1370"/>
      <c r="BMH112" s="1370"/>
      <c r="BMI112" s="1370"/>
      <c r="BMJ112" s="1370"/>
      <c r="BMK112" s="1370"/>
      <c r="BML112" s="1370"/>
      <c r="BMM112" s="1370"/>
      <c r="BMN112" s="1370"/>
      <c r="BMO112" s="1370"/>
      <c r="BMP112" s="1370"/>
      <c r="BMQ112" s="1370"/>
      <c r="BMR112" s="1370"/>
      <c r="BMS112" s="1370"/>
      <c r="BMT112" s="1370"/>
      <c r="BMU112" s="1370"/>
      <c r="BMV112" s="1370"/>
      <c r="BMW112" s="1370"/>
      <c r="BMX112" s="1370"/>
      <c r="BMY112" s="1370"/>
      <c r="BMZ112" s="1370"/>
      <c r="BNA112" s="1370"/>
      <c r="BNB112" s="1370"/>
      <c r="BNC112" s="1370"/>
      <c r="BND112" s="1370"/>
      <c r="BNE112" s="1370"/>
      <c r="BNF112" s="1370"/>
      <c r="BNG112" s="1370"/>
      <c r="BNH112" s="1370"/>
      <c r="BNI112" s="1370"/>
      <c r="BNJ112" s="1370"/>
      <c r="BNK112" s="1370"/>
      <c r="BNL112" s="1370"/>
      <c r="BNM112" s="1370"/>
      <c r="BNN112" s="1370"/>
      <c r="BNO112" s="1370"/>
      <c r="BNP112" s="1370"/>
      <c r="BNQ112" s="1370"/>
      <c r="BNR112" s="1370"/>
      <c r="BNS112" s="1370"/>
      <c r="BNT112" s="1370"/>
      <c r="BNU112" s="1370"/>
      <c r="BNV112" s="1370"/>
      <c r="BNW112" s="1370"/>
      <c r="BNX112" s="1370"/>
      <c r="BNY112" s="1370"/>
      <c r="BNZ112" s="1370"/>
      <c r="BOA112" s="1370"/>
      <c r="BOB112" s="1370"/>
      <c r="BOC112" s="1370"/>
      <c r="BOD112" s="1370"/>
      <c r="BOE112" s="1370"/>
      <c r="BOF112" s="1370"/>
      <c r="BOG112" s="1370"/>
      <c r="BOH112" s="1370"/>
      <c r="BOI112" s="1370"/>
      <c r="BOJ112" s="1370"/>
      <c r="BOK112" s="1370"/>
      <c r="BOL112" s="1370"/>
      <c r="BOM112" s="1370"/>
      <c r="BON112" s="1370"/>
      <c r="BOO112" s="1370"/>
      <c r="BOP112" s="1370"/>
      <c r="BOQ112" s="1370"/>
      <c r="BOR112" s="1370"/>
      <c r="BOS112" s="1370"/>
      <c r="BOT112" s="1370"/>
      <c r="BOU112" s="1370"/>
      <c r="BOV112" s="1370"/>
      <c r="BOW112" s="1370"/>
      <c r="BOX112" s="1370"/>
      <c r="BOY112" s="1370"/>
      <c r="BOZ112" s="1370"/>
      <c r="BPA112" s="1370"/>
      <c r="BPB112" s="1370"/>
      <c r="BPC112" s="1370"/>
      <c r="BPD112" s="1370"/>
      <c r="BPE112" s="1370"/>
      <c r="BPF112" s="1370"/>
      <c r="BPG112" s="1370"/>
      <c r="BPH112" s="1370"/>
      <c r="BPI112" s="1370"/>
      <c r="BPJ112" s="1370"/>
      <c r="BPK112" s="1370"/>
      <c r="BPL112" s="1370"/>
      <c r="BPM112" s="1370"/>
      <c r="BPN112" s="1370"/>
      <c r="BPO112" s="1370"/>
      <c r="BPP112" s="1370"/>
      <c r="BPQ112" s="1370"/>
      <c r="BPR112" s="1370"/>
      <c r="BPS112" s="1370"/>
      <c r="BPT112" s="1370"/>
      <c r="BPU112" s="1370"/>
      <c r="BPV112" s="1370"/>
      <c r="BPW112" s="1370"/>
      <c r="BPX112" s="1370"/>
      <c r="BPY112" s="1370"/>
      <c r="BPZ112" s="1370"/>
      <c r="BQA112" s="1370"/>
      <c r="BQB112" s="1370"/>
      <c r="BQC112" s="1370"/>
      <c r="BQD112" s="1370"/>
      <c r="BQE112" s="1370"/>
      <c r="BQF112" s="1370"/>
      <c r="BQG112" s="1370"/>
      <c r="BQH112" s="1370"/>
      <c r="BQI112" s="1370"/>
      <c r="BQJ112" s="1370"/>
      <c r="BQK112" s="1370"/>
      <c r="BQL112" s="1370"/>
      <c r="BQM112" s="1370"/>
      <c r="BQN112" s="1370"/>
      <c r="BQO112" s="1370"/>
      <c r="BQP112" s="1370"/>
      <c r="BQQ112" s="1370"/>
      <c r="BQR112" s="1370"/>
      <c r="BQS112" s="1370"/>
      <c r="BQT112" s="1370"/>
      <c r="BQU112" s="1370"/>
      <c r="BQV112" s="1370"/>
      <c r="BQW112" s="1370"/>
      <c r="BQX112" s="1370"/>
      <c r="BQY112" s="1370"/>
      <c r="BQZ112" s="1370"/>
      <c r="BRA112" s="1370"/>
      <c r="BRB112" s="1370"/>
      <c r="BRC112" s="1370"/>
      <c r="BRD112" s="1370"/>
      <c r="BRE112" s="1370"/>
      <c r="BRF112" s="1370"/>
      <c r="BRG112" s="1370"/>
      <c r="BRH112" s="1370"/>
      <c r="BRI112" s="1370"/>
      <c r="BRJ112" s="1370"/>
      <c r="BRK112" s="1370"/>
      <c r="BRL112" s="1370"/>
      <c r="BRM112" s="1370"/>
      <c r="BRN112" s="1370"/>
      <c r="BRO112" s="1370"/>
      <c r="BRP112" s="1370"/>
      <c r="BRQ112" s="1370"/>
      <c r="BRR112" s="1370"/>
      <c r="BRS112" s="1370"/>
      <c r="BRT112" s="1370"/>
      <c r="BRU112" s="1370"/>
      <c r="BRV112" s="1370"/>
      <c r="BRW112" s="1370"/>
      <c r="BRX112" s="1370"/>
      <c r="BRY112" s="1370"/>
      <c r="BRZ112" s="1370"/>
      <c r="BSA112" s="1370"/>
      <c r="BSB112" s="1370"/>
      <c r="BSC112" s="1370"/>
      <c r="BSD112" s="1370"/>
      <c r="BSE112" s="1370"/>
      <c r="BSF112" s="1370"/>
      <c r="BSG112" s="1370"/>
      <c r="BSH112" s="1370"/>
      <c r="BSI112" s="1370"/>
      <c r="BSJ112" s="1370"/>
      <c r="BSK112" s="1370"/>
      <c r="BSL112" s="1370"/>
      <c r="BSM112" s="1370"/>
      <c r="BSN112" s="1370"/>
      <c r="BSO112" s="1370"/>
      <c r="BSP112" s="1370"/>
      <c r="BSQ112" s="1370"/>
      <c r="BSR112" s="1370"/>
      <c r="BSS112" s="1370"/>
      <c r="BST112" s="1370"/>
      <c r="BSU112" s="1370"/>
      <c r="BSV112" s="1370"/>
      <c r="BSW112" s="1370"/>
      <c r="BSX112" s="1370"/>
      <c r="BSY112" s="1370"/>
      <c r="BSZ112" s="1370"/>
      <c r="BTA112" s="1370"/>
      <c r="BTB112" s="1370"/>
      <c r="BTC112" s="1370"/>
      <c r="BTD112" s="1370"/>
      <c r="BTE112" s="1370"/>
      <c r="BTF112" s="1370"/>
      <c r="BTG112" s="1370"/>
      <c r="BTH112" s="1370"/>
      <c r="BTI112" s="1370"/>
      <c r="BTJ112" s="1370"/>
      <c r="BTK112" s="1370"/>
      <c r="BTL112" s="1370"/>
      <c r="BTM112" s="1370"/>
      <c r="BTN112" s="1370"/>
      <c r="BTO112" s="1370"/>
      <c r="BTP112" s="1370"/>
      <c r="BTQ112" s="1370"/>
      <c r="BTR112" s="1370"/>
      <c r="BTS112" s="1370"/>
      <c r="BTT112" s="1370"/>
      <c r="BTU112" s="1370"/>
      <c r="BTV112" s="1370"/>
      <c r="BTW112" s="1370"/>
      <c r="BTX112" s="1370"/>
      <c r="BTY112" s="1370"/>
      <c r="BTZ112" s="1370"/>
      <c r="BUA112" s="1370"/>
      <c r="BUB112" s="1370"/>
      <c r="BUC112" s="1370"/>
      <c r="BUD112" s="1370"/>
      <c r="BUE112" s="1370"/>
      <c r="BUF112" s="1370"/>
      <c r="BUG112" s="1370"/>
      <c r="BUH112" s="1370"/>
      <c r="BUI112" s="1370"/>
      <c r="BUJ112" s="1370"/>
      <c r="BUK112" s="1370"/>
      <c r="BUL112" s="1370"/>
      <c r="BUM112" s="1370"/>
      <c r="BUN112" s="1370"/>
      <c r="BUO112" s="1370"/>
      <c r="BUP112" s="1370"/>
      <c r="BUQ112" s="1370"/>
      <c r="BUR112" s="1370"/>
      <c r="BUS112" s="1370"/>
      <c r="BUT112" s="1370"/>
      <c r="BUU112" s="1370"/>
      <c r="BUV112" s="1370"/>
      <c r="BUW112" s="1370"/>
      <c r="BUX112" s="1370"/>
      <c r="BUY112" s="1370"/>
      <c r="BUZ112" s="1370"/>
      <c r="BVA112" s="1370"/>
      <c r="BVB112" s="1370"/>
      <c r="BVC112" s="1370"/>
      <c r="BVD112" s="1370"/>
      <c r="BVE112" s="1370"/>
      <c r="BVF112" s="1370"/>
      <c r="BVG112" s="1370"/>
      <c r="BVH112" s="1370"/>
      <c r="BVI112" s="1370"/>
      <c r="BVJ112" s="1370"/>
      <c r="BVK112" s="1370"/>
      <c r="BVL112" s="1370"/>
      <c r="BVM112" s="1370"/>
      <c r="BVN112" s="1370"/>
      <c r="BVO112" s="1370"/>
      <c r="BVP112" s="1370"/>
      <c r="BVQ112" s="1370"/>
      <c r="BVR112" s="1370"/>
      <c r="BVS112" s="1370"/>
      <c r="BVT112" s="1370"/>
      <c r="BVU112" s="1370"/>
      <c r="BVV112" s="1370"/>
      <c r="BVW112" s="1370"/>
      <c r="BVX112" s="1370"/>
      <c r="BVY112" s="1370"/>
      <c r="BVZ112" s="1370"/>
      <c r="BWA112" s="1370"/>
      <c r="BWB112" s="1370"/>
      <c r="BWC112" s="1370"/>
      <c r="BWD112" s="1370"/>
      <c r="BWE112" s="1370"/>
      <c r="BWF112" s="1370"/>
      <c r="BWG112" s="1370"/>
      <c r="BWH112" s="1370"/>
      <c r="BWI112" s="1370"/>
      <c r="BWJ112" s="1370"/>
      <c r="BWK112" s="1370"/>
      <c r="BWL112" s="1370"/>
      <c r="BWM112" s="1370"/>
      <c r="BWN112" s="1370"/>
      <c r="BWO112" s="1370"/>
      <c r="BWP112" s="1370"/>
      <c r="BWQ112" s="1370"/>
      <c r="BWR112" s="1370"/>
      <c r="BWS112" s="1370"/>
      <c r="BWT112" s="1370"/>
      <c r="BWU112" s="1370"/>
      <c r="BWV112" s="1370"/>
      <c r="BWW112" s="1370"/>
      <c r="BWX112" s="1370"/>
      <c r="BWY112" s="1370"/>
      <c r="BWZ112" s="1370"/>
      <c r="BXA112" s="1370"/>
      <c r="BXB112" s="1370"/>
      <c r="BXC112" s="1370"/>
      <c r="BXD112" s="1370"/>
      <c r="BXE112" s="1370"/>
      <c r="BXF112" s="1370"/>
      <c r="BXG112" s="1370"/>
      <c r="BXH112" s="1370"/>
      <c r="BXI112" s="1370"/>
      <c r="BXJ112" s="1370"/>
      <c r="BXK112" s="1370"/>
      <c r="BXL112" s="1370"/>
      <c r="BXM112" s="1370"/>
      <c r="BXN112" s="1370"/>
      <c r="BXO112" s="1370"/>
      <c r="BXP112" s="1370"/>
      <c r="BXQ112" s="1370"/>
      <c r="BXR112" s="1370"/>
      <c r="BXS112" s="1370"/>
      <c r="BXT112" s="1370"/>
      <c r="BXU112" s="1370"/>
      <c r="BXV112" s="1370"/>
      <c r="BXW112" s="1370"/>
      <c r="BXX112" s="1370"/>
      <c r="BXY112" s="1370"/>
      <c r="BXZ112" s="1370"/>
      <c r="BYA112" s="1370"/>
      <c r="BYB112" s="1370"/>
      <c r="BYC112" s="1370"/>
      <c r="BYD112" s="1370"/>
      <c r="BYE112" s="1370"/>
      <c r="BYF112" s="1370"/>
      <c r="BYG112" s="1370"/>
      <c r="BYH112" s="1370"/>
      <c r="BYI112" s="1370"/>
      <c r="BYJ112" s="1370"/>
      <c r="BYK112" s="1370"/>
      <c r="BYL112" s="1370"/>
      <c r="BYM112" s="1370"/>
      <c r="BYN112" s="1370"/>
      <c r="BYO112" s="1370"/>
      <c r="BYP112" s="1370"/>
      <c r="BYQ112" s="1370"/>
      <c r="BYR112" s="1370"/>
      <c r="BYS112" s="1370"/>
      <c r="BYT112" s="1370"/>
      <c r="BYU112" s="1370"/>
      <c r="BYV112" s="1370"/>
      <c r="BYW112" s="1370"/>
      <c r="BYX112" s="1370"/>
      <c r="BYY112" s="1370"/>
      <c r="BYZ112" s="1370"/>
      <c r="BZA112" s="1370"/>
      <c r="BZB112" s="1370"/>
      <c r="BZC112" s="1370"/>
      <c r="BZD112" s="1370"/>
      <c r="BZE112" s="1370"/>
      <c r="BZF112" s="1370"/>
      <c r="BZG112" s="1370"/>
      <c r="BZH112" s="1370"/>
      <c r="BZI112" s="1370"/>
      <c r="BZJ112" s="1370"/>
      <c r="BZK112" s="1370"/>
      <c r="BZL112" s="1370"/>
      <c r="BZM112" s="1370"/>
      <c r="BZN112" s="1370"/>
      <c r="BZO112" s="1370"/>
      <c r="BZP112" s="1370"/>
      <c r="BZQ112" s="1370"/>
      <c r="BZR112" s="1370"/>
      <c r="BZS112" s="1370"/>
      <c r="BZT112" s="1370"/>
      <c r="BZU112" s="1370"/>
      <c r="BZV112" s="1370"/>
      <c r="BZW112" s="1370"/>
      <c r="BZX112" s="1370"/>
      <c r="BZY112" s="1370"/>
      <c r="BZZ112" s="1370"/>
      <c r="CAA112" s="1370"/>
      <c r="CAB112" s="1370"/>
      <c r="CAC112" s="1370"/>
      <c r="CAD112" s="1370"/>
      <c r="CAE112" s="1370"/>
      <c r="CAF112" s="1370"/>
      <c r="CAG112" s="1370"/>
      <c r="CAH112" s="1370"/>
      <c r="CAI112" s="1370"/>
      <c r="CAJ112" s="1370"/>
      <c r="CAK112" s="1370"/>
      <c r="CAL112" s="1370"/>
      <c r="CAM112" s="1370"/>
      <c r="CAN112" s="1370"/>
      <c r="CAO112" s="1370"/>
      <c r="CAP112" s="1370"/>
      <c r="CAQ112" s="1370"/>
      <c r="CAR112" s="1370"/>
      <c r="CAS112" s="1370"/>
      <c r="CAT112" s="1370"/>
      <c r="CAU112" s="1370"/>
      <c r="CAV112" s="1370"/>
      <c r="CAW112" s="1370"/>
      <c r="CAX112" s="1370"/>
      <c r="CAY112" s="1370"/>
      <c r="CAZ112" s="1370"/>
      <c r="CBA112" s="1370"/>
      <c r="CBB112" s="1370"/>
      <c r="CBC112" s="1370"/>
      <c r="CBD112" s="1370"/>
      <c r="CBE112" s="1370"/>
      <c r="CBF112" s="1370"/>
      <c r="CBG112" s="1370"/>
      <c r="CBH112" s="1370"/>
      <c r="CBI112" s="1370"/>
      <c r="CBJ112" s="1370"/>
      <c r="CBK112" s="1370"/>
      <c r="CBL112" s="1370"/>
      <c r="CBM112" s="1370"/>
      <c r="CBN112" s="1370"/>
      <c r="CBO112" s="1370"/>
      <c r="CBP112" s="1370"/>
      <c r="CBQ112" s="1370"/>
      <c r="CBR112" s="1370"/>
      <c r="CBS112" s="1370"/>
      <c r="CBT112" s="1370"/>
      <c r="CBU112" s="1370"/>
      <c r="CBV112" s="1370"/>
      <c r="CBW112" s="1370"/>
      <c r="CBX112" s="1370"/>
      <c r="CBY112" s="1370"/>
      <c r="CBZ112" s="1370"/>
      <c r="CCA112" s="1370"/>
      <c r="CCB112" s="1370"/>
      <c r="CCC112" s="1370"/>
      <c r="CCD112" s="1370"/>
      <c r="CCE112" s="1370"/>
      <c r="CCF112" s="1370"/>
      <c r="CCG112" s="1370"/>
      <c r="CCH112" s="1370"/>
      <c r="CCI112" s="1370"/>
      <c r="CCJ112" s="1370"/>
      <c r="CCK112" s="1370"/>
      <c r="CCL112" s="1370"/>
      <c r="CCM112" s="1370"/>
      <c r="CCN112" s="1370"/>
      <c r="CCO112" s="1370"/>
      <c r="CCP112" s="1370"/>
      <c r="CCQ112" s="1370"/>
      <c r="CCR112" s="1370"/>
      <c r="CCS112" s="1370"/>
      <c r="CCT112" s="1370"/>
      <c r="CCU112" s="1370"/>
      <c r="CCV112" s="1370"/>
      <c r="CCW112" s="1370"/>
      <c r="CCX112" s="1370"/>
      <c r="CCY112" s="1370"/>
      <c r="CCZ112" s="1370"/>
      <c r="CDA112" s="1370"/>
      <c r="CDB112" s="1370"/>
      <c r="CDC112" s="1370"/>
      <c r="CDD112" s="1370"/>
      <c r="CDE112" s="1370"/>
      <c r="CDF112" s="1370"/>
      <c r="CDG112" s="1370"/>
      <c r="CDH112" s="1370"/>
      <c r="CDI112" s="1370"/>
      <c r="CDJ112" s="1370"/>
      <c r="CDK112" s="1370"/>
      <c r="CDL112" s="1370"/>
      <c r="CDM112" s="1370"/>
      <c r="CDN112" s="1370"/>
      <c r="CDO112" s="1370"/>
      <c r="CDP112" s="1370"/>
      <c r="CDQ112" s="1370"/>
      <c r="CDR112" s="1370"/>
      <c r="CDS112" s="1370"/>
      <c r="CDT112" s="1370"/>
      <c r="CDU112" s="1370"/>
      <c r="CDV112" s="1370"/>
      <c r="CDW112" s="1370"/>
      <c r="CDX112" s="1370"/>
      <c r="CDY112" s="1370"/>
      <c r="CDZ112" s="1370"/>
      <c r="CEA112" s="1370"/>
      <c r="CEB112" s="1370"/>
      <c r="CEC112" s="1370"/>
      <c r="CED112" s="1370"/>
      <c r="CEE112" s="1370"/>
      <c r="CEF112" s="1370"/>
      <c r="CEG112" s="1370"/>
      <c r="CEH112" s="1370"/>
      <c r="CEI112" s="1370"/>
      <c r="CEJ112" s="1370"/>
      <c r="CEK112" s="1370"/>
      <c r="CEL112" s="1370"/>
      <c r="CEM112" s="1370"/>
      <c r="CEN112" s="1370"/>
      <c r="CEO112" s="1370"/>
      <c r="CEP112" s="1370"/>
      <c r="CEQ112" s="1370"/>
      <c r="CER112" s="1370"/>
      <c r="CES112" s="1370"/>
      <c r="CET112" s="1370"/>
      <c r="CEU112" s="1370"/>
      <c r="CEV112" s="1370"/>
      <c r="CEW112" s="1370"/>
      <c r="CEX112" s="1370"/>
      <c r="CEY112" s="1370"/>
      <c r="CEZ112" s="1370"/>
      <c r="CFA112" s="1370"/>
      <c r="CFB112" s="1370"/>
      <c r="CFC112" s="1370"/>
      <c r="CFD112" s="1370"/>
      <c r="CFE112" s="1370"/>
      <c r="CFF112" s="1370"/>
      <c r="CFG112" s="1370"/>
      <c r="CFH112" s="1370"/>
      <c r="CFI112" s="1370"/>
      <c r="CFJ112" s="1370"/>
      <c r="CFK112" s="1370"/>
      <c r="CFL112" s="1370"/>
      <c r="CFM112" s="1370"/>
      <c r="CFN112" s="1370"/>
      <c r="CFO112" s="1370"/>
      <c r="CFP112" s="1370"/>
      <c r="CFQ112" s="1370"/>
      <c r="CFR112" s="1370"/>
      <c r="CFS112" s="1370"/>
      <c r="CFT112" s="1370"/>
      <c r="CFU112" s="1370"/>
      <c r="CFV112" s="1370"/>
      <c r="CFW112" s="1370"/>
      <c r="CFX112" s="1370"/>
      <c r="CFY112" s="1370"/>
      <c r="CFZ112" s="1370"/>
      <c r="CGA112" s="1370"/>
      <c r="CGB112" s="1370"/>
      <c r="CGC112" s="1370"/>
      <c r="CGD112" s="1370"/>
      <c r="CGE112" s="1370"/>
      <c r="CGF112" s="1370"/>
      <c r="CGG112" s="1370"/>
      <c r="CGH112" s="1370"/>
      <c r="CGI112" s="1370"/>
      <c r="CGJ112" s="1370"/>
      <c r="CGK112" s="1370"/>
      <c r="CGL112" s="1370"/>
      <c r="CGM112" s="1370"/>
      <c r="CGN112" s="1370"/>
      <c r="CGO112" s="1370"/>
      <c r="CGP112" s="1370"/>
      <c r="CGQ112" s="1370"/>
      <c r="CGR112" s="1370"/>
      <c r="CGS112" s="1370"/>
      <c r="CGT112" s="1370"/>
      <c r="CGU112" s="1370"/>
      <c r="CGV112" s="1370"/>
      <c r="CGW112" s="1370"/>
      <c r="CGX112" s="1370"/>
      <c r="CGY112" s="1370"/>
      <c r="CGZ112" s="1370"/>
      <c r="CHA112" s="1370"/>
      <c r="CHB112" s="1370"/>
      <c r="CHC112" s="1370"/>
      <c r="CHD112" s="1370"/>
      <c r="CHE112" s="1370"/>
      <c r="CHF112" s="1370"/>
      <c r="CHG112" s="1370"/>
      <c r="CHH112" s="1370"/>
      <c r="CHI112" s="1370"/>
      <c r="CHJ112" s="1370"/>
      <c r="CHK112" s="1370"/>
      <c r="CHL112" s="1370"/>
      <c r="CHM112" s="1370"/>
      <c r="CHN112" s="1370"/>
      <c r="CHO112" s="1370"/>
      <c r="CHP112" s="1370"/>
      <c r="CHQ112" s="1370"/>
      <c r="CHR112" s="1370"/>
      <c r="CHS112" s="1370"/>
      <c r="CHT112" s="1370"/>
      <c r="CHU112" s="1370"/>
      <c r="CHV112" s="1370"/>
      <c r="CHW112" s="1370"/>
      <c r="CHX112" s="1370"/>
      <c r="CHY112" s="1370"/>
      <c r="CHZ112" s="1370"/>
      <c r="CIA112" s="1370"/>
      <c r="CIB112" s="1370"/>
      <c r="CIC112" s="1370"/>
      <c r="CID112" s="1370"/>
      <c r="CIE112" s="1370"/>
      <c r="CIF112" s="1370"/>
      <c r="CIG112" s="1370"/>
      <c r="CIH112" s="1370"/>
      <c r="CII112" s="1370"/>
      <c r="CIJ112" s="1370"/>
      <c r="CIK112" s="1370"/>
      <c r="CIL112" s="1370"/>
      <c r="CIM112" s="1370"/>
      <c r="CIN112" s="1370"/>
      <c r="CIO112" s="1370"/>
      <c r="CIP112" s="1370"/>
      <c r="CIQ112" s="1370"/>
      <c r="CIR112" s="1370"/>
      <c r="CIS112" s="1370"/>
      <c r="CIT112" s="1370"/>
      <c r="CIU112" s="1370"/>
      <c r="CIV112" s="1370"/>
      <c r="CIW112" s="1370"/>
      <c r="CIX112" s="1370"/>
      <c r="CIY112" s="1370"/>
      <c r="CIZ112" s="1370"/>
      <c r="CJA112" s="1370"/>
      <c r="CJB112" s="1370"/>
      <c r="CJC112" s="1370"/>
      <c r="CJD112" s="1370"/>
      <c r="CJE112" s="1370"/>
      <c r="CJF112" s="1370"/>
      <c r="CJG112" s="1370"/>
      <c r="CJH112" s="1370"/>
      <c r="CJI112" s="1370"/>
      <c r="CJJ112" s="1370"/>
      <c r="CJK112" s="1370"/>
      <c r="CJL112" s="1370"/>
      <c r="CJM112" s="1370"/>
      <c r="CJN112" s="1370"/>
      <c r="CJO112" s="1370"/>
      <c r="CJP112" s="1370"/>
      <c r="CJQ112" s="1370"/>
      <c r="CJR112" s="1370"/>
      <c r="CJS112" s="1370"/>
      <c r="CJT112" s="1370"/>
      <c r="CJU112" s="1370"/>
      <c r="CJV112" s="1370"/>
      <c r="CJW112" s="1370"/>
      <c r="CJX112" s="1370"/>
      <c r="CJY112" s="1370"/>
      <c r="CJZ112" s="1370"/>
      <c r="CKA112" s="1370"/>
      <c r="CKB112" s="1370"/>
      <c r="CKC112" s="1370"/>
      <c r="CKD112" s="1370"/>
      <c r="CKE112" s="1370"/>
      <c r="CKF112" s="1370"/>
      <c r="CKG112" s="1370"/>
      <c r="CKH112" s="1370"/>
      <c r="CKI112" s="1370"/>
      <c r="CKJ112" s="1370"/>
      <c r="CKK112" s="1370"/>
      <c r="CKL112" s="1370"/>
      <c r="CKM112" s="1370"/>
      <c r="CKN112" s="1370"/>
      <c r="CKO112" s="1370"/>
      <c r="CKP112" s="1370"/>
      <c r="CKQ112" s="1370"/>
      <c r="CKR112" s="1370"/>
      <c r="CKS112" s="1370"/>
      <c r="CKT112" s="1370"/>
      <c r="CKU112" s="1370"/>
      <c r="CKV112" s="1370"/>
      <c r="CKW112" s="1370"/>
      <c r="CKX112" s="1370"/>
      <c r="CKY112" s="1370"/>
      <c r="CKZ112" s="1370"/>
      <c r="CLA112" s="1370"/>
      <c r="CLB112" s="1370"/>
      <c r="CLC112" s="1370"/>
      <c r="CLD112" s="1370"/>
      <c r="CLE112" s="1370"/>
      <c r="CLF112" s="1370"/>
      <c r="CLG112" s="1370"/>
      <c r="CLH112" s="1370"/>
      <c r="CLI112" s="1370"/>
      <c r="CLJ112" s="1370"/>
      <c r="CLK112" s="1370"/>
      <c r="CLL112" s="1370"/>
      <c r="CLM112" s="1370"/>
      <c r="CLN112" s="1370"/>
      <c r="CLO112" s="1370"/>
      <c r="CLP112" s="1370"/>
      <c r="CLQ112" s="1370"/>
      <c r="CLR112" s="1370"/>
      <c r="CLS112" s="1370"/>
      <c r="CLT112" s="1370"/>
      <c r="CLU112" s="1370"/>
      <c r="CLV112" s="1370"/>
      <c r="CLW112" s="1370"/>
      <c r="CLX112" s="1370"/>
      <c r="CLY112" s="1370"/>
      <c r="CLZ112" s="1370"/>
      <c r="CMA112" s="1370"/>
      <c r="CMB112" s="1370"/>
      <c r="CMC112" s="1370"/>
      <c r="CMD112" s="1370"/>
      <c r="CME112" s="1370"/>
      <c r="CMF112" s="1370"/>
      <c r="CMG112" s="1370"/>
      <c r="CMH112" s="1370"/>
      <c r="CMI112" s="1370"/>
      <c r="CMJ112" s="1370"/>
      <c r="CMK112" s="1370"/>
      <c r="CML112" s="1370"/>
      <c r="CMM112" s="1370"/>
      <c r="CMN112" s="1370"/>
      <c r="CMO112" s="1370"/>
      <c r="CMP112" s="1370"/>
      <c r="CMQ112" s="1370"/>
      <c r="CMR112" s="1370"/>
      <c r="CMS112" s="1370"/>
      <c r="CMT112" s="1370"/>
      <c r="CMU112" s="1370"/>
      <c r="CMV112" s="1370"/>
      <c r="CMW112" s="1370"/>
      <c r="CMX112" s="1370"/>
      <c r="CMY112" s="1370"/>
      <c r="CMZ112" s="1370"/>
      <c r="CNA112" s="1370"/>
      <c r="CNB112" s="1370"/>
      <c r="CNC112" s="1370"/>
      <c r="CND112" s="1370"/>
      <c r="CNE112" s="1370"/>
      <c r="CNF112" s="1370"/>
      <c r="CNG112" s="1370"/>
      <c r="CNH112" s="1370"/>
      <c r="CNI112" s="1370"/>
      <c r="CNJ112" s="1370"/>
      <c r="CNK112" s="1370"/>
      <c r="CNL112" s="1370"/>
      <c r="CNM112" s="1370"/>
      <c r="CNN112" s="1370"/>
      <c r="CNO112" s="1370"/>
      <c r="CNP112" s="1370"/>
      <c r="CNQ112" s="1370"/>
      <c r="CNR112" s="1370"/>
      <c r="CNS112" s="1370"/>
      <c r="CNT112" s="1370"/>
      <c r="CNU112" s="1370"/>
      <c r="CNV112" s="1370"/>
      <c r="CNW112" s="1370"/>
      <c r="CNX112" s="1370"/>
      <c r="CNY112" s="1370"/>
      <c r="CNZ112" s="1370"/>
      <c r="COA112" s="1370"/>
      <c r="COB112" s="1370"/>
      <c r="COC112" s="1370"/>
      <c r="COD112" s="1370"/>
      <c r="COE112" s="1370"/>
      <c r="COF112" s="1370"/>
      <c r="COG112" s="1370"/>
      <c r="COH112" s="1370"/>
      <c r="COI112" s="1370"/>
      <c r="COJ112" s="1370"/>
      <c r="COK112" s="1370"/>
      <c r="COL112" s="1370"/>
      <c r="COM112" s="1370"/>
      <c r="CON112" s="1370"/>
      <c r="COO112" s="1370"/>
      <c r="COP112" s="1370"/>
      <c r="COQ112" s="1370"/>
      <c r="COR112" s="1370"/>
      <c r="COS112" s="1370"/>
      <c r="COT112" s="1370"/>
      <c r="COU112" s="1370"/>
      <c r="COV112" s="1370"/>
      <c r="COW112" s="1370"/>
      <c r="COX112" s="1370"/>
      <c r="COY112" s="1370"/>
      <c r="COZ112" s="1370"/>
      <c r="CPA112" s="1370"/>
      <c r="CPB112" s="1370"/>
      <c r="CPC112" s="1370"/>
      <c r="CPD112" s="1370"/>
      <c r="CPE112" s="1370"/>
      <c r="CPF112" s="1370"/>
      <c r="CPG112" s="1370"/>
      <c r="CPH112" s="1370"/>
      <c r="CPI112" s="1370"/>
      <c r="CPJ112" s="1370"/>
      <c r="CPK112" s="1370"/>
      <c r="CPL112" s="1370"/>
      <c r="CPM112" s="1370"/>
      <c r="CPN112" s="1370"/>
      <c r="CPO112" s="1370"/>
      <c r="CPP112" s="1370"/>
      <c r="CPQ112" s="1370"/>
      <c r="CPR112" s="1370"/>
      <c r="CPS112" s="1370"/>
      <c r="CPT112" s="1370"/>
      <c r="CPU112" s="1370"/>
      <c r="CPV112" s="1370"/>
      <c r="CPW112" s="1370"/>
      <c r="CPX112" s="1370"/>
      <c r="CPY112" s="1370"/>
      <c r="CPZ112" s="1370"/>
      <c r="CQA112" s="1370"/>
      <c r="CQB112" s="1370"/>
      <c r="CQC112" s="1370"/>
      <c r="CQD112" s="1370"/>
      <c r="CQE112" s="1370"/>
      <c r="CQF112" s="1370"/>
      <c r="CQG112" s="1370"/>
      <c r="CQH112" s="1370"/>
      <c r="CQI112" s="1370"/>
      <c r="CQJ112" s="1370"/>
      <c r="CQK112" s="1370"/>
      <c r="CQL112" s="1370"/>
      <c r="CQM112" s="1370"/>
      <c r="CQN112" s="1370"/>
      <c r="CQO112" s="1370"/>
      <c r="CQP112" s="1370"/>
      <c r="CQQ112" s="1370"/>
      <c r="CQR112" s="1370"/>
      <c r="CQS112" s="1370"/>
      <c r="CQT112" s="1370"/>
      <c r="CQU112" s="1370"/>
      <c r="CQV112" s="1370"/>
      <c r="CQW112" s="1370"/>
      <c r="CQX112" s="1370"/>
      <c r="CQY112" s="1370"/>
      <c r="CQZ112" s="1370"/>
      <c r="CRA112" s="1370"/>
      <c r="CRB112" s="1370"/>
      <c r="CRC112" s="1370"/>
      <c r="CRD112" s="1370"/>
      <c r="CRE112" s="1370"/>
      <c r="CRF112" s="1370"/>
      <c r="CRG112" s="1370"/>
      <c r="CRH112" s="1370"/>
      <c r="CRI112" s="1370"/>
      <c r="CRJ112" s="1370"/>
      <c r="CRK112" s="1370"/>
      <c r="CRL112" s="1370"/>
      <c r="CRM112" s="1370"/>
      <c r="CRN112" s="1370"/>
      <c r="CRO112" s="1370"/>
      <c r="CRP112" s="1370"/>
      <c r="CRQ112" s="1370"/>
      <c r="CRR112" s="1370"/>
      <c r="CRS112" s="1370"/>
      <c r="CRT112" s="1370"/>
      <c r="CRU112" s="1370"/>
      <c r="CRV112" s="1370"/>
      <c r="CRW112" s="1370"/>
      <c r="CRX112" s="1370"/>
      <c r="CRY112" s="1370"/>
      <c r="CRZ112" s="1370"/>
      <c r="CSA112" s="1370"/>
      <c r="CSB112" s="1370"/>
      <c r="CSC112" s="1370"/>
      <c r="CSD112" s="1370"/>
      <c r="CSE112" s="1370"/>
      <c r="CSF112" s="1370"/>
      <c r="CSG112" s="1370"/>
      <c r="CSH112" s="1370"/>
      <c r="CSI112" s="1370"/>
      <c r="CSJ112" s="1370"/>
      <c r="CSK112" s="1370"/>
      <c r="CSL112" s="1370"/>
      <c r="CSM112" s="1370"/>
      <c r="CSN112" s="1370"/>
      <c r="CSO112" s="1370"/>
      <c r="CSP112" s="1370"/>
      <c r="CSQ112" s="1370"/>
      <c r="CSR112" s="1370"/>
      <c r="CSS112" s="1370"/>
      <c r="CST112" s="1370"/>
      <c r="CSU112" s="1370"/>
      <c r="CSV112" s="1370"/>
      <c r="CSW112" s="1370"/>
      <c r="CSX112" s="1370"/>
      <c r="CSY112" s="1370"/>
      <c r="CSZ112" s="1370"/>
      <c r="CTA112" s="1370"/>
      <c r="CTB112" s="1370"/>
      <c r="CTC112" s="1370"/>
      <c r="CTD112" s="1370"/>
      <c r="CTE112" s="1370"/>
      <c r="CTF112" s="1370"/>
      <c r="CTG112" s="1370"/>
      <c r="CTH112" s="1370"/>
      <c r="CTI112" s="1370"/>
      <c r="CTJ112" s="1370"/>
      <c r="CTK112" s="1370"/>
      <c r="CTL112" s="1370"/>
      <c r="CTM112" s="1370"/>
      <c r="CTN112" s="1370"/>
      <c r="CTO112" s="1370"/>
      <c r="CTP112" s="1370"/>
      <c r="CTQ112" s="1370"/>
      <c r="CTR112" s="1370"/>
      <c r="CTS112" s="1370"/>
      <c r="CTT112" s="1370"/>
      <c r="CTU112" s="1370"/>
      <c r="CTV112" s="1370"/>
      <c r="CTW112" s="1370"/>
      <c r="CTX112" s="1370"/>
      <c r="CTY112" s="1370"/>
      <c r="CTZ112" s="1370"/>
      <c r="CUA112" s="1370"/>
      <c r="CUB112" s="1370"/>
      <c r="CUC112" s="1370"/>
      <c r="CUD112" s="1370"/>
      <c r="CUE112" s="1370"/>
      <c r="CUF112" s="1370"/>
      <c r="CUG112" s="1370"/>
      <c r="CUH112" s="1370"/>
      <c r="CUI112" s="1370"/>
      <c r="CUJ112" s="1370"/>
      <c r="CUK112" s="1370"/>
      <c r="CUL112" s="1370"/>
      <c r="CUM112" s="1370"/>
      <c r="CUN112" s="1370"/>
      <c r="CUO112" s="1370"/>
      <c r="CUP112" s="1370"/>
      <c r="CUQ112" s="1370"/>
      <c r="CUR112" s="1370"/>
      <c r="CUS112" s="1370"/>
      <c r="CUT112" s="1370"/>
      <c r="CUU112" s="1370"/>
      <c r="CUV112" s="1370"/>
      <c r="CUW112" s="1370"/>
      <c r="CUX112" s="1370"/>
      <c r="CUY112" s="1370"/>
      <c r="CUZ112" s="1370"/>
      <c r="CVA112" s="1370"/>
      <c r="CVB112" s="1370"/>
      <c r="CVC112" s="1370"/>
      <c r="CVD112" s="1370"/>
      <c r="CVE112" s="1370"/>
      <c r="CVF112" s="1370"/>
      <c r="CVG112" s="1370"/>
      <c r="CVH112" s="1370"/>
      <c r="CVI112" s="1370"/>
      <c r="CVJ112" s="1370"/>
      <c r="CVK112" s="1370"/>
      <c r="CVL112" s="1370"/>
      <c r="CVM112" s="1370"/>
      <c r="CVN112" s="1370"/>
      <c r="CVO112" s="1370"/>
      <c r="CVP112" s="1370"/>
      <c r="CVQ112" s="1370"/>
      <c r="CVR112" s="1370"/>
      <c r="CVS112" s="1370"/>
      <c r="CVT112" s="1370"/>
      <c r="CVU112" s="1370"/>
      <c r="CVV112" s="1370"/>
      <c r="CVW112" s="1370"/>
      <c r="CVX112" s="1370"/>
      <c r="CVY112" s="1370"/>
      <c r="CVZ112" s="1370"/>
      <c r="CWA112" s="1370"/>
      <c r="CWB112" s="1370"/>
      <c r="CWC112" s="1370"/>
      <c r="CWD112" s="1370"/>
      <c r="CWE112" s="1370"/>
      <c r="CWF112" s="1370"/>
      <c r="CWG112" s="1370"/>
      <c r="CWH112" s="1370"/>
      <c r="CWI112" s="1370"/>
      <c r="CWJ112" s="1370"/>
      <c r="CWK112" s="1370"/>
      <c r="CWL112" s="1370"/>
      <c r="CWM112" s="1370"/>
      <c r="CWN112" s="1370"/>
      <c r="CWO112" s="1370"/>
      <c r="CWP112" s="1370"/>
      <c r="CWQ112" s="1370"/>
      <c r="CWR112" s="1370"/>
      <c r="CWS112" s="1370"/>
      <c r="CWT112" s="1370"/>
      <c r="CWU112" s="1370"/>
      <c r="CWV112" s="1370"/>
      <c r="CWW112" s="1370"/>
      <c r="CWX112" s="1370"/>
      <c r="CWY112" s="1370"/>
      <c r="CWZ112" s="1370"/>
      <c r="CXA112" s="1370"/>
      <c r="CXB112" s="1370"/>
      <c r="CXC112" s="1370"/>
      <c r="CXD112" s="1370"/>
      <c r="CXE112" s="1370"/>
      <c r="CXF112" s="1370"/>
      <c r="CXG112" s="1370"/>
      <c r="CXH112" s="1370"/>
      <c r="CXI112" s="1370"/>
      <c r="CXJ112" s="1370"/>
      <c r="CXK112" s="1370"/>
      <c r="CXL112" s="1370"/>
      <c r="CXM112" s="1370"/>
      <c r="CXN112" s="1370"/>
      <c r="CXO112" s="1370"/>
      <c r="CXP112" s="1370"/>
      <c r="CXQ112" s="1370"/>
      <c r="CXR112" s="1370"/>
      <c r="CXS112" s="1370"/>
      <c r="CXT112" s="1370"/>
      <c r="CXU112" s="1370"/>
      <c r="CXV112" s="1370"/>
      <c r="CXW112" s="1370"/>
      <c r="CXX112" s="1370"/>
      <c r="CXY112" s="1370"/>
      <c r="CXZ112" s="1370"/>
      <c r="CYA112" s="1370"/>
      <c r="CYB112" s="1370"/>
      <c r="CYC112" s="1370"/>
      <c r="CYD112" s="1370"/>
      <c r="CYE112" s="1370"/>
      <c r="CYF112" s="1370"/>
      <c r="CYG112" s="1370"/>
      <c r="CYH112" s="1370"/>
      <c r="CYI112" s="1370"/>
      <c r="CYJ112" s="1370"/>
      <c r="CYK112" s="1370"/>
      <c r="CYL112" s="1370"/>
      <c r="CYM112" s="1370"/>
      <c r="CYN112" s="1370"/>
      <c r="CYO112" s="1370"/>
      <c r="CYP112" s="1370"/>
      <c r="CYQ112" s="1370"/>
      <c r="CYR112" s="1370"/>
      <c r="CYS112" s="1370"/>
      <c r="CYT112" s="1370"/>
      <c r="CYU112" s="1370"/>
      <c r="CYV112" s="1370"/>
      <c r="CYW112" s="1370"/>
      <c r="CYX112" s="1370"/>
      <c r="CYY112" s="1370"/>
      <c r="CYZ112" s="1370"/>
      <c r="CZA112" s="1370"/>
      <c r="CZB112" s="1370"/>
      <c r="CZC112" s="1370"/>
      <c r="CZD112" s="1370"/>
      <c r="CZE112" s="1370"/>
      <c r="CZF112" s="1370"/>
      <c r="CZG112" s="1370"/>
      <c r="CZH112" s="1370"/>
      <c r="CZI112" s="1370"/>
      <c r="CZJ112" s="1370"/>
      <c r="CZK112" s="1370"/>
      <c r="CZL112" s="1370"/>
      <c r="CZM112" s="1370"/>
      <c r="CZN112" s="1370"/>
      <c r="CZO112" s="1370"/>
      <c r="CZP112" s="1370"/>
      <c r="CZQ112" s="1370"/>
      <c r="CZR112" s="1370"/>
      <c r="CZS112" s="1370"/>
      <c r="CZT112" s="1370"/>
      <c r="CZU112" s="1370"/>
      <c r="CZV112" s="1370"/>
      <c r="CZW112" s="1370"/>
      <c r="CZX112" s="1370"/>
      <c r="CZY112" s="1370"/>
      <c r="CZZ112" s="1370"/>
      <c r="DAA112" s="1370"/>
      <c r="DAB112" s="1370"/>
      <c r="DAC112" s="1370"/>
      <c r="DAD112" s="1370"/>
      <c r="DAE112" s="1370"/>
      <c r="DAF112" s="1370"/>
      <c r="DAG112" s="1370"/>
      <c r="DAH112" s="1370"/>
      <c r="DAI112" s="1370"/>
      <c r="DAJ112" s="1370"/>
      <c r="DAK112" s="1370"/>
      <c r="DAL112" s="1370"/>
      <c r="DAM112" s="1370"/>
      <c r="DAN112" s="1370"/>
      <c r="DAO112" s="1370"/>
      <c r="DAP112" s="1370"/>
      <c r="DAQ112" s="1370"/>
      <c r="DAR112" s="1370"/>
      <c r="DAS112" s="1370"/>
      <c r="DAT112" s="1370"/>
      <c r="DAU112" s="1370"/>
      <c r="DAV112" s="1370"/>
      <c r="DAW112" s="1370"/>
      <c r="DAX112" s="1370"/>
      <c r="DAY112" s="1370"/>
      <c r="DAZ112" s="1370"/>
      <c r="DBA112" s="1370"/>
      <c r="DBB112" s="1370"/>
      <c r="DBC112" s="1370"/>
      <c r="DBD112" s="1370"/>
      <c r="DBE112" s="1370"/>
      <c r="DBF112" s="1370"/>
      <c r="DBG112" s="1370"/>
      <c r="DBH112" s="1370"/>
      <c r="DBI112" s="1370"/>
      <c r="DBJ112" s="1370"/>
      <c r="DBK112" s="1370"/>
      <c r="DBL112" s="1370"/>
      <c r="DBM112" s="1370"/>
      <c r="DBN112" s="1370"/>
      <c r="DBO112" s="1370"/>
      <c r="DBP112" s="1370"/>
      <c r="DBQ112" s="1370"/>
      <c r="DBR112" s="1370"/>
      <c r="DBS112" s="1370"/>
      <c r="DBT112" s="1370"/>
      <c r="DBU112" s="1370"/>
      <c r="DBV112" s="1370"/>
      <c r="DBW112" s="1370"/>
      <c r="DBX112" s="1370"/>
      <c r="DBY112" s="1370"/>
      <c r="DBZ112" s="1370"/>
      <c r="DCA112" s="1370"/>
      <c r="DCB112" s="1370"/>
      <c r="DCC112" s="1370"/>
      <c r="DCD112" s="1370"/>
      <c r="DCE112" s="1370"/>
      <c r="DCF112" s="1370"/>
      <c r="DCG112" s="1370"/>
      <c r="DCH112" s="1370"/>
      <c r="DCI112" s="1370"/>
      <c r="DCJ112" s="1370"/>
      <c r="DCK112" s="1370"/>
      <c r="DCL112" s="1370"/>
      <c r="DCM112" s="1370"/>
      <c r="DCN112" s="1370"/>
      <c r="DCO112" s="1370"/>
      <c r="DCP112" s="1370"/>
      <c r="DCQ112" s="1370"/>
      <c r="DCR112" s="1370"/>
      <c r="DCS112" s="1370"/>
      <c r="DCT112" s="1370"/>
      <c r="DCU112" s="1370"/>
      <c r="DCV112" s="1370"/>
      <c r="DCW112" s="1370"/>
      <c r="DCX112" s="1370"/>
      <c r="DCY112" s="1370"/>
      <c r="DCZ112" s="1370"/>
      <c r="DDA112" s="1370"/>
      <c r="DDB112" s="1370"/>
      <c r="DDC112" s="1370"/>
      <c r="DDD112" s="1370"/>
      <c r="DDE112" s="1370"/>
      <c r="DDF112" s="1370"/>
      <c r="DDG112" s="1370"/>
      <c r="DDH112" s="1370"/>
      <c r="DDI112" s="1370"/>
      <c r="DDJ112" s="1370"/>
      <c r="DDK112" s="1370"/>
      <c r="DDL112" s="1370"/>
      <c r="DDM112" s="1370"/>
      <c r="DDN112" s="1370"/>
      <c r="DDO112" s="1370"/>
      <c r="DDP112" s="1370"/>
      <c r="DDQ112" s="1370"/>
      <c r="DDR112" s="1370"/>
      <c r="DDS112" s="1370"/>
      <c r="DDT112" s="1370"/>
      <c r="DDU112" s="1370"/>
      <c r="DDV112" s="1370"/>
      <c r="DDW112" s="1370"/>
      <c r="DDX112" s="1370"/>
      <c r="DDY112" s="1370"/>
      <c r="DDZ112" s="1370"/>
      <c r="DEA112" s="1370"/>
      <c r="DEB112" s="1370"/>
      <c r="DEC112" s="1370"/>
      <c r="DED112" s="1370"/>
      <c r="DEE112" s="1370"/>
      <c r="DEF112" s="1370"/>
      <c r="DEG112" s="1370"/>
      <c r="DEH112" s="1370"/>
      <c r="DEI112" s="1370"/>
      <c r="DEJ112" s="1370"/>
      <c r="DEK112" s="1370"/>
      <c r="DEL112" s="1370"/>
      <c r="DEM112" s="1370"/>
      <c r="DEN112" s="1370"/>
      <c r="DEO112" s="1370"/>
      <c r="DEP112" s="1370"/>
      <c r="DEQ112" s="1370"/>
      <c r="DER112" s="1370"/>
      <c r="DES112" s="1370"/>
      <c r="DET112" s="1370"/>
      <c r="DEU112" s="1370"/>
      <c r="DEV112" s="1370"/>
      <c r="DEW112" s="1370"/>
      <c r="DEX112" s="1370"/>
      <c r="DEY112" s="1370"/>
      <c r="DEZ112" s="1370"/>
      <c r="DFA112" s="1370"/>
      <c r="DFB112" s="1370"/>
      <c r="DFC112" s="1370"/>
      <c r="DFD112" s="1370"/>
      <c r="DFE112" s="1370"/>
      <c r="DFF112" s="1370"/>
      <c r="DFG112" s="1370"/>
      <c r="DFH112" s="1370"/>
      <c r="DFI112" s="1370"/>
      <c r="DFJ112" s="1370"/>
      <c r="DFK112" s="1370"/>
      <c r="DFL112" s="1370"/>
      <c r="DFM112" s="1370"/>
      <c r="DFN112" s="1370"/>
      <c r="DFO112" s="1370"/>
      <c r="DFP112" s="1370"/>
      <c r="DFQ112" s="1370"/>
      <c r="DFR112" s="1370"/>
      <c r="DFS112" s="1370"/>
      <c r="DFT112" s="1370"/>
      <c r="DFU112" s="1370"/>
      <c r="DFV112" s="1370"/>
      <c r="DFW112" s="1370"/>
      <c r="DFX112" s="1370"/>
      <c r="DFY112" s="1370"/>
      <c r="DFZ112" s="1370"/>
      <c r="DGA112" s="1370"/>
      <c r="DGB112" s="1370"/>
      <c r="DGC112" s="1370"/>
      <c r="DGD112" s="1370"/>
      <c r="DGE112" s="1370"/>
      <c r="DGF112" s="1370"/>
      <c r="DGG112" s="1370"/>
      <c r="DGH112" s="1370"/>
      <c r="DGI112" s="1370"/>
      <c r="DGJ112" s="1370"/>
      <c r="DGK112" s="1370"/>
      <c r="DGL112" s="1370"/>
      <c r="DGM112" s="1370"/>
      <c r="DGN112" s="1370"/>
      <c r="DGO112" s="1370"/>
      <c r="DGP112" s="1370"/>
      <c r="DGQ112" s="1370"/>
      <c r="DGR112" s="1370"/>
      <c r="DGS112" s="1370"/>
      <c r="DGT112" s="1370"/>
      <c r="DGU112" s="1370"/>
      <c r="DGV112" s="1370"/>
      <c r="DGW112" s="1370"/>
      <c r="DGX112" s="1370"/>
      <c r="DGY112" s="1370"/>
      <c r="DGZ112" s="1370"/>
      <c r="DHA112" s="1370"/>
      <c r="DHB112" s="1370"/>
      <c r="DHC112" s="1370"/>
      <c r="DHD112" s="1370"/>
      <c r="DHE112" s="1370"/>
      <c r="DHF112" s="1370"/>
      <c r="DHG112" s="1370"/>
      <c r="DHH112" s="1370"/>
      <c r="DHI112" s="1370"/>
      <c r="DHJ112" s="1370"/>
      <c r="DHK112" s="1370"/>
      <c r="DHL112" s="1370"/>
      <c r="DHM112" s="1370"/>
      <c r="DHN112" s="1370"/>
      <c r="DHO112" s="1370"/>
      <c r="DHP112" s="1370"/>
      <c r="DHQ112" s="1370"/>
      <c r="DHR112" s="1370"/>
      <c r="DHS112" s="1370"/>
      <c r="DHT112" s="1370"/>
      <c r="DHU112" s="1370"/>
      <c r="DHV112" s="1370"/>
      <c r="DHW112" s="1370"/>
      <c r="DHX112" s="1370"/>
      <c r="DHY112" s="1370"/>
      <c r="DHZ112" s="1370"/>
      <c r="DIA112" s="1370"/>
      <c r="DIB112" s="1370"/>
      <c r="DIC112" s="1370"/>
      <c r="DID112" s="1370"/>
      <c r="DIE112" s="1370"/>
      <c r="DIF112" s="1370"/>
      <c r="DIG112" s="1370"/>
      <c r="DIH112" s="1370"/>
      <c r="DII112" s="1370"/>
      <c r="DIJ112" s="1370"/>
      <c r="DIK112" s="1370"/>
      <c r="DIL112" s="1370"/>
      <c r="DIM112" s="1370"/>
      <c r="DIN112" s="1370"/>
      <c r="DIO112" s="1370"/>
      <c r="DIP112" s="1370"/>
      <c r="DIQ112" s="1370"/>
      <c r="DIR112" s="1370"/>
      <c r="DIS112" s="1370"/>
      <c r="DIT112" s="1370"/>
      <c r="DIU112" s="1370"/>
      <c r="DIV112" s="1370"/>
      <c r="DIW112" s="1370"/>
      <c r="DIX112" s="1370"/>
      <c r="DIY112" s="1370"/>
      <c r="DIZ112" s="1370"/>
      <c r="DJA112" s="1370"/>
      <c r="DJB112" s="1370"/>
      <c r="DJC112" s="1370"/>
      <c r="DJD112" s="1370"/>
      <c r="DJE112" s="1370"/>
      <c r="DJF112" s="1370"/>
      <c r="DJG112" s="1370"/>
      <c r="DJH112" s="1370"/>
      <c r="DJI112" s="1370"/>
      <c r="DJJ112" s="1370"/>
      <c r="DJK112" s="1370"/>
      <c r="DJL112" s="1370"/>
      <c r="DJM112" s="1370"/>
      <c r="DJN112" s="1370"/>
      <c r="DJO112" s="1370"/>
      <c r="DJP112" s="1370"/>
      <c r="DJQ112" s="1370"/>
      <c r="DJR112" s="1370"/>
      <c r="DJS112" s="1370"/>
      <c r="DJT112" s="1370"/>
      <c r="DJU112" s="1370"/>
      <c r="DJV112" s="1370"/>
      <c r="DJW112" s="1370"/>
      <c r="DJX112" s="1370"/>
      <c r="DJY112" s="1370"/>
      <c r="DJZ112" s="1370"/>
      <c r="DKA112" s="1370"/>
      <c r="DKB112" s="1370"/>
      <c r="DKC112" s="1370"/>
      <c r="DKD112" s="1370"/>
      <c r="DKE112" s="1370"/>
      <c r="DKF112" s="1370"/>
      <c r="DKG112" s="1370"/>
      <c r="DKH112" s="1370"/>
      <c r="DKI112" s="1370"/>
      <c r="DKJ112" s="1370"/>
      <c r="DKK112" s="1370"/>
      <c r="DKL112" s="1370"/>
      <c r="DKM112" s="1370"/>
      <c r="DKN112" s="1370"/>
      <c r="DKO112" s="1370"/>
      <c r="DKP112" s="1370"/>
      <c r="DKQ112" s="1370"/>
      <c r="DKR112" s="1370"/>
      <c r="DKS112" s="1370"/>
      <c r="DKT112" s="1370"/>
      <c r="DKU112" s="1370"/>
      <c r="DKV112" s="1370"/>
      <c r="DKW112" s="1370"/>
      <c r="DKX112" s="1370"/>
      <c r="DKY112" s="1370"/>
      <c r="DKZ112" s="1370"/>
      <c r="DLA112" s="1370"/>
      <c r="DLB112" s="1370"/>
      <c r="DLC112" s="1370"/>
      <c r="DLD112" s="1370"/>
      <c r="DLE112" s="1370"/>
      <c r="DLF112" s="1370"/>
      <c r="DLG112" s="1370"/>
      <c r="DLH112" s="1370"/>
      <c r="DLI112" s="1370"/>
      <c r="DLJ112" s="1370"/>
      <c r="DLK112" s="1370"/>
      <c r="DLL112" s="1370"/>
      <c r="DLM112" s="1370"/>
      <c r="DLN112" s="1370"/>
      <c r="DLO112" s="1370"/>
      <c r="DLP112" s="1370"/>
      <c r="DLQ112" s="1370"/>
      <c r="DLR112" s="1370"/>
      <c r="DLS112" s="1370"/>
      <c r="DLT112" s="1370"/>
      <c r="DLU112" s="1370"/>
      <c r="DLV112" s="1370"/>
      <c r="DLW112" s="1370"/>
      <c r="DLX112" s="1370"/>
      <c r="DLY112" s="1370"/>
      <c r="DLZ112" s="1370"/>
      <c r="DMA112" s="1370"/>
      <c r="DMB112" s="1370"/>
      <c r="DMC112" s="1370"/>
      <c r="DMD112" s="1370"/>
      <c r="DME112" s="1370"/>
      <c r="DMF112" s="1370"/>
      <c r="DMG112" s="1370"/>
      <c r="DMH112" s="1370"/>
      <c r="DMI112" s="1370"/>
      <c r="DMJ112" s="1370"/>
      <c r="DMK112" s="1370"/>
      <c r="DML112" s="1370"/>
      <c r="DMM112" s="1370"/>
      <c r="DMN112" s="1370"/>
      <c r="DMO112" s="1370"/>
      <c r="DMP112" s="1370"/>
      <c r="DMQ112" s="1370"/>
      <c r="DMR112" s="1370"/>
      <c r="DMS112" s="1370"/>
      <c r="DMT112" s="1370"/>
      <c r="DMU112" s="1370"/>
      <c r="DMV112" s="1370"/>
      <c r="DMW112" s="1370"/>
      <c r="DMX112" s="1370"/>
      <c r="DMY112" s="1370"/>
      <c r="DMZ112" s="1370"/>
      <c r="DNA112" s="1370"/>
      <c r="DNB112" s="1370"/>
      <c r="DNC112" s="1370"/>
      <c r="DND112" s="1370"/>
      <c r="DNE112" s="1370"/>
      <c r="DNF112" s="1370"/>
      <c r="DNG112" s="1370"/>
      <c r="DNH112" s="1370"/>
      <c r="DNI112" s="1370"/>
      <c r="DNJ112" s="1370"/>
      <c r="DNK112" s="1370"/>
      <c r="DNL112" s="1370"/>
      <c r="DNM112" s="1370"/>
      <c r="DNN112" s="1370"/>
      <c r="DNO112" s="1370"/>
      <c r="DNP112" s="1370"/>
      <c r="DNQ112" s="1370"/>
      <c r="DNR112" s="1370"/>
      <c r="DNS112" s="1370"/>
      <c r="DNT112" s="1370"/>
      <c r="DNU112" s="1370"/>
      <c r="DNV112" s="1370"/>
      <c r="DNW112" s="1370"/>
      <c r="DNX112" s="1370"/>
      <c r="DNY112" s="1370"/>
      <c r="DNZ112" s="1370"/>
      <c r="DOA112" s="1370"/>
      <c r="DOB112" s="1370"/>
      <c r="DOC112" s="1370"/>
      <c r="DOD112" s="1370"/>
      <c r="DOE112" s="1370"/>
      <c r="DOF112" s="1370"/>
      <c r="DOG112" s="1370"/>
      <c r="DOH112" s="1370"/>
      <c r="DOI112" s="1370"/>
      <c r="DOJ112" s="1370"/>
      <c r="DOK112" s="1370"/>
      <c r="DOL112" s="1370"/>
      <c r="DOM112" s="1370"/>
      <c r="DON112" s="1370"/>
      <c r="DOO112" s="1370"/>
      <c r="DOP112" s="1370"/>
      <c r="DOQ112" s="1370"/>
      <c r="DOR112" s="1370"/>
      <c r="DOS112" s="1370"/>
      <c r="DOT112" s="1370"/>
      <c r="DOU112" s="1370"/>
      <c r="DOV112" s="1370"/>
      <c r="DOW112" s="1370"/>
      <c r="DOX112" s="1370"/>
      <c r="DOY112" s="1370"/>
      <c r="DOZ112" s="1370"/>
      <c r="DPA112" s="1370"/>
      <c r="DPB112" s="1370"/>
      <c r="DPC112" s="1370"/>
      <c r="DPD112" s="1370"/>
      <c r="DPE112" s="1370"/>
      <c r="DPF112" s="1370"/>
      <c r="DPG112" s="1370"/>
      <c r="DPH112" s="1370"/>
      <c r="DPI112" s="1370"/>
      <c r="DPJ112" s="1370"/>
      <c r="DPK112" s="1370"/>
      <c r="DPL112" s="1370"/>
      <c r="DPM112" s="1370"/>
      <c r="DPN112" s="1370"/>
      <c r="DPO112" s="1370"/>
      <c r="DPP112" s="1370"/>
      <c r="DPQ112" s="1370"/>
      <c r="DPR112" s="1370"/>
      <c r="DPS112" s="1370"/>
      <c r="DPT112" s="1370"/>
      <c r="DPU112" s="1370"/>
      <c r="DPV112" s="1370"/>
      <c r="DPW112" s="1370"/>
      <c r="DPX112" s="1370"/>
      <c r="DPY112" s="1370"/>
      <c r="DPZ112" s="1370"/>
      <c r="DQA112" s="1370"/>
      <c r="DQB112" s="1370"/>
      <c r="DQC112" s="1370"/>
      <c r="DQD112" s="1370"/>
      <c r="DQE112" s="1370"/>
      <c r="DQF112" s="1370"/>
      <c r="DQG112" s="1370"/>
      <c r="DQH112" s="1370"/>
      <c r="DQI112" s="1370"/>
      <c r="DQJ112" s="1370"/>
      <c r="DQK112" s="1370"/>
      <c r="DQL112" s="1370"/>
      <c r="DQM112" s="1370"/>
      <c r="DQN112" s="1370"/>
      <c r="DQO112" s="1370"/>
      <c r="DQP112" s="1370"/>
      <c r="DQQ112" s="1370"/>
      <c r="DQR112" s="1370"/>
      <c r="DQS112" s="1370"/>
      <c r="DQT112" s="1370"/>
      <c r="DQU112" s="1370"/>
      <c r="DQV112" s="1370"/>
      <c r="DQW112" s="1370"/>
      <c r="DQX112" s="1370"/>
      <c r="DQY112" s="1370"/>
      <c r="DQZ112" s="1370"/>
      <c r="DRA112" s="1370"/>
      <c r="DRB112" s="1370"/>
      <c r="DRC112" s="1370"/>
      <c r="DRD112" s="1370"/>
      <c r="DRE112" s="1370"/>
      <c r="DRF112" s="1370"/>
      <c r="DRG112" s="1370"/>
      <c r="DRH112" s="1370"/>
      <c r="DRI112" s="1370"/>
      <c r="DRJ112" s="1370"/>
      <c r="DRK112" s="1370"/>
      <c r="DRL112" s="1370"/>
      <c r="DRM112" s="1370"/>
      <c r="DRN112" s="1370"/>
      <c r="DRO112" s="1370"/>
      <c r="DRP112" s="1370"/>
      <c r="DRQ112" s="1370"/>
      <c r="DRR112" s="1370"/>
      <c r="DRS112" s="1370"/>
      <c r="DRT112" s="1370"/>
      <c r="DRU112" s="1370"/>
      <c r="DRV112" s="1370"/>
      <c r="DRW112" s="1370"/>
      <c r="DRX112" s="1370"/>
      <c r="DRY112" s="1370"/>
      <c r="DRZ112" s="1370"/>
      <c r="DSA112" s="1370"/>
      <c r="DSB112" s="1370"/>
      <c r="DSC112" s="1370"/>
      <c r="DSD112" s="1370"/>
      <c r="DSE112" s="1370"/>
      <c r="DSF112" s="1370"/>
      <c r="DSG112" s="1370"/>
      <c r="DSH112" s="1370"/>
      <c r="DSI112" s="1370"/>
      <c r="DSJ112" s="1370"/>
      <c r="DSK112" s="1370"/>
      <c r="DSL112" s="1370"/>
      <c r="DSM112" s="1370"/>
      <c r="DSN112" s="1370"/>
      <c r="DSO112" s="1370"/>
      <c r="DSP112" s="1370"/>
      <c r="DSQ112" s="1370"/>
      <c r="DSR112" s="1370"/>
      <c r="DSS112" s="1370"/>
      <c r="DST112" s="1370"/>
      <c r="DSU112" s="1370"/>
      <c r="DSV112" s="1370"/>
      <c r="DSW112" s="1370"/>
      <c r="DSX112" s="1370"/>
      <c r="DSY112" s="1370"/>
      <c r="DSZ112" s="1370"/>
      <c r="DTA112" s="1370"/>
      <c r="DTB112" s="1370"/>
      <c r="DTC112" s="1370"/>
      <c r="DTD112" s="1370"/>
      <c r="DTE112" s="1370"/>
      <c r="DTF112" s="1370"/>
      <c r="DTG112" s="1370"/>
      <c r="DTH112" s="1370"/>
      <c r="DTI112" s="1370"/>
      <c r="DTJ112" s="1370"/>
      <c r="DTK112" s="1370"/>
      <c r="DTL112" s="1370"/>
      <c r="DTM112" s="1370"/>
      <c r="DTN112" s="1370"/>
      <c r="DTO112" s="1370"/>
      <c r="DTP112" s="1370"/>
      <c r="DTQ112" s="1370"/>
      <c r="DTR112" s="1370"/>
      <c r="DTS112" s="1370"/>
      <c r="DTT112" s="1370"/>
      <c r="DTU112" s="1370"/>
      <c r="DTV112" s="1370"/>
      <c r="DTW112" s="1370"/>
      <c r="DTX112" s="1370"/>
      <c r="DTY112" s="1370"/>
      <c r="DTZ112" s="1370"/>
      <c r="DUA112" s="1370"/>
      <c r="DUB112" s="1370"/>
      <c r="DUC112" s="1370"/>
      <c r="DUD112" s="1370"/>
      <c r="DUE112" s="1370"/>
      <c r="DUF112" s="1370"/>
      <c r="DUG112" s="1370"/>
      <c r="DUH112" s="1370"/>
      <c r="DUI112" s="1370"/>
      <c r="DUJ112" s="1370"/>
      <c r="DUK112" s="1370"/>
      <c r="DUL112" s="1370"/>
      <c r="DUM112" s="1370"/>
      <c r="DUN112" s="1370"/>
      <c r="DUO112" s="1370"/>
      <c r="DUP112" s="1370"/>
      <c r="DUQ112" s="1370"/>
      <c r="DUR112" s="1370"/>
      <c r="DUS112" s="1370"/>
      <c r="DUT112" s="1370"/>
      <c r="DUU112" s="1370"/>
      <c r="DUV112" s="1370"/>
      <c r="DUW112" s="1370"/>
      <c r="DUX112" s="1370"/>
      <c r="DUY112" s="1370"/>
      <c r="DUZ112" s="1370"/>
      <c r="DVA112" s="1370"/>
      <c r="DVB112" s="1370"/>
      <c r="DVC112" s="1370"/>
      <c r="DVD112" s="1370"/>
      <c r="DVE112" s="1370"/>
      <c r="DVF112" s="1370"/>
      <c r="DVG112" s="1370"/>
      <c r="DVH112" s="1370"/>
      <c r="DVI112" s="1370"/>
      <c r="DVJ112" s="1370"/>
      <c r="DVK112" s="1370"/>
      <c r="DVL112" s="1370"/>
      <c r="DVM112" s="1370"/>
      <c r="DVN112" s="1370"/>
      <c r="DVO112" s="1370"/>
      <c r="DVP112" s="1370"/>
      <c r="DVQ112" s="1370"/>
      <c r="DVR112" s="1370"/>
      <c r="DVS112" s="1370"/>
      <c r="DVT112" s="1370"/>
      <c r="DVU112" s="1370"/>
      <c r="DVV112" s="1370"/>
      <c r="DVW112" s="1370"/>
      <c r="DVX112" s="1370"/>
      <c r="DVY112" s="1370"/>
      <c r="DVZ112" s="1370"/>
      <c r="DWA112" s="1370"/>
      <c r="DWB112" s="1370"/>
      <c r="DWC112" s="1370"/>
      <c r="DWD112" s="1370"/>
      <c r="DWE112" s="1370"/>
      <c r="DWF112" s="1370"/>
      <c r="DWG112" s="1370"/>
      <c r="DWH112" s="1370"/>
      <c r="DWI112" s="1370"/>
      <c r="DWJ112" s="1370"/>
      <c r="DWK112" s="1370"/>
      <c r="DWL112" s="1370"/>
      <c r="DWM112" s="1370"/>
      <c r="DWN112" s="1370"/>
      <c r="DWO112" s="1370"/>
      <c r="DWP112" s="1370"/>
      <c r="DWQ112" s="1370"/>
      <c r="DWR112" s="1370"/>
      <c r="DWS112" s="1370"/>
      <c r="DWT112" s="1370"/>
      <c r="DWU112" s="1370"/>
      <c r="DWV112" s="1370"/>
      <c r="DWW112" s="1370"/>
      <c r="DWX112" s="1370"/>
      <c r="DWY112" s="1370"/>
      <c r="DWZ112" s="1370"/>
      <c r="DXA112" s="1370"/>
      <c r="DXB112" s="1370"/>
      <c r="DXC112" s="1370"/>
      <c r="DXD112" s="1370"/>
      <c r="DXE112" s="1370"/>
      <c r="DXF112" s="1370"/>
      <c r="DXG112" s="1370"/>
      <c r="DXH112" s="1370"/>
      <c r="DXI112" s="1370"/>
      <c r="DXJ112" s="1370"/>
      <c r="DXK112" s="1370"/>
      <c r="DXL112" s="1370"/>
      <c r="DXM112" s="1370"/>
      <c r="DXN112" s="1370"/>
      <c r="DXO112" s="1370"/>
      <c r="DXP112" s="1370"/>
      <c r="DXQ112" s="1370"/>
      <c r="DXR112" s="1370"/>
      <c r="DXS112" s="1370"/>
      <c r="DXT112" s="1370"/>
      <c r="DXU112" s="1370"/>
      <c r="DXV112" s="1370"/>
      <c r="DXW112" s="1370"/>
      <c r="DXX112" s="1370"/>
      <c r="DXY112" s="1370"/>
      <c r="DXZ112" s="1370"/>
      <c r="DYA112" s="1370"/>
      <c r="DYB112" s="1370"/>
      <c r="DYC112" s="1370"/>
      <c r="DYD112" s="1370"/>
      <c r="DYE112" s="1370"/>
      <c r="DYF112" s="1370"/>
      <c r="DYG112" s="1370"/>
      <c r="DYH112" s="1370"/>
      <c r="DYI112" s="1370"/>
      <c r="DYJ112" s="1370"/>
      <c r="DYK112" s="1370"/>
      <c r="DYL112" s="1370"/>
      <c r="DYM112" s="1370"/>
      <c r="DYN112" s="1370"/>
      <c r="DYO112" s="1370"/>
      <c r="DYP112" s="1370"/>
      <c r="DYQ112" s="1370"/>
      <c r="DYR112" s="1370"/>
      <c r="DYS112" s="1370"/>
      <c r="DYT112" s="1370"/>
      <c r="DYU112" s="1370"/>
      <c r="DYV112" s="1370"/>
      <c r="DYW112" s="1370"/>
      <c r="DYX112" s="1370"/>
      <c r="DYY112" s="1370"/>
      <c r="DYZ112" s="1370"/>
      <c r="DZA112" s="1370"/>
      <c r="DZB112" s="1370"/>
      <c r="DZC112" s="1370"/>
      <c r="DZD112" s="1370"/>
      <c r="DZE112" s="1370"/>
      <c r="DZF112" s="1370"/>
      <c r="DZG112" s="1370"/>
      <c r="DZH112" s="1370"/>
      <c r="DZI112" s="1370"/>
      <c r="DZJ112" s="1370"/>
      <c r="DZK112" s="1370"/>
      <c r="DZL112" s="1370"/>
      <c r="DZM112" s="1370"/>
      <c r="DZN112" s="1370"/>
      <c r="DZO112" s="1370"/>
      <c r="DZP112" s="1370"/>
      <c r="DZQ112" s="1370"/>
      <c r="DZR112" s="1370"/>
      <c r="DZS112" s="1370"/>
      <c r="DZT112" s="1370"/>
      <c r="DZU112" s="1370"/>
      <c r="DZV112" s="1370"/>
      <c r="DZW112" s="1370"/>
      <c r="DZX112" s="1370"/>
      <c r="DZY112" s="1370"/>
      <c r="DZZ112" s="1370"/>
      <c r="EAA112" s="1370"/>
      <c r="EAB112" s="1370"/>
      <c r="EAC112" s="1370"/>
      <c r="EAD112" s="1370"/>
      <c r="EAE112" s="1370"/>
      <c r="EAF112" s="1370"/>
      <c r="EAG112" s="1370"/>
      <c r="EAH112" s="1370"/>
      <c r="EAI112" s="1370"/>
      <c r="EAJ112" s="1370"/>
      <c r="EAK112" s="1370"/>
      <c r="EAL112" s="1370"/>
      <c r="EAM112" s="1370"/>
      <c r="EAN112" s="1370"/>
      <c r="EAO112" s="1370"/>
      <c r="EAP112" s="1370"/>
      <c r="EAQ112" s="1370"/>
      <c r="EAR112" s="1370"/>
      <c r="EAS112" s="1370"/>
      <c r="EAT112" s="1370"/>
      <c r="EAU112" s="1370"/>
      <c r="EAV112" s="1370"/>
      <c r="EAW112" s="1370"/>
      <c r="EAX112" s="1370"/>
      <c r="EAY112" s="1370"/>
      <c r="EAZ112" s="1370"/>
      <c r="EBA112" s="1370"/>
      <c r="EBB112" s="1370"/>
      <c r="EBC112" s="1370"/>
      <c r="EBD112" s="1370"/>
      <c r="EBE112" s="1370"/>
      <c r="EBF112" s="1370"/>
      <c r="EBG112" s="1370"/>
      <c r="EBH112" s="1370"/>
      <c r="EBI112" s="1370"/>
      <c r="EBJ112" s="1370"/>
      <c r="EBK112" s="1370"/>
      <c r="EBL112" s="1370"/>
      <c r="EBM112" s="1370"/>
      <c r="EBN112" s="1370"/>
      <c r="EBO112" s="1370"/>
      <c r="EBP112" s="1370"/>
      <c r="EBQ112" s="1370"/>
      <c r="EBR112" s="1370"/>
      <c r="EBS112" s="1370"/>
      <c r="EBT112" s="1370"/>
      <c r="EBU112" s="1370"/>
      <c r="EBV112" s="1370"/>
      <c r="EBW112" s="1370"/>
      <c r="EBX112" s="1370"/>
      <c r="EBY112" s="1370"/>
      <c r="EBZ112" s="1370"/>
      <c r="ECA112" s="1370"/>
      <c r="ECB112" s="1370"/>
      <c r="ECC112" s="1370"/>
      <c r="ECD112" s="1370"/>
      <c r="ECE112" s="1370"/>
      <c r="ECF112" s="1370"/>
      <c r="ECG112" s="1370"/>
      <c r="ECH112" s="1370"/>
      <c r="ECI112" s="1370"/>
      <c r="ECJ112" s="1370"/>
      <c r="ECK112" s="1370"/>
      <c r="ECL112" s="1370"/>
      <c r="ECM112" s="1370"/>
      <c r="ECN112" s="1370"/>
      <c r="ECO112" s="1370"/>
      <c r="ECP112" s="1370"/>
      <c r="ECQ112" s="1370"/>
      <c r="ECR112" s="1370"/>
      <c r="ECS112" s="1370"/>
      <c r="ECT112" s="1370"/>
      <c r="ECU112" s="1370"/>
      <c r="ECV112" s="1370"/>
      <c r="ECW112" s="1370"/>
      <c r="ECX112" s="1370"/>
      <c r="ECY112" s="1370"/>
      <c r="ECZ112" s="1370"/>
      <c r="EDA112" s="1370"/>
      <c r="EDB112" s="1370"/>
      <c r="EDC112" s="1370"/>
      <c r="EDD112" s="1370"/>
      <c r="EDE112" s="1370"/>
      <c r="EDF112" s="1370"/>
      <c r="EDG112" s="1370"/>
      <c r="EDH112" s="1370"/>
      <c r="EDI112" s="1370"/>
      <c r="EDJ112" s="1370"/>
      <c r="EDK112" s="1370"/>
      <c r="EDL112" s="1370"/>
      <c r="EDM112" s="1370"/>
      <c r="EDN112" s="1370"/>
      <c r="EDO112" s="1370"/>
      <c r="EDP112" s="1370"/>
      <c r="EDQ112" s="1370"/>
      <c r="EDR112" s="1370"/>
      <c r="EDS112" s="1370"/>
      <c r="EDT112" s="1370"/>
      <c r="EDU112" s="1370"/>
      <c r="EDV112" s="1370"/>
      <c r="EDW112" s="1370"/>
      <c r="EDX112" s="1370"/>
      <c r="EDY112" s="1370"/>
      <c r="EDZ112" s="1370"/>
      <c r="EEA112" s="1370"/>
      <c r="EEB112" s="1370"/>
      <c r="EEC112" s="1370"/>
      <c r="EED112" s="1370"/>
      <c r="EEE112" s="1370"/>
      <c r="EEF112" s="1370"/>
      <c r="EEG112" s="1370"/>
      <c r="EEH112" s="1370"/>
      <c r="EEI112" s="1370"/>
      <c r="EEJ112" s="1370"/>
      <c r="EEK112" s="1370"/>
      <c r="EEL112" s="1370"/>
      <c r="EEM112" s="1370"/>
      <c r="EEN112" s="1370"/>
      <c r="EEO112" s="1370"/>
      <c r="EEP112" s="1370"/>
      <c r="EEQ112" s="1370"/>
      <c r="EER112" s="1370"/>
      <c r="EES112" s="1370"/>
      <c r="EET112" s="1370"/>
      <c r="EEU112" s="1370"/>
      <c r="EEV112" s="1370"/>
      <c r="EEW112" s="1370"/>
      <c r="EEX112" s="1370"/>
      <c r="EEY112" s="1370"/>
      <c r="EEZ112" s="1370"/>
      <c r="EFA112" s="1370"/>
      <c r="EFB112" s="1370"/>
      <c r="EFC112" s="1370"/>
      <c r="EFD112" s="1370"/>
      <c r="EFE112" s="1370"/>
      <c r="EFF112" s="1370"/>
      <c r="EFG112" s="1370"/>
      <c r="EFH112" s="1370"/>
      <c r="EFI112" s="1370"/>
      <c r="EFJ112" s="1370"/>
      <c r="EFK112" s="1370"/>
      <c r="EFL112" s="1370"/>
      <c r="EFM112" s="1370"/>
      <c r="EFN112" s="1370"/>
      <c r="EFO112" s="1370"/>
      <c r="EFP112" s="1370"/>
      <c r="EFQ112" s="1370"/>
      <c r="EFR112" s="1370"/>
      <c r="EFS112" s="1370"/>
      <c r="EFT112" s="1370"/>
      <c r="EFU112" s="1370"/>
      <c r="EFV112" s="1370"/>
      <c r="EFW112" s="1370"/>
      <c r="EFX112" s="1370"/>
      <c r="EFY112" s="1370"/>
      <c r="EFZ112" s="1370"/>
      <c r="EGA112" s="1370"/>
      <c r="EGB112" s="1370"/>
      <c r="EGC112" s="1370"/>
      <c r="EGD112" s="1370"/>
      <c r="EGE112" s="1370"/>
      <c r="EGF112" s="1370"/>
      <c r="EGG112" s="1370"/>
      <c r="EGH112" s="1370"/>
      <c r="EGI112" s="1370"/>
      <c r="EGJ112" s="1370"/>
      <c r="EGK112" s="1370"/>
      <c r="EGL112" s="1370"/>
      <c r="EGM112" s="1370"/>
      <c r="EGN112" s="1370"/>
      <c r="EGO112" s="1370"/>
      <c r="EGP112" s="1370"/>
      <c r="EGQ112" s="1370"/>
      <c r="EGR112" s="1370"/>
      <c r="EGS112" s="1370"/>
      <c r="EGT112" s="1370"/>
      <c r="EGU112" s="1370"/>
      <c r="EGV112" s="1370"/>
      <c r="EGW112" s="1370"/>
      <c r="EGX112" s="1370"/>
      <c r="EGY112" s="1370"/>
      <c r="EGZ112" s="1370"/>
      <c r="EHA112" s="1370"/>
      <c r="EHB112" s="1370"/>
      <c r="EHC112" s="1370"/>
      <c r="EHD112" s="1370"/>
      <c r="EHE112" s="1370"/>
      <c r="EHF112" s="1370"/>
      <c r="EHG112" s="1370"/>
      <c r="EHH112" s="1370"/>
      <c r="EHI112" s="1370"/>
      <c r="EHJ112" s="1370"/>
      <c r="EHK112" s="1370"/>
      <c r="EHL112" s="1370"/>
      <c r="EHM112" s="1370"/>
      <c r="EHN112" s="1370"/>
      <c r="EHO112" s="1370"/>
      <c r="EHP112" s="1370"/>
      <c r="EHQ112" s="1370"/>
      <c r="EHR112" s="1370"/>
      <c r="EHS112" s="1370"/>
      <c r="EHT112" s="1370"/>
      <c r="EHU112" s="1370"/>
      <c r="EHV112" s="1370"/>
      <c r="EHW112" s="1370"/>
      <c r="EHX112" s="1370"/>
      <c r="EHY112" s="1370"/>
      <c r="EHZ112" s="1370"/>
      <c r="EIA112" s="1370"/>
      <c r="EIB112" s="1370"/>
      <c r="EIC112" s="1370"/>
      <c r="EID112" s="1370"/>
      <c r="EIE112" s="1370"/>
      <c r="EIF112" s="1370"/>
      <c r="EIG112" s="1370"/>
      <c r="EIH112" s="1370"/>
      <c r="EII112" s="1370"/>
      <c r="EIJ112" s="1370"/>
      <c r="EIK112" s="1370"/>
      <c r="EIL112" s="1370"/>
      <c r="EIM112" s="1370"/>
      <c r="EIN112" s="1370"/>
      <c r="EIO112" s="1370"/>
      <c r="EIP112" s="1370"/>
      <c r="EIQ112" s="1370"/>
      <c r="EIR112" s="1370"/>
      <c r="EIS112" s="1370"/>
      <c r="EIT112" s="1370"/>
      <c r="EIU112" s="1370"/>
      <c r="EIV112" s="1370"/>
      <c r="EIW112" s="1370"/>
      <c r="EIX112" s="1370"/>
      <c r="EIY112" s="1370"/>
      <c r="EIZ112" s="1370"/>
      <c r="EJA112" s="1370"/>
      <c r="EJB112" s="1370"/>
      <c r="EJC112" s="1370"/>
      <c r="EJD112" s="1370"/>
      <c r="EJE112" s="1370"/>
      <c r="EJF112" s="1370"/>
      <c r="EJG112" s="1370"/>
      <c r="EJH112" s="1370"/>
      <c r="EJI112" s="1370"/>
      <c r="EJJ112" s="1370"/>
      <c r="EJK112" s="1370"/>
      <c r="EJL112" s="1370"/>
      <c r="EJM112" s="1370"/>
      <c r="EJN112" s="1370"/>
      <c r="EJO112" s="1370"/>
      <c r="EJP112" s="1370"/>
      <c r="EJQ112" s="1370"/>
      <c r="EJR112" s="1370"/>
      <c r="EJS112" s="1370"/>
      <c r="EJT112" s="1370"/>
      <c r="EJU112" s="1370"/>
      <c r="EJV112" s="1370"/>
      <c r="EJW112" s="1370"/>
      <c r="EJX112" s="1370"/>
      <c r="EJY112" s="1370"/>
      <c r="EJZ112" s="1370"/>
      <c r="EKA112" s="1370"/>
      <c r="EKB112" s="1370"/>
      <c r="EKC112" s="1370"/>
      <c r="EKD112" s="1370"/>
      <c r="EKE112" s="1370"/>
      <c r="EKF112" s="1370"/>
      <c r="EKG112" s="1370"/>
      <c r="EKH112" s="1370"/>
      <c r="EKI112" s="1370"/>
      <c r="EKJ112" s="1370"/>
      <c r="EKK112" s="1370"/>
      <c r="EKL112" s="1370"/>
      <c r="EKM112" s="1370"/>
      <c r="EKN112" s="1370"/>
      <c r="EKO112" s="1370"/>
      <c r="EKP112" s="1370"/>
      <c r="EKQ112" s="1370"/>
      <c r="EKR112" s="1370"/>
      <c r="EKS112" s="1370"/>
      <c r="EKT112" s="1370"/>
      <c r="EKU112" s="1370"/>
      <c r="EKV112" s="1370"/>
      <c r="EKW112" s="1370"/>
      <c r="EKX112" s="1370"/>
      <c r="EKY112" s="1370"/>
      <c r="EKZ112" s="1370"/>
      <c r="ELA112" s="1370"/>
      <c r="ELB112" s="1370"/>
      <c r="ELC112" s="1370"/>
      <c r="ELD112" s="1370"/>
      <c r="ELE112" s="1370"/>
      <c r="ELF112" s="1370"/>
      <c r="ELG112" s="1370"/>
      <c r="ELH112" s="1370"/>
      <c r="ELI112" s="1370"/>
      <c r="ELJ112" s="1370"/>
      <c r="ELK112" s="1370"/>
      <c r="ELL112" s="1370"/>
      <c r="ELM112" s="1370"/>
      <c r="ELN112" s="1370"/>
      <c r="ELO112" s="1370"/>
      <c r="ELP112" s="1370"/>
      <c r="ELQ112" s="1370"/>
      <c r="ELR112" s="1370"/>
      <c r="ELS112" s="1370"/>
      <c r="ELT112" s="1370"/>
      <c r="ELU112" s="1370"/>
      <c r="ELV112" s="1370"/>
      <c r="ELW112" s="1370"/>
      <c r="ELX112" s="1370"/>
      <c r="ELY112" s="1370"/>
      <c r="ELZ112" s="1370"/>
      <c r="EMA112" s="1370"/>
      <c r="EMB112" s="1370"/>
      <c r="EMC112" s="1370"/>
      <c r="EMD112" s="1370"/>
      <c r="EME112" s="1370"/>
      <c r="EMF112" s="1370"/>
      <c r="EMG112" s="1370"/>
      <c r="EMH112" s="1370"/>
      <c r="EMI112" s="1370"/>
      <c r="EMJ112" s="1370"/>
      <c r="EMK112" s="1370"/>
      <c r="EML112" s="1370"/>
      <c r="EMM112" s="1370"/>
      <c r="EMN112" s="1370"/>
      <c r="EMO112" s="1370"/>
      <c r="EMP112" s="1370"/>
      <c r="EMQ112" s="1370"/>
      <c r="EMR112" s="1370"/>
      <c r="EMS112" s="1370"/>
      <c r="EMT112" s="1370"/>
      <c r="EMU112" s="1370"/>
      <c r="EMV112" s="1370"/>
      <c r="EMW112" s="1370"/>
      <c r="EMX112" s="1370"/>
      <c r="EMY112" s="1370"/>
      <c r="EMZ112" s="1370"/>
      <c r="ENA112" s="1370"/>
      <c r="ENB112" s="1370"/>
      <c r="ENC112" s="1370"/>
      <c r="END112" s="1370"/>
      <c r="ENE112" s="1370"/>
      <c r="ENF112" s="1370"/>
      <c r="ENG112" s="1370"/>
      <c r="ENH112" s="1370"/>
      <c r="ENI112" s="1370"/>
      <c r="ENJ112" s="1370"/>
      <c r="ENK112" s="1370"/>
      <c r="ENL112" s="1370"/>
      <c r="ENM112" s="1370"/>
      <c r="ENN112" s="1370"/>
      <c r="ENO112" s="1370"/>
      <c r="ENP112" s="1370"/>
      <c r="ENQ112" s="1370"/>
      <c r="ENR112" s="1370"/>
      <c r="ENS112" s="1370"/>
      <c r="ENT112" s="1370"/>
      <c r="ENU112" s="1370"/>
      <c r="ENV112" s="1370"/>
      <c r="ENW112" s="1370"/>
      <c r="ENX112" s="1370"/>
      <c r="ENY112" s="1370"/>
      <c r="ENZ112" s="1370"/>
      <c r="EOA112" s="1370"/>
      <c r="EOB112" s="1370"/>
      <c r="EOC112" s="1370"/>
      <c r="EOD112" s="1370"/>
      <c r="EOE112" s="1370"/>
      <c r="EOF112" s="1370"/>
      <c r="EOG112" s="1370"/>
      <c r="EOH112" s="1370"/>
      <c r="EOI112" s="1370"/>
      <c r="EOJ112" s="1370"/>
      <c r="EOK112" s="1370"/>
      <c r="EOL112" s="1370"/>
      <c r="EOM112" s="1370"/>
      <c r="EON112" s="1370"/>
      <c r="EOO112" s="1370"/>
      <c r="EOP112" s="1370"/>
      <c r="EOQ112" s="1370"/>
      <c r="EOR112" s="1370"/>
      <c r="EOS112" s="1370"/>
      <c r="EOT112" s="1370"/>
      <c r="EOU112" s="1370"/>
      <c r="EOV112" s="1370"/>
      <c r="EOW112" s="1370"/>
      <c r="EOX112" s="1370"/>
      <c r="EOY112" s="1370"/>
      <c r="EOZ112" s="1370"/>
      <c r="EPA112" s="1370"/>
      <c r="EPB112" s="1370"/>
      <c r="EPC112" s="1370"/>
      <c r="EPD112" s="1370"/>
      <c r="EPE112" s="1370"/>
      <c r="EPF112" s="1370"/>
      <c r="EPG112" s="1370"/>
      <c r="EPH112" s="1370"/>
      <c r="EPI112" s="1370"/>
      <c r="EPJ112" s="1370"/>
      <c r="EPK112" s="1370"/>
      <c r="EPL112" s="1370"/>
      <c r="EPM112" s="1370"/>
      <c r="EPN112" s="1370"/>
      <c r="EPO112" s="1370"/>
      <c r="EPP112" s="1370"/>
      <c r="EPQ112" s="1370"/>
      <c r="EPR112" s="1370"/>
      <c r="EPS112" s="1370"/>
      <c r="EPT112" s="1370"/>
      <c r="EPU112" s="1370"/>
      <c r="EPV112" s="1370"/>
      <c r="EPW112" s="1370"/>
      <c r="EPX112" s="1370"/>
      <c r="EPY112" s="1370"/>
      <c r="EPZ112" s="1370"/>
      <c r="EQA112" s="1370"/>
      <c r="EQB112" s="1370"/>
      <c r="EQC112" s="1370"/>
      <c r="EQD112" s="1370"/>
      <c r="EQE112" s="1370"/>
      <c r="EQF112" s="1370"/>
      <c r="EQG112" s="1370"/>
      <c r="EQH112" s="1370"/>
      <c r="EQI112" s="1370"/>
      <c r="EQJ112" s="1370"/>
      <c r="EQK112" s="1370"/>
      <c r="EQL112" s="1370"/>
      <c r="EQM112" s="1370"/>
      <c r="EQN112" s="1370"/>
      <c r="EQO112" s="1370"/>
      <c r="EQP112" s="1370"/>
      <c r="EQQ112" s="1370"/>
      <c r="EQR112" s="1370"/>
      <c r="EQS112" s="1370"/>
      <c r="EQT112" s="1370"/>
      <c r="EQU112" s="1370"/>
      <c r="EQV112" s="1370"/>
      <c r="EQW112" s="1370"/>
      <c r="EQX112" s="1370"/>
      <c r="EQY112" s="1370"/>
      <c r="EQZ112" s="1370"/>
      <c r="ERA112" s="1370"/>
      <c r="ERB112" s="1370"/>
      <c r="ERC112" s="1370"/>
      <c r="ERD112" s="1370"/>
      <c r="ERE112" s="1370"/>
      <c r="ERF112" s="1370"/>
      <c r="ERG112" s="1370"/>
      <c r="ERH112" s="1370"/>
      <c r="ERI112" s="1370"/>
      <c r="ERJ112" s="1370"/>
      <c r="ERK112" s="1370"/>
      <c r="ERL112" s="1370"/>
      <c r="ERM112" s="1370"/>
      <c r="ERN112" s="1370"/>
      <c r="ERO112" s="1370"/>
      <c r="ERP112" s="1370"/>
      <c r="ERQ112" s="1370"/>
      <c r="ERR112" s="1370"/>
      <c r="ERS112" s="1370"/>
      <c r="ERT112" s="1370"/>
      <c r="ERU112" s="1370"/>
      <c r="ERV112" s="1370"/>
      <c r="ERW112" s="1370"/>
      <c r="ERX112" s="1370"/>
      <c r="ERY112" s="1370"/>
      <c r="ERZ112" s="1370"/>
      <c r="ESA112" s="1370"/>
      <c r="ESB112" s="1370"/>
      <c r="ESC112" s="1370"/>
      <c r="ESD112" s="1370"/>
      <c r="ESE112" s="1370"/>
      <c r="ESF112" s="1370"/>
      <c r="ESG112" s="1370"/>
      <c r="ESH112" s="1370"/>
      <c r="ESI112" s="1370"/>
      <c r="ESJ112" s="1370"/>
      <c r="ESK112" s="1370"/>
      <c r="ESL112" s="1370"/>
      <c r="ESM112" s="1370"/>
      <c r="ESN112" s="1370"/>
      <c r="ESO112" s="1370"/>
      <c r="ESP112" s="1370"/>
      <c r="ESQ112" s="1370"/>
      <c r="ESR112" s="1370"/>
      <c r="ESS112" s="1370"/>
      <c r="EST112" s="1370"/>
      <c r="ESU112" s="1370"/>
      <c r="ESV112" s="1370"/>
      <c r="ESW112" s="1370"/>
      <c r="ESX112" s="1370"/>
      <c r="ESY112" s="1370"/>
      <c r="ESZ112" s="1370"/>
      <c r="ETA112" s="1370"/>
      <c r="ETB112" s="1370"/>
      <c r="ETC112" s="1370"/>
      <c r="ETD112" s="1370"/>
      <c r="ETE112" s="1370"/>
      <c r="ETF112" s="1370"/>
      <c r="ETG112" s="1370"/>
      <c r="ETH112" s="1370"/>
      <c r="ETI112" s="1370"/>
      <c r="ETJ112" s="1370"/>
      <c r="ETK112" s="1370"/>
      <c r="ETL112" s="1370"/>
      <c r="ETM112" s="1370"/>
      <c r="ETN112" s="1370"/>
      <c r="ETO112" s="1370"/>
      <c r="ETP112" s="1370"/>
      <c r="ETQ112" s="1370"/>
      <c r="ETR112" s="1370"/>
      <c r="ETS112" s="1370"/>
      <c r="ETT112" s="1370"/>
      <c r="ETU112" s="1370"/>
      <c r="ETV112" s="1370"/>
      <c r="ETW112" s="1370"/>
      <c r="ETX112" s="1370"/>
      <c r="ETY112" s="1370"/>
      <c r="ETZ112" s="1370"/>
      <c r="EUA112" s="1370"/>
      <c r="EUB112" s="1370"/>
      <c r="EUC112" s="1370"/>
      <c r="EUD112" s="1370"/>
      <c r="EUE112" s="1370"/>
      <c r="EUF112" s="1370"/>
      <c r="EUG112" s="1370"/>
      <c r="EUH112" s="1370"/>
      <c r="EUI112" s="1370"/>
      <c r="EUJ112" s="1370"/>
      <c r="EUK112" s="1370"/>
      <c r="EUL112" s="1370"/>
      <c r="EUM112" s="1370"/>
      <c r="EUN112" s="1370"/>
      <c r="EUO112" s="1370"/>
      <c r="EUP112" s="1370"/>
      <c r="EUQ112" s="1370"/>
      <c r="EUR112" s="1370"/>
      <c r="EUS112" s="1370"/>
      <c r="EUT112" s="1370"/>
      <c r="EUU112" s="1370"/>
      <c r="EUV112" s="1370"/>
      <c r="EUW112" s="1370"/>
      <c r="EUX112" s="1370"/>
      <c r="EUY112" s="1370"/>
      <c r="EUZ112" s="1370"/>
      <c r="EVA112" s="1370"/>
      <c r="EVB112" s="1370"/>
      <c r="EVC112" s="1370"/>
      <c r="EVD112" s="1370"/>
      <c r="EVE112" s="1370"/>
      <c r="EVF112" s="1370"/>
      <c r="EVG112" s="1370"/>
      <c r="EVH112" s="1370"/>
      <c r="EVI112" s="1370"/>
      <c r="EVJ112" s="1370"/>
      <c r="EVK112" s="1370"/>
      <c r="EVL112" s="1370"/>
      <c r="EVM112" s="1370"/>
      <c r="EVN112" s="1370"/>
      <c r="EVO112" s="1370"/>
      <c r="EVP112" s="1370"/>
      <c r="EVQ112" s="1370"/>
      <c r="EVR112" s="1370"/>
      <c r="EVS112" s="1370"/>
      <c r="EVT112" s="1370"/>
      <c r="EVU112" s="1370"/>
      <c r="EVV112" s="1370"/>
      <c r="EVW112" s="1370"/>
      <c r="EVX112" s="1370"/>
      <c r="EVY112" s="1370"/>
      <c r="EVZ112" s="1370"/>
      <c r="EWA112" s="1370"/>
      <c r="EWB112" s="1370"/>
      <c r="EWC112" s="1370"/>
      <c r="EWD112" s="1370"/>
      <c r="EWE112" s="1370"/>
      <c r="EWF112" s="1370"/>
      <c r="EWG112" s="1370"/>
      <c r="EWH112" s="1370"/>
      <c r="EWI112" s="1370"/>
      <c r="EWJ112" s="1370"/>
      <c r="EWK112" s="1370"/>
      <c r="EWL112" s="1370"/>
      <c r="EWM112" s="1370"/>
      <c r="EWN112" s="1370"/>
      <c r="EWO112" s="1370"/>
      <c r="EWP112" s="1370"/>
      <c r="EWQ112" s="1370"/>
      <c r="EWR112" s="1370"/>
      <c r="EWS112" s="1370"/>
      <c r="EWT112" s="1370"/>
      <c r="EWU112" s="1370"/>
      <c r="EWV112" s="1370"/>
      <c r="EWW112" s="1370"/>
      <c r="EWX112" s="1370"/>
      <c r="EWY112" s="1370"/>
      <c r="EWZ112" s="1370"/>
      <c r="EXA112" s="1370"/>
      <c r="EXB112" s="1370"/>
      <c r="EXC112" s="1370"/>
      <c r="EXD112" s="1370"/>
      <c r="EXE112" s="1370"/>
      <c r="EXF112" s="1370"/>
      <c r="EXG112" s="1370"/>
      <c r="EXH112" s="1370"/>
      <c r="EXI112" s="1370"/>
      <c r="EXJ112" s="1370"/>
      <c r="EXK112" s="1370"/>
      <c r="EXL112" s="1370"/>
      <c r="EXM112" s="1370"/>
      <c r="EXN112" s="1370"/>
      <c r="EXO112" s="1370"/>
      <c r="EXP112" s="1370"/>
      <c r="EXQ112" s="1370"/>
      <c r="EXR112" s="1370"/>
      <c r="EXS112" s="1370"/>
      <c r="EXT112" s="1370"/>
      <c r="EXU112" s="1370"/>
      <c r="EXV112" s="1370"/>
      <c r="EXW112" s="1370"/>
      <c r="EXX112" s="1370"/>
      <c r="EXY112" s="1370"/>
      <c r="EXZ112" s="1370"/>
      <c r="EYA112" s="1370"/>
      <c r="EYB112" s="1370"/>
      <c r="EYC112" s="1370"/>
      <c r="EYD112" s="1370"/>
      <c r="EYE112" s="1370"/>
      <c r="EYF112" s="1370"/>
      <c r="EYG112" s="1370"/>
      <c r="EYH112" s="1370"/>
      <c r="EYI112" s="1370"/>
      <c r="EYJ112" s="1370"/>
      <c r="EYK112" s="1370"/>
      <c r="EYL112" s="1370"/>
      <c r="EYM112" s="1370"/>
      <c r="EYN112" s="1370"/>
      <c r="EYO112" s="1370"/>
      <c r="EYP112" s="1370"/>
      <c r="EYQ112" s="1370"/>
      <c r="EYR112" s="1370"/>
      <c r="EYS112" s="1370"/>
      <c r="EYT112" s="1370"/>
      <c r="EYU112" s="1370"/>
      <c r="EYV112" s="1370"/>
      <c r="EYW112" s="1370"/>
      <c r="EYX112" s="1370"/>
      <c r="EYY112" s="1370"/>
      <c r="EYZ112" s="1370"/>
      <c r="EZA112" s="1370"/>
      <c r="EZB112" s="1370"/>
      <c r="EZC112" s="1370"/>
      <c r="EZD112" s="1370"/>
      <c r="EZE112" s="1370"/>
      <c r="EZF112" s="1370"/>
      <c r="EZG112" s="1370"/>
      <c r="EZH112" s="1370"/>
      <c r="EZI112" s="1370"/>
      <c r="EZJ112" s="1370"/>
      <c r="EZK112" s="1370"/>
      <c r="EZL112" s="1370"/>
      <c r="EZM112" s="1370"/>
      <c r="EZN112" s="1370"/>
      <c r="EZO112" s="1370"/>
      <c r="EZP112" s="1370"/>
      <c r="EZQ112" s="1370"/>
      <c r="EZR112" s="1370"/>
      <c r="EZS112" s="1370"/>
      <c r="EZT112" s="1370"/>
      <c r="EZU112" s="1370"/>
      <c r="EZV112" s="1370"/>
      <c r="EZW112" s="1370"/>
      <c r="EZX112" s="1370"/>
      <c r="EZY112" s="1370"/>
      <c r="EZZ112" s="1370"/>
      <c r="FAA112" s="1370"/>
      <c r="FAB112" s="1370"/>
      <c r="FAC112" s="1370"/>
      <c r="FAD112" s="1370"/>
      <c r="FAE112" s="1370"/>
      <c r="FAF112" s="1370"/>
      <c r="FAG112" s="1370"/>
      <c r="FAH112" s="1370"/>
      <c r="FAI112" s="1370"/>
      <c r="FAJ112" s="1370"/>
      <c r="FAK112" s="1370"/>
      <c r="FAL112" s="1370"/>
      <c r="FAM112" s="1370"/>
      <c r="FAN112" s="1370"/>
      <c r="FAO112" s="1370"/>
      <c r="FAP112" s="1370"/>
      <c r="FAQ112" s="1370"/>
      <c r="FAR112" s="1370"/>
      <c r="FAS112" s="1370"/>
      <c r="FAT112" s="1370"/>
      <c r="FAU112" s="1370"/>
      <c r="FAV112" s="1370"/>
      <c r="FAW112" s="1370"/>
      <c r="FAX112" s="1370"/>
      <c r="FAY112" s="1370"/>
      <c r="FAZ112" s="1370"/>
      <c r="FBA112" s="1370"/>
      <c r="FBB112" s="1370"/>
      <c r="FBC112" s="1370"/>
      <c r="FBD112" s="1370"/>
      <c r="FBE112" s="1370"/>
      <c r="FBF112" s="1370"/>
      <c r="FBG112" s="1370"/>
      <c r="FBH112" s="1370"/>
      <c r="FBI112" s="1370"/>
      <c r="FBJ112" s="1370"/>
      <c r="FBK112" s="1370"/>
      <c r="FBL112" s="1370"/>
      <c r="FBM112" s="1370"/>
      <c r="FBN112" s="1370"/>
      <c r="FBO112" s="1370"/>
      <c r="FBP112" s="1370"/>
      <c r="FBQ112" s="1370"/>
      <c r="FBR112" s="1370"/>
      <c r="FBS112" s="1370"/>
      <c r="FBT112" s="1370"/>
      <c r="FBU112" s="1370"/>
      <c r="FBV112" s="1370"/>
      <c r="FBW112" s="1370"/>
      <c r="FBX112" s="1370"/>
      <c r="FBY112" s="1370"/>
      <c r="FBZ112" s="1370"/>
      <c r="FCA112" s="1370"/>
      <c r="FCB112" s="1370"/>
      <c r="FCC112" s="1370"/>
      <c r="FCD112" s="1370"/>
      <c r="FCE112" s="1370"/>
      <c r="FCF112" s="1370"/>
      <c r="FCG112" s="1370"/>
      <c r="FCH112" s="1370"/>
      <c r="FCI112" s="1370"/>
      <c r="FCJ112" s="1370"/>
      <c r="FCK112" s="1370"/>
      <c r="FCL112" s="1370"/>
      <c r="FCM112" s="1370"/>
      <c r="FCN112" s="1370"/>
      <c r="FCO112" s="1370"/>
      <c r="FCP112" s="1370"/>
      <c r="FCQ112" s="1370"/>
      <c r="FCR112" s="1370"/>
      <c r="FCS112" s="1370"/>
      <c r="FCT112" s="1370"/>
      <c r="FCU112" s="1370"/>
      <c r="FCV112" s="1370"/>
      <c r="FCW112" s="1370"/>
      <c r="FCX112" s="1370"/>
      <c r="FCY112" s="1370"/>
      <c r="FCZ112" s="1370"/>
      <c r="FDA112" s="1370"/>
      <c r="FDB112" s="1370"/>
      <c r="FDC112" s="1370"/>
      <c r="FDD112" s="1370"/>
      <c r="FDE112" s="1370"/>
      <c r="FDF112" s="1370"/>
      <c r="FDG112" s="1370"/>
      <c r="FDH112" s="1370"/>
      <c r="FDI112" s="1370"/>
      <c r="FDJ112" s="1370"/>
      <c r="FDK112" s="1370"/>
      <c r="FDL112" s="1370"/>
      <c r="FDM112" s="1370"/>
      <c r="FDN112" s="1370"/>
      <c r="FDO112" s="1370"/>
      <c r="FDP112" s="1370"/>
      <c r="FDQ112" s="1370"/>
      <c r="FDR112" s="1370"/>
      <c r="FDS112" s="1370"/>
      <c r="FDT112" s="1370"/>
      <c r="FDU112" s="1370"/>
      <c r="FDV112" s="1370"/>
      <c r="FDW112" s="1370"/>
      <c r="FDX112" s="1370"/>
      <c r="FDY112" s="1370"/>
      <c r="FDZ112" s="1370"/>
      <c r="FEA112" s="1370"/>
      <c r="FEB112" s="1370"/>
      <c r="FEC112" s="1370"/>
      <c r="FED112" s="1370"/>
      <c r="FEE112" s="1370"/>
      <c r="FEF112" s="1370"/>
      <c r="FEG112" s="1370"/>
      <c r="FEH112" s="1370"/>
      <c r="FEI112" s="1370"/>
      <c r="FEJ112" s="1370"/>
      <c r="FEK112" s="1370"/>
      <c r="FEL112" s="1370"/>
      <c r="FEM112" s="1370"/>
      <c r="FEN112" s="1370"/>
      <c r="FEO112" s="1370"/>
      <c r="FEP112" s="1370"/>
      <c r="FEQ112" s="1370"/>
      <c r="FER112" s="1370"/>
      <c r="FES112" s="1370"/>
      <c r="FET112" s="1370"/>
      <c r="FEU112" s="1370"/>
      <c r="FEV112" s="1370"/>
      <c r="FEW112" s="1370"/>
      <c r="FEX112" s="1370"/>
      <c r="FEY112" s="1370"/>
      <c r="FEZ112" s="1370"/>
      <c r="FFA112" s="1370"/>
      <c r="FFB112" s="1370"/>
      <c r="FFC112" s="1370"/>
      <c r="FFD112" s="1370"/>
      <c r="FFE112" s="1370"/>
      <c r="FFF112" s="1370"/>
      <c r="FFG112" s="1370"/>
      <c r="FFH112" s="1370"/>
      <c r="FFI112" s="1370"/>
      <c r="FFJ112" s="1370"/>
      <c r="FFK112" s="1370"/>
      <c r="FFL112" s="1370"/>
      <c r="FFM112" s="1370"/>
      <c r="FFN112" s="1370"/>
      <c r="FFO112" s="1370"/>
      <c r="FFP112" s="1370"/>
      <c r="FFQ112" s="1370"/>
      <c r="FFR112" s="1370"/>
      <c r="FFS112" s="1370"/>
      <c r="FFT112" s="1370"/>
      <c r="FFU112" s="1370"/>
      <c r="FFV112" s="1370"/>
      <c r="FFW112" s="1370"/>
      <c r="FFX112" s="1370"/>
      <c r="FFY112" s="1370"/>
      <c r="FFZ112" s="1370"/>
      <c r="FGA112" s="1370"/>
      <c r="FGB112" s="1370"/>
      <c r="FGC112" s="1370"/>
      <c r="FGD112" s="1370"/>
      <c r="FGE112" s="1370"/>
      <c r="FGF112" s="1370"/>
      <c r="FGG112" s="1370"/>
      <c r="FGH112" s="1370"/>
      <c r="FGI112" s="1370"/>
      <c r="FGJ112" s="1370"/>
      <c r="FGK112" s="1370"/>
      <c r="FGL112" s="1370"/>
      <c r="FGM112" s="1370"/>
      <c r="FGN112" s="1370"/>
      <c r="FGO112" s="1370"/>
      <c r="FGP112" s="1370"/>
      <c r="FGQ112" s="1370"/>
      <c r="FGR112" s="1370"/>
      <c r="FGS112" s="1370"/>
      <c r="FGT112" s="1370"/>
      <c r="FGU112" s="1370"/>
      <c r="FGV112" s="1370"/>
      <c r="FGW112" s="1370"/>
      <c r="FGX112" s="1370"/>
      <c r="FGY112" s="1370"/>
      <c r="FGZ112" s="1370"/>
      <c r="FHA112" s="1370"/>
      <c r="FHB112" s="1370"/>
      <c r="FHC112" s="1370"/>
      <c r="FHD112" s="1370"/>
      <c r="FHE112" s="1370"/>
      <c r="FHF112" s="1370"/>
      <c r="FHG112" s="1370"/>
      <c r="FHH112" s="1370"/>
      <c r="FHI112" s="1370"/>
      <c r="FHJ112" s="1370"/>
      <c r="FHK112" s="1370"/>
      <c r="FHL112" s="1370"/>
      <c r="FHM112" s="1370"/>
      <c r="FHN112" s="1370"/>
      <c r="FHO112" s="1370"/>
      <c r="FHP112" s="1370"/>
      <c r="FHQ112" s="1370"/>
      <c r="FHR112" s="1370"/>
      <c r="FHS112" s="1370"/>
      <c r="FHT112" s="1370"/>
      <c r="FHU112" s="1370"/>
      <c r="FHV112" s="1370"/>
      <c r="FHW112" s="1370"/>
      <c r="FHX112" s="1370"/>
      <c r="FHY112" s="1370"/>
      <c r="FHZ112" s="1370"/>
      <c r="FIA112" s="1370"/>
      <c r="FIB112" s="1370"/>
      <c r="FIC112" s="1370"/>
      <c r="FID112" s="1370"/>
      <c r="FIE112" s="1370"/>
      <c r="FIF112" s="1370"/>
      <c r="FIG112" s="1370"/>
      <c r="FIH112" s="1370"/>
      <c r="FII112" s="1370"/>
      <c r="FIJ112" s="1370"/>
      <c r="FIK112" s="1370"/>
      <c r="FIL112" s="1370"/>
      <c r="FIM112" s="1370"/>
      <c r="FIN112" s="1370"/>
      <c r="FIO112" s="1370"/>
      <c r="FIP112" s="1370"/>
      <c r="FIQ112" s="1370"/>
      <c r="FIR112" s="1370"/>
      <c r="FIS112" s="1370"/>
      <c r="FIT112" s="1370"/>
      <c r="FIU112" s="1370"/>
      <c r="FIV112" s="1370"/>
      <c r="FIW112" s="1370"/>
      <c r="FIX112" s="1370"/>
      <c r="FIY112" s="1370"/>
      <c r="FIZ112" s="1370"/>
      <c r="FJA112" s="1370"/>
      <c r="FJB112" s="1370"/>
      <c r="FJC112" s="1370"/>
      <c r="FJD112" s="1370"/>
      <c r="FJE112" s="1370"/>
      <c r="FJF112" s="1370"/>
      <c r="FJG112" s="1370"/>
      <c r="FJH112" s="1370"/>
      <c r="FJI112" s="1370"/>
      <c r="FJJ112" s="1370"/>
      <c r="FJK112" s="1370"/>
      <c r="FJL112" s="1370"/>
      <c r="FJM112" s="1370"/>
      <c r="FJN112" s="1370"/>
      <c r="FJO112" s="1370"/>
      <c r="FJP112" s="1370"/>
      <c r="FJQ112" s="1370"/>
      <c r="FJR112" s="1370"/>
      <c r="FJS112" s="1370"/>
      <c r="FJT112" s="1370"/>
      <c r="FJU112" s="1370"/>
      <c r="FJV112" s="1370"/>
      <c r="FJW112" s="1370"/>
      <c r="FJX112" s="1370"/>
      <c r="FJY112" s="1370"/>
      <c r="FJZ112" s="1370"/>
      <c r="FKA112" s="1370"/>
      <c r="FKB112" s="1370"/>
      <c r="FKC112" s="1370"/>
      <c r="FKD112" s="1370"/>
      <c r="FKE112" s="1370"/>
      <c r="FKF112" s="1370"/>
      <c r="FKG112" s="1370"/>
      <c r="FKH112" s="1370"/>
      <c r="FKI112" s="1370"/>
      <c r="FKJ112" s="1370"/>
      <c r="FKK112" s="1370"/>
      <c r="FKL112" s="1370"/>
      <c r="FKM112" s="1370"/>
      <c r="FKN112" s="1370"/>
      <c r="FKO112" s="1370"/>
      <c r="FKP112" s="1370"/>
      <c r="FKQ112" s="1370"/>
      <c r="FKR112" s="1370"/>
      <c r="FKS112" s="1370"/>
      <c r="FKT112" s="1370"/>
      <c r="FKU112" s="1370"/>
      <c r="FKV112" s="1370"/>
      <c r="FKW112" s="1370"/>
      <c r="FKX112" s="1370"/>
      <c r="FKY112" s="1370"/>
      <c r="FKZ112" s="1370"/>
      <c r="FLA112" s="1370"/>
      <c r="FLB112" s="1370"/>
      <c r="FLC112" s="1370"/>
      <c r="FLD112" s="1370"/>
      <c r="FLE112" s="1370"/>
      <c r="FLF112" s="1370"/>
      <c r="FLG112" s="1370"/>
      <c r="FLH112" s="1370"/>
      <c r="FLI112" s="1370"/>
      <c r="FLJ112" s="1370"/>
      <c r="FLK112" s="1370"/>
      <c r="FLL112" s="1370"/>
      <c r="FLM112" s="1370"/>
      <c r="FLN112" s="1370"/>
      <c r="FLO112" s="1370"/>
      <c r="FLP112" s="1370"/>
      <c r="FLQ112" s="1370"/>
      <c r="FLR112" s="1370"/>
      <c r="FLS112" s="1370"/>
      <c r="FLT112" s="1370"/>
      <c r="FLU112" s="1370"/>
      <c r="FLV112" s="1370"/>
      <c r="FLW112" s="1370"/>
      <c r="FLX112" s="1370"/>
      <c r="FLY112" s="1370"/>
      <c r="FLZ112" s="1370"/>
      <c r="FMA112" s="1370"/>
      <c r="FMB112" s="1370"/>
      <c r="FMC112" s="1370"/>
      <c r="FMD112" s="1370"/>
      <c r="FME112" s="1370"/>
      <c r="FMF112" s="1370"/>
      <c r="FMG112" s="1370"/>
      <c r="FMH112" s="1370"/>
      <c r="FMI112" s="1370"/>
      <c r="FMJ112" s="1370"/>
      <c r="FMK112" s="1370"/>
      <c r="FML112" s="1370"/>
      <c r="FMM112" s="1370"/>
      <c r="FMN112" s="1370"/>
      <c r="FMO112" s="1370"/>
      <c r="FMP112" s="1370"/>
      <c r="FMQ112" s="1370"/>
      <c r="FMR112" s="1370"/>
      <c r="FMS112" s="1370"/>
      <c r="FMT112" s="1370"/>
      <c r="FMU112" s="1370"/>
      <c r="FMV112" s="1370"/>
      <c r="FMW112" s="1370"/>
      <c r="FMX112" s="1370"/>
      <c r="FMY112" s="1370"/>
      <c r="FMZ112" s="1370"/>
      <c r="FNA112" s="1370"/>
      <c r="FNB112" s="1370"/>
      <c r="FNC112" s="1370"/>
      <c r="FND112" s="1370"/>
      <c r="FNE112" s="1370"/>
      <c r="FNF112" s="1370"/>
      <c r="FNG112" s="1370"/>
      <c r="FNH112" s="1370"/>
      <c r="FNI112" s="1370"/>
      <c r="FNJ112" s="1370"/>
      <c r="FNK112" s="1370"/>
      <c r="FNL112" s="1370"/>
      <c r="FNM112" s="1370"/>
      <c r="FNN112" s="1370"/>
      <c r="FNO112" s="1370"/>
      <c r="FNP112" s="1370"/>
      <c r="FNQ112" s="1370"/>
      <c r="FNR112" s="1370"/>
      <c r="FNS112" s="1370"/>
      <c r="FNT112" s="1370"/>
      <c r="FNU112" s="1370"/>
      <c r="FNV112" s="1370"/>
      <c r="FNW112" s="1370"/>
      <c r="FNX112" s="1370"/>
      <c r="FNY112" s="1370"/>
      <c r="FNZ112" s="1370"/>
      <c r="FOA112" s="1370"/>
      <c r="FOB112" s="1370"/>
      <c r="FOC112" s="1370"/>
      <c r="FOD112" s="1370"/>
      <c r="FOE112" s="1370"/>
      <c r="FOF112" s="1370"/>
      <c r="FOG112" s="1370"/>
      <c r="FOH112" s="1370"/>
      <c r="FOI112" s="1370"/>
      <c r="FOJ112" s="1370"/>
      <c r="FOK112" s="1370"/>
      <c r="FOL112" s="1370"/>
      <c r="FOM112" s="1370"/>
      <c r="FON112" s="1370"/>
      <c r="FOO112" s="1370"/>
      <c r="FOP112" s="1370"/>
      <c r="FOQ112" s="1370"/>
      <c r="FOR112" s="1370"/>
      <c r="FOS112" s="1370"/>
      <c r="FOT112" s="1370"/>
      <c r="FOU112" s="1370"/>
      <c r="FOV112" s="1370"/>
      <c r="FOW112" s="1370"/>
      <c r="FOX112" s="1370"/>
      <c r="FOY112" s="1370"/>
      <c r="FOZ112" s="1370"/>
      <c r="FPA112" s="1370"/>
      <c r="FPB112" s="1370"/>
      <c r="FPC112" s="1370"/>
      <c r="FPD112" s="1370"/>
      <c r="FPE112" s="1370"/>
      <c r="FPF112" s="1370"/>
      <c r="FPG112" s="1370"/>
      <c r="FPH112" s="1370"/>
      <c r="FPI112" s="1370"/>
      <c r="FPJ112" s="1370"/>
      <c r="FPK112" s="1370"/>
      <c r="FPL112" s="1370"/>
      <c r="FPM112" s="1370"/>
      <c r="FPN112" s="1370"/>
      <c r="FPO112" s="1370"/>
      <c r="FPP112" s="1370"/>
      <c r="FPQ112" s="1370"/>
      <c r="FPR112" s="1370"/>
      <c r="FPS112" s="1370"/>
      <c r="FPT112" s="1370"/>
      <c r="FPU112" s="1370"/>
      <c r="FPV112" s="1370"/>
      <c r="FPW112" s="1370"/>
      <c r="FPX112" s="1370"/>
      <c r="FPY112" s="1370"/>
      <c r="FPZ112" s="1370"/>
      <c r="FQA112" s="1370"/>
      <c r="FQB112" s="1370"/>
      <c r="FQC112" s="1370"/>
      <c r="FQD112" s="1370"/>
      <c r="FQE112" s="1370"/>
      <c r="FQF112" s="1370"/>
      <c r="FQG112" s="1370"/>
      <c r="FQH112" s="1370"/>
      <c r="FQI112" s="1370"/>
      <c r="FQJ112" s="1370"/>
      <c r="FQK112" s="1370"/>
      <c r="FQL112" s="1370"/>
      <c r="FQM112" s="1370"/>
      <c r="FQN112" s="1370"/>
      <c r="FQO112" s="1370"/>
      <c r="FQP112" s="1370"/>
      <c r="FQQ112" s="1370"/>
      <c r="FQR112" s="1370"/>
      <c r="FQS112" s="1370"/>
      <c r="FQT112" s="1370"/>
      <c r="FQU112" s="1370"/>
      <c r="FQV112" s="1370"/>
      <c r="FQW112" s="1370"/>
      <c r="FQX112" s="1370"/>
      <c r="FQY112" s="1370"/>
      <c r="FQZ112" s="1370"/>
      <c r="FRA112" s="1370"/>
      <c r="FRB112" s="1370"/>
      <c r="FRC112" s="1370"/>
      <c r="FRD112" s="1370"/>
      <c r="FRE112" s="1370"/>
      <c r="FRF112" s="1370"/>
      <c r="FRG112" s="1370"/>
      <c r="FRH112" s="1370"/>
      <c r="FRI112" s="1370"/>
      <c r="FRJ112" s="1370"/>
      <c r="FRK112" s="1370"/>
      <c r="FRL112" s="1370"/>
      <c r="FRM112" s="1370"/>
      <c r="FRN112" s="1370"/>
      <c r="FRO112" s="1370"/>
      <c r="FRP112" s="1370"/>
      <c r="FRQ112" s="1370"/>
      <c r="FRR112" s="1370"/>
      <c r="FRS112" s="1370"/>
      <c r="FRT112" s="1370"/>
      <c r="FRU112" s="1370"/>
      <c r="FRV112" s="1370"/>
      <c r="FRW112" s="1370"/>
      <c r="FRX112" s="1370"/>
      <c r="FRY112" s="1370"/>
      <c r="FRZ112" s="1370"/>
      <c r="FSA112" s="1370"/>
      <c r="FSB112" s="1370"/>
      <c r="FSC112" s="1370"/>
      <c r="FSD112" s="1370"/>
      <c r="FSE112" s="1370"/>
      <c r="FSF112" s="1370"/>
      <c r="FSG112" s="1370"/>
      <c r="FSH112" s="1370"/>
      <c r="FSI112" s="1370"/>
      <c r="FSJ112" s="1370"/>
      <c r="FSK112" s="1370"/>
      <c r="FSL112" s="1370"/>
      <c r="FSM112" s="1370"/>
      <c r="FSN112" s="1370"/>
      <c r="FSO112" s="1370"/>
      <c r="FSP112" s="1370"/>
      <c r="FSQ112" s="1370"/>
      <c r="FSR112" s="1370"/>
      <c r="FSS112" s="1370"/>
      <c r="FST112" s="1370"/>
      <c r="FSU112" s="1370"/>
      <c r="FSV112" s="1370"/>
      <c r="FSW112" s="1370"/>
      <c r="FSX112" s="1370"/>
      <c r="FSY112" s="1370"/>
      <c r="FSZ112" s="1370"/>
      <c r="FTA112" s="1370"/>
      <c r="FTB112" s="1370"/>
      <c r="FTC112" s="1370"/>
      <c r="FTD112" s="1370"/>
      <c r="FTE112" s="1370"/>
      <c r="FTF112" s="1370"/>
      <c r="FTG112" s="1370"/>
      <c r="FTH112" s="1370"/>
      <c r="FTI112" s="1370"/>
      <c r="FTJ112" s="1370"/>
      <c r="FTK112" s="1370"/>
      <c r="FTL112" s="1370"/>
      <c r="FTM112" s="1370"/>
      <c r="FTN112" s="1370"/>
      <c r="FTO112" s="1370"/>
      <c r="FTP112" s="1370"/>
      <c r="FTQ112" s="1370"/>
      <c r="FTR112" s="1370"/>
      <c r="FTS112" s="1370"/>
      <c r="FTT112" s="1370"/>
      <c r="FTU112" s="1370"/>
      <c r="FTV112" s="1370"/>
      <c r="FTW112" s="1370"/>
      <c r="FTX112" s="1370"/>
      <c r="FTY112" s="1370"/>
      <c r="FTZ112" s="1370"/>
      <c r="FUA112" s="1370"/>
      <c r="FUB112" s="1370"/>
      <c r="FUC112" s="1370"/>
      <c r="FUD112" s="1370"/>
      <c r="FUE112" s="1370"/>
      <c r="FUF112" s="1370"/>
      <c r="FUG112" s="1370"/>
      <c r="FUH112" s="1370"/>
      <c r="FUI112" s="1370"/>
      <c r="FUJ112" s="1370"/>
      <c r="FUK112" s="1370"/>
      <c r="FUL112" s="1370"/>
      <c r="FUM112" s="1370"/>
      <c r="FUN112" s="1370"/>
      <c r="FUO112" s="1370"/>
      <c r="FUP112" s="1370"/>
      <c r="FUQ112" s="1370"/>
      <c r="FUR112" s="1370"/>
      <c r="FUS112" s="1370"/>
      <c r="FUT112" s="1370"/>
      <c r="FUU112" s="1370"/>
      <c r="FUV112" s="1370"/>
      <c r="FUW112" s="1370"/>
      <c r="FUX112" s="1370"/>
      <c r="FUY112" s="1370"/>
      <c r="FUZ112" s="1370"/>
      <c r="FVA112" s="1370"/>
      <c r="FVB112" s="1370"/>
      <c r="FVC112" s="1370"/>
      <c r="FVD112" s="1370"/>
      <c r="FVE112" s="1370"/>
      <c r="FVF112" s="1370"/>
      <c r="FVG112" s="1370"/>
      <c r="FVH112" s="1370"/>
      <c r="FVI112" s="1370"/>
      <c r="FVJ112" s="1370"/>
      <c r="FVK112" s="1370"/>
      <c r="FVL112" s="1370"/>
      <c r="FVM112" s="1370"/>
      <c r="FVN112" s="1370"/>
      <c r="FVO112" s="1370"/>
      <c r="FVP112" s="1370"/>
      <c r="FVQ112" s="1370"/>
      <c r="FVR112" s="1370"/>
      <c r="FVS112" s="1370"/>
      <c r="FVT112" s="1370"/>
      <c r="FVU112" s="1370"/>
      <c r="FVV112" s="1370"/>
      <c r="FVW112" s="1370"/>
      <c r="FVX112" s="1370"/>
      <c r="FVY112" s="1370"/>
      <c r="FVZ112" s="1370"/>
      <c r="FWA112" s="1370"/>
      <c r="FWB112" s="1370"/>
      <c r="FWC112" s="1370"/>
      <c r="FWD112" s="1370"/>
      <c r="FWE112" s="1370"/>
      <c r="FWF112" s="1370"/>
      <c r="FWG112" s="1370"/>
      <c r="FWH112" s="1370"/>
      <c r="FWI112" s="1370"/>
      <c r="FWJ112" s="1370"/>
      <c r="FWK112" s="1370"/>
      <c r="FWL112" s="1370"/>
      <c r="FWM112" s="1370"/>
      <c r="FWN112" s="1370"/>
      <c r="FWO112" s="1370"/>
      <c r="FWP112" s="1370"/>
      <c r="FWQ112" s="1370"/>
      <c r="FWR112" s="1370"/>
      <c r="FWS112" s="1370"/>
      <c r="FWT112" s="1370"/>
      <c r="FWU112" s="1370"/>
      <c r="FWV112" s="1370"/>
      <c r="FWW112" s="1370"/>
      <c r="FWX112" s="1370"/>
      <c r="FWY112" s="1370"/>
      <c r="FWZ112" s="1370"/>
      <c r="FXA112" s="1370"/>
      <c r="FXB112" s="1370"/>
      <c r="FXC112" s="1370"/>
      <c r="FXD112" s="1370"/>
      <c r="FXE112" s="1370"/>
      <c r="FXF112" s="1370"/>
      <c r="FXG112" s="1370"/>
      <c r="FXH112" s="1370"/>
      <c r="FXI112" s="1370"/>
      <c r="FXJ112" s="1370"/>
      <c r="FXK112" s="1370"/>
      <c r="FXL112" s="1370"/>
      <c r="FXM112" s="1370"/>
      <c r="FXN112" s="1370"/>
      <c r="FXO112" s="1370"/>
      <c r="FXP112" s="1370"/>
      <c r="FXQ112" s="1370"/>
      <c r="FXR112" s="1370"/>
      <c r="FXS112" s="1370"/>
      <c r="FXT112" s="1370"/>
      <c r="FXU112" s="1370"/>
      <c r="FXV112" s="1370"/>
      <c r="FXW112" s="1370"/>
      <c r="FXX112" s="1370"/>
      <c r="FXY112" s="1370"/>
      <c r="FXZ112" s="1370"/>
      <c r="FYA112" s="1370"/>
      <c r="FYB112" s="1370"/>
      <c r="FYC112" s="1370"/>
      <c r="FYD112" s="1370"/>
      <c r="FYE112" s="1370"/>
      <c r="FYF112" s="1370"/>
      <c r="FYG112" s="1370"/>
      <c r="FYH112" s="1370"/>
      <c r="FYI112" s="1370"/>
      <c r="FYJ112" s="1370"/>
      <c r="FYK112" s="1370"/>
      <c r="FYL112" s="1370"/>
      <c r="FYM112" s="1370"/>
      <c r="FYN112" s="1370"/>
      <c r="FYO112" s="1370"/>
      <c r="FYP112" s="1370"/>
      <c r="FYQ112" s="1370"/>
      <c r="FYR112" s="1370"/>
      <c r="FYS112" s="1370"/>
      <c r="FYT112" s="1370"/>
      <c r="FYU112" s="1370"/>
      <c r="FYV112" s="1370"/>
      <c r="FYW112" s="1370"/>
      <c r="FYX112" s="1370"/>
      <c r="FYY112" s="1370"/>
      <c r="FYZ112" s="1370"/>
      <c r="FZA112" s="1370"/>
      <c r="FZB112" s="1370"/>
      <c r="FZC112" s="1370"/>
      <c r="FZD112" s="1370"/>
      <c r="FZE112" s="1370"/>
      <c r="FZF112" s="1370"/>
      <c r="FZG112" s="1370"/>
      <c r="FZH112" s="1370"/>
      <c r="FZI112" s="1370"/>
      <c r="FZJ112" s="1370"/>
      <c r="FZK112" s="1370"/>
      <c r="FZL112" s="1370"/>
      <c r="FZM112" s="1370"/>
      <c r="FZN112" s="1370"/>
      <c r="FZO112" s="1370"/>
      <c r="FZP112" s="1370"/>
      <c r="FZQ112" s="1370"/>
      <c r="FZR112" s="1370"/>
      <c r="FZS112" s="1370"/>
      <c r="FZT112" s="1370"/>
      <c r="FZU112" s="1370"/>
      <c r="FZV112" s="1370"/>
      <c r="FZW112" s="1370"/>
      <c r="FZX112" s="1370"/>
      <c r="FZY112" s="1370"/>
      <c r="FZZ112" s="1370"/>
      <c r="GAA112" s="1370"/>
      <c r="GAB112" s="1370"/>
      <c r="GAC112" s="1370"/>
      <c r="GAD112" s="1370"/>
      <c r="GAE112" s="1370"/>
      <c r="GAF112" s="1370"/>
      <c r="GAG112" s="1370"/>
      <c r="GAH112" s="1370"/>
      <c r="GAI112" s="1370"/>
      <c r="GAJ112" s="1370"/>
      <c r="GAK112" s="1370"/>
      <c r="GAL112" s="1370"/>
      <c r="GAM112" s="1370"/>
      <c r="GAN112" s="1370"/>
      <c r="GAO112" s="1370"/>
      <c r="GAP112" s="1370"/>
      <c r="GAQ112" s="1370"/>
      <c r="GAR112" s="1370"/>
      <c r="GAS112" s="1370"/>
      <c r="GAT112" s="1370"/>
      <c r="GAU112" s="1370"/>
      <c r="GAV112" s="1370"/>
      <c r="GAW112" s="1370"/>
      <c r="GAX112" s="1370"/>
      <c r="GAY112" s="1370"/>
      <c r="GAZ112" s="1370"/>
      <c r="GBA112" s="1370"/>
      <c r="GBB112" s="1370"/>
      <c r="GBC112" s="1370"/>
      <c r="GBD112" s="1370"/>
      <c r="GBE112" s="1370"/>
      <c r="GBF112" s="1370"/>
      <c r="GBG112" s="1370"/>
      <c r="GBH112" s="1370"/>
      <c r="GBI112" s="1370"/>
      <c r="GBJ112" s="1370"/>
      <c r="GBK112" s="1370"/>
      <c r="GBL112" s="1370"/>
      <c r="GBM112" s="1370"/>
      <c r="GBN112" s="1370"/>
      <c r="GBO112" s="1370"/>
      <c r="GBP112" s="1370"/>
      <c r="GBQ112" s="1370"/>
      <c r="GBR112" s="1370"/>
      <c r="GBS112" s="1370"/>
      <c r="GBT112" s="1370"/>
      <c r="GBU112" s="1370"/>
      <c r="GBV112" s="1370"/>
      <c r="GBW112" s="1370"/>
      <c r="GBX112" s="1370"/>
      <c r="GBY112" s="1370"/>
      <c r="GBZ112" s="1370"/>
      <c r="GCA112" s="1370"/>
      <c r="GCB112" s="1370"/>
      <c r="GCC112" s="1370"/>
      <c r="GCD112" s="1370"/>
      <c r="GCE112" s="1370"/>
      <c r="GCF112" s="1370"/>
      <c r="GCG112" s="1370"/>
      <c r="GCH112" s="1370"/>
      <c r="GCI112" s="1370"/>
      <c r="GCJ112" s="1370"/>
      <c r="GCK112" s="1370"/>
      <c r="GCL112" s="1370"/>
      <c r="GCM112" s="1370"/>
      <c r="GCN112" s="1370"/>
      <c r="GCO112" s="1370"/>
      <c r="GCP112" s="1370"/>
      <c r="GCQ112" s="1370"/>
      <c r="GCR112" s="1370"/>
      <c r="GCS112" s="1370"/>
      <c r="GCT112" s="1370"/>
      <c r="GCU112" s="1370"/>
      <c r="GCV112" s="1370"/>
      <c r="GCW112" s="1370"/>
      <c r="GCX112" s="1370"/>
      <c r="GCY112" s="1370"/>
      <c r="GCZ112" s="1370"/>
      <c r="GDA112" s="1370"/>
      <c r="GDB112" s="1370"/>
      <c r="GDC112" s="1370"/>
      <c r="GDD112" s="1370"/>
      <c r="GDE112" s="1370"/>
      <c r="GDF112" s="1370"/>
      <c r="GDG112" s="1370"/>
      <c r="GDH112" s="1370"/>
      <c r="GDI112" s="1370"/>
      <c r="GDJ112" s="1370"/>
      <c r="GDK112" s="1370"/>
      <c r="GDL112" s="1370"/>
      <c r="GDM112" s="1370"/>
      <c r="GDN112" s="1370"/>
      <c r="GDO112" s="1370"/>
      <c r="GDP112" s="1370"/>
      <c r="GDQ112" s="1370"/>
      <c r="GDR112" s="1370"/>
      <c r="GDS112" s="1370"/>
      <c r="GDT112" s="1370"/>
      <c r="GDU112" s="1370"/>
      <c r="GDV112" s="1370"/>
      <c r="GDW112" s="1370"/>
      <c r="GDX112" s="1370"/>
      <c r="GDY112" s="1370"/>
      <c r="GDZ112" s="1370"/>
      <c r="GEA112" s="1370"/>
      <c r="GEB112" s="1370"/>
      <c r="GEC112" s="1370"/>
      <c r="GED112" s="1370"/>
      <c r="GEE112" s="1370"/>
      <c r="GEF112" s="1370"/>
      <c r="GEG112" s="1370"/>
      <c r="GEH112" s="1370"/>
      <c r="GEI112" s="1370"/>
      <c r="GEJ112" s="1370"/>
      <c r="GEK112" s="1370"/>
      <c r="GEL112" s="1370"/>
      <c r="GEM112" s="1370"/>
      <c r="GEN112" s="1370"/>
      <c r="GEO112" s="1370"/>
      <c r="GEP112" s="1370"/>
      <c r="GEQ112" s="1370"/>
      <c r="GER112" s="1370"/>
      <c r="GES112" s="1370"/>
      <c r="GET112" s="1370"/>
      <c r="GEU112" s="1370"/>
      <c r="GEV112" s="1370"/>
      <c r="GEW112" s="1370"/>
      <c r="GEX112" s="1370"/>
      <c r="GEY112" s="1370"/>
      <c r="GEZ112" s="1370"/>
      <c r="GFA112" s="1370"/>
      <c r="GFB112" s="1370"/>
      <c r="GFC112" s="1370"/>
      <c r="GFD112" s="1370"/>
      <c r="GFE112" s="1370"/>
      <c r="GFF112" s="1370"/>
      <c r="GFG112" s="1370"/>
      <c r="GFH112" s="1370"/>
      <c r="GFI112" s="1370"/>
      <c r="GFJ112" s="1370"/>
      <c r="GFK112" s="1370"/>
      <c r="GFL112" s="1370"/>
      <c r="GFM112" s="1370"/>
      <c r="GFN112" s="1370"/>
      <c r="GFO112" s="1370"/>
      <c r="GFP112" s="1370"/>
      <c r="GFQ112" s="1370"/>
      <c r="GFR112" s="1370"/>
      <c r="GFS112" s="1370"/>
      <c r="GFT112" s="1370"/>
      <c r="GFU112" s="1370"/>
      <c r="GFV112" s="1370"/>
      <c r="GFW112" s="1370"/>
      <c r="GFX112" s="1370"/>
      <c r="GFY112" s="1370"/>
      <c r="GFZ112" s="1370"/>
      <c r="GGA112" s="1370"/>
      <c r="GGB112" s="1370"/>
      <c r="GGC112" s="1370"/>
      <c r="GGD112" s="1370"/>
      <c r="GGE112" s="1370"/>
      <c r="GGF112" s="1370"/>
      <c r="GGG112" s="1370"/>
      <c r="GGH112" s="1370"/>
      <c r="GGI112" s="1370"/>
      <c r="GGJ112" s="1370"/>
      <c r="GGK112" s="1370"/>
      <c r="GGL112" s="1370"/>
      <c r="GGM112" s="1370"/>
      <c r="GGN112" s="1370"/>
      <c r="GGO112" s="1370"/>
      <c r="GGP112" s="1370"/>
      <c r="GGQ112" s="1370"/>
      <c r="GGR112" s="1370"/>
      <c r="GGS112" s="1370"/>
      <c r="GGT112" s="1370"/>
      <c r="GGU112" s="1370"/>
      <c r="GGV112" s="1370"/>
      <c r="GGW112" s="1370"/>
      <c r="GGX112" s="1370"/>
      <c r="GGY112" s="1370"/>
      <c r="GGZ112" s="1370"/>
      <c r="GHA112" s="1370"/>
      <c r="GHB112" s="1370"/>
      <c r="GHC112" s="1370"/>
      <c r="GHD112" s="1370"/>
      <c r="GHE112" s="1370"/>
      <c r="GHF112" s="1370"/>
      <c r="GHG112" s="1370"/>
      <c r="GHH112" s="1370"/>
      <c r="GHI112" s="1370"/>
      <c r="GHJ112" s="1370"/>
      <c r="GHK112" s="1370"/>
      <c r="GHL112" s="1370"/>
      <c r="GHM112" s="1370"/>
      <c r="GHN112" s="1370"/>
      <c r="GHO112" s="1370"/>
      <c r="GHP112" s="1370"/>
      <c r="GHQ112" s="1370"/>
      <c r="GHR112" s="1370"/>
      <c r="GHS112" s="1370"/>
      <c r="GHT112" s="1370"/>
      <c r="GHU112" s="1370"/>
      <c r="GHV112" s="1370"/>
      <c r="GHW112" s="1370"/>
      <c r="GHX112" s="1370"/>
      <c r="GHY112" s="1370"/>
      <c r="GHZ112" s="1370"/>
      <c r="GIA112" s="1370"/>
      <c r="GIB112" s="1370"/>
      <c r="GIC112" s="1370"/>
      <c r="GID112" s="1370"/>
      <c r="GIE112" s="1370"/>
      <c r="GIF112" s="1370"/>
      <c r="GIG112" s="1370"/>
      <c r="GIH112" s="1370"/>
      <c r="GII112" s="1370"/>
      <c r="GIJ112" s="1370"/>
      <c r="GIK112" s="1370"/>
      <c r="GIL112" s="1370"/>
      <c r="GIM112" s="1370"/>
      <c r="GIN112" s="1370"/>
      <c r="GIO112" s="1370"/>
      <c r="GIP112" s="1370"/>
      <c r="GIQ112" s="1370"/>
      <c r="GIR112" s="1370"/>
      <c r="GIS112" s="1370"/>
      <c r="GIT112" s="1370"/>
      <c r="GIU112" s="1370"/>
      <c r="GIV112" s="1370"/>
      <c r="GIW112" s="1370"/>
      <c r="GIX112" s="1370"/>
      <c r="GIY112" s="1370"/>
      <c r="GIZ112" s="1370"/>
      <c r="GJA112" s="1370"/>
      <c r="GJB112" s="1370"/>
      <c r="GJC112" s="1370"/>
      <c r="GJD112" s="1370"/>
      <c r="GJE112" s="1370"/>
      <c r="GJF112" s="1370"/>
      <c r="GJG112" s="1370"/>
      <c r="GJH112" s="1370"/>
      <c r="GJI112" s="1370"/>
      <c r="GJJ112" s="1370"/>
      <c r="GJK112" s="1370"/>
      <c r="GJL112" s="1370"/>
      <c r="GJM112" s="1370"/>
      <c r="GJN112" s="1370"/>
      <c r="GJO112" s="1370"/>
      <c r="GJP112" s="1370"/>
      <c r="GJQ112" s="1370"/>
      <c r="GJR112" s="1370"/>
      <c r="GJS112" s="1370"/>
      <c r="GJT112" s="1370"/>
      <c r="GJU112" s="1370"/>
      <c r="GJV112" s="1370"/>
      <c r="GJW112" s="1370"/>
      <c r="GJX112" s="1370"/>
      <c r="GJY112" s="1370"/>
      <c r="GJZ112" s="1370"/>
      <c r="GKA112" s="1370"/>
      <c r="GKB112" s="1370"/>
      <c r="GKC112" s="1370"/>
      <c r="GKD112" s="1370"/>
      <c r="GKE112" s="1370"/>
      <c r="GKF112" s="1370"/>
      <c r="GKG112" s="1370"/>
      <c r="GKH112" s="1370"/>
      <c r="GKI112" s="1370"/>
      <c r="GKJ112" s="1370"/>
      <c r="GKK112" s="1370"/>
      <c r="GKL112" s="1370"/>
      <c r="GKM112" s="1370"/>
      <c r="GKN112" s="1370"/>
      <c r="GKO112" s="1370"/>
      <c r="GKP112" s="1370"/>
      <c r="GKQ112" s="1370"/>
      <c r="GKR112" s="1370"/>
      <c r="GKS112" s="1370"/>
      <c r="GKT112" s="1370"/>
      <c r="GKU112" s="1370"/>
      <c r="GKV112" s="1370"/>
      <c r="GKW112" s="1370"/>
      <c r="GKX112" s="1370"/>
      <c r="GKY112" s="1370"/>
      <c r="GKZ112" s="1370"/>
      <c r="GLA112" s="1370"/>
      <c r="GLB112" s="1370"/>
      <c r="GLC112" s="1370"/>
      <c r="GLD112" s="1370"/>
      <c r="GLE112" s="1370"/>
      <c r="GLF112" s="1370"/>
      <c r="GLG112" s="1370"/>
      <c r="GLH112" s="1370"/>
      <c r="GLI112" s="1370"/>
      <c r="GLJ112" s="1370"/>
      <c r="GLK112" s="1370"/>
      <c r="GLL112" s="1370"/>
      <c r="GLM112" s="1370"/>
      <c r="GLN112" s="1370"/>
      <c r="GLO112" s="1370"/>
      <c r="GLP112" s="1370"/>
      <c r="GLQ112" s="1370"/>
      <c r="GLR112" s="1370"/>
      <c r="GLS112" s="1370"/>
      <c r="GLT112" s="1370"/>
      <c r="GLU112" s="1370"/>
      <c r="GLV112" s="1370"/>
      <c r="GLW112" s="1370"/>
      <c r="GLX112" s="1370"/>
      <c r="GLY112" s="1370"/>
      <c r="GLZ112" s="1370"/>
      <c r="GMA112" s="1370"/>
      <c r="GMB112" s="1370"/>
      <c r="GMC112" s="1370"/>
      <c r="GMD112" s="1370"/>
      <c r="GME112" s="1370"/>
      <c r="GMF112" s="1370"/>
      <c r="GMG112" s="1370"/>
      <c r="GMH112" s="1370"/>
      <c r="GMI112" s="1370"/>
      <c r="GMJ112" s="1370"/>
      <c r="GMK112" s="1370"/>
      <c r="GML112" s="1370"/>
      <c r="GMM112" s="1370"/>
      <c r="GMN112" s="1370"/>
      <c r="GMO112" s="1370"/>
      <c r="GMP112" s="1370"/>
      <c r="GMQ112" s="1370"/>
      <c r="GMR112" s="1370"/>
      <c r="GMS112" s="1370"/>
      <c r="GMT112" s="1370"/>
      <c r="GMU112" s="1370"/>
      <c r="GMV112" s="1370"/>
      <c r="GMW112" s="1370"/>
      <c r="GMX112" s="1370"/>
      <c r="GMY112" s="1370"/>
      <c r="GMZ112" s="1370"/>
      <c r="GNA112" s="1370"/>
      <c r="GNB112" s="1370"/>
      <c r="GNC112" s="1370"/>
      <c r="GND112" s="1370"/>
      <c r="GNE112" s="1370"/>
      <c r="GNF112" s="1370"/>
      <c r="GNG112" s="1370"/>
      <c r="GNH112" s="1370"/>
      <c r="GNI112" s="1370"/>
      <c r="GNJ112" s="1370"/>
      <c r="GNK112" s="1370"/>
      <c r="GNL112" s="1370"/>
      <c r="GNM112" s="1370"/>
      <c r="GNN112" s="1370"/>
      <c r="GNO112" s="1370"/>
      <c r="GNP112" s="1370"/>
      <c r="GNQ112" s="1370"/>
      <c r="GNR112" s="1370"/>
      <c r="GNS112" s="1370"/>
      <c r="GNT112" s="1370"/>
      <c r="GNU112" s="1370"/>
      <c r="GNV112" s="1370"/>
      <c r="GNW112" s="1370"/>
      <c r="GNX112" s="1370"/>
      <c r="GNY112" s="1370"/>
      <c r="GNZ112" s="1370"/>
      <c r="GOA112" s="1370"/>
      <c r="GOB112" s="1370"/>
      <c r="GOC112" s="1370"/>
      <c r="GOD112" s="1370"/>
      <c r="GOE112" s="1370"/>
      <c r="GOF112" s="1370"/>
      <c r="GOG112" s="1370"/>
      <c r="GOH112" s="1370"/>
      <c r="GOI112" s="1370"/>
      <c r="GOJ112" s="1370"/>
      <c r="GOK112" s="1370"/>
      <c r="GOL112" s="1370"/>
      <c r="GOM112" s="1370"/>
      <c r="GON112" s="1370"/>
      <c r="GOO112" s="1370"/>
      <c r="GOP112" s="1370"/>
      <c r="GOQ112" s="1370"/>
      <c r="GOR112" s="1370"/>
      <c r="GOS112" s="1370"/>
      <c r="GOT112" s="1370"/>
      <c r="GOU112" s="1370"/>
      <c r="GOV112" s="1370"/>
      <c r="GOW112" s="1370"/>
      <c r="GOX112" s="1370"/>
      <c r="GOY112" s="1370"/>
      <c r="GOZ112" s="1370"/>
      <c r="GPA112" s="1370"/>
      <c r="GPB112" s="1370"/>
      <c r="GPC112" s="1370"/>
      <c r="GPD112" s="1370"/>
      <c r="GPE112" s="1370"/>
      <c r="GPF112" s="1370"/>
      <c r="GPG112" s="1370"/>
      <c r="GPH112" s="1370"/>
      <c r="GPI112" s="1370"/>
      <c r="GPJ112" s="1370"/>
      <c r="GPK112" s="1370"/>
      <c r="GPL112" s="1370"/>
      <c r="GPM112" s="1370"/>
      <c r="GPN112" s="1370"/>
      <c r="GPO112" s="1370"/>
      <c r="GPP112" s="1370"/>
      <c r="GPQ112" s="1370"/>
      <c r="GPR112" s="1370"/>
      <c r="GPS112" s="1370"/>
      <c r="GPT112" s="1370"/>
      <c r="GPU112" s="1370"/>
      <c r="GPV112" s="1370"/>
      <c r="GPW112" s="1370"/>
      <c r="GPX112" s="1370"/>
      <c r="GPY112" s="1370"/>
      <c r="GPZ112" s="1370"/>
      <c r="GQA112" s="1370"/>
      <c r="GQB112" s="1370"/>
      <c r="GQC112" s="1370"/>
      <c r="GQD112" s="1370"/>
      <c r="GQE112" s="1370"/>
      <c r="GQF112" s="1370"/>
      <c r="GQG112" s="1370"/>
      <c r="GQH112" s="1370"/>
      <c r="GQI112" s="1370"/>
      <c r="GQJ112" s="1370"/>
      <c r="GQK112" s="1370"/>
      <c r="GQL112" s="1370"/>
      <c r="GQM112" s="1370"/>
      <c r="GQN112" s="1370"/>
      <c r="GQO112" s="1370"/>
      <c r="GQP112" s="1370"/>
      <c r="GQQ112" s="1370"/>
      <c r="GQR112" s="1370"/>
      <c r="GQS112" s="1370"/>
      <c r="GQT112" s="1370"/>
      <c r="GQU112" s="1370"/>
      <c r="GQV112" s="1370"/>
      <c r="GQW112" s="1370"/>
      <c r="GQX112" s="1370"/>
      <c r="GQY112" s="1370"/>
      <c r="GQZ112" s="1370"/>
      <c r="GRA112" s="1370"/>
      <c r="GRB112" s="1370"/>
      <c r="GRC112" s="1370"/>
      <c r="GRD112" s="1370"/>
      <c r="GRE112" s="1370"/>
      <c r="GRF112" s="1370"/>
      <c r="GRG112" s="1370"/>
      <c r="GRH112" s="1370"/>
      <c r="GRI112" s="1370"/>
      <c r="GRJ112" s="1370"/>
      <c r="GRK112" s="1370"/>
      <c r="GRL112" s="1370"/>
      <c r="GRM112" s="1370"/>
      <c r="GRN112" s="1370"/>
      <c r="GRO112" s="1370"/>
      <c r="GRP112" s="1370"/>
      <c r="GRQ112" s="1370"/>
      <c r="GRR112" s="1370"/>
      <c r="GRS112" s="1370"/>
      <c r="GRT112" s="1370"/>
      <c r="GRU112" s="1370"/>
      <c r="GRV112" s="1370"/>
      <c r="GRW112" s="1370"/>
      <c r="GRX112" s="1370"/>
      <c r="GRY112" s="1370"/>
      <c r="GRZ112" s="1370"/>
      <c r="GSA112" s="1370"/>
      <c r="GSB112" s="1370"/>
      <c r="GSC112" s="1370"/>
      <c r="GSD112" s="1370"/>
      <c r="GSE112" s="1370"/>
      <c r="GSF112" s="1370"/>
      <c r="GSG112" s="1370"/>
      <c r="GSH112" s="1370"/>
      <c r="GSI112" s="1370"/>
      <c r="GSJ112" s="1370"/>
      <c r="GSK112" s="1370"/>
      <c r="GSL112" s="1370"/>
      <c r="GSM112" s="1370"/>
      <c r="GSN112" s="1370"/>
      <c r="GSO112" s="1370"/>
      <c r="GSP112" s="1370"/>
      <c r="GSQ112" s="1370"/>
      <c r="GSR112" s="1370"/>
      <c r="GSS112" s="1370"/>
      <c r="GST112" s="1370"/>
      <c r="GSU112" s="1370"/>
      <c r="GSV112" s="1370"/>
      <c r="GSW112" s="1370"/>
      <c r="GSX112" s="1370"/>
      <c r="GSY112" s="1370"/>
      <c r="GSZ112" s="1370"/>
      <c r="GTA112" s="1370"/>
      <c r="GTB112" s="1370"/>
      <c r="GTC112" s="1370"/>
      <c r="GTD112" s="1370"/>
      <c r="GTE112" s="1370"/>
      <c r="GTF112" s="1370"/>
      <c r="GTG112" s="1370"/>
      <c r="GTH112" s="1370"/>
      <c r="GTI112" s="1370"/>
      <c r="GTJ112" s="1370"/>
      <c r="GTK112" s="1370"/>
      <c r="GTL112" s="1370"/>
      <c r="GTM112" s="1370"/>
      <c r="GTN112" s="1370"/>
      <c r="GTO112" s="1370"/>
      <c r="GTP112" s="1370"/>
      <c r="GTQ112" s="1370"/>
      <c r="GTR112" s="1370"/>
      <c r="GTS112" s="1370"/>
      <c r="GTT112" s="1370"/>
      <c r="GTU112" s="1370"/>
      <c r="GTV112" s="1370"/>
      <c r="GTW112" s="1370"/>
      <c r="GTX112" s="1370"/>
      <c r="GTY112" s="1370"/>
      <c r="GTZ112" s="1370"/>
      <c r="GUA112" s="1370"/>
      <c r="GUB112" s="1370"/>
      <c r="GUC112" s="1370"/>
      <c r="GUD112" s="1370"/>
      <c r="GUE112" s="1370"/>
      <c r="GUF112" s="1370"/>
      <c r="GUG112" s="1370"/>
      <c r="GUH112" s="1370"/>
      <c r="GUI112" s="1370"/>
      <c r="GUJ112" s="1370"/>
      <c r="GUK112" s="1370"/>
      <c r="GUL112" s="1370"/>
      <c r="GUM112" s="1370"/>
      <c r="GUN112" s="1370"/>
      <c r="GUO112" s="1370"/>
      <c r="GUP112" s="1370"/>
      <c r="GUQ112" s="1370"/>
      <c r="GUR112" s="1370"/>
      <c r="GUS112" s="1370"/>
      <c r="GUT112" s="1370"/>
      <c r="GUU112" s="1370"/>
      <c r="GUV112" s="1370"/>
      <c r="GUW112" s="1370"/>
      <c r="GUX112" s="1370"/>
      <c r="GUY112" s="1370"/>
      <c r="GUZ112" s="1370"/>
      <c r="GVA112" s="1370"/>
      <c r="GVB112" s="1370"/>
      <c r="GVC112" s="1370"/>
      <c r="GVD112" s="1370"/>
      <c r="GVE112" s="1370"/>
      <c r="GVF112" s="1370"/>
      <c r="GVG112" s="1370"/>
      <c r="GVH112" s="1370"/>
      <c r="GVI112" s="1370"/>
      <c r="GVJ112" s="1370"/>
      <c r="GVK112" s="1370"/>
      <c r="GVL112" s="1370"/>
      <c r="GVM112" s="1370"/>
      <c r="GVN112" s="1370"/>
      <c r="GVO112" s="1370"/>
      <c r="GVP112" s="1370"/>
      <c r="GVQ112" s="1370"/>
      <c r="GVR112" s="1370"/>
      <c r="GVS112" s="1370"/>
      <c r="GVT112" s="1370"/>
      <c r="GVU112" s="1370"/>
      <c r="GVV112" s="1370"/>
      <c r="GVW112" s="1370"/>
      <c r="GVX112" s="1370"/>
      <c r="GVY112" s="1370"/>
      <c r="GVZ112" s="1370"/>
      <c r="GWA112" s="1370"/>
      <c r="GWB112" s="1370"/>
      <c r="GWC112" s="1370"/>
      <c r="GWD112" s="1370"/>
      <c r="GWE112" s="1370"/>
      <c r="GWF112" s="1370"/>
      <c r="GWG112" s="1370"/>
      <c r="GWH112" s="1370"/>
      <c r="GWI112" s="1370"/>
      <c r="GWJ112" s="1370"/>
      <c r="GWK112" s="1370"/>
      <c r="GWL112" s="1370"/>
      <c r="GWM112" s="1370"/>
      <c r="GWN112" s="1370"/>
      <c r="GWO112" s="1370"/>
      <c r="GWP112" s="1370"/>
      <c r="GWQ112" s="1370"/>
      <c r="GWR112" s="1370"/>
      <c r="GWS112" s="1370"/>
      <c r="GWT112" s="1370"/>
      <c r="GWU112" s="1370"/>
      <c r="GWV112" s="1370"/>
      <c r="GWW112" s="1370"/>
      <c r="GWX112" s="1370"/>
      <c r="GWY112" s="1370"/>
      <c r="GWZ112" s="1370"/>
      <c r="GXA112" s="1370"/>
      <c r="GXB112" s="1370"/>
      <c r="GXC112" s="1370"/>
      <c r="GXD112" s="1370"/>
      <c r="GXE112" s="1370"/>
      <c r="GXF112" s="1370"/>
      <c r="GXG112" s="1370"/>
      <c r="GXH112" s="1370"/>
      <c r="GXI112" s="1370"/>
      <c r="GXJ112" s="1370"/>
      <c r="GXK112" s="1370"/>
      <c r="GXL112" s="1370"/>
      <c r="GXM112" s="1370"/>
      <c r="GXN112" s="1370"/>
      <c r="GXO112" s="1370"/>
      <c r="GXP112" s="1370"/>
      <c r="GXQ112" s="1370"/>
      <c r="GXR112" s="1370"/>
      <c r="GXS112" s="1370"/>
      <c r="GXT112" s="1370"/>
      <c r="GXU112" s="1370"/>
      <c r="GXV112" s="1370"/>
      <c r="GXW112" s="1370"/>
      <c r="GXX112" s="1370"/>
      <c r="GXY112" s="1370"/>
      <c r="GXZ112" s="1370"/>
      <c r="GYA112" s="1370"/>
      <c r="GYB112" s="1370"/>
      <c r="GYC112" s="1370"/>
      <c r="GYD112" s="1370"/>
      <c r="GYE112" s="1370"/>
      <c r="GYF112" s="1370"/>
      <c r="GYG112" s="1370"/>
      <c r="GYH112" s="1370"/>
      <c r="GYI112" s="1370"/>
      <c r="GYJ112" s="1370"/>
      <c r="GYK112" s="1370"/>
      <c r="GYL112" s="1370"/>
      <c r="GYM112" s="1370"/>
      <c r="GYN112" s="1370"/>
      <c r="GYO112" s="1370"/>
      <c r="GYP112" s="1370"/>
      <c r="GYQ112" s="1370"/>
      <c r="GYR112" s="1370"/>
      <c r="GYS112" s="1370"/>
      <c r="GYT112" s="1370"/>
      <c r="GYU112" s="1370"/>
      <c r="GYV112" s="1370"/>
      <c r="GYW112" s="1370"/>
      <c r="GYX112" s="1370"/>
      <c r="GYY112" s="1370"/>
      <c r="GYZ112" s="1370"/>
      <c r="GZA112" s="1370"/>
      <c r="GZB112" s="1370"/>
      <c r="GZC112" s="1370"/>
      <c r="GZD112" s="1370"/>
      <c r="GZE112" s="1370"/>
      <c r="GZF112" s="1370"/>
      <c r="GZG112" s="1370"/>
      <c r="GZH112" s="1370"/>
      <c r="GZI112" s="1370"/>
      <c r="GZJ112" s="1370"/>
      <c r="GZK112" s="1370"/>
      <c r="GZL112" s="1370"/>
      <c r="GZM112" s="1370"/>
      <c r="GZN112" s="1370"/>
      <c r="GZO112" s="1370"/>
      <c r="GZP112" s="1370"/>
      <c r="GZQ112" s="1370"/>
      <c r="GZR112" s="1370"/>
      <c r="GZS112" s="1370"/>
      <c r="GZT112" s="1370"/>
      <c r="GZU112" s="1370"/>
      <c r="GZV112" s="1370"/>
      <c r="GZW112" s="1370"/>
      <c r="GZX112" s="1370"/>
      <c r="GZY112" s="1370"/>
      <c r="GZZ112" s="1370"/>
      <c r="HAA112" s="1370"/>
      <c r="HAB112" s="1370"/>
      <c r="HAC112" s="1370"/>
      <c r="HAD112" s="1370"/>
      <c r="HAE112" s="1370"/>
      <c r="HAF112" s="1370"/>
      <c r="HAG112" s="1370"/>
      <c r="HAH112" s="1370"/>
      <c r="HAI112" s="1370"/>
      <c r="HAJ112" s="1370"/>
      <c r="HAK112" s="1370"/>
      <c r="HAL112" s="1370"/>
      <c r="HAM112" s="1370"/>
      <c r="HAN112" s="1370"/>
      <c r="HAO112" s="1370"/>
      <c r="HAP112" s="1370"/>
      <c r="HAQ112" s="1370"/>
      <c r="HAR112" s="1370"/>
      <c r="HAS112" s="1370"/>
      <c r="HAT112" s="1370"/>
      <c r="HAU112" s="1370"/>
      <c r="HAV112" s="1370"/>
      <c r="HAW112" s="1370"/>
      <c r="HAX112" s="1370"/>
      <c r="HAY112" s="1370"/>
      <c r="HAZ112" s="1370"/>
      <c r="HBA112" s="1370"/>
      <c r="HBB112" s="1370"/>
      <c r="HBC112" s="1370"/>
      <c r="HBD112" s="1370"/>
      <c r="HBE112" s="1370"/>
      <c r="HBF112" s="1370"/>
      <c r="HBG112" s="1370"/>
      <c r="HBH112" s="1370"/>
      <c r="HBI112" s="1370"/>
      <c r="HBJ112" s="1370"/>
      <c r="HBK112" s="1370"/>
      <c r="HBL112" s="1370"/>
      <c r="HBM112" s="1370"/>
      <c r="HBN112" s="1370"/>
      <c r="HBO112" s="1370"/>
      <c r="HBP112" s="1370"/>
      <c r="HBQ112" s="1370"/>
      <c r="HBR112" s="1370"/>
      <c r="HBS112" s="1370"/>
      <c r="HBT112" s="1370"/>
      <c r="HBU112" s="1370"/>
      <c r="HBV112" s="1370"/>
      <c r="HBW112" s="1370"/>
      <c r="HBX112" s="1370"/>
      <c r="HBY112" s="1370"/>
      <c r="HBZ112" s="1370"/>
      <c r="HCA112" s="1370"/>
      <c r="HCB112" s="1370"/>
      <c r="HCC112" s="1370"/>
      <c r="HCD112" s="1370"/>
      <c r="HCE112" s="1370"/>
      <c r="HCF112" s="1370"/>
      <c r="HCG112" s="1370"/>
      <c r="HCH112" s="1370"/>
      <c r="HCI112" s="1370"/>
      <c r="HCJ112" s="1370"/>
      <c r="HCK112" s="1370"/>
      <c r="HCL112" s="1370"/>
      <c r="HCM112" s="1370"/>
      <c r="HCN112" s="1370"/>
      <c r="HCO112" s="1370"/>
      <c r="HCP112" s="1370"/>
      <c r="HCQ112" s="1370"/>
      <c r="HCR112" s="1370"/>
      <c r="HCS112" s="1370"/>
      <c r="HCT112" s="1370"/>
      <c r="HCU112" s="1370"/>
      <c r="HCV112" s="1370"/>
      <c r="HCW112" s="1370"/>
      <c r="HCX112" s="1370"/>
      <c r="HCY112" s="1370"/>
      <c r="HCZ112" s="1370"/>
      <c r="HDA112" s="1370"/>
      <c r="HDB112" s="1370"/>
      <c r="HDC112" s="1370"/>
      <c r="HDD112" s="1370"/>
      <c r="HDE112" s="1370"/>
      <c r="HDF112" s="1370"/>
      <c r="HDG112" s="1370"/>
      <c r="HDH112" s="1370"/>
      <c r="HDI112" s="1370"/>
      <c r="HDJ112" s="1370"/>
      <c r="HDK112" s="1370"/>
      <c r="HDL112" s="1370"/>
      <c r="HDM112" s="1370"/>
      <c r="HDN112" s="1370"/>
      <c r="HDO112" s="1370"/>
      <c r="HDP112" s="1370"/>
      <c r="HDQ112" s="1370"/>
      <c r="HDR112" s="1370"/>
      <c r="HDS112" s="1370"/>
      <c r="HDT112" s="1370"/>
      <c r="HDU112" s="1370"/>
      <c r="HDV112" s="1370"/>
      <c r="HDW112" s="1370"/>
      <c r="HDX112" s="1370"/>
      <c r="HDY112" s="1370"/>
      <c r="HDZ112" s="1370"/>
      <c r="HEA112" s="1370"/>
      <c r="HEB112" s="1370"/>
      <c r="HEC112" s="1370"/>
      <c r="HED112" s="1370"/>
      <c r="HEE112" s="1370"/>
      <c r="HEF112" s="1370"/>
      <c r="HEG112" s="1370"/>
      <c r="HEH112" s="1370"/>
      <c r="HEI112" s="1370"/>
      <c r="HEJ112" s="1370"/>
      <c r="HEK112" s="1370"/>
      <c r="HEL112" s="1370"/>
      <c r="HEM112" s="1370"/>
      <c r="HEN112" s="1370"/>
      <c r="HEO112" s="1370"/>
      <c r="HEP112" s="1370"/>
      <c r="HEQ112" s="1370"/>
      <c r="HER112" s="1370"/>
      <c r="HES112" s="1370"/>
      <c r="HET112" s="1370"/>
      <c r="HEU112" s="1370"/>
      <c r="HEV112" s="1370"/>
      <c r="HEW112" s="1370"/>
      <c r="HEX112" s="1370"/>
      <c r="HEY112" s="1370"/>
      <c r="HEZ112" s="1370"/>
      <c r="HFA112" s="1370"/>
      <c r="HFB112" s="1370"/>
      <c r="HFC112" s="1370"/>
      <c r="HFD112" s="1370"/>
      <c r="HFE112" s="1370"/>
      <c r="HFF112" s="1370"/>
      <c r="HFG112" s="1370"/>
      <c r="HFH112" s="1370"/>
      <c r="HFI112" s="1370"/>
      <c r="HFJ112" s="1370"/>
      <c r="HFK112" s="1370"/>
      <c r="HFL112" s="1370"/>
      <c r="HFM112" s="1370"/>
      <c r="HFN112" s="1370"/>
      <c r="HFO112" s="1370"/>
      <c r="HFP112" s="1370"/>
      <c r="HFQ112" s="1370"/>
      <c r="HFR112" s="1370"/>
      <c r="HFS112" s="1370"/>
      <c r="HFT112" s="1370"/>
      <c r="HFU112" s="1370"/>
      <c r="HFV112" s="1370"/>
      <c r="HFW112" s="1370"/>
      <c r="HFX112" s="1370"/>
      <c r="HFY112" s="1370"/>
      <c r="HFZ112" s="1370"/>
      <c r="HGA112" s="1370"/>
      <c r="HGB112" s="1370"/>
      <c r="HGC112" s="1370"/>
      <c r="HGD112" s="1370"/>
      <c r="HGE112" s="1370"/>
      <c r="HGF112" s="1370"/>
      <c r="HGG112" s="1370"/>
      <c r="HGH112" s="1370"/>
      <c r="HGI112" s="1370"/>
      <c r="HGJ112" s="1370"/>
      <c r="HGK112" s="1370"/>
      <c r="HGL112" s="1370"/>
      <c r="HGM112" s="1370"/>
      <c r="HGN112" s="1370"/>
      <c r="HGO112" s="1370"/>
      <c r="HGP112" s="1370"/>
      <c r="HGQ112" s="1370"/>
      <c r="HGR112" s="1370"/>
      <c r="HGS112" s="1370"/>
      <c r="HGT112" s="1370"/>
      <c r="HGU112" s="1370"/>
      <c r="HGV112" s="1370"/>
      <c r="HGW112" s="1370"/>
      <c r="HGX112" s="1370"/>
      <c r="HGY112" s="1370"/>
      <c r="HGZ112" s="1370"/>
      <c r="HHA112" s="1370"/>
      <c r="HHB112" s="1370"/>
      <c r="HHC112" s="1370"/>
      <c r="HHD112" s="1370"/>
      <c r="HHE112" s="1370"/>
      <c r="HHF112" s="1370"/>
      <c r="HHG112" s="1370"/>
      <c r="HHH112" s="1370"/>
      <c r="HHI112" s="1370"/>
      <c r="HHJ112" s="1370"/>
      <c r="HHK112" s="1370"/>
      <c r="HHL112" s="1370"/>
      <c r="HHM112" s="1370"/>
      <c r="HHN112" s="1370"/>
      <c r="HHO112" s="1370"/>
      <c r="HHP112" s="1370"/>
      <c r="HHQ112" s="1370"/>
      <c r="HHR112" s="1370"/>
      <c r="HHS112" s="1370"/>
      <c r="HHT112" s="1370"/>
      <c r="HHU112" s="1370"/>
      <c r="HHV112" s="1370"/>
      <c r="HHW112" s="1370"/>
      <c r="HHX112" s="1370"/>
      <c r="HHY112" s="1370"/>
      <c r="HHZ112" s="1370"/>
      <c r="HIA112" s="1370"/>
      <c r="HIB112" s="1370"/>
      <c r="HIC112" s="1370"/>
      <c r="HID112" s="1370"/>
      <c r="HIE112" s="1370"/>
      <c r="HIF112" s="1370"/>
      <c r="HIG112" s="1370"/>
      <c r="HIH112" s="1370"/>
      <c r="HII112" s="1370"/>
      <c r="HIJ112" s="1370"/>
      <c r="HIK112" s="1370"/>
      <c r="HIL112" s="1370"/>
      <c r="HIM112" s="1370"/>
      <c r="HIN112" s="1370"/>
      <c r="HIO112" s="1370"/>
      <c r="HIP112" s="1370"/>
      <c r="HIQ112" s="1370"/>
      <c r="HIR112" s="1370"/>
      <c r="HIS112" s="1370"/>
      <c r="HIT112" s="1370"/>
      <c r="HIU112" s="1370"/>
      <c r="HIV112" s="1370"/>
      <c r="HIW112" s="1370"/>
      <c r="HIX112" s="1370"/>
      <c r="HIY112" s="1370"/>
      <c r="HIZ112" s="1370"/>
      <c r="HJA112" s="1370"/>
      <c r="HJB112" s="1370"/>
      <c r="HJC112" s="1370"/>
      <c r="HJD112" s="1370"/>
      <c r="HJE112" s="1370"/>
      <c r="HJF112" s="1370"/>
      <c r="HJG112" s="1370"/>
      <c r="HJH112" s="1370"/>
      <c r="HJI112" s="1370"/>
      <c r="HJJ112" s="1370"/>
      <c r="HJK112" s="1370"/>
      <c r="HJL112" s="1370"/>
      <c r="HJM112" s="1370"/>
      <c r="HJN112" s="1370"/>
      <c r="HJO112" s="1370"/>
      <c r="HJP112" s="1370"/>
      <c r="HJQ112" s="1370"/>
      <c r="HJR112" s="1370"/>
      <c r="HJS112" s="1370"/>
      <c r="HJT112" s="1370"/>
      <c r="HJU112" s="1370"/>
      <c r="HJV112" s="1370"/>
      <c r="HJW112" s="1370"/>
      <c r="HJX112" s="1370"/>
      <c r="HJY112" s="1370"/>
      <c r="HJZ112" s="1370"/>
      <c r="HKA112" s="1370"/>
      <c r="HKB112" s="1370"/>
      <c r="HKC112" s="1370"/>
      <c r="HKD112" s="1370"/>
      <c r="HKE112" s="1370"/>
      <c r="HKF112" s="1370"/>
      <c r="HKG112" s="1370"/>
      <c r="HKH112" s="1370"/>
      <c r="HKI112" s="1370"/>
      <c r="HKJ112" s="1370"/>
      <c r="HKK112" s="1370"/>
      <c r="HKL112" s="1370"/>
      <c r="HKM112" s="1370"/>
      <c r="HKN112" s="1370"/>
      <c r="HKO112" s="1370"/>
      <c r="HKP112" s="1370"/>
      <c r="HKQ112" s="1370"/>
      <c r="HKR112" s="1370"/>
      <c r="HKS112" s="1370"/>
      <c r="HKT112" s="1370"/>
      <c r="HKU112" s="1370"/>
      <c r="HKV112" s="1370"/>
      <c r="HKW112" s="1370"/>
      <c r="HKX112" s="1370"/>
      <c r="HKY112" s="1370"/>
      <c r="HKZ112" s="1370"/>
      <c r="HLA112" s="1370"/>
      <c r="HLB112" s="1370"/>
      <c r="HLC112" s="1370"/>
      <c r="HLD112" s="1370"/>
      <c r="HLE112" s="1370"/>
      <c r="HLF112" s="1370"/>
      <c r="HLG112" s="1370"/>
      <c r="HLH112" s="1370"/>
      <c r="HLI112" s="1370"/>
      <c r="HLJ112" s="1370"/>
      <c r="HLK112" s="1370"/>
      <c r="HLL112" s="1370"/>
      <c r="HLM112" s="1370"/>
      <c r="HLN112" s="1370"/>
      <c r="HLO112" s="1370"/>
      <c r="HLP112" s="1370"/>
      <c r="HLQ112" s="1370"/>
      <c r="HLR112" s="1370"/>
      <c r="HLS112" s="1370"/>
      <c r="HLT112" s="1370"/>
      <c r="HLU112" s="1370"/>
      <c r="HLV112" s="1370"/>
      <c r="HLW112" s="1370"/>
      <c r="HLX112" s="1370"/>
      <c r="HLY112" s="1370"/>
      <c r="HLZ112" s="1370"/>
      <c r="HMA112" s="1370"/>
      <c r="HMB112" s="1370"/>
      <c r="HMC112" s="1370"/>
      <c r="HMD112" s="1370"/>
      <c r="HME112" s="1370"/>
      <c r="HMF112" s="1370"/>
      <c r="HMG112" s="1370"/>
      <c r="HMH112" s="1370"/>
      <c r="HMI112" s="1370"/>
      <c r="HMJ112" s="1370"/>
      <c r="HMK112" s="1370"/>
      <c r="HML112" s="1370"/>
      <c r="HMM112" s="1370"/>
      <c r="HMN112" s="1370"/>
      <c r="HMO112" s="1370"/>
      <c r="HMP112" s="1370"/>
      <c r="HMQ112" s="1370"/>
      <c r="HMR112" s="1370"/>
      <c r="HMS112" s="1370"/>
      <c r="HMT112" s="1370"/>
      <c r="HMU112" s="1370"/>
      <c r="HMV112" s="1370"/>
      <c r="HMW112" s="1370"/>
      <c r="HMX112" s="1370"/>
      <c r="HMY112" s="1370"/>
      <c r="HMZ112" s="1370"/>
      <c r="HNA112" s="1370"/>
      <c r="HNB112" s="1370"/>
      <c r="HNC112" s="1370"/>
      <c r="HND112" s="1370"/>
      <c r="HNE112" s="1370"/>
      <c r="HNF112" s="1370"/>
      <c r="HNG112" s="1370"/>
      <c r="HNH112" s="1370"/>
      <c r="HNI112" s="1370"/>
      <c r="HNJ112" s="1370"/>
      <c r="HNK112" s="1370"/>
      <c r="HNL112" s="1370"/>
      <c r="HNM112" s="1370"/>
      <c r="HNN112" s="1370"/>
      <c r="HNO112" s="1370"/>
      <c r="HNP112" s="1370"/>
      <c r="HNQ112" s="1370"/>
      <c r="HNR112" s="1370"/>
      <c r="HNS112" s="1370"/>
      <c r="HNT112" s="1370"/>
      <c r="HNU112" s="1370"/>
      <c r="HNV112" s="1370"/>
      <c r="HNW112" s="1370"/>
      <c r="HNX112" s="1370"/>
      <c r="HNY112" s="1370"/>
      <c r="HNZ112" s="1370"/>
      <c r="HOA112" s="1370"/>
      <c r="HOB112" s="1370"/>
      <c r="HOC112" s="1370"/>
      <c r="HOD112" s="1370"/>
      <c r="HOE112" s="1370"/>
      <c r="HOF112" s="1370"/>
      <c r="HOG112" s="1370"/>
      <c r="HOH112" s="1370"/>
      <c r="HOI112" s="1370"/>
      <c r="HOJ112" s="1370"/>
      <c r="HOK112" s="1370"/>
      <c r="HOL112" s="1370"/>
      <c r="HOM112" s="1370"/>
      <c r="HON112" s="1370"/>
      <c r="HOO112" s="1370"/>
      <c r="HOP112" s="1370"/>
      <c r="HOQ112" s="1370"/>
      <c r="HOR112" s="1370"/>
      <c r="HOS112" s="1370"/>
      <c r="HOT112" s="1370"/>
      <c r="HOU112" s="1370"/>
      <c r="HOV112" s="1370"/>
      <c r="HOW112" s="1370"/>
      <c r="HOX112" s="1370"/>
      <c r="HOY112" s="1370"/>
      <c r="HOZ112" s="1370"/>
      <c r="HPA112" s="1370"/>
      <c r="HPB112" s="1370"/>
      <c r="HPC112" s="1370"/>
      <c r="HPD112" s="1370"/>
      <c r="HPE112" s="1370"/>
      <c r="HPF112" s="1370"/>
      <c r="HPG112" s="1370"/>
      <c r="HPH112" s="1370"/>
      <c r="HPI112" s="1370"/>
      <c r="HPJ112" s="1370"/>
      <c r="HPK112" s="1370"/>
      <c r="HPL112" s="1370"/>
      <c r="HPM112" s="1370"/>
      <c r="HPN112" s="1370"/>
      <c r="HPO112" s="1370"/>
      <c r="HPP112" s="1370"/>
      <c r="HPQ112" s="1370"/>
      <c r="HPR112" s="1370"/>
      <c r="HPS112" s="1370"/>
      <c r="HPT112" s="1370"/>
      <c r="HPU112" s="1370"/>
      <c r="HPV112" s="1370"/>
      <c r="HPW112" s="1370"/>
      <c r="HPX112" s="1370"/>
      <c r="HPY112" s="1370"/>
      <c r="HPZ112" s="1370"/>
      <c r="HQA112" s="1370"/>
      <c r="HQB112" s="1370"/>
      <c r="HQC112" s="1370"/>
      <c r="HQD112" s="1370"/>
      <c r="HQE112" s="1370"/>
      <c r="HQF112" s="1370"/>
      <c r="HQG112" s="1370"/>
      <c r="HQH112" s="1370"/>
      <c r="HQI112" s="1370"/>
      <c r="HQJ112" s="1370"/>
      <c r="HQK112" s="1370"/>
      <c r="HQL112" s="1370"/>
      <c r="HQM112" s="1370"/>
      <c r="HQN112" s="1370"/>
      <c r="HQO112" s="1370"/>
      <c r="HQP112" s="1370"/>
      <c r="HQQ112" s="1370"/>
      <c r="HQR112" s="1370"/>
      <c r="HQS112" s="1370"/>
      <c r="HQT112" s="1370"/>
      <c r="HQU112" s="1370"/>
      <c r="HQV112" s="1370"/>
      <c r="HQW112" s="1370"/>
      <c r="HQX112" s="1370"/>
      <c r="HQY112" s="1370"/>
      <c r="HQZ112" s="1370"/>
      <c r="HRA112" s="1370"/>
      <c r="HRB112" s="1370"/>
      <c r="HRC112" s="1370"/>
      <c r="HRD112" s="1370"/>
      <c r="HRE112" s="1370"/>
      <c r="HRF112" s="1370"/>
      <c r="HRG112" s="1370"/>
      <c r="HRH112" s="1370"/>
      <c r="HRI112" s="1370"/>
      <c r="HRJ112" s="1370"/>
      <c r="HRK112" s="1370"/>
      <c r="HRL112" s="1370"/>
      <c r="HRM112" s="1370"/>
      <c r="HRN112" s="1370"/>
      <c r="HRO112" s="1370"/>
      <c r="HRP112" s="1370"/>
      <c r="HRQ112" s="1370"/>
      <c r="HRR112" s="1370"/>
      <c r="HRS112" s="1370"/>
      <c r="HRT112" s="1370"/>
      <c r="HRU112" s="1370"/>
      <c r="HRV112" s="1370"/>
      <c r="HRW112" s="1370"/>
      <c r="HRX112" s="1370"/>
      <c r="HRY112" s="1370"/>
      <c r="HRZ112" s="1370"/>
      <c r="HSA112" s="1370"/>
      <c r="HSB112" s="1370"/>
      <c r="HSC112" s="1370"/>
      <c r="HSD112" s="1370"/>
      <c r="HSE112" s="1370"/>
      <c r="HSF112" s="1370"/>
      <c r="HSG112" s="1370"/>
      <c r="HSH112" s="1370"/>
      <c r="HSI112" s="1370"/>
      <c r="HSJ112" s="1370"/>
      <c r="HSK112" s="1370"/>
      <c r="HSL112" s="1370"/>
      <c r="HSM112" s="1370"/>
      <c r="HSN112" s="1370"/>
      <c r="HSO112" s="1370"/>
      <c r="HSP112" s="1370"/>
      <c r="HSQ112" s="1370"/>
      <c r="HSR112" s="1370"/>
      <c r="HSS112" s="1370"/>
      <c r="HST112" s="1370"/>
      <c r="HSU112" s="1370"/>
      <c r="HSV112" s="1370"/>
      <c r="HSW112" s="1370"/>
      <c r="HSX112" s="1370"/>
      <c r="HSY112" s="1370"/>
      <c r="HSZ112" s="1370"/>
      <c r="HTA112" s="1370"/>
      <c r="HTB112" s="1370"/>
      <c r="HTC112" s="1370"/>
      <c r="HTD112" s="1370"/>
      <c r="HTE112" s="1370"/>
      <c r="HTF112" s="1370"/>
      <c r="HTG112" s="1370"/>
      <c r="HTH112" s="1370"/>
      <c r="HTI112" s="1370"/>
      <c r="HTJ112" s="1370"/>
      <c r="HTK112" s="1370"/>
      <c r="HTL112" s="1370"/>
      <c r="HTM112" s="1370"/>
      <c r="HTN112" s="1370"/>
      <c r="HTO112" s="1370"/>
      <c r="HTP112" s="1370"/>
      <c r="HTQ112" s="1370"/>
      <c r="HTR112" s="1370"/>
      <c r="HTS112" s="1370"/>
      <c r="HTT112" s="1370"/>
      <c r="HTU112" s="1370"/>
      <c r="HTV112" s="1370"/>
      <c r="HTW112" s="1370"/>
      <c r="HTX112" s="1370"/>
      <c r="HTY112" s="1370"/>
      <c r="HTZ112" s="1370"/>
      <c r="HUA112" s="1370"/>
      <c r="HUB112" s="1370"/>
      <c r="HUC112" s="1370"/>
      <c r="HUD112" s="1370"/>
      <c r="HUE112" s="1370"/>
      <c r="HUF112" s="1370"/>
      <c r="HUG112" s="1370"/>
      <c r="HUH112" s="1370"/>
      <c r="HUI112" s="1370"/>
      <c r="HUJ112" s="1370"/>
      <c r="HUK112" s="1370"/>
      <c r="HUL112" s="1370"/>
      <c r="HUM112" s="1370"/>
      <c r="HUN112" s="1370"/>
      <c r="HUO112" s="1370"/>
      <c r="HUP112" s="1370"/>
      <c r="HUQ112" s="1370"/>
      <c r="HUR112" s="1370"/>
      <c r="HUS112" s="1370"/>
      <c r="HUT112" s="1370"/>
      <c r="HUU112" s="1370"/>
      <c r="HUV112" s="1370"/>
      <c r="HUW112" s="1370"/>
      <c r="HUX112" s="1370"/>
      <c r="HUY112" s="1370"/>
      <c r="HUZ112" s="1370"/>
      <c r="HVA112" s="1370"/>
      <c r="HVB112" s="1370"/>
      <c r="HVC112" s="1370"/>
      <c r="HVD112" s="1370"/>
      <c r="HVE112" s="1370"/>
      <c r="HVF112" s="1370"/>
      <c r="HVG112" s="1370"/>
      <c r="HVH112" s="1370"/>
      <c r="HVI112" s="1370"/>
      <c r="HVJ112" s="1370"/>
      <c r="HVK112" s="1370"/>
      <c r="HVL112" s="1370"/>
      <c r="HVM112" s="1370"/>
      <c r="HVN112" s="1370"/>
      <c r="HVO112" s="1370"/>
      <c r="HVP112" s="1370"/>
      <c r="HVQ112" s="1370"/>
      <c r="HVR112" s="1370"/>
      <c r="HVS112" s="1370"/>
      <c r="HVT112" s="1370"/>
      <c r="HVU112" s="1370"/>
      <c r="HVV112" s="1370"/>
      <c r="HVW112" s="1370"/>
      <c r="HVX112" s="1370"/>
      <c r="HVY112" s="1370"/>
      <c r="HVZ112" s="1370"/>
      <c r="HWA112" s="1370"/>
      <c r="HWB112" s="1370"/>
      <c r="HWC112" s="1370"/>
      <c r="HWD112" s="1370"/>
      <c r="HWE112" s="1370"/>
      <c r="HWF112" s="1370"/>
      <c r="HWG112" s="1370"/>
      <c r="HWH112" s="1370"/>
      <c r="HWI112" s="1370"/>
      <c r="HWJ112" s="1370"/>
      <c r="HWK112" s="1370"/>
      <c r="HWL112" s="1370"/>
      <c r="HWM112" s="1370"/>
      <c r="HWN112" s="1370"/>
      <c r="HWO112" s="1370"/>
      <c r="HWP112" s="1370"/>
      <c r="HWQ112" s="1370"/>
      <c r="HWR112" s="1370"/>
      <c r="HWS112" s="1370"/>
      <c r="HWT112" s="1370"/>
      <c r="HWU112" s="1370"/>
      <c r="HWV112" s="1370"/>
      <c r="HWW112" s="1370"/>
      <c r="HWX112" s="1370"/>
      <c r="HWY112" s="1370"/>
      <c r="HWZ112" s="1370"/>
      <c r="HXA112" s="1370"/>
      <c r="HXB112" s="1370"/>
      <c r="HXC112" s="1370"/>
      <c r="HXD112" s="1370"/>
      <c r="HXE112" s="1370"/>
      <c r="HXF112" s="1370"/>
      <c r="HXG112" s="1370"/>
      <c r="HXH112" s="1370"/>
      <c r="HXI112" s="1370"/>
      <c r="HXJ112" s="1370"/>
      <c r="HXK112" s="1370"/>
      <c r="HXL112" s="1370"/>
      <c r="HXM112" s="1370"/>
      <c r="HXN112" s="1370"/>
      <c r="HXO112" s="1370"/>
      <c r="HXP112" s="1370"/>
      <c r="HXQ112" s="1370"/>
      <c r="HXR112" s="1370"/>
      <c r="HXS112" s="1370"/>
      <c r="HXT112" s="1370"/>
      <c r="HXU112" s="1370"/>
      <c r="HXV112" s="1370"/>
      <c r="HXW112" s="1370"/>
      <c r="HXX112" s="1370"/>
      <c r="HXY112" s="1370"/>
      <c r="HXZ112" s="1370"/>
      <c r="HYA112" s="1370"/>
      <c r="HYB112" s="1370"/>
      <c r="HYC112" s="1370"/>
      <c r="HYD112" s="1370"/>
      <c r="HYE112" s="1370"/>
      <c r="HYF112" s="1370"/>
      <c r="HYG112" s="1370"/>
      <c r="HYH112" s="1370"/>
      <c r="HYI112" s="1370"/>
      <c r="HYJ112" s="1370"/>
      <c r="HYK112" s="1370"/>
      <c r="HYL112" s="1370"/>
      <c r="HYM112" s="1370"/>
      <c r="HYN112" s="1370"/>
      <c r="HYO112" s="1370"/>
      <c r="HYP112" s="1370"/>
      <c r="HYQ112" s="1370"/>
      <c r="HYR112" s="1370"/>
      <c r="HYS112" s="1370"/>
      <c r="HYT112" s="1370"/>
      <c r="HYU112" s="1370"/>
      <c r="HYV112" s="1370"/>
      <c r="HYW112" s="1370"/>
      <c r="HYX112" s="1370"/>
      <c r="HYY112" s="1370"/>
      <c r="HYZ112" s="1370"/>
      <c r="HZA112" s="1370"/>
      <c r="HZB112" s="1370"/>
      <c r="HZC112" s="1370"/>
      <c r="HZD112" s="1370"/>
      <c r="HZE112" s="1370"/>
      <c r="HZF112" s="1370"/>
      <c r="HZG112" s="1370"/>
      <c r="HZH112" s="1370"/>
      <c r="HZI112" s="1370"/>
      <c r="HZJ112" s="1370"/>
      <c r="HZK112" s="1370"/>
      <c r="HZL112" s="1370"/>
      <c r="HZM112" s="1370"/>
      <c r="HZN112" s="1370"/>
      <c r="HZO112" s="1370"/>
      <c r="HZP112" s="1370"/>
      <c r="HZQ112" s="1370"/>
      <c r="HZR112" s="1370"/>
      <c r="HZS112" s="1370"/>
      <c r="HZT112" s="1370"/>
      <c r="HZU112" s="1370"/>
      <c r="HZV112" s="1370"/>
      <c r="HZW112" s="1370"/>
      <c r="HZX112" s="1370"/>
      <c r="HZY112" s="1370"/>
      <c r="HZZ112" s="1370"/>
      <c r="IAA112" s="1370"/>
      <c r="IAB112" s="1370"/>
      <c r="IAC112" s="1370"/>
      <c r="IAD112" s="1370"/>
      <c r="IAE112" s="1370"/>
      <c r="IAF112" s="1370"/>
      <c r="IAG112" s="1370"/>
      <c r="IAH112" s="1370"/>
      <c r="IAI112" s="1370"/>
      <c r="IAJ112" s="1370"/>
      <c r="IAK112" s="1370"/>
      <c r="IAL112" s="1370"/>
      <c r="IAM112" s="1370"/>
      <c r="IAN112" s="1370"/>
      <c r="IAO112" s="1370"/>
      <c r="IAP112" s="1370"/>
      <c r="IAQ112" s="1370"/>
      <c r="IAR112" s="1370"/>
      <c r="IAS112" s="1370"/>
      <c r="IAT112" s="1370"/>
      <c r="IAU112" s="1370"/>
      <c r="IAV112" s="1370"/>
      <c r="IAW112" s="1370"/>
      <c r="IAX112" s="1370"/>
      <c r="IAY112" s="1370"/>
      <c r="IAZ112" s="1370"/>
      <c r="IBA112" s="1370"/>
      <c r="IBB112" s="1370"/>
      <c r="IBC112" s="1370"/>
      <c r="IBD112" s="1370"/>
      <c r="IBE112" s="1370"/>
      <c r="IBF112" s="1370"/>
      <c r="IBG112" s="1370"/>
      <c r="IBH112" s="1370"/>
      <c r="IBI112" s="1370"/>
      <c r="IBJ112" s="1370"/>
      <c r="IBK112" s="1370"/>
      <c r="IBL112" s="1370"/>
      <c r="IBM112" s="1370"/>
      <c r="IBN112" s="1370"/>
      <c r="IBO112" s="1370"/>
      <c r="IBP112" s="1370"/>
      <c r="IBQ112" s="1370"/>
      <c r="IBR112" s="1370"/>
      <c r="IBS112" s="1370"/>
      <c r="IBT112" s="1370"/>
      <c r="IBU112" s="1370"/>
      <c r="IBV112" s="1370"/>
      <c r="IBW112" s="1370"/>
      <c r="IBX112" s="1370"/>
      <c r="IBY112" s="1370"/>
      <c r="IBZ112" s="1370"/>
      <c r="ICA112" s="1370"/>
      <c r="ICB112" s="1370"/>
      <c r="ICC112" s="1370"/>
      <c r="ICD112" s="1370"/>
      <c r="ICE112" s="1370"/>
      <c r="ICF112" s="1370"/>
      <c r="ICG112" s="1370"/>
      <c r="ICH112" s="1370"/>
      <c r="ICI112" s="1370"/>
      <c r="ICJ112" s="1370"/>
      <c r="ICK112" s="1370"/>
      <c r="ICL112" s="1370"/>
      <c r="ICM112" s="1370"/>
      <c r="ICN112" s="1370"/>
      <c r="ICO112" s="1370"/>
      <c r="ICP112" s="1370"/>
      <c r="ICQ112" s="1370"/>
      <c r="ICR112" s="1370"/>
      <c r="ICS112" s="1370"/>
      <c r="ICT112" s="1370"/>
      <c r="ICU112" s="1370"/>
      <c r="ICV112" s="1370"/>
      <c r="ICW112" s="1370"/>
      <c r="ICX112" s="1370"/>
      <c r="ICY112" s="1370"/>
      <c r="ICZ112" s="1370"/>
      <c r="IDA112" s="1370"/>
      <c r="IDB112" s="1370"/>
      <c r="IDC112" s="1370"/>
      <c r="IDD112" s="1370"/>
      <c r="IDE112" s="1370"/>
      <c r="IDF112" s="1370"/>
      <c r="IDG112" s="1370"/>
      <c r="IDH112" s="1370"/>
      <c r="IDI112" s="1370"/>
      <c r="IDJ112" s="1370"/>
      <c r="IDK112" s="1370"/>
      <c r="IDL112" s="1370"/>
      <c r="IDM112" s="1370"/>
      <c r="IDN112" s="1370"/>
      <c r="IDO112" s="1370"/>
      <c r="IDP112" s="1370"/>
      <c r="IDQ112" s="1370"/>
      <c r="IDR112" s="1370"/>
      <c r="IDS112" s="1370"/>
      <c r="IDT112" s="1370"/>
      <c r="IDU112" s="1370"/>
      <c r="IDV112" s="1370"/>
      <c r="IDW112" s="1370"/>
      <c r="IDX112" s="1370"/>
      <c r="IDY112" s="1370"/>
      <c r="IDZ112" s="1370"/>
      <c r="IEA112" s="1370"/>
      <c r="IEB112" s="1370"/>
      <c r="IEC112" s="1370"/>
      <c r="IED112" s="1370"/>
      <c r="IEE112" s="1370"/>
      <c r="IEF112" s="1370"/>
      <c r="IEG112" s="1370"/>
      <c r="IEH112" s="1370"/>
      <c r="IEI112" s="1370"/>
      <c r="IEJ112" s="1370"/>
      <c r="IEK112" s="1370"/>
      <c r="IEL112" s="1370"/>
      <c r="IEM112" s="1370"/>
      <c r="IEN112" s="1370"/>
      <c r="IEO112" s="1370"/>
      <c r="IEP112" s="1370"/>
      <c r="IEQ112" s="1370"/>
      <c r="IER112" s="1370"/>
      <c r="IES112" s="1370"/>
      <c r="IET112" s="1370"/>
      <c r="IEU112" s="1370"/>
      <c r="IEV112" s="1370"/>
      <c r="IEW112" s="1370"/>
      <c r="IEX112" s="1370"/>
      <c r="IEY112" s="1370"/>
      <c r="IEZ112" s="1370"/>
      <c r="IFA112" s="1370"/>
      <c r="IFB112" s="1370"/>
      <c r="IFC112" s="1370"/>
      <c r="IFD112" s="1370"/>
      <c r="IFE112" s="1370"/>
      <c r="IFF112" s="1370"/>
      <c r="IFG112" s="1370"/>
      <c r="IFH112" s="1370"/>
      <c r="IFI112" s="1370"/>
      <c r="IFJ112" s="1370"/>
      <c r="IFK112" s="1370"/>
      <c r="IFL112" s="1370"/>
      <c r="IFM112" s="1370"/>
      <c r="IFN112" s="1370"/>
      <c r="IFO112" s="1370"/>
      <c r="IFP112" s="1370"/>
      <c r="IFQ112" s="1370"/>
      <c r="IFR112" s="1370"/>
      <c r="IFS112" s="1370"/>
      <c r="IFT112" s="1370"/>
      <c r="IFU112" s="1370"/>
      <c r="IFV112" s="1370"/>
      <c r="IFW112" s="1370"/>
      <c r="IFX112" s="1370"/>
      <c r="IFY112" s="1370"/>
      <c r="IFZ112" s="1370"/>
      <c r="IGA112" s="1370"/>
      <c r="IGB112" s="1370"/>
      <c r="IGC112" s="1370"/>
      <c r="IGD112" s="1370"/>
      <c r="IGE112" s="1370"/>
      <c r="IGF112" s="1370"/>
      <c r="IGG112" s="1370"/>
      <c r="IGH112" s="1370"/>
      <c r="IGI112" s="1370"/>
      <c r="IGJ112" s="1370"/>
      <c r="IGK112" s="1370"/>
      <c r="IGL112" s="1370"/>
      <c r="IGM112" s="1370"/>
      <c r="IGN112" s="1370"/>
      <c r="IGO112" s="1370"/>
      <c r="IGP112" s="1370"/>
      <c r="IGQ112" s="1370"/>
      <c r="IGR112" s="1370"/>
      <c r="IGS112" s="1370"/>
      <c r="IGT112" s="1370"/>
      <c r="IGU112" s="1370"/>
      <c r="IGV112" s="1370"/>
      <c r="IGW112" s="1370"/>
      <c r="IGX112" s="1370"/>
      <c r="IGY112" s="1370"/>
      <c r="IGZ112" s="1370"/>
      <c r="IHA112" s="1370"/>
      <c r="IHB112" s="1370"/>
      <c r="IHC112" s="1370"/>
      <c r="IHD112" s="1370"/>
      <c r="IHE112" s="1370"/>
      <c r="IHF112" s="1370"/>
      <c r="IHG112" s="1370"/>
      <c r="IHH112" s="1370"/>
      <c r="IHI112" s="1370"/>
      <c r="IHJ112" s="1370"/>
      <c r="IHK112" s="1370"/>
      <c r="IHL112" s="1370"/>
      <c r="IHM112" s="1370"/>
      <c r="IHN112" s="1370"/>
      <c r="IHO112" s="1370"/>
      <c r="IHP112" s="1370"/>
      <c r="IHQ112" s="1370"/>
      <c r="IHR112" s="1370"/>
      <c r="IHS112" s="1370"/>
      <c r="IHT112" s="1370"/>
      <c r="IHU112" s="1370"/>
      <c r="IHV112" s="1370"/>
      <c r="IHW112" s="1370"/>
      <c r="IHX112" s="1370"/>
      <c r="IHY112" s="1370"/>
      <c r="IHZ112" s="1370"/>
      <c r="IIA112" s="1370"/>
      <c r="IIB112" s="1370"/>
      <c r="IIC112" s="1370"/>
      <c r="IID112" s="1370"/>
      <c r="IIE112" s="1370"/>
      <c r="IIF112" s="1370"/>
      <c r="IIG112" s="1370"/>
      <c r="IIH112" s="1370"/>
      <c r="III112" s="1370"/>
      <c r="IIJ112" s="1370"/>
      <c r="IIK112" s="1370"/>
      <c r="IIL112" s="1370"/>
      <c r="IIM112" s="1370"/>
      <c r="IIN112" s="1370"/>
      <c r="IIO112" s="1370"/>
      <c r="IIP112" s="1370"/>
      <c r="IIQ112" s="1370"/>
      <c r="IIR112" s="1370"/>
      <c r="IIS112" s="1370"/>
      <c r="IIT112" s="1370"/>
      <c r="IIU112" s="1370"/>
      <c r="IIV112" s="1370"/>
      <c r="IIW112" s="1370"/>
      <c r="IIX112" s="1370"/>
      <c r="IIY112" s="1370"/>
      <c r="IIZ112" s="1370"/>
      <c r="IJA112" s="1370"/>
      <c r="IJB112" s="1370"/>
      <c r="IJC112" s="1370"/>
      <c r="IJD112" s="1370"/>
      <c r="IJE112" s="1370"/>
      <c r="IJF112" s="1370"/>
      <c r="IJG112" s="1370"/>
      <c r="IJH112" s="1370"/>
      <c r="IJI112" s="1370"/>
      <c r="IJJ112" s="1370"/>
      <c r="IJK112" s="1370"/>
      <c r="IJL112" s="1370"/>
      <c r="IJM112" s="1370"/>
      <c r="IJN112" s="1370"/>
      <c r="IJO112" s="1370"/>
      <c r="IJP112" s="1370"/>
      <c r="IJQ112" s="1370"/>
      <c r="IJR112" s="1370"/>
      <c r="IJS112" s="1370"/>
      <c r="IJT112" s="1370"/>
      <c r="IJU112" s="1370"/>
      <c r="IJV112" s="1370"/>
      <c r="IJW112" s="1370"/>
      <c r="IJX112" s="1370"/>
      <c r="IJY112" s="1370"/>
      <c r="IJZ112" s="1370"/>
      <c r="IKA112" s="1370"/>
      <c r="IKB112" s="1370"/>
      <c r="IKC112" s="1370"/>
      <c r="IKD112" s="1370"/>
      <c r="IKE112" s="1370"/>
      <c r="IKF112" s="1370"/>
      <c r="IKG112" s="1370"/>
      <c r="IKH112" s="1370"/>
      <c r="IKI112" s="1370"/>
      <c r="IKJ112" s="1370"/>
      <c r="IKK112" s="1370"/>
      <c r="IKL112" s="1370"/>
      <c r="IKM112" s="1370"/>
      <c r="IKN112" s="1370"/>
      <c r="IKO112" s="1370"/>
      <c r="IKP112" s="1370"/>
      <c r="IKQ112" s="1370"/>
      <c r="IKR112" s="1370"/>
      <c r="IKS112" s="1370"/>
      <c r="IKT112" s="1370"/>
      <c r="IKU112" s="1370"/>
      <c r="IKV112" s="1370"/>
      <c r="IKW112" s="1370"/>
      <c r="IKX112" s="1370"/>
      <c r="IKY112" s="1370"/>
      <c r="IKZ112" s="1370"/>
      <c r="ILA112" s="1370"/>
      <c r="ILB112" s="1370"/>
      <c r="ILC112" s="1370"/>
      <c r="ILD112" s="1370"/>
      <c r="ILE112" s="1370"/>
      <c r="ILF112" s="1370"/>
      <c r="ILG112" s="1370"/>
      <c r="ILH112" s="1370"/>
      <c r="ILI112" s="1370"/>
      <c r="ILJ112" s="1370"/>
      <c r="ILK112" s="1370"/>
      <c r="ILL112" s="1370"/>
      <c r="ILM112" s="1370"/>
      <c r="ILN112" s="1370"/>
      <c r="ILO112" s="1370"/>
      <c r="ILP112" s="1370"/>
      <c r="ILQ112" s="1370"/>
      <c r="ILR112" s="1370"/>
      <c r="ILS112" s="1370"/>
      <c r="ILT112" s="1370"/>
      <c r="ILU112" s="1370"/>
      <c r="ILV112" s="1370"/>
      <c r="ILW112" s="1370"/>
      <c r="ILX112" s="1370"/>
      <c r="ILY112" s="1370"/>
      <c r="ILZ112" s="1370"/>
      <c r="IMA112" s="1370"/>
      <c r="IMB112" s="1370"/>
      <c r="IMC112" s="1370"/>
      <c r="IMD112" s="1370"/>
      <c r="IME112" s="1370"/>
      <c r="IMF112" s="1370"/>
      <c r="IMG112" s="1370"/>
      <c r="IMH112" s="1370"/>
      <c r="IMI112" s="1370"/>
      <c r="IMJ112" s="1370"/>
      <c r="IMK112" s="1370"/>
      <c r="IML112" s="1370"/>
      <c r="IMM112" s="1370"/>
      <c r="IMN112" s="1370"/>
      <c r="IMO112" s="1370"/>
      <c r="IMP112" s="1370"/>
      <c r="IMQ112" s="1370"/>
      <c r="IMR112" s="1370"/>
      <c r="IMS112" s="1370"/>
      <c r="IMT112" s="1370"/>
      <c r="IMU112" s="1370"/>
      <c r="IMV112" s="1370"/>
      <c r="IMW112" s="1370"/>
      <c r="IMX112" s="1370"/>
      <c r="IMY112" s="1370"/>
      <c r="IMZ112" s="1370"/>
      <c r="INA112" s="1370"/>
      <c r="INB112" s="1370"/>
      <c r="INC112" s="1370"/>
      <c r="IND112" s="1370"/>
      <c r="INE112" s="1370"/>
      <c r="INF112" s="1370"/>
      <c r="ING112" s="1370"/>
      <c r="INH112" s="1370"/>
      <c r="INI112" s="1370"/>
      <c r="INJ112" s="1370"/>
      <c r="INK112" s="1370"/>
      <c r="INL112" s="1370"/>
      <c r="INM112" s="1370"/>
      <c r="INN112" s="1370"/>
      <c r="INO112" s="1370"/>
      <c r="INP112" s="1370"/>
      <c r="INQ112" s="1370"/>
      <c r="INR112" s="1370"/>
      <c r="INS112" s="1370"/>
      <c r="INT112" s="1370"/>
      <c r="INU112" s="1370"/>
      <c r="INV112" s="1370"/>
      <c r="INW112" s="1370"/>
      <c r="INX112" s="1370"/>
      <c r="INY112" s="1370"/>
      <c r="INZ112" s="1370"/>
      <c r="IOA112" s="1370"/>
      <c r="IOB112" s="1370"/>
      <c r="IOC112" s="1370"/>
      <c r="IOD112" s="1370"/>
      <c r="IOE112" s="1370"/>
      <c r="IOF112" s="1370"/>
      <c r="IOG112" s="1370"/>
      <c r="IOH112" s="1370"/>
      <c r="IOI112" s="1370"/>
      <c r="IOJ112" s="1370"/>
      <c r="IOK112" s="1370"/>
      <c r="IOL112" s="1370"/>
      <c r="IOM112" s="1370"/>
      <c r="ION112" s="1370"/>
      <c r="IOO112" s="1370"/>
      <c r="IOP112" s="1370"/>
      <c r="IOQ112" s="1370"/>
      <c r="IOR112" s="1370"/>
      <c r="IOS112" s="1370"/>
      <c r="IOT112" s="1370"/>
      <c r="IOU112" s="1370"/>
      <c r="IOV112" s="1370"/>
      <c r="IOW112" s="1370"/>
      <c r="IOX112" s="1370"/>
      <c r="IOY112" s="1370"/>
      <c r="IOZ112" s="1370"/>
      <c r="IPA112" s="1370"/>
      <c r="IPB112" s="1370"/>
      <c r="IPC112" s="1370"/>
      <c r="IPD112" s="1370"/>
      <c r="IPE112" s="1370"/>
      <c r="IPF112" s="1370"/>
      <c r="IPG112" s="1370"/>
      <c r="IPH112" s="1370"/>
      <c r="IPI112" s="1370"/>
      <c r="IPJ112" s="1370"/>
      <c r="IPK112" s="1370"/>
      <c r="IPL112" s="1370"/>
      <c r="IPM112" s="1370"/>
      <c r="IPN112" s="1370"/>
      <c r="IPO112" s="1370"/>
      <c r="IPP112" s="1370"/>
      <c r="IPQ112" s="1370"/>
      <c r="IPR112" s="1370"/>
      <c r="IPS112" s="1370"/>
      <c r="IPT112" s="1370"/>
      <c r="IPU112" s="1370"/>
      <c r="IPV112" s="1370"/>
      <c r="IPW112" s="1370"/>
      <c r="IPX112" s="1370"/>
      <c r="IPY112" s="1370"/>
      <c r="IPZ112" s="1370"/>
      <c r="IQA112" s="1370"/>
      <c r="IQB112" s="1370"/>
      <c r="IQC112" s="1370"/>
      <c r="IQD112" s="1370"/>
      <c r="IQE112" s="1370"/>
      <c r="IQF112" s="1370"/>
      <c r="IQG112" s="1370"/>
      <c r="IQH112" s="1370"/>
      <c r="IQI112" s="1370"/>
      <c r="IQJ112" s="1370"/>
      <c r="IQK112" s="1370"/>
      <c r="IQL112" s="1370"/>
      <c r="IQM112" s="1370"/>
      <c r="IQN112" s="1370"/>
      <c r="IQO112" s="1370"/>
      <c r="IQP112" s="1370"/>
      <c r="IQQ112" s="1370"/>
      <c r="IQR112" s="1370"/>
      <c r="IQS112" s="1370"/>
      <c r="IQT112" s="1370"/>
      <c r="IQU112" s="1370"/>
      <c r="IQV112" s="1370"/>
      <c r="IQW112" s="1370"/>
      <c r="IQX112" s="1370"/>
      <c r="IQY112" s="1370"/>
      <c r="IQZ112" s="1370"/>
      <c r="IRA112" s="1370"/>
      <c r="IRB112" s="1370"/>
      <c r="IRC112" s="1370"/>
      <c r="IRD112" s="1370"/>
      <c r="IRE112" s="1370"/>
      <c r="IRF112" s="1370"/>
      <c r="IRG112" s="1370"/>
      <c r="IRH112" s="1370"/>
      <c r="IRI112" s="1370"/>
      <c r="IRJ112" s="1370"/>
      <c r="IRK112" s="1370"/>
      <c r="IRL112" s="1370"/>
      <c r="IRM112" s="1370"/>
      <c r="IRN112" s="1370"/>
      <c r="IRO112" s="1370"/>
      <c r="IRP112" s="1370"/>
      <c r="IRQ112" s="1370"/>
      <c r="IRR112" s="1370"/>
      <c r="IRS112" s="1370"/>
      <c r="IRT112" s="1370"/>
      <c r="IRU112" s="1370"/>
      <c r="IRV112" s="1370"/>
      <c r="IRW112" s="1370"/>
      <c r="IRX112" s="1370"/>
      <c r="IRY112" s="1370"/>
      <c r="IRZ112" s="1370"/>
      <c r="ISA112" s="1370"/>
      <c r="ISB112" s="1370"/>
      <c r="ISC112" s="1370"/>
      <c r="ISD112" s="1370"/>
      <c r="ISE112" s="1370"/>
      <c r="ISF112" s="1370"/>
      <c r="ISG112" s="1370"/>
      <c r="ISH112" s="1370"/>
      <c r="ISI112" s="1370"/>
      <c r="ISJ112" s="1370"/>
      <c r="ISK112" s="1370"/>
      <c r="ISL112" s="1370"/>
      <c r="ISM112" s="1370"/>
      <c r="ISN112" s="1370"/>
      <c r="ISO112" s="1370"/>
      <c r="ISP112" s="1370"/>
      <c r="ISQ112" s="1370"/>
      <c r="ISR112" s="1370"/>
      <c r="ISS112" s="1370"/>
      <c r="IST112" s="1370"/>
      <c r="ISU112" s="1370"/>
      <c r="ISV112" s="1370"/>
      <c r="ISW112" s="1370"/>
      <c r="ISX112" s="1370"/>
      <c r="ISY112" s="1370"/>
      <c r="ISZ112" s="1370"/>
      <c r="ITA112" s="1370"/>
      <c r="ITB112" s="1370"/>
      <c r="ITC112" s="1370"/>
      <c r="ITD112" s="1370"/>
      <c r="ITE112" s="1370"/>
      <c r="ITF112" s="1370"/>
      <c r="ITG112" s="1370"/>
      <c r="ITH112" s="1370"/>
      <c r="ITI112" s="1370"/>
      <c r="ITJ112" s="1370"/>
      <c r="ITK112" s="1370"/>
      <c r="ITL112" s="1370"/>
      <c r="ITM112" s="1370"/>
      <c r="ITN112" s="1370"/>
      <c r="ITO112" s="1370"/>
      <c r="ITP112" s="1370"/>
      <c r="ITQ112" s="1370"/>
      <c r="ITR112" s="1370"/>
      <c r="ITS112" s="1370"/>
      <c r="ITT112" s="1370"/>
      <c r="ITU112" s="1370"/>
      <c r="ITV112" s="1370"/>
      <c r="ITW112" s="1370"/>
      <c r="ITX112" s="1370"/>
      <c r="ITY112" s="1370"/>
      <c r="ITZ112" s="1370"/>
      <c r="IUA112" s="1370"/>
      <c r="IUB112" s="1370"/>
      <c r="IUC112" s="1370"/>
      <c r="IUD112" s="1370"/>
      <c r="IUE112" s="1370"/>
      <c r="IUF112" s="1370"/>
      <c r="IUG112" s="1370"/>
      <c r="IUH112" s="1370"/>
      <c r="IUI112" s="1370"/>
      <c r="IUJ112" s="1370"/>
      <c r="IUK112" s="1370"/>
      <c r="IUL112" s="1370"/>
      <c r="IUM112" s="1370"/>
      <c r="IUN112" s="1370"/>
      <c r="IUO112" s="1370"/>
      <c r="IUP112" s="1370"/>
      <c r="IUQ112" s="1370"/>
      <c r="IUR112" s="1370"/>
      <c r="IUS112" s="1370"/>
      <c r="IUT112" s="1370"/>
      <c r="IUU112" s="1370"/>
      <c r="IUV112" s="1370"/>
      <c r="IUW112" s="1370"/>
      <c r="IUX112" s="1370"/>
      <c r="IUY112" s="1370"/>
      <c r="IUZ112" s="1370"/>
      <c r="IVA112" s="1370"/>
      <c r="IVB112" s="1370"/>
      <c r="IVC112" s="1370"/>
      <c r="IVD112" s="1370"/>
      <c r="IVE112" s="1370"/>
      <c r="IVF112" s="1370"/>
      <c r="IVG112" s="1370"/>
      <c r="IVH112" s="1370"/>
      <c r="IVI112" s="1370"/>
      <c r="IVJ112" s="1370"/>
      <c r="IVK112" s="1370"/>
      <c r="IVL112" s="1370"/>
      <c r="IVM112" s="1370"/>
      <c r="IVN112" s="1370"/>
      <c r="IVO112" s="1370"/>
      <c r="IVP112" s="1370"/>
      <c r="IVQ112" s="1370"/>
      <c r="IVR112" s="1370"/>
      <c r="IVS112" s="1370"/>
      <c r="IVT112" s="1370"/>
      <c r="IVU112" s="1370"/>
      <c r="IVV112" s="1370"/>
      <c r="IVW112" s="1370"/>
      <c r="IVX112" s="1370"/>
      <c r="IVY112" s="1370"/>
      <c r="IVZ112" s="1370"/>
      <c r="IWA112" s="1370"/>
      <c r="IWB112" s="1370"/>
      <c r="IWC112" s="1370"/>
      <c r="IWD112" s="1370"/>
      <c r="IWE112" s="1370"/>
      <c r="IWF112" s="1370"/>
      <c r="IWG112" s="1370"/>
      <c r="IWH112" s="1370"/>
      <c r="IWI112" s="1370"/>
      <c r="IWJ112" s="1370"/>
      <c r="IWK112" s="1370"/>
      <c r="IWL112" s="1370"/>
      <c r="IWM112" s="1370"/>
      <c r="IWN112" s="1370"/>
      <c r="IWO112" s="1370"/>
      <c r="IWP112" s="1370"/>
      <c r="IWQ112" s="1370"/>
      <c r="IWR112" s="1370"/>
      <c r="IWS112" s="1370"/>
      <c r="IWT112" s="1370"/>
      <c r="IWU112" s="1370"/>
      <c r="IWV112" s="1370"/>
      <c r="IWW112" s="1370"/>
      <c r="IWX112" s="1370"/>
      <c r="IWY112" s="1370"/>
      <c r="IWZ112" s="1370"/>
      <c r="IXA112" s="1370"/>
      <c r="IXB112" s="1370"/>
      <c r="IXC112" s="1370"/>
      <c r="IXD112" s="1370"/>
      <c r="IXE112" s="1370"/>
      <c r="IXF112" s="1370"/>
      <c r="IXG112" s="1370"/>
      <c r="IXH112" s="1370"/>
      <c r="IXI112" s="1370"/>
      <c r="IXJ112" s="1370"/>
      <c r="IXK112" s="1370"/>
      <c r="IXL112" s="1370"/>
      <c r="IXM112" s="1370"/>
      <c r="IXN112" s="1370"/>
      <c r="IXO112" s="1370"/>
      <c r="IXP112" s="1370"/>
      <c r="IXQ112" s="1370"/>
      <c r="IXR112" s="1370"/>
      <c r="IXS112" s="1370"/>
      <c r="IXT112" s="1370"/>
      <c r="IXU112" s="1370"/>
      <c r="IXV112" s="1370"/>
      <c r="IXW112" s="1370"/>
      <c r="IXX112" s="1370"/>
      <c r="IXY112" s="1370"/>
      <c r="IXZ112" s="1370"/>
      <c r="IYA112" s="1370"/>
      <c r="IYB112" s="1370"/>
      <c r="IYC112" s="1370"/>
      <c r="IYD112" s="1370"/>
      <c r="IYE112" s="1370"/>
      <c r="IYF112" s="1370"/>
      <c r="IYG112" s="1370"/>
      <c r="IYH112" s="1370"/>
      <c r="IYI112" s="1370"/>
      <c r="IYJ112" s="1370"/>
      <c r="IYK112" s="1370"/>
      <c r="IYL112" s="1370"/>
      <c r="IYM112" s="1370"/>
      <c r="IYN112" s="1370"/>
      <c r="IYO112" s="1370"/>
      <c r="IYP112" s="1370"/>
      <c r="IYQ112" s="1370"/>
      <c r="IYR112" s="1370"/>
      <c r="IYS112" s="1370"/>
      <c r="IYT112" s="1370"/>
      <c r="IYU112" s="1370"/>
      <c r="IYV112" s="1370"/>
      <c r="IYW112" s="1370"/>
      <c r="IYX112" s="1370"/>
      <c r="IYY112" s="1370"/>
      <c r="IYZ112" s="1370"/>
      <c r="IZA112" s="1370"/>
      <c r="IZB112" s="1370"/>
      <c r="IZC112" s="1370"/>
      <c r="IZD112" s="1370"/>
      <c r="IZE112" s="1370"/>
      <c r="IZF112" s="1370"/>
      <c r="IZG112" s="1370"/>
      <c r="IZH112" s="1370"/>
      <c r="IZI112" s="1370"/>
      <c r="IZJ112" s="1370"/>
      <c r="IZK112" s="1370"/>
      <c r="IZL112" s="1370"/>
      <c r="IZM112" s="1370"/>
      <c r="IZN112" s="1370"/>
      <c r="IZO112" s="1370"/>
      <c r="IZP112" s="1370"/>
      <c r="IZQ112" s="1370"/>
      <c r="IZR112" s="1370"/>
      <c r="IZS112" s="1370"/>
      <c r="IZT112" s="1370"/>
      <c r="IZU112" s="1370"/>
      <c r="IZV112" s="1370"/>
      <c r="IZW112" s="1370"/>
      <c r="IZX112" s="1370"/>
      <c r="IZY112" s="1370"/>
      <c r="IZZ112" s="1370"/>
      <c r="JAA112" s="1370"/>
      <c r="JAB112" s="1370"/>
      <c r="JAC112" s="1370"/>
      <c r="JAD112" s="1370"/>
      <c r="JAE112" s="1370"/>
      <c r="JAF112" s="1370"/>
      <c r="JAG112" s="1370"/>
      <c r="JAH112" s="1370"/>
      <c r="JAI112" s="1370"/>
      <c r="JAJ112" s="1370"/>
      <c r="JAK112" s="1370"/>
      <c r="JAL112" s="1370"/>
      <c r="JAM112" s="1370"/>
      <c r="JAN112" s="1370"/>
      <c r="JAO112" s="1370"/>
      <c r="JAP112" s="1370"/>
      <c r="JAQ112" s="1370"/>
      <c r="JAR112" s="1370"/>
      <c r="JAS112" s="1370"/>
      <c r="JAT112" s="1370"/>
      <c r="JAU112" s="1370"/>
      <c r="JAV112" s="1370"/>
      <c r="JAW112" s="1370"/>
      <c r="JAX112" s="1370"/>
      <c r="JAY112" s="1370"/>
      <c r="JAZ112" s="1370"/>
      <c r="JBA112" s="1370"/>
      <c r="JBB112" s="1370"/>
      <c r="JBC112" s="1370"/>
      <c r="JBD112" s="1370"/>
      <c r="JBE112" s="1370"/>
      <c r="JBF112" s="1370"/>
      <c r="JBG112" s="1370"/>
      <c r="JBH112" s="1370"/>
      <c r="JBI112" s="1370"/>
      <c r="JBJ112" s="1370"/>
      <c r="JBK112" s="1370"/>
      <c r="JBL112" s="1370"/>
      <c r="JBM112" s="1370"/>
      <c r="JBN112" s="1370"/>
      <c r="JBO112" s="1370"/>
      <c r="JBP112" s="1370"/>
      <c r="JBQ112" s="1370"/>
      <c r="JBR112" s="1370"/>
      <c r="JBS112" s="1370"/>
      <c r="JBT112" s="1370"/>
      <c r="JBU112" s="1370"/>
      <c r="JBV112" s="1370"/>
      <c r="JBW112" s="1370"/>
      <c r="JBX112" s="1370"/>
      <c r="JBY112" s="1370"/>
      <c r="JBZ112" s="1370"/>
      <c r="JCA112" s="1370"/>
      <c r="JCB112" s="1370"/>
      <c r="JCC112" s="1370"/>
      <c r="JCD112" s="1370"/>
      <c r="JCE112" s="1370"/>
      <c r="JCF112" s="1370"/>
      <c r="JCG112" s="1370"/>
      <c r="JCH112" s="1370"/>
      <c r="JCI112" s="1370"/>
      <c r="JCJ112" s="1370"/>
      <c r="JCK112" s="1370"/>
      <c r="JCL112" s="1370"/>
      <c r="JCM112" s="1370"/>
      <c r="JCN112" s="1370"/>
      <c r="JCO112" s="1370"/>
      <c r="JCP112" s="1370"/>
      <c r="JCQ112" s="1370"/>
      <c r="JCR112" s="1370"/>
      <c r="JCS112" s="1370"/>
      <c r="JCT112" s="1370"/>
      <c r="JCU112" s="1370"/>
      <c r="JCV112" s="1370"/>
      <c r="JCW112" s="1370"/>
      <c r="JCX112" s="1370"/>
      <c r="JCY112" s="1370"/>
      <c r="JCZ112" s="1370"/>
      <c r="JDA112" s="1370"/>
      <c r="JDB112" s="1370"/>
      <c r="JDC112" s="1370"/>
      <c r="JDD112" s="1370"/>
      <c r="JDE112" s="1370"/>
      <c r="JDF112" s="1370"/>
      <c r="JDG112" s="1370"/>
      <c r="JDH112" s="1370"/>
      <c r="JDI112" s="1370"/>
      <c r="JDJ112" s="1370"/>
      <c r="JDK112" s="1370"/>
      <c r="JDL112" s="1370"/>
      <c r="JDM112" s="1370"/>
      <c r="JDN112" s="1370"/>
      <c r="JDO112" s="1370"/>
      <c r="JDP112" s="1370"/>
      <c r="JDQ112" s="1370"/>
      <c r="JDR112" s="1370"/>
      <c r="JDS112" s="1370"/>
      <c r="JDT112" s="1370"/>
      <c r="JDU112" s="1370"/>
      <c r="JDV112" s="1370"/>
      <c r="JDW112" s="1370"/>
      <c r="JDX112" s="1370"/>
      <c r="JDY112" s="1370"/>
      <c r="JDZ112" s="1370"/>
      <c r="JEA112" s="1370"/>
      <c r="JEB112" s="1370"/>
      <c r="JEC112" s="1370"/>
      <c r="JED112" s="1370"/>
      <c r="JEE112" s="1370"/>
      <c r="JEF112" s="1370"/>
      <c r="JEG112" s="1370"/>
      <c r="JEH112" s="1370"/>
      <c r="JEI112" s="1370"/>
      <c r="JEJ112" s="1370"/>
      <c r="JEK112" s="1370"/>
      <c r="JEL112" s="1370"/>
      <c r="JEM112" s="1370"/>
      <c r="JEN112" s="1370"/>
      <c r="JEO112" s="1370"/>
      <c r="JEP112" s="1370"/>
      <c r="JEQ112" s="1370"/>
      <c r="JER112" s="1370"/>
      <c r="JES112" s="1370"/>
      <c r="JET112" s="1370"/>
      <c r="JEU112" s="1370"/>
      <c r="JEV112" s="1370"/>
      <c r="JEW112" s="1370"/>
      <c r="JEX112" s="1370"/>
      <c r="JEY112" s="1370"/>
      <c r="JEZ112" s="1370"/>
      <c r="JFA112" s="1370"/>
      <c r="JFB112" s="1370"/>
      <c r="JFC112" s="1370"/>
      <c r="JFD112" s="1370"/>
      <c r="JFE112" s="1370"/>
      <c r="JFF112" s="1370"/>
      <c r="JFG112" s="1370"/>
      <c r="JFH112" s="1370"/>
      <c r="JFI112" s="1370"/>
      <c r="JFJ112" s="1370"/>
      <c r="JFK112" s="1370"/>
      <c r="JFL112" s="1370"/>
      <c r="JFM112" s="1370"/>
      <c r="JFN112" s="1370"/>
      <c r="JFO112" s="1370"/>
      <c r="JFP112" s="1370"/>
      <c r="JFQ112" s="1370"/>
      <c r="JFR112" s="1370"/>
      <c r="JFS112" s="1370"/>
      <c r="JFT112" s="1370"/>
      <c r="JFU112" s="1370"/>
      <c r="JFV112" s="1370"/>
      <c r="JFW112" s="1370"/>
      <c r="JFX112" s="1370"/>
      <c r="JFY112" s="1370"/>
      <c r="JFZ112" s="1370"/>
      <c r="JGA112" s="1370"/>
      <c r="JGB112" s="1370"/>
      <c r="JGC112" s="1370"/>
      <c r="JGD112" s="1370"/>
      <c r="JGE112" s="1370"/>
      <c r="JGF112" s="1370"/>
      <c r="JGG112" s="1370"/>
      <c r="JGH112" s="1370"/>
      <c r="JGI112" s="1370"/>
      <c r="JGJ112" s="1370"/>
      <c r="JGK112" s="1370"/>
      <c r="JGL112" s="1370"/>
      <c r="JGM112" s="1370"/>
      <c r="JGN112" s="1370"/>
      <c r="JGO112" s="1370"/>
      <c r="JGP112" s="1370"/>
      <c r="JGQ112" s="1370"/>
      <c r="JGR112" s="1370"/>
      <c r="JGS112" s="1370"/>
      <c r="JGT112" s="1370"/>
      <c r="JGU112" s="1370"/>
      <c r="JGV112" s="1370"/>
      <c r="JGW112" s="1370"/>
      <c r="JGX112" s="1370"/>
      <c r="JGY112" s="1370"/>
      <c r="JGZ112" s="1370"/>
      <c r="JHA112" s="1370"/>
      <c r="JHB112" s="1370"/>
      <c r="JHC112" s="1370"/>
      <c r="JHD112" s="1370"/>
      <c r="JHE112" s="1370"/>
      <c r="JHF112" s="1370"/>
      <c r="JHG112" s="1370"/>
      <c r="JHH112" s="1370"/>
      <c r="JHI112" s="1370"/>
      <c r="JHJ112" s="1370"/>
      <c r="JHK112" s="1370"/>
      <c r="JHL112" s="1370"/>
      <c r="JHM112" s="1370"/>
      <c r="JHN112" s="1370"/>
      <c r="JHO112" s="1370"/>
      <c r="JHP112" s="1370"/>
      <c r="JHQ112" s="1370"/>
      <c r="JHR112" s="1370"/>
      <c r="JHS112" s="1370"/>
      <c r="JHT112" s="1370"/>
      <c r="JHU112" s="1370"/>
      <c r="JHV112" s="1370"/>
      <c r="JHW112" s="1370"/>
      <c r="JHX112" s="1370"/>
      <c r="JHY112" s="1370"/>
      <c r="JHZ112" s="1370"/>
      <c r="JIA112" s="1370"/>
      <c r="JIB112" s="1370"/>
      <c r="JIC112" s="1370"/>
      <c r="JID112" s="1370"/>
      <c r="JIE112" s="1370"/>
      <c r="JIF112" s="1370"/>
      <c r="JIG112" s="1370"/>
      <c r="JIH112" s="1370"/>
      <c r="JII112" s="1370"/>
      <c r="JIJ112" s="1370"/>
      <c r="JIK112" s="1370"/>
      <c r="JIL112" s="1370"/>
      <c r="JIM112" s="1370"/>
      <c r="JIN112" s="1370"/>
      <c r="JIO112" s="1370"/>
      <c r="JIP112" s="1370"/>
      <c r="JIQ112" s="1370"/>
      <c r="JIR112" s="1370"/>
      <c r="JIS112" s="1370"/>
      <c r="JIT112" s="1370"/>
      <c r="JIU112" s="1370"/>
      <c r="JIV112" s="1370"/>
      <c r="JIW112" s="1370"/>
      <c r="JIX112" s="1370"/>
      <c r="JIY112" s="1370"/>
      <c r="JIZ112" s="1370"/>
      <c r="JJA112" s="1370"/>
      <c r="JJB112" s="1370"/>
      <c r="JJC112" s="1370"/>
      <c r="JJD112" s="1370"/>
      <c r="JJE112" s="1370"/>
      <c r="JJF112" s="1370"/>
      <c r="JJG112" s="1370"/>
      <c r="JJH112" s="1370"/>
      <c r="JJI112" s="1370"/>
      <c r="JJJ112" s="1370"/>
      <c r="JJK112" s="1370"/>
      <c r="JJL112" s="1370"/>
      <c r="JJM112" s="1370"/>
      <c r="JJN112" s="1370"/>
      <c r="JJO112" s="1370"/>
      <c r="JJP112" s="1370"/>
      <c r="JJQ112" s="1370"/>
      <c r="JJR112" s="1370"/>
      <c r="JJS112" s="1370"/>
      <c r="JJT112" s="1370"/>
      <c r="JJU112" s="1370"/>
      <c r="JJV112" s="1370"/>
      <c r="JJW112" s="1370"/>
      <c r="JJX112" s="1370"/>
      <c r="JJY112" s="1370"/>
      <c r="JJZ112" s="1370"/>
      <c r="JKA112" s="1370"/>
      <c r="JKB112" s="1370"/>
      <c r="JKC112" s="1370"/>
      <c r="JKD112" s="1370"/>
      <c r="JKE112" s="1370"/>
      <c r="JKF112" s="1370"/>
      <c r="JKG112" s="1370"/>
      <c r="JKH112" s="1370"/>
      <c r="JKI112" s="1370"/>
      <c r="JKJ112" s="1370"/>
      <c r="JKK112" s="1370"/>
      <c r="JKL112" s="1370"/>
      <c r="JKM112" s="1370"/>
      <c r="JKN112" s="1370"/>
      <c r="JKO112" s="1370"/>
      <c r="JKP112" s="1370"/>
      <c r="JKQ112" s="1370"/>
      <c r="JKR112" s="1370"/>
      <c r="JKS112" s="1370"/>
      <c r="JKT112" s="1370"/>
      <c r="JKU112" s="1370"/>
      <c r="JKV112" s="1370"/>
      <c r="JKW112" s="1370"/>
      <c r="JKX112" s="1370"/>
      <c r="JKY112" s="1370"/>
      <c r="JKZ112" s="1370"/>
      <c r="JLA112" s="1370"/>
      <c r="JLB112" s="1370"/>
      <c r="JLC112" s="1370"/>
      <c r="JLD112" s="1370"/>
      <c r="JLE112" s="1370"/>
      <c r="JLF112" s="1370"/>
      <c r="JLG112" s="1370"/>
      <c r="JLH112" s="1370"/>
      <c r="JLI112" s="1370"/>
      <c r="JLJ112" s="1370"/>
      <c r="JLK112" s="1370"/>
      <c r="JLL112" s="1370"/>
      <c r="JLM112" s="1370"/>
      <c r="JLN112" s="1370"/>
      <c r="JLO112" s="1370"/>
      <c r="JLP112" s="1370"/>
      <c r="JLQ112" s="1370"/>
      <c r="JLR112" s="1370"/>
      <c r="JLS112" s="1370"/>
      <c r="JLT112" s="1370"/>
      <c r="JLU112" s="1370"/>
      <c r="JLV112" s="1370"/>
      <c r="JLW112" s="1370"/>
      <c r="JLX112" s="1370"/>
      <c r="JLY112" s="1370"/>
      <c r="JLZ112" s="1370"/>
      <c r="JMA112" s="1370"/>
      <c r="JMB112" s="1370"/>
      <c r="JMC112" s="1370"/>
      <c r="JMD112" s="1370"/>
      <c r="JME112" s="1370"/>
      <c r="JMF112" s="1370"/>
      <c r="JMG112" s="1370"/>
      <c r="JMH112" s="1370"/>
      <c r="JMI112" s="1370"/>
      <c r="JMJ112" s="1370"/>
      <c r="JMK112" s="1370"/>
      <c r="JML112" s="1370"/>
      <c r="JMM112" s="1370"/>
      <c r="JMN112" s="1370"/>
      <c r="JMO112" s="1370"/>
      <c r="JMP112" s="1370"/>
      <c r="JMQ112" s="1370"/>
      <c r="JMR112" s="1370"/>
      <c r="JMS112" s="1370"/>
      <c r="JMT112" s="1370"/>
      <c r="JMU112" s="1370"/>
      <c r="JMV112" s="1370"/>
      <c r="JMW112" s="1370"/>
      <c r="JMX112" s="1370"/>
      <c r="JMY112" s="1370"/>
      <c r="JMZ112" s="1370"/>
      <c r="JNA112" s="1370"/>
      <c r="JNB112" s="1370"/>
      <c r="JNC112" s="1370"/>
      <c r="JND112" s="1370"/>
      <c r="JNE112" s="1370"/>
      <c r="JNF112" s="1370"/>
      <c r="JNG112" s="1370"/>
      <c r="JNH112" s="1370"/>
      <c r="JNI112" s="1370"/>
      <c r="JNJ112" s="1370"/>
      <c r="JNK112" s="1370"/>
      <c r="JNL112" s="1370"/>
      <c r="JNM112" s="1370"/>
      <c r="JNN112" s="1370"/>
      <c r="JNO112" s="1370"/>
      <c r="JNP112" s="1370"/>
      <c r="JNQ112" s="1370"/>
      <c r="JNR112" s="1370"/>
      <c r="JNS112" s="1370"/>
      <c r="JNT112" s="1370"/>
      <c r="JNU112" s="1370"/>
      <c r="JNV112" s="1370"/>
      <c r="JNW112" s="1370"/>
      <c r="JNX112" s="1370"/>
      <c r="JNY112" s="1370"/>
      <c r="JNZ112" s="1370"/>
      <c r="JOA112" s="1370"/>
      <c r="JOB112" s="1370"/>
      <c r="JOC112" s="1370"/>
      <c r="JOD112" s="1370"/>
      <c r="JOE112" s="1370"/>
      <c r="JOF112" s="1370"/>
      <c r="JOG112" s="1370"/>
      <c r="JOH112" s="1370"/>
      <c r="JOI112" s="1370"/>
      <c r="JOJ112" s="1370"/>
      <c r="JOK112" s="1370"/>
      <c r="JOL112" s="1370"/>
      <c r="JOM112" s="1370"/>
      <c r="JON112" s="1370"/>
      <c r="JOO112" s="1370"/>
      <c r="JOP112" s="1370"/>
      <c r="JOQ112" s="1370"/>
      <c r="JOR112" s="1370"/>
      <c r="JOS112" s="1370"/>
      <c r="JOT112" s="1370"/>
      <c r="JOU112" s="1370"/>
      <c r="JOV112" s="1370"/>
      <c r="JOW112" s="1370"/>
      <c r="JOX112" s="1370"/>
      <c r="JOY112" s="1370"/>
      <c r="JOZ112" s="1370"/>
      <c r="JPA112" s="1370"/>
      <c r="JPB112" s="1370"/>
      <c r="JPC112" s="1370"/>
      <c r="JPD112" s="1370"/>
      <c r="JPE112" s="1370"/>
      <c r="JPF112" s="1370"/>
      <c r="JPG112" s="1370"/>
      <c r="JPH112" s="1370"/>
      <c r="JPI112" s="1370"/>
      <c r="JPJ112" s="1370"/>
      <c r="JPK112" s="1370"/>
      <c r="JPL112" s="1370"/>
      <c r="JPM112" s="1370"/>
      <c r="JPN112" s="1370"/>
      <c r="JPO112" s="1370"/>
      <c r="JPP112" s="1370"/>
      <c r="JPQ112" s="1370"/>
      <c r="JPR112" s="1370"/>
      <c r="JPS112" s="1370"/>
      <c r="JPT112" s="1370"/>
      <c r="JPU112" s="1370"/>
      <c r="JPV112" s="1370"/>
      <c r="JPW112" s="1370"/>
      <c r="JPX112" s="1370"/>
      <c r="JPY112" s="1370"/>
      <c r="JPZ112" s="1370"/>
      <c r="JQA112" s="1370"/>
      <c r="JQB112" s="1370"/>
      <c r="JQC112" s="1370"/>
      <c r="JQD112" s="1370"/>
      <c r="JQE112" s="1370"/>
      <c r="JQF112" s="1370"/>
      <c r="JQG112" s="1370"/>
      <c r="JQH112" s="1370"/>
      <c r="JQI112" s="1370"/>
      <c r="JQJ112" s="1370"/>
      <c r="JQK112" s="1370"/>
      <c r="JQL112" s="1370"/>
      <c r="JQM112" s="1370"/>
      <c r="JQN112" s="1370"/>
      <c r="JQO112" s="1370"/>
      <c r="JQP112" s="1370"/>
      <c r="JQQ112" s="1370"/>
      <c r="JQR112" s="1370"/>
      <c r="JQS112" s="1370"/>
      <c r="JQT112" s="1370"/>
      <c r="JQU112" s="1370"/>
      <c r="JQV112" s="1370"/>
      <c r="JQW112" s="1370"/>
      <c r="JQX112" s="1370"/>
      <c r="JQY112" s="1370"/>
      <c r="JQZ112" s="1370"/>
      <c r="JRA112" s="1370"/>
      <c r="JRB112" s="1370"/>
      <c r="JRC112" s="1370"/>
      <c r="JRD112" s="1370"/>
      <c r="JRE112" s="1370"/>
      <c r="JRF112" s="1370"/>
      <c r="JRG112" s="1370"/>
      <c r="JRH112" s="1370"/>
      <c r="JRI112" s="1370"/>
      <c r="JRJ112" s="1370"/>
      <c r="JRK112" s="1370"/>
      <c r="JRL112" s="1370"/>
      <c r="JRM112" s="1370"/>
      <c r="JRN112" s="1370"/>
      <c r="JRO112" s="1370"/>
      <c r="JRP112" s="1370"/>
      <c r="JRQ112" s="1370"/>
      <c r="JRR112" s="1370"/>
      <c r="JRS112" s="1370"/>
      <c r="JRT112" s="1370"/>
      <c r="JRU112" s="1370"/>
      <c r="JRV112" s="1370"/>
      <c r="JRW112" s="1370"/>
      <c r="JRX112" s="1370"/>
      <c r="JRY112" s="1370"/>
      <c r="JRZ112" s="1370"/>
      <c r="JSA112" s="1370"/>
      <c r="JSB112" s="1370"/>
      <c r="JSC112" s="1370"/>
      <c r="JSD112" s="1370"/>
      <c r="JSE112" s="1370"/>
      <c r="JSF112" s="1370"/>
      <c r="JSG112" s="1370"/>
      <c r="JSH112" s="1370"/>
      <c r="JSI112" s="1370"/>
      <c r="JSJ112" s="1370"/>
      <c r="JSK112" s="1370"/>
      <c r="JSL112" s="1370"/>
      <c r="JSM112" s="1370"/>
      <c r="JSN112" s="1370"/>
      <c r="JSO112" s="1370"/>
      <c r="JSP112" s="1370"/>
      <c r="JSQ112" s="1370"/>
      <c r="JSR112" s="1370"/>
      <c r="JSS112" s="1370"/>
      <c r="JST112" s="1370"/>
      <c r="JSU112" s="1370"/>
      <c r="JSV112" s="1370"/>
      <c r="JSW112" s="1370"/>
      <c r="JSX112" s="1370"/>
      <c r="JSY112" s="1370"/>
      <c r="JSZ112" s="1370"/>
      <c r="JTA112" s="1370"/>
      <c r="JTB112" s="1370"/>
      <c r="JTC112" s="1370"/>
      <c r="JTD112" s="1370"/>
      <c r="JTE112" s="1370"/>
      <c r="JTF112" s="1370"/>
      <c r="JTG112" s="1370"/>
      <c r="JTH112" s="1370"/>
      <c r="JTI112" s="1370"/>
      <c r="JTJ112" s="1370"/>
      <c r="JTK112" s="1370"/>
      <c r="JTL112" s="1370"/>
      <c r="JTM112" s="1370"/>
      <c r="JTN112" s="1370"/>
      <c r="JTO112" s="1370"/>
      <c r="JTP112" s="1370"/>
      <c r="JTQ112" s="1370"/>
      <c r="JTR112" s="1370"/>
      <c r="JTS112" s="1370"/>
      <c r="JTT112" s="1370"/>
      <c r="JTU112" s="1370"/>
      <c r="JTV112" s="1370"/>
      <c r="JTW112" s="1370"/>
      <c r="JTX112" s="1370"/>
      <c r="JTY112" s="1370"/>
      <c r="JTZ112" s="1370"/>
      <c r="JUA112" s="1370"/>
      <c r="JUB112" s="1370"/>
      <c r="JUC112" s="1370"/>
      <c r="JUD112" s="1370"/>
      <c r="JUE112" s="1370"/>
      <c r="JUF112" s="1370"/>
      <c r="JUG112" s="1370"/>
      <c r="JUH112" s="1370"/>
      <c r="JUI112" s="1370"/>
      <c r="JUJ112" s="1370"/>
      <c r="JUK112" s="1370"/>
      <c r="JUL112" s="1370"/>
      <c r="JUM112" s="1370"/>
      <c r="JUN112" s="1370"/>
      <c r="JUO112" s="1370"/>
      <c r="JUP112" s="1370"/>
      <c r="JUQ112" s="1370"/>
      <c r="JUR112" s="1370"/>
      <c r="JUS112" s="1370"/>
      <c r="JUT112" s="1370"/>
      <c r="JUU112" s="1370"/>
      <c r="JUV112" s="1370"/>
      <c r="JUW112" s="1370"/>
      <c r="JUX112" s="1370"/>
      <c r="JUY112" s="1370"/>
      <c r="JUZ112" s="1370"/>
      <c r="JVA112" s="1370"/>
      <c r="JVB112" s="1370"/>
      <c r="JVC112" s="1370"/>
      <c r="JVD112" s="1370"/>
      <c r="JVE112" s="1370"/>
      <c r="JVF112" s="1370"/>
      <c r="JVG112" s="1370"/>
      <c r="JVH112" s="1370"/>
      <c r="JVI112" s="1370"/>
      <c r="JVJ112" s="1370"/>
      <c r="JVK112" s="1370"/>
      <c r="JVL112" s="1370"/>
      <c r="JVM112" s="1370"/>
      <c r="JVN112" s="1370"/>
      <c r="JVO112" s="1370"/>
      <c r="JVP112" s="1370"/>
      <c r="JVQ112" s="1370"/>
      <c r="JVR112" s="1370"/>
      <c r="JVS112" s="1370"/>
      <c r="JVT112" s="1370"/>
      <c r="JVU112" s="1370"/>
      <c r="JVV112" s="1370"/>
      <c r="JVW112" s="1370"/>
      <c r="JVX112" s="1370"/>
      <c r="JVY112" s="1370"/>
      <c r="JVZ112" s="1370"/>
      <c r="JWA112" s="1370"/>
      <c r="JWB112" s="1370"/>
      <c r="JWC112" s="1370"/>
      <c r="JWD112" s="1370"/>
      <c r="JWE112" s="1370"/>
      <c r="JWF112" s="1370"/>
      <c r="JWG112" s="1370"/>
      <c r="JWH112" s="1370"/>
      <c r="JWI112" s="1370"/>
      <c r="JWJ112" s="1370"/>
      <c r="JWK112" s="1370"/>
      <c r="JWL112" s="1370"/>
      <c r="JWM112" s="1370"/>
      <c r="JWN112" s="1370"/>
      <c r="JWO112" s="1370"/>
      <c r="JWP112" s="1370"/>
      <c r="JWQ112" s="1370"/>
      <c r="JWR112" s="1370"/>
      <c r="JWS112" s="1370"/>
      <c r="JWT112" s="1370"/>
      <c r="JWU112" s="1370"/>
      <c r="JWV112" s="1370"/>
      <c r="JWW112" s="1370"/>
      <c r="JWX112" s="1370"/>
      <c r="JWY112" s="1370"/>
      <c r="JWZ112" s="1370"/>
      <c r="JXA112" s="1370"/>
      <c r="JXB112" s="1370"/>
      <c r="JXC112" s="1370"/>
      <c r="JXD112" s="1370"/>
      <c r="JXE112" s="1370"/>
      <c r="JXF112" s="1370"/>
      <c r="JXG112" s="1370"/>
      <c r="JXH112" s="1370"/>
      <c r="JXI112" s="1370"/>
      <c r="JXJ112" s="1370"/>
      <c r="JXK112" s="1370"/>
      <c r="JXL112" s="1370"/>
      <c r="JXM112" s="1370"/>
      <c r="JXN112" s="1370"/>
      <c r="JXO112" s="1370"/>
      <c r="JXP112" s="1370"/>
      <c r="JXQ112" s="1370"/>
      <c r="JXR112" s="1370"/>
      <c r="JXS112" s="1370"/>
      <c r="JXT112" s="1370"/>
      <c r="JXU112" s="1370"/>
      <c r="JXV112" s="1370"/>
      <c r="JXW112" s="1370"/>
      <c r="JXX112" s="1370"/>
      <c r="JXY112" s="1370"/>
      <c r="JXZ112" s="1370"/>
      <c r="JYA112" s="1370"/>
      <c r="JYB112" s="1370"/>
      <c r="JYC112" s="1370"/>
      <c r="JYD112" s="1370"/>
      <c r="JYE112" s="1370"/>
      <c r="JYF112" s="1370"/>
      <c r="JYG112" s="1370"/>
      <c r="JYH112" s="1370"/>
      <c r="JYI112" s="1370"/>
      <c r="JYJ112" s="1370"/>
      <c r="JYK112" s="1370"/>
      <c r="JYL112" s="1370"/>
      <c r="JYM112" s="1370"/>
      <c r="JYN112" s="1370"/>
      <c r="JYO112" s="1370"/>
      <c r="JYP112" s="1370"/>
      <c r="JYQ112" s="1370"/>
      <c r="JYR112" s="1370"/>
      <c r="JYS112" s="1370"/>
      <c r="JYT112" s="1370"/>
      <c r="JYU112" s="1370"/>
      <c r="JYV112" s="1370"/>
      <c r="JYW112" s="1370"/>
      <c r="JYX112" s="1370"/>
      <c r="JYY112" s="1370"/>
      <c r="JYZ112" s="1370"/>
      <c r="JZA112" s="1370"/>
      <c r="JZB112" s="1370"/>
      <c r="JZC112" s="1370"/>
      <c r="JZD112" s="1370"/>
      <c r="JZE112" s="1370"/>
      <c r="JZF112" s="1370"/>
      <c r="JZG112" s="1370"/>
      <c r="JZH112" s="1370"/>
      <c r="JZI112" s="1370"/>
      <c r="JZJ112" s="1370"/>
      <c r="JZK112" s="1370"/>
      <c r="JZL112" s="1370"/>
      <c r="JZM112" s="1370"/>
      <c r="JZN112" s="1370"/>
      <c r="JZO112" s="1370"/>
      <c r="JZP112" s="1370"/>
      <c r="JZQ112" s="1370"/>
      <c r="JZR112" s="1370"/>
      <c r="JZS112" s="1370"/>
      <c r="JZT112" s="1370"/>
      <c r="JZU112" s="1370"/>
      <c r="JZV112" s="1370"/>
      <c r="JZW112" s="1370"/>
      <c r="JZX112" s="1370"/>
      <c r="JZY112" s="1370"/>
      <c r="JZZ112" s="1370"/>
      <c r="KAA112" s="1370"/>
      <c r="KAB112" s="1370"/>
      <c r="KAC112" s="1370"/>
      <c r="KAD112" s="1370"/>
      <c r="KAE112" s="1370"/>
      <c r="KAF112" s="1370"/>
      <c r="KAG112" s="1370"/>
      <c r="KAH112" s="1370"/>
      <c r="KAI112" s="1370"/>
      <c r="KAJ112" s="1370"/>
      <c r="KAK112" s="1370"/>
      <c r="KAL112" s="1370"/>
      <c r="KAM112" s="1370"/>
      <c r="KAN112" s="1370"/>
      <c r="KAO112" s="1370"/>
      <c r="KAP112" s="1370"/>
      <c r="KAQ112" s="1370"/>
      <c r="KAR112" s="1370"/>
      <c r="KAS112" s="1370"/>
      <c r="KAT112" s="1370"/>
      <c r="KAU112" s="1370"/>
      <c r="KAV112" s="1370"/>
      <c r="KAW112" s="1370"/>
      <c r="KAX112" s="1370"/>
      <c r="KAY112" s="1370"/>
      <c r="KAZ112" s="1370"/>
      <c r="KBA112" s="1370"/>
      <c r="KBB112" s="1370"/>
      <c r="KBC112" s="1370"/>
      <c r="KBD112" s="1370"/>
      <c r="KBE112" s="1370"/>
      <c r="KBF112" s="1370"/>
      <c r="KBG112" s="1370"/>
      <c r="KBH112" s="1370"/>
      <c r="KBI112" s="1370"/>
      <c r="KBJ112" s="1370"/>
      <c r="KBK112" s="1370"/>
      <c r="KBL112" s="1370"/>
      <c r="KBM112" s="1370"/>
      <c r="KBN112" s="1370"/>
      <c r="KBO112" s="1370"/>
      <c r="KBP112" s="1370"/>
      <c r="KBQ112" s="1370"/>
      <c r="KBR112" s="1370"/>
      <c r="KBS112" s="1370"/>
      <c r="KBT112" s="1370"/>
      <c r="KBU112" s="1370"/>
      <c r="KBV112" s="1370"/>
      <c r="KBW112" s="1370"/>
      <c r="KBX112" s="1370"/>
      <c r="KBY112" s="1370"/>
      <c r="KBZ112" s="1370"/>
      <c r="KCA112" s="1370"/>
      <c r="KCB112" s="1370"/>
      <c r="KCC112" s="1370"/>
      <c r="KCD112" s="1370"/>
      <c r="KCE112" s="1370"/>
      <c r="KCF112" s="1370"/>
      <c r="KCG112" s="1370"/>
      <c r="KCH112" s="1370"/>
      <c r="KCI112" s="1370"/>
      <c r="KCJ112" s="1370"/>
      <c r="KCK112" s="1370"/>
      <c r="KCL112" s="1370"/>
      <c r="KCM112" s="1370"/>
      <c r="KCN112" s="1370"/>
      <c r="KCO112" s="1370"/>
      <c r="KCP112" s="1370"/>
      <c r="KCQ112" s="1370"/>
      <c r="KCR112" s="1370"/>
      <c r="KCS112" s="1370"/>
      <c r="KCT112" s="1370"/>
      <c r="KCU112" s="1370"/>
      <c r="KCV112" s="1370"/>
      <c r="KCW112" s="1370"/>
      <c r="KCX112" s="1370"/>
      <c r="KCY112" s="1370"/>
      <c r="KCZ112" s="1370"/>
      <c r="KDA112" s="1370"/>
      <c r="KDB112" s="1370"/>
      <c r="KDC112" s="1370"/>
      <c r="KDD112" s="1370"/>
      <c r="KDE112" s="1370"/>
      <c r="KDF112" s="1370"/>
      <c r="KDG112" s="1370"/>
      <c r="KDH112" s="1370"/>
      <c r="KDI112" s="1370"/>
      <c r="KDJ112" s="1370"/>
      <c r="KDK112" s="1370"/>
      <c r="KDL112" s="1370"/>
      <c r="KDM112" s="1370"/>
      <c r="KDN112" s="1370"/>
      <c r="KDO112" s="1370"/>
      <c r="KDP112" s="1370"/>
      <c r="KDQ112" s="1370"/>
      <c r="KDR112" s="1370"/>
      <c r="KDS112" s="1370"/>
      <c r="KDT112" s="1370"/>
      <c r="KDU112" s="1370"/>
      <c r="KDV112" s="1370"/>
      <c r="KDW112" s="1370"/>
      <c r="KDX112" s="1370"/>
      <c r="KDY112" s="1370"/>
      <c r="KDZ112" s="1370"/>
      <c r="KEA112" s="1370"/>
      <c r="KEB112" s="1370"/>
      <c r="KEC112" s="1370"/>
      <c r="KED112" s="1370"/>
      <c r="KEE112" s="1370"/>
      <c r="KEF112" s="1370"/>
      <c r="KEG112" s="1370"/>
      <c r="KEH112" s="1370"/>
      <c r="KEI112" s="1370"/>
      <c r="KEJ112" s="1370"/>
      <c r="KEK112" s="1370"/>
      <c r="KEL112" s="1370"/>
      <c r="KEM112" s="1370"/>
      <c r="KEN112" s="1370"/>
      <c r="KEO112" s="1370"/>
      <c r="KEP112" s="1370"/>
      <c r="KEQ112" s="1370"/>
      <c r="KER112" s="1370"/>
      <c r="KES112" s="1370"/>
      <c r="KET112" s="1370"/>
      <c r="KEU112" s="1370"/>
      <c r="KEV112" s="1370"/>
      <c r="KEW112" s="1370"/>
      <c r="KEX112" s="1370"/>
      <c r="KEY112" s="1370"/>
      <c r="KEZ112" s="1370"/>
      <c r="KFA112" s="1370"/>
      <c r="KFB112" s="1370"/>
      <c r="KFC112" s="1370"/>
      <c r="KFD112" s="1370"/>
      <c r="KFE112" s="1370"/>
      <c r="KFF112" s="1370"/>
      <c r="KFG112" s="1370"/>
      <c r="KFH112" s="1370"/>
      <c r="KFI112" s="1370"/>
      <c r="KFJ112" s="1370"/>
      <c r="KFK112" s="1370"/>
      <c r="KFL112" s="1370"/>
      <c r="KFM112" s="1370"/>
      <c r="KFN112" s="1370"/>
      <c r="KFO112" s="1370"/>
      <c r="KFP112" s="1370"/>
      <c r="KFQ112" s="1370"/>
      <c r="KFR112" s="1370"/>
      <c r="KFS112" s="1370"/>
      <c r="KFT112" s="1370"/>
      <c r="KFU112" s="1370"/>
      <c r="KFV112" s="1370"/>
      <c r="KFW112" s="1370"/>
      <c r="KFX112" s="1370"/>
      <c r="KFY112" s="1370"/>
      <c r="KFZ112" s="1370"/>
      <c r="KGA112" s="1370"/>
      <c r="KGB112" s="1370"/>
      <c r="KGC112" s="1370"/>
      <c r="KGD112" s="1370"/>
      <c r="KGE112" s="1370"/>
      <c r="KGF112" s="1370"/>
      <c r="KGG112" s="1370"/>
      <c r="KGH112" s="1370"/>
      <c r="KGI112" s="1370"/>
      <c r="KGJ112" s="1370"/>
      <c r="KGK112" s="1370"/>
      <c r="KGL112" s="1370"/>
      <c r="KGM112" s="1370"/>
      <c r="KGN112" s="1370"/>
      <c r="KGO112" s="1370"/>
      <c r="KGP112" s="1370"/>
      <c r="KGQ112" s="1370"/>
      <c r="KGR112" s="1370"/>
      <c r="KGS112" s="1370"/>
      <c r="KGT112" s="1370"/>
      <c r="KGU112" s="1370"/>
      <c r="KGV112" s="1370"/>
      <c r="KGW112" s="1370"/>
      <c r="KGX112" s="1370"/>
      <c r="KGY112" s="1370"/>
      <c r="KGZ112" s="1370"/>
      <c r="KHA112" s="1370"/>
      <c r="KHB112" s="1370"/>
      <c r="KHC112" s="1370"/>
      <c r="KHD112" s="1370"/>
      <c r="KHE112" s="1370"/>
      <c r="KHF112" s="1370"/>
      <c r="KHG112" s="1370"/>
      <c r="KHH112" s="1370"/>
      <c r="KHI112" s="1370"/>
      <c r="KHJ112" s="1370"/>
      <c r="KHK112" s="1370"/>
      <c r="KHL112" s="1370"/>
      <c r="KHM112" s="1370"/>
      <c r="KHN112" s="1370"/>
      <c r="KHO112" s="1370"/>
      <c r="KHP112" s="1370"/>
      <c r="KHQ112" s="1370"/>
      <c r="KHR112" s="1370"/>
      <c r="KHS112" s="1370"/>
      <c r="KHT112" s="1370"/>
      <c r="KHU112" s="1370"/>
      <c r="KHV112" s="1370"/>
      <c r="KHW112" s="1370"/>
      <c r="KHX112" s="1370"/>
      <c r="KHY112" s="1370"/>
      <c r="KHZ112" s="1370"/>
      <c r="KIA112" s="1370"/>
      <c r="KIB112" s="1370"/>
      <c r="KIC112" s="1370"/>
      <c r="KID112" s="1370"/>
      <c r="KIE112" s="1370"/>
      <c r="KIF112" s="1370"/>
      <c r="KIG112" s="1370"/>
      <c r="KIH112" s="1370"/>
      <c r="KII112" s="1370"/>
      <c r="KIJ112" s="1370"/>
      <c r="KIK112" s="1370"/>
      <c r="KIL112" s="1370"/>
      <c r="KIM112" s="1370"/>
      <c r="KIN112" s="1370"/>
      <c r="KIO112" s="1370"/>
      <c r="KIP112" s="1370"/>
      <c r="KIQ112" s="1370"/>
      <c r="KIR112" s="1370"/>
      <c r="KIS112" s="1370"/>
      <c r="KIT112" s="1370"/>
      <c r="KIU112" s="1370"/>
      <c r="KIV112" s="1370"/>
      <c r="KIW112" s="1370"/>
      <c r="KIX112" s="1370"/>
      <c r="KIY112" s="1370"/>
      <c r="KIZ112" s="1370"/>
      <c r="KJA112" s="1370"/>
      <c r="KJB112" s="1370"/>
      <c r="KJC112" s="1370"/>
      <c r="KJD112" s="1370"/>
      <c r="KJE112" s="1370"/>
      <c r="KJF112" s="1370"/>
      <c r="KJG112" s="1370"/>
      <c r="KJH112" s="1370"/>
      <c r="KJI112" s="1370"/>
      <c r="KJJ112" s="1370"/>
      <c r="KJK112" s="1370"/>
      <c r="KJL112" s="1370"/>
      <c r="KJM112" s="1370"/>
      <c r="KJN112" s="1370"/>
      <c r="KJO112" s="1370"/>
      <c r="KJP112" s="1370"/>
      <c r="KJQ112" s="1370"/>
      <c r="KJR112" s="1370"/>
      <c r="KJS112" s="1370"/>
      <c r="KJT112" s="1370"/>
      <c r="KJU112" s="1370"/>
      <c r="KJV112" s="1370"/>
      <c r="KJW112" s="1370"/>
      <c r="KJX112" s="1370"/>
      <c r="KJY112" s="1370"/>
      <c r="KJZ112" s="1370"/>
      <c r="KKA112" s="1370"/>
      <c r="KKB112" s="1370"/>
      <c r="KKC112" s="1370"/>
      <c r="KKD112" s="1370"/>
      <c r="KKE112" s="1370"/>
      <c r="KKF112" s="1370"/>
      <c r="KKG112" s="1370"/>
      <c r="KKH112" s="1370"/>
      <c r="KKI112" s="1370"/>
      <c r="KKJ112" s="1370"/>
      <c r="KKK112" s="1370"/>
      <c r="KKL112" s="1370"/>
      <c r="KKM112" s="1370"/>
      <c r="KKN112" s="1370"/>
      <c r="KKO112" s="1370"/>
      <c r="KKP112" s="1370"/>
      <c r="KKQ112" s="1370"/>
      <c r="KKR112" s="1370"/>
      <c r="KKS112" s="1370"/>
      <c r="KKT112" s="1370"/>
      <c r="KKU112" s="1370"/>
      <c r="KKV112" s="1370"/>
      <c r="KKW112" s="1370"/>
      <c r="KKX112" s="1370"/>
      <c r="KKY112" s="1370"/>
      <c r="KKZ112" s="1370"/>
      <c r="KLA112" s="1370"/>
      <c r="KLB112" s="1370"/>
      <c r="KLC112" s="1370"/>
      <c r="KLD112" s="1370"/>
      <c r="KLE112" s="1370"/>
      <c r="KLF112" s="1370"/>
      <c r="KLG112" s="1370"/>
      <c r="KLH112" s="1370"/>
      <c r="KLI112" s="1370"/>
      <c r="KLJ112" s="1370"/>
      <c r="KLK112" s="1370"/>
      <c r="KLL112" s="1370"/>
      <c r="KLM112" s="1370"/>
      <c r="KLN112" s="1370"/>
      <c r="KLO112" s="1370"/>
      <c r="KLP112" s="1370"/>
      <c r="KLQ112" s="1370"/>
      <c r="KLR112" s="1370"/>
      <c r="KLS112" s="1370"/>
      <c r="KLT112" s="1370"/>
      <c r="KLU112" s="1370"/>
      <c r="KLV112" s="1370"/>
      <c r="KLW112" s="1370"/>
      <c r="KLX112" s="1370"/>
      <c r="KLY112" s="1370"/>
      <c r="KLZ112" s="1370"/>
      <c r="KMA112" s="1370"/>
      <c r="KMB112" s="1370"/>
      <c r="KMC112" s="1370"/>
      <c r="KMD112" s="1370"/>
      <c r="KME112" s="1370"/>
      <c r="KMF112" s="1370"/>
      <c r="KMG112" s="1370"/>
      <c r="KMH112" s="1370"/>
      <c r="KMI112" s="1370"/>
      <c r="KMJ112" s="1370"/>
      <c r="KMK112" s="1370"/>
      <c r="KML112" s="1370"/>
      <c r="KMM112" s="1370"/>
      <c r="KMN112" s="1370"/>
      <c r="KMO112" s="1370"/>
      <c r="KMP112" s="1370"/>
      <c r="KMQ112" s="1370"/>
      <c r="KMR112" s="1370"/>
      <c r="KMS112" s="1370"/>
      <c r="KMT112" s="1370"/>
      <c r="KMU112" s="1370"/>
      <c r="KMV112" s="1370"/>
      <c r="KMW112" s="1370"/>
      <c r="KMX112" s="1370"/>
      <c r="KMY112" s="1370"/>
      <c r="KMZ112" s="1370"/>
      <c r="KNA112" s="1370"/>
      <c r="KNB112" s="1370"/>
      <c r="KNC112" s="1370"/>
      <c r="KND112" s="1370"/>
      <c r="KNE112" s="1370"/>
      <c r="KNF112" s="1370"/>
      <c r="KNG112" s="1370"/>
      <c r="KNH112" s="1370"/>
      <c r="KNI112" s="1370"/>
      <c r="KNJ112" s="1370"/>
      <c r="KNK112" s="1370"/>
      <c r="KNL112" s="1370"/>
      <c r="KNM112" s="1370"/>
      <c r="KNN112" s="1370"/>
      <c r="KNO112" s="1370"/>
      <c r="KNP112" s="1370"/>
      <c r="KNQ112" s="1370"/>
      <c r="KNR112" s="1370"/>
      <c r="KNS112" s="1370"/>
      <c r="KNT112" s="1370"/>
      <c r="KNU112" s="1370"/>
      <c r="KNV112" s="1370"/>
      <c r="KNW112" s="1370"/>
      <c r="KNX112" s="1370"/>
      <c r="KNY112" s="1370"/>
      <c r="KNZ112" s="1370"/>
      <c r="KOA112" s="1370"/>
      <c r="KOB112" s="1370"/>
      <c r="KOC112" s="1370"/>
      <c r="KOD112" s="1370"/>
      <c r="KOE112" s="1370"/>
      <c r="KOF112" s="1370"/>
      <c r="KOG112" s="1370"/>
      <c r="KOH112" s="1370"/>
      <c r="KOI112" s="1370"/>
      <c r="KOJ112" s="1370"/>
      <c r="KOK112" s="1370"/>
      <c r="KOL112" s="1370"/>
      <c r="KOM112" s="1370"/>
      <c r="KON112" s="1370"/>
      <c r="KOO112" s="1370"/>
      <c r="KOP112" s="1370"/>
      <c r="KOQ112" s="1370"/>
      <c r="KOR112" s="1370"/>
      <c r="KOS112" s="1370"/>
      <c r="KOT112" s="1370"/>
      <c r="KOU112" s="1370"/>
      <c r="KOV112" s="1370"/>
      <c r="KOW112" s="1370"/>
      <c r="KOX112" s="1370"/>
      <c r="KOY112" s="1370"/>
      <c r="KOZ112" s="1370"/>
      <c r="KPA112" s="1370"/>
      <c r="KPB112" s="1370"/>
      <c r="KPC112" s="1370"/>
      <c r="KPD112" s="1370"/>
      <c r="KPE112" s="1370"/>
      <c r="KPF112" s="1370"/>
      <c r="KPG112" s="1370"/>
      <c r="KPH112" s="1370"/>
      <c r="KPI112" s="1370"/>
      <c r="KPJ112" s="1370"/>
      <c r="KPK112" s="1370"/>
      <c r="KPL112" s="1370"/>
      <c r="KPM112" s="1370"/>
      <c r="KPN112" s="1370"/>
      <c r="KPO112" s="1370"/>
      <c r="KPP112" s="1370"/>
      <c r="KPQ112" s="1370"/>
      <c r="KPR112" s="1370"/>
      <c r="KPS112" s="1370"/>
      <c r="KPT112" s="1370"/>
      <c r="KPU112" s="1370"/>
      <c r="KPV112" s="1370"/>
      <c r="KPW112" s="1370"/>
      <c r="KPX112" s="1370"/>
      <c r="KPY112" s="1370"/>
      <c r="KPZ112" s="1370"/>
      <c r="KQA112" s="1370"/>
      <c r="KQB112" s="1370"/>
      <c r="KQC112" s="1370"/>
      <c r="KQD112" s="1370"/>
      <c r="KQE112" s="1370"/>
      <c r="KQF112" s="1370"/>
      <c r="KQG112" s="1370"/>
      <c r="KQH112" s="1370"/>
      <c r="KQI112" s="1370"/>
      <c r="KQJ112" s="1370"/>
      <c r="KQK112" s="1370"/>
      <c r="KQL112" s="1370"/>
      <c r="KQM112" s="1370"/>
      <c r="KQN112" s="1370"/>
      <c r="KQO112" s="1370"/>
      <c r="KQP112" s="1370"/>
      <c r="KQQ112" s="1370"/>
      <c r="KQR112" s="1370"/>
      <c r="KQS112" s="1370"/>
      <c r="KQT112" s="1370"/>
      <c r="KQU112" s="1370"/>
      <c r="KQV112" s="1370"/>
      <c r="KQW112" s="1370"/>
      <c r="KQX112" s="1370"/>
      <c r="KQY112" s="1370"/>
      <c r="KQZ112" s="1370"/>
      <c r="KRA112" s="1370"/>
      <c r="KRB112" s="1370"/>
      <c r="KRC112" s="1370"/>
      <c r="KRD112" s="1370"/>
      <c r="KRE112" s="1370"/>
      <c r="KRF112" s="1370"/>
      <c r="KRG112" s="1370"/>
      <c r="KRH112" s="1370"/>
      <c r="KRI112" s="1370"/>
      <c r="KRJ112" s="1370"/>
      <c r="KRK112" s="1370"/>
      <c r="KRL112" s="1370"/>
      <c r="KRM112" s="1370"/>
      <c r="KRN112" s="1370"/>
      <c r="KRO112" s="1370"/>
      <c r="KRP112" s="1370"/>
      <c r="KRQ112" s="1370"/>
      <c r="KRR112" s="1370"/>
      <c r="KRS112" s="1370"/>
      <c r="KRT112" s="1370"/>
      <c r="KRU112" s="1370"/>
      <c r="KRV112" s="1370"/>
      <c r="KRW112" s="1370"/>
      <c r="KRX112" s="1370"/>
      <c r="KRY112" s="1370"/>
      <c r="KRZ112" s="1370"/>
      <c r="KSA112" s="1370"/>
      <c r="KSB112" s="1370"/>
      <c r="KSC112" s="1370"/>
      <c r="KSD112" s="1370"/>
      <c r="KSE112" s="1370"/>
      <c r="KSF112" s="1370"/>
      <c r="KSG112" s="1370"/>
      <c r="KSH112" s="1370"/>
      <c r="KSI112" s="1370"/>
      <c r="KSJ112" s="1370"/>
      <c r="KSK112" s="1370"/>
      <c r="KSL112" s="1370"/>
      <c r="KSM112" s="1370"/>
      <c r="KSN112" s="1370"/>
      <c r="KSO112" s="1370"/>
      <c r="KSP112" s="1370"/>
      <c r="KSQ112" s="1370"/>
      <c r="KSR112" s="1370"/>
      <c r="KSS112" s="1370"/>
      <c r="KST112" s="1370"/>
      <c r="KSU112" s="1370"/>
      <c r="KSV112" s="1370"/>
      <c r="KSW112" s="1370"/>
      <c r="KSX112" s="1370"/>
      <c r="KSY112" s="1370"/>
      <c r="KSZ112" s="1370"/>
      <c r="KTA112" s="1370"/>
      <c r="KTB112" s="1370"/>
      <c r="KTC112" s="1370"/>
      <c r="KTD112" s="1370"/>
      <c r="KTE112" s="1370"/>
      <c r="KTF112" s="1370"/>
      <c r="KTG112" s="1370"/>
      <c r="KTH112" s="1370"/>
      <c r="KTI112" s="1370"/>
      <c r="KTJ112" s="1370"/>
      <c r="KTK112" s="1370"/>
      <c r="KTL112" s="1370"/>
      <c r="KTM112" s="1370"/>
      <c r="KTN112" s="1370"/>
      <c r="KTO112" s="1370"/>
      <c r="KTP112" s="1370"/>
      <c r="KTQ112" s="1370"/>
      <c r="KTR112" s="1370"/>
      <c r="KTS112" s="1370"/>
      <c r="KTT112" s="1370"/>
      <c r="KTU112" s="1370"/>
      <c r="KTV112" s="1370"/>
      <c r="KTW112" s="1370"/>
      <c r="KTX112" s="1370"/>
      <c r="KTY112" s="1370"/>
      <c r="KTZ112" s="1370"/>
      <c r="KUA112" s="1370"/>
      <c r="KUB112" s="1370"/>
      <c r="KUC112" s="1370"/>
      <c r="KUD112" s="1370"/>
      <c r="KUE112" s="1370"/>
      <c r="KUF112" s="1370"/>
      <c r="KUG112" s="1370"/>
      <c r="KUH112" s="1370"/>
      <c r="KUI112" s="1370"/>
      <c r="KUJ112" s="1370"/>
      <c r="KUK112" s="1370"/>
      <c r="KUL112" s="1370"/>
      <c r="KUM112" s="1370"/>
      <c r="KUN112" s="1370"/>
      <c r="KUO112" s="1370"/>
      <c r="KUP112" s="1370"/>
      <c r="KUQ112" s="1370"/>
      <c r="KUR112" s="1370"/>
      <c r="KUS112" s="1370"/>
      <c r="KUT112" s="1370"/>
      <c r="KUU112" s="1370"/>
      <c r="KUV112" s="1370"/>
      <c r="KUW112" s="1370"/>
      <c r="KUX112" s="1370"/>
      <c r="KUY112" s="1370"/>
      <c r="KUZ112" s="1370"/>
      <c r="KVA112" s="1370"/>
      <c r="KVB112" s="1370"/>
      <c r="KVC112" s="1370"/>
      <c r="KVD112" s="1370"/>
      <c r="KVE112" s="1370"/>
      <c r="KVF112" s="1370"/>
      <c r="KVG112" s="1370"/>
      <c r="KVH112" s="1370"/>
      <c r="KVI112" s="1370"/>
      <c r="KVJ112" s="1370"/>
      <c r="KVK112" s="1370"/>
      <c r="KVL112" s="1370"/>
      <c r="KVM112" s="1370"/>
      <c r="KVN112" s="1370"/>
      <c r="KVO112" s="1370"/>
      <c r="KVP112" s="1370"/>
      <c r="KVQ112" s="1370"/>
      <c r="KVR112" s="1370"/>
      <c r="KVS112" s="1370"/>
      <c r="KVT112" s="1370"/>
      <c r="KVU112" s="1370"/>
      <c r="KVV112" s="1370"/>
      <c r="KVW112" s="1370"/>
      <c r="KVX112" s="1370"/>
      <c r="KVY112" s="1370"/>
      <c r="KVZ112" s="1370"/>
      <c r="KWA112" s="1370"/>
      <c r="KWB112" s="1370"/>
      <c r="KWC112" s="1370"/>
      <c r="KWD112" s="1370"/>
      <c r="KWE112" s="1370"/>
      <c r="KWF112" s="1370"/>
      <c r="KWG112" s="1370"/>
      <c r="KWH112" s="1370"/>
      <c r="KWI112" s="1370"/>
      <c r="KWJ112" s="1370"/>
      <c r="KWK112" s="1370"/>
      <c r="KWL112" s="1370"/>
      <c r="KWM112" s="1370"/>
      <c r="KWN112" s="1370"/>
      <c r="KWO112" s="1370"/>
      <c r="KWP112" s="1370"/>
      <c r="KWQ112" s="1370"/>
      <c r="KWR112" s="1370"/>
      <c r="KWS112" s="1370"/>
      <c r="KWT112" s="1370"/>
      <c r="KWU112" s="1370"/>
      <c r="KWV112" s="1370"/>
      <c r="KWW112" s="1370"/>
      <c r="KWX112" s="1370"/>
      <c r="KWY112" s="1370"/>
      <c r="KWZ112" s="1370"/>
      <c r="KXA112" s="1370"/>
      <c r="KXB112" s="1370"/>
      <c r="KXC112" s="1370"/>
      <c r="KXD112" s="1370"/>
      <c r="KXE112" s="1370"/>
      <c r="KXF112" s="1370"/>
      <c r="KXG112" s="1370"/>
      <c r="KXH112" s="1370"/>
      <c r="KXI112" s="1370"/>
      <c r="KXJ112" s="1370"/>
      <c r="KXK112" s="1370"/>
      <c r="KXL112" s="1370"/>
      <c r="KXM112" s="1370"/>
      <c r="KXN112" s="1370"/>
      <c r="KXO112" s="1370"/>
      <c r="KXP112" s="1370"/>
      <c r="KXQ112" s="1370"/>
      <c r="KXR112" s="1370"/>
      <c r="KXS112" s="1370"/>
      <c r="KXT112" s="1370"/>
      <c r="KXU112" s="1370"/>
      <c r="KXV112" s="1370"/>
      <c r="KXW112" s="1370"/>
      <c r="KXX112" s="1370"/>
      <c r="KXY112" s="1370"/>
      <c r="KXZ112" s="1370"/>
      <c r="KYA112" s="1370"/>
      <c r="KYB112" s="1370"/>
      <c r="KYC112" s="1370"/>
      <c r="KYD112" s="1370"/>
      <c r="KYE112" s="1370"/>
      <c r="KYF112" s="1370"/>
      <c r="KYG112" s="1370"/>
      <c r="KYH112" s="1370"/>
      <c r="KYI112" s="1370"/>
      <c r="KYJ112" s="1370"/>
      <c r="KYK112" s="1370"/>
      <c r="KYL112" s="1370"/>
      <c r="KYM112" s="1370"/>
      <c r="KYN112" s="1370"/>
      <c r="KYO112" s="1370"/>
      <c r="KYP112" s="1370"/>
      <c r="KYQ112" s="1370"/>
      <c r="KYR112" s="1370"/>
      <c r="KYS112" s="1370"/>
      <c r="KYT112" s="1370"/>
      <c r="KYU112" s="1370"/>
      <c r="KYV112" s="1370"/>
      <c r="KYW112" s="1370"/>
      <c r="KYX112" s="1370"/>
      <c r="KYY112" s="1370"/>
      <c r="KYZ112" s="1370"/>
      <c r="KZA112" s="1370"/>
      <c r="KZB112" s="1370"/>
      <c r="KZC112" s="1370"/>
      <c r="KZD112" s="1370"/>
      <c r="KZE112" s="1370"/>
      <c r="KZF112" s="1370"/>
      <c r="KZG112" s="1370"/>
      <c r="KZH112" s="1370"/>
      <c r="KZI112" s="1370"/>
      <c r="KZJ112" s="1370"/>
      <c r="KZK112" s="1370"/>
      <c r="KZL112" s="1370"/>
      <c r="KZM112" s="1370"/>
      <c r="KZN112" s="1370"/>
      <c r="KZO112" s="1370"/>
      <c r="KZP112" s="1370"/>
      <c r="KZQ112" s="1370"/>
      <c r="KZR112" s="1370"/>
      <c r="KZS112" s="1370"/>
      <c r="KZT112" s="1370"/>
      <c r="KZU112" s="1370"/>
      <c r="KZV112" s="1370"/>
      <c r="KZW112" s="1370"/>
      <c r="KZX112" s="1370"/>
      <c r="KZY112" s="1370"/>
      <c r="KZZ112" s="1370"/>
      <c r="LAA112" s="1370"/>
      <c r="LAB112" s="1370"/>
      <c r="LAC112" s="1370"/>
      <c r="LAD112" s="1370"/>
      <c r="LAE112" s="1370"/>
      <c r="LAF112" s="1370"/>
      <c r="LAG112" s="1370"/>
      <c r="LAH112" s="1370"/>
      <c r="LAI112" s="1370"/>
      <c r="LAJ112" s="1370"/>
      <c r="LAK112" s="1370"/>
      <c r="LAL112" s="1370"/>
      <c r="LAM112" s="1370"/>
      <c r="LAN112" s="1370"/>
      <c r="LAO112" s="1370"/>
      <c r="LAP112" s="1370"/>
      <c r="LAQ112" s="1370"/>
      <c r="LAR112" s="1370"/>
      <c r="LAS112" s="1370"/>
      <c r="LAT112" s="1370"/>
      <c r="LAU112" s="1370"/>
      <c r="LAV112" s="1370"/>
      <c r="LAW112" s="1370"/>
      <c r="LAX112" s="1370"/>
      <c r="LAY112" s="1370"/>
      <c r="LAZ112" s="1370"/>
      <c r="LBA112" s="1370"/>
      <c r="LBB112" s="1370"/>
      <c r="LBC112" s="1370"/>
      <c r="LBD112" s="1370"/>
      <c r="LBE112" s="1370"/>
      <c r="LBF112" s="1370"/>
      <c r="LBG112" s="1370"/>
      <c r="LBH112" s="1370"/>
      <c r="LBI112" s="1370"/>
      <c r="LBJ112" s="1370"/>
      <c r="LBK112" s="1370"/>
      <c r="LBL112" s="1370"/>
      <c r="LBM112" s="1370"/>
      <c r="LBN112" s="1370"/>
      <c r="LBO112" s="1370"/>
      <c r="LBP112" s="1370"/>
      <c r="LBQ112" s="1370"/>
      <c r="LBR112" s="1370"/>
      <c r="LBS112" s="1370"/>
      <c r="LBT112" s="1370"/>
      <c r="LBU112" s="1370"/>
      <c r="LBV112" s="1370"/>
      <c r="LBW112" s="1370"/>
      <c r="LBX112" s="1370"/>
      <c r="LBY112" s="1370"/>
      <c r="LBZ112" s="1370"/>
      <c r="LCA112" s="1370"/>
      <c r="LCB112" s="1370"/>
      <c r="LCC112" s="1370"/>
      <c r="LCD112" s="1370"/>
      <c r="LCE112" s="1370"/>
      <c r="LCF112" s="1370"/>
      <c r="LCG112" s="1370"/>
      <c r="LCH112" s="1370"/>
      <c r="LCI112" s="1370"/>
      <c r="LCJ112" s="1370"/>
      <c r="LCK112" s="1370"/>
      <c r="LCL112" s="1370"/>
      <c r="LCM112" s="1370"/>
      <c r="LCN112" s="1370"/>
      <c r="LCO112" s="1370"/>
      <c r="LCP112" s="1370"/>
      <c r="LCQ112" s="1370"/>
      <c r="LCR112" s="1370"/>
      <c r="LCS112" s="1370"/>
      <c r="LCT112" s="1370"/>
      <c r="LCU112" s="1370"/>
      <c r="LCV112" s="1370"/>
      <c r="LCW112" s="1370"/>
      <c r="LCX112" s="1370"/>
      <c r="LCY112" s="1370"/>
      <c r="LCZ112" s="1370"/>
      <c r="LDA112" s="1370"/>
      <c r="LDB112" s="1370"/>
      <c r="LDC112" s="1370"/>
      <c r="LDD112" s="1370"/>
      <c r="LDE112" s="1370"/>
      <c r="LDF112" s="1370"/>
      <c r="LDG112" s="1370"/>
      <c r="LDH112" s="1370"/>
      <c r="LDI112" s="1370"/>
      <c r="LDJ112" s="1370"/>
      <c r="LDK112" s="1370"/>
      <c r="LDL112" s="1370"/>
      <c r="LDM112" s="1370"/>
      <c r="LDN112" s="1370"/>
      <c r="LDO112" s="1370"/>
      <c r="LDP112" s="1370"/>
      <c r="LDQ112" s="1370"/>
      <c r="LDR112" s="1370"/>
      <c r="LDS112" s="1370"/>
      <c r="LDT112" s="1370"/>
      <c r="LDU112" s="1370"/>
      <c r="LDV112" s="1370"/>
      <c r="LDW112" s="1370"/>
      <c r="LDX112" s="1370"/>
      <c r="LDY112" s="1370"/>
      <c r="LDZ112" s="1370"/>
      <c r="LEA112" s="1370"/>
      <c r="LEB112" s="1370"/>
      <c r="LEC112" s="1370"/>
      <c r="LED112" s="1370"/>
      <c r="LEE112" s="1370"/>
      <c r="LEF112" s="1370"/>
      <c r="LEG112" s="1370"/>
      <c r="LEH112" s="1370"/>
      <c r="LEI112" s="1370"/>
      <c r="LEJ112" s="1370"/>
      <c r="LEK112" s="1370"/>
      <c r="LEL112" s="1370"/>
      <c r="LEM112" s="1370"/>
      <c r="LEN112" s="1370"/>
      <c r="LEO112" s="1370"/>
      <c r="LEP112" s="1370"/>
      <c r="LEQ112" s="1370"/>
      <c r="LER112" s="1370"/>
      <c r="LES112" s="1370"/>
      <c r="LET112" s="1370"/>
      <c r="LEU112" s="1370"/>
      <c r="LEV112" s="1370"/>
      <c r="LEW112" s="1370"/>
      <c r="LEX112" s="1370"/>
      <c r="LEY112" s="1370"/>
      <c r="LEZ112" s="1370"/>
      <c r="LFA112" s="1370"/>
      <c r="LFB112" s="1370"/>
      <c r="LFC112" s="1370"/>
      <c r="LFD112" s="1370"/>
      <c r="LFE112" s="1370"/>
      <c r="LFF112" s="1370"/>
      <c r="LFG112" s="1370"/>
      <c r="LFH112" s="1370"/>
      <c r="LFI112" s="1370"/>
      <c r="LFJ112" s="1370"/>
      <c r="LFK112" s="1370"/>
      <c r="LFL112" s="1370"/>
      <c r="LFM112" s="1370"/>
      <c r="LFN112" s="1370"/>
      <c r="LFO112" s="1370"/>
      <c r="LFP112" s="1370"/>
      <c r="LFQ112" s="1370"/>
      <c r="LFR112" s="1370"/>
      <c r="LFS112" s="1370"/>
      <c r="LFT112" s="1370"/>
      <c r="LFU112" s="1370"/>
      <c r="LFV112" s="1370"/>
      <c r="LFW112" s="1370"/>
      <c r="LFX112" s="1370"/>
      <c r="LFY112" s="1370"/>
      <c r="LFZ112" s="1370"/>
      <c r="LGA112" s="1370"/>
      <c r="LGB112" s="1370"/>
      <c r="LGC112" s="1370"/>
      <c r="LGD112" s="1370"/>
      <c r="LGE112" s="1370"/>
      <c r="LGF112" s="1370"/>
      <c r="LGG112" s="1370"/>
      <c r="LGH112" s="1370"/>
      <c r="LGI112" s="1370"/>
      <c r="LGJ112" s="1370"/>
      <c r="LGK112" s="1370"/>
      <c r="LGL112" s="1370"/>
      <c r="LGM112" s="1370"/>
      <c r="LGN112" s="1370"/>
      <c r="LGO112" s="1370"/>
      <c r="LGP112" s="1370"/>
      <c r="LGQ112" s="1370"/>
      <c r="LGR112" s="1370"/>
      <c r="LGS112" s="1370"/>
      <c r="LGT112" s="1370"/>
      <c r="LGU112" s="1370"/>
      <c r="LGV112" s="1370"/>
      <c r="LGW112" s="1370"/>
      <c r="LGX112" s="1370"/>
      <c r="LGY112" s="1370"/>
      <c r="LGZ112" s="1370"/>
      <c r="LHA112" s="1370"/>
      <c r="LHB112" s="1370"/>
      <c r="LHC112" s="1370"/>
      <c r="LHD112" s="1370"/>
      <c r="LHE112" s="1370"/>
      <c r="LHF112" s="1370"/>
      <c r="LHG112" s="1370"/>
      <c r="LHH112" s="1370"/>
      <c r="LHI112" s="1370"/>
      <c r="LHJ112" s="1370"/>
      <c r="LHK112" s="1370"/>
      <c r="LHL112" s="1370"/>
      <c r="LHM112" s="1370"/>
      <c r="LHN112" s="1370"/>
      <c r="LHO112" s="1370"/>
      <c r="LHP112" s="1370"/>
      <c r="LHQ112" s="1370"/>
      <c r="LHR112" s="1370"/>
      <c r="LHS112" s="1370"/>
      <c r="LHT112" s="1370"/>
      <c r="LHU112" s="1370"/>
      <c r="LHV112" s="1370"/>
      <c r="LHW112" s="1370"/>
      <c r="LHX112" s="1370"/>
      <c r="LHY112" s="1370"/>
      <c r="LHZ112" s="1370"/>
      <c r="LIA112" s="1370"/>
      <c r="LIB112" s="1370"/>
      <c r="LIC112" s="1370"/>
      <c r="LID112" s="1370"/>
      <c r="LIE112" s="1370"/>
      <c r="LIF112" s="1370"/>
      <c r="LIG112" s="1370"/>
      <c r="LIH112" s="1370"/>
      <c r="LII112" s="1370"/>
      <c r="LIJ112" s="1370"/>
      <c r="LIK112" s="1370"/>
      <c r="LIL112" s="1370"/>
      <c r="LIM112" s="1370"/>
      <c r="LIN112" s="1370"/>
      <c r="LIO112" s="1370"/>
      <c r="LIP112" s="1370"/>
      <c r="LIQ112" s="1370"/>
      <c r="LIR112" s="1370"/>
      <c r="LIS112" s="1370"/>
      <c r="LIT112" s="1370"/>
      <c r="LIU112" s="1370"/>
      <c r="LIV112" s="1370"/>
      <c r="LIW112" s="1370"/>
      <c r="LIX112" s="1370"/>
      <c r="LIY112" s="1370"/>
      <c r="LIZ112" s="1370"/>
      <c r="LJA112" s="1370"/>
      <c r="LJB112" s="1370"/>
      <c r="LJC112" s="1370"/>
      <c r="LJD112" s="1370"/>
      <c r="LJE112" s="1370"/>
      <c r="LJF112" s="1370"/>
      <c r="LJG112" s="1370"/>
      <c r="LJH112" s="1370"/>
      <c r="LJI112" s="1370"/>
      <c r="LJJ112" s="1370"/>
      <c r="LJK112" s="1370"/>
      <c r="LJL112" s="1370"/>
      <c r="LJM112" s="1370"/>
      <c r="LJN112" s="1370"/>
      <c r="LJO112" s="1370"/>
      <c r="LJP112" s="1370"/>
      <c r="LJQ112" s="1370"/>
      <c r="LJR112" s="1370"/>
      <c r="LJS112" s="1370"/>
      <c r="LJT112" s="1370"/>
      <c r="LJU112" s="1370"/>
      <c r="LJV112" s="1370"/>
      <c r="LJW112" s="1370"/>
      <c r="LJX112" s="1370"/>
      <c r="LJY112" s="1370"/>
      <c r="LJZ112" s="1370"/>
      <c r="LKA112" s="1370"/>
      <c r="LKB112" s="1370"/>
      <c r="LKC112" s="1370"/>
      <c r="LKD112" s="1370"/>
      <c r="LKE112" s="1370"/>
      <c r="LKF112" s="1370"/>
      <c r="LKG112" s="1370"/>
      <c r="LKH112" s="1370"/>
      <c r="LKI112" s="1370"/>
      <c r="LKJ112" s="1370"/>
      <c r="LKK112" s="1370"/>
      <c r="LKL112" s="1370"/>
      <c r="LKM112" s="1370"/>
      <c r="LKN112" s="1370"/>
      <c r="LKO112" s="1370"/>
      <c r="LKP112" s="1370"/>
      <c r="LKQ112" s="1370"/>
      <c r="LKR112" s="1370"/>
      <c r="LKS112" s="1370"/>
      <c r="LKT112" s="1370"/>
      <c r="LKU112" s="1370"/>
      <c r="LKV112" s="1370"/>
      <c r="LKW112" s="1370"/>
      <c r="LKX112" s="1370"/>
      <c r="LKY112" s="1370"/>
      <c r="LKZ112" s="1370"/>
      <c r="LLA112" s="1370"/>
      <c r="LLB112" s="1370"/>
      <c r="LLC112" s="1370"/>
      <c r="LLD112" s="1370"/>
      <c r="LLE112" s="1370"/>
      <c r="LLF112" s="1370"/>
      <c r="LLG112" s="1370"/>
      <c r="LLH112" s="1370"/>
      <c r="LLI112" s="1370"/>
      <c r="LLJ112" s="1370"/>
      <c r="LLK112" s="1370"/>
      <c r="LLL112" s="1370"/>
      <c r="LLM112" s="1370"/>
      <c r="LLN112" s="1370"/>
      <c r="LLO112" s="1370"/>
      <c r="LLP112" s="1370"/>
      <c r="LLQ112" s="1370"/>
      <c r="LLR112" s="1370"/>
      <c r="LLS112" s="1370"/>
      <c r="LLT112" s="1370"/>
      <c r="LLU112" s="1370"/>
      <c r="LLV112" s="1370"/>
      <c r="LLW112" s="1370"/>
      <c r="LLX112" s="1370"/>
      <c r="LLY112" s="1370"/>
      <c r="LLZ112" s="1370"/>
      <c r="LMA112" s="1370"/>
      <c r="LMB112" s="1370"/>
      <c r="LMC112" s="1370"/>
      <c r="LMD112" s="1370"/>
      <c r="LME112" s="1370"/>
      <c r="LMF112" s="1370"/>
      <c r="LMG112" s="1370"/>
      <c r="LMH112" s="1370"/>
      <c r="LMI112" s="1370"/>
      <c r="LMJ112" s="1370"/>
      <c r="LMK112" s="1370"/>
      <c r="LML112" s="1370"/>
      <c r="LMM112" s="1370"/>
      <c r="LMN112" s="1370"/>
      <c r="LMO112" s="1370"/>
      <c r="LMP112" s="1370"/>
      <c r="LMQ112" s="1370"/>
      <c r="LMR112" s="1370"/>
      <c r="LMS112" s="1370"/>
      <c r="LMT112" s="1370"/>
      <c r="LMU112" s="1370"/>
      <c r="LMV112" s="1370"/>
      <c r="LMW112" s="1370"/>
      <c r="LMX112" s="1370"/>
      <c r="LMY112" s="1370"/>
      <c r="LMZ112" s="1370"/>
      <c r="LNA112" s="1370"/>
      <c r="LNB112" s="1370"/>
      <c r="LNC112" s="1370"/>
      <c r="LND112" s="1370"/>
      <c r="LNE112" s="1370"/>
      <c r="LNF112" s="1370"/>
      <c r="LNG112" s="1370"/>
      <c r="LNH112" s="1370"/>
      <c r="LNI112" s="1370"/>
      <c r="LNJ112" s="1370"/>
      <c r="LNK112" s="1370"/>
      <c r="LNL112" s="1370"/>
      <c r="LNM112" s="1370"/>
      <c r="LNN112" s="1370"/>
      <c r="LNO112" s="1370"/>
      <c r="LNP112" s="1370"/>
      <c r="LNQ112" s="1370"/>
      <c r="LNR112" s="1370"/>
      <c r="LNS112" s="1370"/>
      <c r="LNT112" s="1370"/>
      <c r="LNU112" s="1370"/>
      <c r="LNV112" s="1370"/>
      <c r="LNW112" s="1370"/>
      <c r="LNX112" s="1370"/>
      <c r="LNY112" s="1370"/>
      <c r="LNZ112" s="1370"/>
      <c r="LOA112" s="1370"/>
      <c r="LOB112" s="1370"/>
      <c r="LOC112" s="1370"/>
      <c r="LOD112" s="1370"/>
      <c r="LOE112" s="1370"/>
      <c r="LOF112" s="1370"/>
      <c r="LOG112" s="1370"/>
      <c r="LOH112" s="1370"/>
      <c r="LOI112" s="1370"/>
      <c r="LOJ112" s="1370"/>
      <c r="LOK112" s="1370"/>
      <c r="LOL112" s="1370"/>
      <c r="LOM112" s="1370"/>
      <c r="LON112" s="1370"/>
      <c r="LOO112" s="1370"/>
      <c r="LOP112" s="1370"/>
      <c r="LOQ112" s="1370"/>
      <c r="LOR112" s="1370"/>
      <c r="LOS112" s="1370"/>
      <c r="LOT112" s="1370"/>
      <c r="LOU112" s="1370"/>
      <c r="LOV112" s="1370"/>
      <c r="LOW112" s="1370"/>
      <c r="LOX112" s="1370"/>
      <c r="LOY112" s="1370"/>
      <c r="LOZ112" s="1370"/>
      <c r="LPA112" s="1370"/>
      <c r="LPB112" s="1370"/>
      <c r="LPC112" s="1370"/>
      <c r="LPD112" s="1370"/>
      <c r="LPE112" s="1370"/>
      <c r="LPF112" s="1370"/>
      <c r="LPG112" s="1370"/>
      <c r="LPH112" s="1370"/>
      <c r="LPI112" s="1370"/>
      <c r="LPJ112" s="1370"/>
      <c r="LPK112" s="1370"/>
      <c r="LPL112" s="1370"/>
      <c r="LPM112" s="1370"/>
      <c r="LPN112" s="1370"/>
      <c r="LPO112" s="1370"/>
      <c r="LPP112" s="1370"/>
      <c r="LPQ112" s="1370"/>
      <c r="LPR112" s="1370"/>
      <c r="LPS112" s="1370"/>
      <c r="LPT112" s="1370"/>
      <c r="LPU112" s="1370"/>
      <c r="LPV112" s="1370"/>
      <c r="LPW112" s="1370"/>
      <c r="LPX112" s="1370"/>
      <c r="LPY112" s="1370"/>
      <c r="LPZ112" s="1370"/>
      <c r="LQA112" s="1370"/>
      <c r="LQB112" s="1370"/>
      <c r="LQC112" s="1370"/>
      <c r="LQD112" s="1370"/>
      <c r="LQE112" s="1370"/>
      <c r="LQF112" s="1370"/>
      <c r="LQG112" s="1370"/>
      <c r="LQH112" s="1370"/>
      <c r="LQI112" s="1370"/>
      <c r="LQJ112" s="1370"/>
      <c r="LQK112" s="1370"/>
      <c r="LQL112" s="1370"/>
      <c r="LQM112" s="1370"/>
      <c r="LQN112" s="1370"/>
      <c r="LQO112" s="1370"/>
      <c r="LQP112" s="1370"/>
      <c r="LQQ112" s="1370"/>
      <c r="LQR112" s="1370"/>
      <c r="LQS112" s="1370"/>
      <c r="LQT112" s="1370"/>
      <c r="LQU112" s="1370"/>
      <c r="LQV112" s="1370"/>
      <c r="LQW112" s="1370"/>
      <c r="LQX112" s="1370"/>
      <c r="LQY112" s="1370"/>
      <c r="LQZ112" s="1370"/>
      <c r="LRA112" s="1370"/>
      <c r="LRB112" s="1370"/>
      <c r="LRC112" s="1370"/>
      <c r="LRD112" s="1370"/>
      <c r="LRE112" s="1370"/>
      <c r="LRF112" s="1370"/>
      <c r="LRG112" s="1370"/>
      <c r="LRH112" s="1370"/>
      <c r="LRI112" s="1370"/>
      <c r="LRJ112" s="1370"/>
      <c r="LRK112" s="1370"/>
      <c r="LRL112" s="1370"/>
      <c r="LRM112" s="1370"/>
      <c r="LRN112" s="1370"/>
      <c r="LRO112" s="1370"/>
      <c r="LRP112" s="1370"/>
      <c r="LRQ112" s="1370"/>
      <c r="LRR112" s="1370"/>
      <c r="LRS112" s="1370"/>
      <c r="LRT112" s="1370"/>
      <c r="LRU112" s="1370"/>
      <c r="LRV112" s="1370"/>
      <c r="LRW112" s="1370"/>
      <c r="LRX112" s="1370"/>
      <c r="LRY112" s="1370"/>
      <c r="LRZ112" s="1370"/>
      <c r="LSA112" s="1370"/>
      <c r="LSB112" s="1370"/>
      <c r="LSC112" s="1370"/>
      <c r="LSD112" s="1370"/>
      <c r="LSE112" s="1370"/>
      <c r="LSF112" s="1370"/>
      <c r="LSG112" s="1370"/>
      <c r="LSH112" s="1370"/>
      <c r="LSI112" s="1370"/>
      <c r="LSJ112" s="1370"/>
      <c r="LSK112" s="1370"/>
      <c r="LSL112" s="1370"/>
      <c r="LSM112" s="1370"/>
      <c r="LSN112" s="1370"/>
      <c r="LSO112" s="1370"/>
      <c r="LSP112" s="1370"/>
      <c r="LSQ112" s="1370"/>
      <c r="LSR112" s="1370"/>
      <c r="LSS112" s="1370"/>
      <c r="LST112" s="1370"/>
      <c r="LSU112" s="1370"/>
      <c r="LSV112" s="1370"/>
      <c r="LSW112" s="1370"/>
      <c r="LSX112" s="1370"/>
      <c r="LSY112" s="1370"/>
      <c r="LSZ112" s="1370"/>
      <c r="LTA112" s="1370"/>
      <c r="LTB112" s="1370"/>
      <c r="LTC112" s="1370"/>
      <c r="LTD112" s="1370"/>
      <c r="LTE112" s="1370"/>
      <c r="LTF112" s="1370"/>
      <c r="LTG112" s="1370"/>
      <c r="LTH112" s="1370"/>
      <c r="LTI112" s="1370"/>
      <c r="LTJ112" s="1370"/>
      <c r="LTK112" s="1370"/>
      <c r="LTL112" s="1370"/>
      <c r="LTM112" s="1370"/>
      <c r="LTN112" s="1370"/>
      <c r="LTO112" s="1370"/>
      <c r="LTP112" s="1370"/>
      <c r="LTQ112" s="1370"/>
      <c r="LTR112" s="1370"/>
      <c r="LTS112" s="1370"/>
      <c r="LTT112" s="1370"/>
      <c r="LTU112" s="1370"/>
      <c r="LTV112" s="1370"/>
      <c r="LTW112" s="1370"/>
      <c r="LTX112" s="1370"/>
      <c r="LTY112" s="1370"/>
      <c r="LTZ112" s="1370"/>
      <c r="LUA112" s="1370"/>
      <c r="LUB112" s="1370"/>
      <c r="LUC112" s="1370"/>
      <c r="LUD112" s="1370"/>
      <c r="LUE112" s="1370"/>
      <c r="LUF112" s="1370"/>
      <c r="LUG112" s="1370"/>
      <c r="LUH112" s="1370"/>
      <c r="LUI112" s="1370"/>
      <c r="LUJ112" s="1370"/>
      <c r="LUK112" s="1370"/>
      <c r="LUL112" s="1370"/>
      <c r="LUM112" s="1370"/>
      <c r="LUN112" s="1370"/>
      <c r="LUO112" s="1370"/>
      <c r="LUP112" s="1370"/>
      <c r="LUQ112" s="1370"/>
      <c r="LUR112" s="1370"/>
      <c r="LUS112" s="1370"/>
      <c r="LUT112" s="1370"/>
      <c r="LUU112" s="1370"/>
      <c r="LUV112" s="1370"/>
      <c r="LUW112" s="1370"/>
      <c r="LUX112" s="1370"/>
      <c r="LUY112" s="1370"/>
      <c r="LUZ112" s="1370"/>
      <c r="LVA112" s="1370"/>
      <c r="LVB112" s="1370"/>
      <c r="LVC112" s="1370"/>
      <c r="LVD112" s="1370"/>
      <c r="LVE112" s="1370"/>
      <c r="LVF112" s="1370"/>
      <c r="LVG112" s="1370"/>
      <c r="LVH112" s="1370"/>
      <c r="LVI112" s="1370"/>
      <c r="LVJ112" s="1370"/>
      <c r="LVK112" s="1370"/>
      <c r="LVL112" s="1370"/>
      <c r="LVM112" s="1370"/>
      <c r="LVN112" s="1370"/>
      <c r="LVO112" s="1370"/>
      <c r="LVP112" s="1370"/>
      <c r="LVQ112" s="1370"/>
      <c r="LVR112" s="1370"/>
      <c r="LVS112" s="1370"/>
      <c r="LVT112" s="1370"/>
      <c r="LVU112" s="1370"/>
      <c r="LVV112" s="1370"/>
      <c r="LVW112" s="1370"/>
      <c r="LVX112" s="1370"/>
      <c r="LVY112" s="1370"/>
      <c r="LVZ112" s="1370"/>
      <c r="LWA112" s="1370"/>
      <c r="LWB112" s="1370"/>
      <c r="LWC112" s="1370"/>
      <c r="LWD112" s="1370"/>
      <c r="LWE112" s="1370"/>
      <c r="LWF112" s="1370"/>
      <c r="LWG112" s="1370"/>
      <c r="LWH112" s="1370"/>
      <c r="LWI112" s="1370"/>
      <c r="LWJ112" s="1370"/>
      <c r="LWK112" s="1370"/>
      <c r="LWL112" s="1370"/>
      <c r="LWM112" s="1370"/>
      <c r="LWN112" s="1370"/>
      <c r="LWO112" s="1370"/>
      <c r="LWP112" s="1370"/>
      <c r="LWQ112" s="1370"/>
      <c r="LWR112" s="1370"/>
      <c r="LWS112" s="1370"/>
      <c r="LWT112" s="1370"/>
      <c r="LWU112" s="1370"/>
      <c r="LWV112" s="1370"/>
      <c r="LWW112" s="1370"/>
      <c r="LWX112" s="1370"/>
      <c r="LWY112" s="1370"/>
      <c r="LWZ112" s="1370"/>
      <c r="LXA112" s="1370"/>
      <c r="LXB112" s="1370"/>
      <c r="LXC112" s="1370"/>
      <c r="LXD112" s="1370"/>
      <c r="LXE112" s="1370"/>
      <c r="LXF112" s="1370"/>
      <c r="LXG112" s="1370"/>
      <c r="LXH112" s="1370"/>
      <c r="LXI112" s="1370"/>
      <c r="LXJ112" s="1370"/>
      <c r="LXK112" s="1370"/>
      <c r="LXL112" s="1370"/>
      <c r="LXM112" s="1370"/>
      <c r="LXN112" s="1370"/>
      <c r="LXO112" s="1370"/>
      <c r="LXP112" s="1370"/>
      <c r="LXQ112" s="1370"/>
      <c r="LXR112" s="1370"/>
      <c r="LXS112" s="1370"/>
      <c r="LXT112" s="1370"/>
      <c r="LXU112" s="1370"/>
      <c r="LXV112" s="1370"/>
      <c r="LXW112" s="1370"/>
      <c r="LXX112" s="1370"/>
      <c r="LXY112" s="1370"/>
      <c r="LXZ112" s="1370"/>
      <c r="LYA112" s="1370"/>
      <c r="LYB112" s="1370"/>
      <c r="LYC112" s="1370"/>
      <c r="LYD112" s="1370"/>
      <c r="LYE112" s="1370"/>
      <c r="LYF112" s="1370"/>
      <c r="LYG112" s="1370"/>
      <c r="LYH112" s="1370"/>
      <c r="LYI112" s="1370"/>
      <c r="LYJ112" s="1370"/>
      <c r="LYK112" s="1370"/>
      <c r="LYL112" s="1370"/>
      <c r="LYM112" s="1370"/>
      <c r="LYN112" s="1370"/>
      <c r="LYO112" s="1370"/>
      <c r="LYP112" s="1370"/>
      <c r="LYQ112" s="1370"/>
      <c r="LYR112" s="1370"/>
      <c r="LYS112" s="1370"/>
      <c r="LYT112" s="1370"/>
      <c r="LYU112" s="1370"/>
      <c r="LYV112" s="1370"/>
      <c r="LYW112" s="1370"/>
      <c r="LYX112" s="1370"/>
      <c r="LYY112" s="1370"/>
      <c r="LYZ112" s="1370"/>
      <c r="LZA112" s="1370"/>
      <c r="LZB112" s="1370"/>
      <c r="LZC112" s="1370"/>
      <c r="LZD112" s="1370"/>
      <c r="LZE112" s="1370"/>
      <c r="LZF112" s="1370"/>
      <c r="LZG112" s="1370"/>
      <c r="LZH112" s="1370"/>
      <c r="LZI112" s="1370"/>
      <c r="LZJ112" s="1370"/>
      <c r="LZK112" s="1370"/>
      <c r="LZL112" s="1370"/>
      <c r="LZM112" s="1370"/>
      <c r="LZN112" s="1370"/>
      <c r="LZO112" s="1370"/>
      <c r="LZP112" s="1370"/>
      <c r="LZQ112" s="1370"/>
      <c r="LZR112" s="1370"/>
      <c r="LZS112" s="1370"/>
      <c r="LZT112" s="1370"/>
      <c r="LZU112" s="1370"/>
      <c r="LZV112" s="1370"/>
      <c r="LZW112" s="1370"/>
      <c r="LZX112" s="1370"/>
      <c r="LZY112" s="1370"/>
      <c r="LZZ112" s="1370"/>
      <c r="MAA112" s="1370"/>
      <c r="MAB112" s="1370"/>
      <c r="MAC112" s="1370"/>
      <c r="MAD112" s="1370"/>
      <c r="MAE112" s="1370"/>
      <c r="MAF112" s="1370"/>
      <c r="MAG112" s="1370"/>
      <c r="MAH112" s="1370"/>
      <c r="MAI112" s="1370"/>
      <c r="MAJ112" s="1370"/>
      <c r="MAK112" s="1370"/>
      <c r="MAL112" s="1370"/>
      <c r="MAM112" s="1370"/>
      <c r="MAN112" s="1370"/>
      <c r="MAO112" s="1370"/>
      <c r="MAP112" s="1370"/>
      <c r="MAQ112" s="1370"/>
      <c r="MAR112" s="1370"/>
      <c r="MAS112" s="1370"/>
      <c r="MAT112" s="1370"/>
      <c r="MAU112" s="1370"/>
      <c r="MAV112" s="1370"/>
      <c r="MAW112" s="1370"/>
      <c r="MAX112" s="1370"/>
      <c r="MAY112" s="1370"/>
      <c r="MAZ112" s="1370"/>
      <c r="MBA112" s="1370"/>
      <c r="MBB112" s="1370"/>
      <c r="MBC112" s="1370"/>
      <c r="MBD112" s="1370"/>
      <c r="MBE112" s="1370"/>
      <c r="MBF112" s="1370"/>
      <c r="MBG112" s="1370"/>
      <c r="MBH112" s="1370"/>
      <c r="MBI112" s="1370"/>
      <c r="MBJ112" s="1370"/>
      <c r="MBK112" s="1370"/>
      <c r="MBL112" s="1370"/>
      <c r="MBM112" s="1370"/>
      <c r="MBN112" s="1370"/>
      <c r="MBO112" s="1370"/>
      <c r="MBP112" s="1370"/>
      <c r="MBQ112" s="1370"/>
      <c r="MBR112" s="1370"/>
      <c r="MBS112" s="1370"/>
      <c r="MBT112" s="1370"/>
      <c r="MBU112" s="1370"/>
      <c r="MBV112" s="1370"/>
      <c r="MBW112" s="1370"/>
      <c r="MBX112" s="1370"/>
      <c r="MBY112" s="1370"/>
      <c r="MBZ112" s="1370"/>
      <c r="MCA112" s="1370"/>
      <c r="MCB112" s="1370"/>
      <c r="MCC112" s="1370"/>
      <c r="MCD112" s="1370"/>
      <c r="MCE112" s="1370"/>
      <c r="MCF112" s="1370"/>
      <c r="MCG112" s="1370"/>
      <c r="MCH112" s="1370"/>
      <c r="MCI112" s="1370"/>
      <c r="MCJ112" s="1370"/>
      <c r="MCK112" s="1370"/>
      <c r="MCL112" s="1370"/>
      <c r="MCM112" s="1370"/>
      <c r="MCN112" s="1370"/>
      <c r="MCO112" s="1370"/>
      <c r="MCP112" s="1370"/>
      <c r="MCQ112" s="1370"/>
      <c r="MCR112" s="1370"/>
      <c r="MCS112" s="1370"/>
      <c r="MCT112" s="1370"/>
      <c r="MCU112" s="1370"/>
      <c r="MCV112" s="1370"/>
      <c r="MCW112" s="1370"/>
      <c r="MCX112" s="1370"/>
      <c r="MCY112" s="1370"/>
      <c r="MCZ112" s="1370"/>
      <c r="MDA112" s="1370"/>
      <c r="MDB112" s="1370"/>
      <c r="MDC112" s="1370"/>
      <c r="MDD112" s="1370"/>
      <c r="MDE112" s="1370"/>
      <c r="MDF112" s="1370"/>
      <c r="MDG112" s="1370"/>
      <c r="MDH112" s="1370"/>
      <c r="MDI112" s="1370"/>
      <c r="MDJ112" s="1370"/>
      <c r="MDK112" s="1370"/>
      <c r="MDL112" s="1370"/>
      <c r="MDM112" s="1370"/>
      <c r="MDN112" s="1370"/>
      <c r="MDO112" s="1370"/>
      <c r="MDP112" s="1370"/>
      <c r="MDQ112" s="1370"/>
      <c r="MDR112" s="1370"/>
      <c r="MDS112" s="1370"/>
      <c r="MDT112" s="1370"/>
      <c r="MDU112" s="1370"/>
      <c r="MDV112" s="1370"/>
      <c r="MDW112" s="1370"/>
      <c r="MDX112" s="1370"/>
      <c r="MDY112" s="1370"/>
      <c r="MDZ112" s="1370"/>
      <c r="MEA112" s="1370"/>
      <c r="MEB112" s="1370"/>
      <c r="MEC112" s="1370"/>
      <c r="MED112" s="1370"/>
      <c r="MEE112" s="1370"/>
      <c r="MEF112" s="1370"/>
      <c r="MEG112" s="1370"/>
      <c r="MEH112" s="1370"/>
      <c r="MEI112" s="1370"/>
      <c r="MEJ112" s="1370"/>
      <c r="MEK112" s="1370"/>
      <c r="MEL112" s="1370"/>
      <c r="MEM112" s="1370"/>
      <c r="MEN112" s="1370"/>
      <c r="MEO112" s="1370"/>
      <c r="MEP112" s="1370"/>
      <c r="MEQ112" s="1370"/>
      <c r="MER112" s="1370"/>
      <c r="MES112" s="1370"/>
      <c r="MET112" s="1370"/>
      <c r="MEU112" s="1370"/>
      <c r="MEV112" s="1370"/>
      <c r="MEW112" s="1370"/>
      <c r="MEX112" s="1370"/>
      <c r="MEY112" s="1370"/>
      <c r="MEZ112" s="1370"/>
      <c r="MFA112" s="1370"/>
      <c r="MFB112" s="1370"/>
      <c r="MFC112" s="1370"/>
      <c r="MFD112" s="1370"/>
      <c r="MFE112" s="1370"/>
      <c r="MFF112" s="1370"/>
      <c r="MFG112" s="1370"/>
      <c r="MFH112" s="1370"/>
      <c r="MFI112" s="1370"/>
      <c r="MFJ112" s="1370"/>
      <c r="MFK112" s="1370"/>
      <c r="MFL112" s="1370"/>
      <c r="MFM112" s="1370"/>
      <c r="MFN112" s="1370"/>
      <c r="MFO112" s="1370"/>
      <c r="MFP112" s="1370"/>
      <c r="MFQ112" s="1370"/>
      <c r="MFR112" s="1370"/>
      <c r="MFS112" s="1370"/>
      <c r="MFT112" s="1370"/>
      <c r="MFU112" s="1370"/>
      <c r="MFV112" s="1370"/>
      <c r="MFW112" s="1370"/>
      <c r="MFX112" s="1370"/>
      <c r="MFY112" s="1370"/>
      <c r="MFZ112" s="1370"/>
      <c r="MGA112" s="1370"/>
      <c r="MGB112" s="1370"/>
      <c r="MGC112" s="1370"/>
      <c r="MGD112" s="1370"/>
      <c r="MGE112" s="1370"/>
      <c r="MGF112" s="1370"/>
      <c r="MGG112" s="1370"/>
      <c r="MGH112" s="1370"/>
      <c r="MGI112" s="1370"/>
      <c r="MGJ112" s="1370"/>
      <c r="MGK112" s="1370"/>
      <c r="MGL112" s="1370"/>
      <c r="MGM112" s="1370"/>
      <c r="MGN112" s="1370"/>
      <c r="MGO112" s="1370"/>
      <c r="MGP112" s="1370"/>
      <c r="MGQ112" s="1370"/>
      <c r="MGR112" s="1370"/>
      <c r="MGS112" s="1370"/>
      <c r="MGT112" s="1370"/>
      <c r="MGU112" s="1370"/>
      <c r="MGV112" s="1370"/>
      <c r="MGW112" s="1370"/>
      <c r="MGX112" s="1370"/>
      <c r="MGY112" s="1370"/>
      <c r="MGZ112" s="1370"/>
      <c r="MHA112" s="1370"/>
      <c r="MHB112" s="1370"/>
      <c r="MHC112" s="1370"/>
      <c r="MHD112" s="1370"/>
      <c r="MHE112" s="1370"/>
      <c r="MHF112" s="1370"/>
      <c r="MHG112" s="1370"/>
      <c r="MHH112" s="1370"/>
      <c r="MHI112" s="1370"/>
      <c r="MHJ112" s="1370"/>
      <c r="MHK112" s="1370"/>
      <c r="MHL112" s="1370"/>
      <c r="MHM112" s="1370"/>
      <c r="MHN112" s="1370"/>
      <c r="MHO112" s="1370"/>
      <c r="MHP112" s="1370"/>
      <c r="MHQ112" s="1370"/>
      <c r="MHR112" s="1370"/>
      <c r="MHS112" s="1370"/>
      <c r="MHT112" s="1370"/>
      <c r="MHU112" s="1370"/>
      <c r="MHV112" s="1370"/>
      <c r="MHW112" s="1370"/>
      <c r="MHX112" s="1370"/>
      <c r="MHY112" s="1370"/>
      <c r="MHZ112" s="1370"/>
      <c r="MIA112" s="1370"/>
      <c r="MIB112" s="1370"/>
      <c r="MIC112" s="1370"/>
      <c r="MID112" s="1370"/>
      <c r="MIE112" s="1370"/>
      <c r="MIF112" s="1370"/>
      <c r="MIG112" s="1370"/>
      <c r="MIH112" s="1370"/>
      <c r="MII112" s="1370"/>
      <c r="MIJ112" s="1370"/>
      <c r="MIK112" s="1370"/>
      <c r="MIL112" s="1370"/>
      <c r="MIM112" s="1370"/>
      <c r="MIN112" s="1370"/>
      <c r="MIO112" s="1370"/>
      <c r="MIP112" s="1370"/>
      <c r="MIQ112" s="1370"/>
      <c r="MIR112" s="1370"/>
      <c r="MIS112" s="1370"/>
      <c r="MIT112" s="1370"/>
      <c r="MIU112" s="1370"/>
      <c r="MIV112" s="1370"/>
      <c r="MIW112" s="1370"/>
      <c r="MIX112" s="1370"/>
      <c r="MIY112" s="1370"/>
      <c r="MIZ112" s="1370"/>
      <c r="MJA112" s="1370"/>
      <c r="MJB112" s="1370"/>
      <c r="MJC112" s="1370"/>
      <c r="MJD112" s="1370"/>
      <c r="MJE112" s="1370"/>
      <c r="MJF112" s="1370"/>
      <c r="MJG112" s="1370"/>
      <c r="MJH112" s="1370"/>
      <c r="MJI112" s="1370"/>
      <c r="MJJ112" s="1370"/>
      <c r="MJK112" s="1370"/>
      <c r="MJL112" s="1370"/>
      <c r="MJM112" s="1370"/>
      <c r="MJN112" s="1370"/>
      <c r="MJO112" s="1370"/>
      <c r="MJP112" s="1370"/>
      <c r="MJQ112" s="1370"/>
      <c r="MJR112" s="1370"/>
      <c r="MJS112" s="1370"/>
      <c r="MJT112" s="1370"/>
      <c r="MJU112" s="1370"/>
      <c r="MJV112" s="1370"/>
      <c r="MJW112" s="1370"/>
      <c r="MJX112" s="1370"/>
      <c r="MJY112" s="1370"/>
      <c r="MJZ112" s="1370"/>
      <c r="MKA112" s="1370"/>
      <c r="MKB112" s="1370"/>
      <c r="MKC112" s="1370"/>
      <c r="MKD112" s="1370"/>
      <c r="MKE112" s="1370"/>
      <c r="MKF112" s="1370"/>
      <c r="MKG112" s="1370"/>
      <c r="MKH112" s="1370"/>
      <c r="MKI112" s="1370"/>
      <c r="MKJ112" s="1370"/>
      <c r="MKK112" s="1370"/>
      <c r="MKL112" s="1370"/>
      <c r="MKM112" s="1370"/>
      <c r="MKN112" s="1370"/>
      <c r="MKO112" s="1370"/>
      <c r="MKP112" s="1370"/>
      <c r="MKQ112" s="1370"/>
      <c r="MKR112" s="1370"/>
      <c r="MKS112" s="1370"/>
      <c r="MKT112" s="1370"/>
      <c r="MKU112" s="1370"/>
      <c r="MKV112" s="1370"/>
      <c r="MKW112" s="1370"/>
      <c r="MKX112" s="1370"/>
      <c r="MKY112" s="1370"/>
      <c r="MKZ112" s="1370"/>
      <c r="MLA112" s="1370"/>
      <c r="MLB112" s="1370"/>
      <c r="MLC112" s="1370"/>
      <c r="MLD112" s="1370"/>
      <c r="MLE112" s="1370"/>
      <c r="MLF112" s="1370"/>
      <c r="MLG112" s="1370"/>
      <c r="MLH112" s="1370"/>
      <c r="MLI112" s="1370"/>
      <c r="MLJ112" s="1370"/>
      <c r="MLK112" s="1370"/>
      <c r="MLL112" s="1370"/>
      <c r="MLM112" s="1370"/>
      <c r="MLN112" s="1370"/>
      <c r="MLO112" s="1370"/>
      <c r="MLP112" s="1370"/>
      <c r="MLQ112" s="1370"/>
      <c r="MLR112" s="1370"/>
      <c r="MLS112" s="1370"/>
      <c r="MLT112" s="1370"/>
      <c r="MLU112" s="1370"/>
      <c r="MLV112" s="1370"/>
      <c r="MLW112" s="1370"/>
      <c r="MLX112" s="1370"/>
      <c r="MLY112" s="1370"/>
      <c r="MLZ112" s="1370"/>
      <c r="MMA112" s="1370"/>
      <c r="MMB112" s="1370"/>
      <c r="MMC112" s="1370"/>
      <c r="MMD112" s="1370"/>
      <c r="MME112" s="1370"/>
      <c r="MMF112" s="1370"/>
      <c r="MMG112" s="1370"/>
      <c r="MMH112" s="1370"/>
      <c r="MMI112" s="1370"/>
      <c r="MMJ112" s="1370"/>
      <c r="MMK112" s="1370"/>
      <c r="MML112" s="1370"/>
      <c r="MMM112" s="1370"/>
      <c r="MMN112" s="1370"/>
      <c r="MMO112" s="1370"/>
      <c r="MMP112" s="1370"/>
      <c r="MMQ112" s="1370"/>
      <c r="MMR112" s="1370"/>
      <c r="MMS112" s="1370"/>
      <c r="MMT112" s="1370"/>
      <c r="MMU112" s="1370"/>
      <c r="MMV112" s="1370"/>
      <c r="MMW112" s="1370"/>
      <c r="MMX112" s="1370"/>
      <c r="MMY112" s="1370"/>
      <c r="MMZ112" s="1370"/>
      <c r="MNA112" s="1370"/>
      <c r="MNB112" s="1370"/>
      <c r="MNC112" s="1370"/>
      <c r="MND112" s="1370"/>
      <c r="MNE112" s="1370"/>
      <c r="MNF112" s="1370"/>
      <c r="MNG112" s="1370"/>
      <c r="MNH112" s="1370"/>
      <c r="MNI112" s="1370"/>
      <c r="MNJ112" s="1370"/>
      <c r="MNK112" s="1370"/>
      <c r="MNL112" s="1370"/>
      <c r="MNM112" s="1370"/>
      <c r="MNN112" s="1370"/>
      <c r="MNO112" s="1370"/>
      <c r="MNP112" s="1370"/>
      <c r="MNQ112" s="1370"/>
      <c r="MNR112" s="1370"/>
      <c r="MNS112" s="1370"/>
      <c r="MNT112" s="1370"/>
      <c r="MNU112" s="1370"/>
      <c r="MNV112" s="1370"/>
      <c r="MNW112" s="1370"/>
      <c r="MNX112" s="1370"/>
      <c r="MNY112" s="1370"/>
      <c r="MNZ112" s="1370"/>
      <c r="MOA112" s="1370"/>
      <c r="MOB112" s="1370"/>
      <c r="MOC112" s="1370"/>
      <c r="MOD112" s="1370"/>
      <c r="MOE112" s="1370"/>
      <c r="MOF112" s="1370"/>
      <c r="MOG112" s="1370"/>
      <c r="MOH112" s="1370"/>
      <c r="MOI112" s="1370"/>
      <c r="MOJ112" s="1370"/>
      <c r="MOK112" s="1370"/>
      <c r="MOL112" s="1370"/>
      <c r="MOM112" s="1370"/>
      <c r="MON112" s="1370"/>
      <c r="MOO112" s="1370"/>
      <c r="MOP112" s="1370"/>
      <c r="MOQ112" s="1370"/>
      <c r="MOR112" s="1370"/>
      <c r="MOS112" s="1370"/>
      <c r="MOT112" s="1370"/>
      <c r="MOU112" s="1370"/>
      <c r="MOV112" s="1370"/>
      <c r="MOW112" s="1370"/>
      <c r="MOX112" s="1370"/>
      <c r="MOY112" s="1370"/>
      <c r="MOZ112" s="1370"/>
      <c r="MPA112" s="1370"/>
      <c r="MPB112" s="1370"/>
      <c r="MPC112" s="1370"/>
      <c r="MPD112" s="1370"/>
      <c r="MPE112" s="1370"/>
      <c r="MPF112" s="1370"/>
      <c r="MPG112" s="1370"/>
      <c r="MPH112" s="1370"/>
      <c r="MPI112" s="1370"/>
      <c r="MPJ112" s="1370"/>
      <c r="MPK112" s="1370"/>
      <c r="MPL112" s="1370"/>
      <c r="MPM112" s="1370"/>
      <c r="MPN112" s="1370"/>
      <c r="MPO112" s="1370"/>
      <c r="MPP112" s="1370"/>
      <c r="MPQ112" s="1370"/>
      <c r="MPR112" s="1370"/>
      <c r="MPS112" s="1370"/>
      <c r="MPT112" s="1370"/>
      <c r="MPU112" s="1370"/>
      <c r="MPV112" s="1370"/>
      <c r="MPW112" s="1370"/>
      <c r="MPX112" s="1370"/>
      <c r="MPY112" s="1370"/>
      <c r="MPZ112" s="1370"/>
      <c r="MQA112" s="1370"/>
      <c r="MQB112" s="1370"/>
      <c r="MQC112" s="1370"/>
      <c r="MQD112" s="1370"/>
      <c r="MQE112" s="1370"/>
      <c r="MQF112" s="1370"/>
      <c r="MQG112" s="1370"/>
      <c r="MQH112" s="1370"/>
      <c r="MQI112" s="1370"/>
      <c r="MQJ112" s="1370"/>
      <c r="MQK112" s="1370"/>
      <c r="MQL112" s="1370"/>
      <c r="MQM112" s="1370"/>
      <c r="MQN112" s="1370"/>
      <c r="MQO112" s="1370"/>
      <c r="MQP112" s="1370"/>
      <c r="MQQ112" s="1370"/>
      <c r="MQR112" s="1370"/>
      <c r="MQS112" s="1370"/>
      <c r="MQT112" s="1370"/>
      <c r="MQU112" s="1370"/>
      <c r="MQV112" s="1370"/>
      <c r="MQW112" s="1370"/>
      <c r="MQX112" s="1370"/>
      <c r="MQY112" s="1370"/>
      <c r="MQZ112" s="1370"/>
      <c r="MRA112" s="1370"/>
      <c r="MRB112" s="1370"/>
      <c r="MRC112" s="1370"/>
      <c r="MRD112" s="1370"/>
      <c r="MRE112" s="1370"/>
      <c r="MRF112" s="1370"/>
      <c r="MRG112" s="1370"/>
      <c r="MRH112" s="1370"/>
      <c r="MRI112" s="1370"/>
      <c r="MRJ112" s="1370"/>
      <c r="MRK112" s="1370"/>
      <c r="MRL112" s="1370"/>
      <c r="MRM112" s="1370"/>
      <c r="MRN112" s="1370"/>
      <c r="MRO112" s="1370"/>
      <c r="MRP112" s="1370"/>
      <c r="MRQ112" s="1370"/>
      <c r="MRR112" s="1370"/>
      <c r="MRS112" s="1370"/>
      <c r="MRT112" s="1370"/>
      <c r="MRU112" s="1370"/>
      <c r="MRV112" s="1370"/>
      <c r="MRW112" s="1370"/>
      <c r="MRX112" s="1370"/>
      <c r="MRY112" s="1370"/>
      <c r="MRZ112" s="1370"/>
      <c r="MSA112" s="1370"/>
      <c r="MSB112" s="1370"/>
      <c r="MSC112" s="1370"/>
      <c r="MSD112" s="1370"/>
      <c r="MSE112" s="1370"/>
      <c r="MSF112" s="1370"/>
      <c r="MSG112" s="1370"/>
      <c r="MSH112" s="1370"/>
      <c r="MSI112" s="1370"/>
      <c r="MSJ112" s="1370"/>
      <c r="MSK112" s="1370"/>
      <c r="MSL112" s="1370"/>
      <c r="MSM112" s="1370"/>
      <c r="MSN112" s="1370"/>
      <c r="MSO112" s="1370"/>
      <c r="MSP112" s="1370"/>
      <c r="MSQ112" s="1370"/>
      <c r="MSR112" s="1370"/>
      <c r="MSS112" s="1370"/>
      <c r="MST112" s="1370"/>
      <c r="MSU112" s="1370"/>
      <c r="MSV112" s="1370"/>
      <c r="MSW112" s="1370"/>
      <c r="MSX112" s="1370"/>
      <c r="MSY112" s="1370"/>
      <c r="MSZ112" s="1370"/>
      <c r="MTA112" s="1370"/>
      <c r="MTB112" s="1370"/>
      <c r="MTC112" s="1370"/>
      <c r="MTD112" s="1370"/>
      <c r="MTE112" s="1370"/>
      <c r="MTF112" s="1370"/>
      <c r="MTG112" s="1370"/>
      <c r="MTH112" s="1370"/>
      <c r="MTI112" s="1370"/>
      <c r="MTJ112" s="1370"/>
      <c r="MTK112" s="1370"/>
      <c r="MTL112" s="1370"/>
      <c r="MTM112" s="1370"/>
      <c r="MTN112" s="1370"/>
      <c r="MTO112" s="1370"/>
      <c r="MTP112" s="1370"/>
      <c r="MTQ112" s="1370"/>
      <c r="MTR112" s="1370"/>
      <c r="MTS112" s="1370"/>
      <c r="MTT112" s="1370"/>
      <c r="MTU112" s="1370"/>
      <c r="MTV112" s="1370"/>
      <c r="MTW112" s="1370"/>
      <c r="MTX112" s="1370"/>
      <c r="MTY112" s="1370"/>
      <c r="MTZ112" s="1370"/>
      <c r="MUA112" s="1370"/>
      <c r="MUB112" s="1370"/>
      <c r="MUC112" s="1370"/>
      <c r="MUD112" s="1370"/>
      <c r="MUE112" s="1370"/>
      <c r="MUF112" s="1370"/>
      <c r="MUG112" s="1370"/>
      <c r="MUH112" s="1370"/>
      <c r="MUI112" s="1370"/>
      <c r="MUJ112" s="1370"/>
      <c r="MUK112" s="1370"/>
      <c r="MUL112" s="1370"/>
      <c r="MUM112" s="1370"/>
      <c r="MUN112" s="1370"/>
      <c r="MUO112" s="1370"/>
      <c r="MUP112" s="1370"/>
      <c r="MUQ112" s="1370"/>
      <c r="MUR112" s="1370"/>
      <c r="MUS112" s="1370"/>
      <c r="MUT112" s="1370"/>
      <c r="MUU112" s="1370"/>
      <c r="MUV112" s="1370"/>
      <c r="MUW112" s="1370"/>
      <c r="MUX112" s="1370"/>
      <c r="MUY112" s="1370"/>
      <c r="MUZ112" s="1370"/>
      <c r="MVA112" s="1370"/>
      <c r="MVB112" s="1370"/>
      <c r="MVC112" s="1370"/>
      <c r="MVD112" s="1370"/>
      <c r="MVE112" s="1370"/>
      <c r="MVF112" s="1370"/>
      <c r="MVG112" s="1370"/>
      <c r="MVH112" s="1370"/>
      <c r="MVI112" s="1370"/>
      <c r="MVJ112" s="1370"/>
      <c r="MVK112" s="1370"/>
      <c r="MVL112" s="1370"/>
      <c r="MVM112" s="1370"/>
      <c r="MVN112" s="1370"/>
      <c r="MVO112" s="1370"/>
      <c r="MVP112" s="1370"/>
      <c r="MVQ112" s="1370"/>
      <c r="MVR112" s="1370"/>
      <c r="MVS112" s="1370"/>
      <c r="MVT112" s="1370"/>
      <c r="MVU112" s="1370"/>
      <c r="MVV112" s="1370"/>
      <c r="MVW112" s="1370"/>
      <c r="MVX112" s="1370"/>
      <c r="MVY112" s="1370"/>
      <c r="MVZ112" s="1370"/>
      <c r="MWA112" s="1370"/>
      <c r="MWB112" s="1370"/>
      <c r="MWC112" s="1370"/>
      <c r="MWD112" s="1370"/>
      <c r="MWE112" s="1370"/>
      <c r="MWF112" s="1370"/>
      <c r="MWG112" s="1370"/>
      <c r="MWH112" s="1370"/>
      <c r="MWI112" s="1370"/>
      <c r="MWJ112" s="1370"/>
      <c r="MWK112" s="1370"/>
      <c r="MWL112" s="1370"/>
      <c r="MWM112" s="1370"/>
      <c r="MWN112" s="1370"/>
      <c r="MWO112" s="1370"/>
      <c r="MWP112" s="1370"/>
      <c r="MWQ112" s="1370"/>
      <c r="MWR112" s="1370"/>
      <c r="MWS112" s="1370"/>
      <c r="MWT112" s="1370"/>
      <c r="MWU112" s="1370"/>
      <c r="MWV112" s="1370"/>
      <c r="MWW112" s="1370"/>
      <c r="MWX112" s="1370"/>
      <c r="MWY112" s="1370"/>
      <c r="MWZ112" s="1370"/>
      <c r="MXA112" s="1370"/>
      <c r="MXB112" s="1370"/>
      <c r="MXC112" s="1370"/>
      <c r="MXD112" s="1370"/>
      <c r="MXE112" s="1370"/>
      <c r="MXF112" s="1370"/>
      <c r="MXG112" s="1370"/>
      <c r="MXH112" s="1370"/>
      <c r="MXI112" s="1370"/>
      <c r="MXJ112" s="1370"/>
      <c r="MXK112" s="1370"/>
      <c r="MXL112" s="1370"/>
      <c r="MXM112" s="1370"/>
      <c r="MXN112" s="1370"/>
      <c r="MXO112" s="1370"/>
      <c r="MXP112" s="1370"/>
      <c r="MXQ112" s="1370"/>
      <c r="MXR112" s="1370"/>
      <c r="MXS112" s="1370"/>
      <c r="MXT112" s="1370"/>
      <c r="MXU112" s="1370"/>
      <c r="MXV112" s="1370"/>
      <c r="MXW112" s="1370"/>
      <c r="MXX112" s="1370"/>
      <c r="MXY112" s="1370"/>
      <c r="MXZ112" s="1370"/>
      <c r="MYA112" s="1370"/>
      <c r="MYB112" s="1370"/>
      <c r="MYC112" s="1370"/>
      <c r="MYD112" s="1370"/>
      <c r="MYE112" s="1370"/>
      <c r="MYF112" s="1370"/>
      <c r="MYG112" s="1370"/>
      <c r="MYH112" s="1370"/>
      <c r="MYI112" s="1370"/>
      <c r="MYJ112" s="1370"/>
      <c r="MYK112" s="1370"/>
      <c r="MYL112" s="1370"/>
      <c r="MYM112" s="1370"/>
      <c r="MYN112" s="1370"/>
      <c r="MYO112" s="1370"/>
      <c r="MYP112" s="1370"/>
      <c r="MYQ112" s="1370"/>
      <c r="MYR112" s="1370"/>
      <c r="MYS112" s="1370"/>
      <c r="MYT112" s="1370"/>
      <c r="MYU112" s="1370"/>
      <c r="MYV112" s="1370"/>
      <c r="MYW112" s="1370"/>
      <c r="MYX112" s="1370"/>
      <c r="MYY112" s="1370"/>
      <c r="MYZ112" s="1370"/>
      <c r="MZA112" s="1370"/>
      <c r="MZB112" s="1370"/>
      <c r="MZC112" s="1370"/>
      <c r="MZD112" s="1370"/>
      <c r="MZE112" s="1370"/>
      <c r="MZF112" s="1370"/>
      <c r="MZG112" s="1370"/>
      <c r="MZH112" s="1370"/>
      <c r="MZI112" s="1370"/>
      <c r="MZJ112" s="1370"/>
      <c r="MZK112" s="1370"/>
      <c r="MZL112" s="1370"/>
      <c r="MZM112" s="1370"/>
      <c r="MZN112" s="1370"/>
      <c r="MZO112" s="1370"/>
      <c r="MZP112" s="1370"/>
      <c r="MZQ112" s="1370"/>
      <c r="MZR112" s="1370"/>
      <c r="MZS112" s="1370"/>
      <c r="MZT112" s="1370"/>
      <c r="MZU112" s="1370"/>
      <c r="MZV112" s="1370"/>
      <c r="MZW112" s="1370"/>
      <c r="MZX112" s="1370"/>
      <c r="MZY112" s="1370"/>
      <c r="MZZ112" s="1370"/>
      <c r="NAA112" s="1370"/>
      <c r="NAB112" s="1370"/>
      <c r="NAC112" s="1370"/>
      <c r="NAD112" s="1370"/>
      <c r="NAE112" s="1370"/>
      <c r="NAF112" s="1370"/>
      <c r="NAG112" s="1370"/>
      <c r="NAH112" s="1370"/>
      <c r="NAI112" s="1370"/>
      <c r="NAJ112" s="1370"/>
      <c r="NAK112" s="1370"/>
      <c r="NAL112" s="1370"/>
      <c r="NAM112" s="1370"/>
      <c r="NAN112" s="1370"/>
      <c r="NAO112" s="1370"/>
      <c r="NAP112" s="1370"/>
      <c r="NAQ112" s="1370"/>
      <c r="NAR112" s="1370"/>
      <c r="NAS112" s="1370"/>
      <c r="NAT112" s="1370"/>
      <c r="NAU112" s="1370"/>
      <c r="NAV112" s="1370"/>
      <c r="NAW112" s="1370"/>
      <c r="NAX112" s="1370"/>
      <c r="NAY112" s="1370"/>
      <c r="NAZ112" s="1370"/>
      <c r="NBA112" s="1370"/>
      <c r="NBB112" s="1370"/>
      <c r="NBC112" s="1370"/>
      <c r="NBD112" s="1370"/>
      <c r="NBE112" s="1370"/>
      <c r="NBF112" s="1370"/>
      <c r="NBG112" s="1370"/>
      <c r="NBH112" s="1370"/>
      <c r="NBI112" s="1370"/>
      <c r="NBJ112" s="1370"/>
      <c r="NBK112" s="1370"/>
      <c r="NBL112" s="1370"/>
      <c r="NBM112" s="1370"/>
      <c r="NBN112" s="1370"/>
      <c r="NBO112" s="1370"/>
      <c r="NBP112" s="1370"/>
      <c r="NBQ112" s="1370"/>
      <c r="NBR112" s="1370"/>
      <c r="NBS112" s="1370"/>
      <c r="NBT112" s="1370"/>
      <c r="NBU112" s="1370"/>
      <c r="NBV112" s="1370"/>
      <c r="NBW112" s="1370"/>
      <c r="NBX112" s="1370"/>
      <c r="NBY112" s="1370"/>
      <c r="NBZ112" s="1370"/>
      <c r="NCA112" s="1370"/>
      <c r="NCB112" s="1370"/>
      <c r="NCC112" s="1370"/>
      <c r="NCD112" s="1370"/>
      <c r="NCE112" s="1370"/>
      <c r="NCF112" s="1370"/>
      <c r="NCG112" s="1370"/>
      <c r="NCH112" s="1370"/>
      <c r="NCI112" s="1370"/>
      <c r="NCJ112" s="1370"/>
      <c r="NCK112" s="1370"/>
      <c r="NCL112" s="1370"/>
      <c r="NCM112" s="1370"/>
      <c r="NCN112" s="1370"/>
      <c r="NCO112" s="1370"/>
      <c r="NCP112" s="1370"/>
      <c r="NCQ112" s="1370"/>
      <c r="NCR112" s="1370"/>
      <c r="NCS112" s="1370"/>
      <c r="NCT112" s="1370"/>
      <c r="NCU112" s="1370"/>
      <c r="NCV112" s="1370"/>
      <c r="NCW112" s="1370"/>
      <c r="NCX112" s="1370"/>
      <c r="NCY112" s="1370"/>
      <c r="NCZ112" s="1370"/>
      <c r="NDA112" s="1370"/>
      <c r="NDB112" s="1370"/>
      <c r="NDC112" s="1370"/>
      <c r="NDD112" s="1370"/>
      <c r="NDE112" s="1370"/>
      <c r="NDF112" s="1370"/>
      <c r="NDG112" s="1370"/>
      <c r="NDH112" s="1370"/>
      <c r="NDI112" s="1370"/>
      <c r="NDJ112" s="1370"/>
      <c r="NDK112" s="1370"/>
      <c r="NDL112" s="1370"/>
      <c r="NDM112" s="1370"/>
      <c r="NDN112" s="1370"/>
      <c r="NDO112" s="1370"/>
      <c r="NDP112" s="1370"/>
      <c r="NDQ112" s="1370"/>
      <c r="NDR112" s="1370"/>
      <c r="NDS112" s="1370"/>
      <c r="NDT112" s="1370"/>
      <c r="NDU112" s="1370"/>
      <c r="NDV112" s="1370"/>
      <c r="NDW112" s="1370"/>
      <c r="NDX112" s="1370"/>
      <c r="NDY112" s="1370"/>
      <c r="NDZ112" s="1370"/>
      <c r="NEA112" s="1370"/>
      <c r="NEB112" s="1370"/>
      <c r="NEC112" s="1370"/>
      <c r="NED112" s="1370"/>
      <c r="NEE112" s="1370"/>
      <c r="NEF112" s="1370"/>
      <c r="NEG112" s="1370"/>
      <c r="NEH112" s="1370"/>
      <c r="NEI112" s="1370"/>
      <c r="NEJ112" s="1370"/>
      <c r="NEK112" s="1370"/>
      <c r="NEL112" s="1370"/>
      <c r="NEM112" s="1370"/>
      <c r="NEN112" s="1370"/>
      <c r="NEO112" s="1370"/>
      <c r="NEP112" s="1370"/>
      <c r="NEQ112" s="1370"/>
      <c r="NER112" s="1370"/>
      <c r="NES112" s="1370"/>
      <c r="NET112" s="1370"/>
      <c r="NEU112" s="1370"/>
      <c r="NEV112" s="1370"/>
      <c r="NEW112" s="1370"/>
      <c r="NEX112" s="1370"/>
      <c r="NEY112" s="1370"/>
      <c r="NEZ112" s="1370"/>
      <c r="NFA112" s="1370"/>
      <c r="NFB112" s="1370"/>
      <c r="NFC112" s="1370"/>
      <c r="NFD112" s="1370"/>
      <c r="NFE112" s="1370"/>
      <c r="NFF112" s="1370"/>
      <c r="NFG112" s="1370"/>
      <c r="NFH112" s="1370"/>
      <c r="NFI112" s="1370"/>
      <c r="NFJ112" s="1370"/>
      <c r="NFK112" s="1370"/>
      <c r="NFL112" s="1370"/>
      <c r="NFM112" s="1370"/>
      <c r="NFN112" s="1370"/>
      <c r="NFO112" s="1370"/>
      <c r="NFP112" s="1370"/>
      <c r="NFQ112" s="1370"/>
      <c r="NFR112" s="1370"/>
      <c r="NFS112" s="1370"/>
      <c r="NFT112" s="1370"/>
      <c r="NFU112" s="1370"/>
      <c r="NFV112" s="1370"/>
      <c r="NFW112" s="1370"/>
      <c r="NFX112" s="1370"/>
      <c r="NFY112" s="1370"/>
      <c r="NFZ112" s="1370"/>
      <c r="NGA112" s="1370"/>
      <c r="NGB112" s="1370"/>
      <c r="NGC112" s="1370"/>
      <c r="NGD112" s="1370"/>
      <c r="NGE112" s="1370"/>
      <c r="NGF112" s="1370"/>
      <c r="NGG112" s="1370"/>
      <c r="NGH112" s="1370"/>
      <c r="NGI112" s="1370"/>
      <c r="NGJ112" s="1370"/>
      <c r="NGK112" s="1370"/>
      <c r="NGL112" s="1370"/>
      <c r="NGM112" s="1370"/>
      <c r="NGN112" s="1370"/>
      <c r="NGO112" s="1370"/>
      <c r="NGP112" s="1370"/>
      <c r="NGQ112" s="1370"/>
      <c r="NGR112" s="1370"/>
      <c r="NGS112" s="1370"/>
      <c r="NGT112" s="1370"/>
      <c r="NGU112" s="1370"/>
      <c r="NGV112" s="1370"/>
      <c r="NGW112" s="1370"/>
      <c r="NGX112" s="1370"/>
      <c r="NGY112" s="1370"/>
      <c r="NGZ112" s="1370"/>
      <c r="NHA112" s="1370"/>
      <c r="NHB112" s="1370"/>
      <c r="NHC112" s="1370"/>
      <c r="NHD112" s="1370"/>
      <c r="NHE112" s="1370"/>
      <c r="NHF112" s="1370"/>
      <c r="NHG112" s="1370"/>
      <c r="NHH112" s="1370"/>
      <c r="NHI112" s="1370"/>
      <c r="NHJ112" s="1370"/>
      <c r="NHK112" s="1370"/>
      <c r="NHL112" s="1370"/>
      <c r="NHM112" s="1370"/>
      <c r="NHN112" s="1370"/>
      <c r="NHO112" s="1370"/>
      <c r="NHP112" s="1370"/>
      <c r="NHQ112" s="1370"/>
      <c r="NHR112" s="1370"/>
      <c r="NHS112" s="1370"/>
      <c r="NHT112" s="1370"/>
      <c r="NHU112" s="1370"/>
      <c r="NHV112" s="1370"/>
      <c r="NHW112" s="1370"/>
      <c r="NHX112" s="1370"/>
      <c r="NHY112" s="1370"/>
      <c r="NHZ112" s="1370"/>
      <c r="NIA112" s="1370"/>
      <c r="NIB112" s="1370"/>
      <c r="NIC112" s="1370"/>
      <c r="NID112" s="1370"/>
      <c r="NIE112" s="1370"/>
      <c r="NIF112" s="1370"/>
      <c r="NIG112" s="1370"/>
      <c r="NIH112" s="1370"/>
      <c r="NII112" s="1370"/>
      <c r="NIJ112" s="1370"/>
      <c r="NIK112" s="1370"/>
      <c r="NIL112" s="1370"/>
      <c r="NIM112" s="1370"/>
      <c r="NIN112" s="1370"/>
      <c r="NIO112" s="1370"/>
      <c r="NIP112" s="1370"/>
      <c r="NIQ112" s="1370"/>
      <c r="NIR112" s="1370"/>
      <c r="NIS112" s="1370"/>
      <c r="NIT112" s="1370"/>
      <c r="NIU112" s="1370"/>
      <c r="NIV112" s="1370"/>
      <c r="NIW112" s="1370"/>
      <c r="NIX112" s="1370"/>
      <c r="NIY112" s="1370"/>
      <c r="NIZ112" s="1370"/>
      <c r="NJA112" s="1370"/>
      <c r="NJB112" s="1370"/>
      <c r="NJC112" s="1370"/>
      <c r="NJD112" s="1370"/>
      <c r="NJE112" s="1370"/>
      <c r="NJF112" s="1370"/>
      <c r="NJG112" s="1370"/>
      <c r="NJH112" s="1370"/>
      <c r="NJI112" s="1370"/>
      <c r="NJJ112" s="1370"/>
      <c r="NJK112" s="1370"/>
      <c r="NJL112" s="1370"/>
      <c r="NJM112" s="1370"/>
      <c r="NJN112" s="1370"/>
      <c r="NJO112" s="1370"/>
      <c r="NJP112" s="1370"/>
      <c r="NJQ112" s="1370"/>
      <c r="NJR112" s="1370"/>
      <c r="NJS112" s="1370"/>
      <c r="NJT112" s="1370"/>
      <c r="NJU112" s="1370"/>
      <c r="NJV112" s="1370"/>
      <c r="NJW112" s="1370"/>
      <c r="NJX112" s="1370"/>
      <c r="NJY112" s="1370"/>
      <c r="NJZ112" s="1370"/>
      <c r="NKA112" s="1370"/>
      <c r="NKB112" s="1370"/>
      <c r="NKC112" s="1370"/>
      <c r="NKD112" s="1370"/>
      <c r="NKE112" s="1370"/>
      <c r="NKF112" s="1370"/>
      <c r="NKG112" s="1370"/>
      <c r="NKH112" s="1370"/>
      <c r="NKI112" s="1370"/>
      <c r="NKJ112" s="1370"/>
      <c r="NKK112" s="1370"/>
      <c r="NKL112" s="1370"/>
      <c r="NKM112" s="1370"/>
      <c r="NKN112" s="1370"/>
      <c r="NKO112" s="1370"/>
      <c r="NKP112" s="1370"/>
      <c r="NKQ112" s="1370"/>
      <c r="NKR112" s="1370"/>
      <c r="NKS112" s="1370"/>
      <c r="NKT112" s="1370"/>
      <c r="NKU112" s="1370"/>
      <c r="NKV112" s="1370"/>
      <c r="NKW112" s="1370"/>
      <c r="NKX112" s="1370"/>
      <c r="NKY112" s="1370"/>
      <c r="NKZ112" s="1370"/>
      <c r="NLA112" s="1370"/>
      <c r="NLB112" s="1370"/>
      <c r="NLC112" s="1370"/>
      <c r="NLD112" s="1370"/>
      <c r="NLE112" s="1370"/>
      <c r="NLF112" s="1370"/>
      <c r="NLG112" s="1370"/>
      <c r="NLH112" s="1370"/>
      <c r="NLI112" s="1370"/>
      <c r="NLJ112" s="1370"/>
      <c r="NLK112" s="1370"/>
      <c r="NLL112" s="1370"/>
      <c r="NLM112" s="1370"/>
      <c r="NLN112" s="1370"/>
      <c r="NLO112" s="1370"/>
      <c r="NLP112" s="1370"/>
      <c r="NLQ112" s="1370"/>
      <c r="NLR112" s="1370"/>
      <c r="NLS112" s="1370"/>
      <c r="NLT112" s="1370"/>
      <c r="NLU112" s="1370"/>
      <c r="NLV112" s="1370"/>
      <c r="NLW112" s="1370"/>
      <c r="NLX112" s="1370"/>
      <c r="NLY112" s="1370"/>
      <c r="NLZ112" s="1370"/>
      <c r="NMA112" s="1370"/>
      <c r="NMB112" s="1370"/>
      <c r="NMC112" s="1370"/>
      <c r="NMD112" s="1370"/>
      <c r="NME112" s="1370"/>
      <c r="NMF112" s="1370"/>
      <c r="NMG112" s="1370"/>
      <c r="NMH112" s="1370"/>
      <c r="NMI112" s="1370"/>
      <c r="NMJ112" s="1370"/>
      <c r="NMK112" s="1370"/>
      <c r="NML112" s="1370"/>
      <c r="NMM112" s="1370"/>
      <c r="NMN112" s="1370"/>
      <c r="NMO112" s="1370"/>
      <c r="NMP112" s="1370"/>
      <c r="NMQ112" s="1370"/>
      <c r="NMR112" s="1370"/>
      <c r="NMS112" s="1370"/>
      <c r="NMT112" s="1370"/>
      <c r="NMU112" s="1370"/>
      <c r="NMV112" s="1370"/>
      <c r="NMW112" s="1370"/>
      <c r="NMX112" s="1370"/>
      <c r="NMY112" s="1370"/>
      <c r="NMZ112" s="1370"/>
      <c r="NNA112" s="1370"/>
      <c r="NNB112" s="1370"/>
      <c r="NNC112" s="1370"/>
      <c r="NND112" s="1370"/>
      <c r="NNE112" s="1370"/>
      <c r="NNF112" s="1370"/>
      <c r="NNG112" s="1370"/>
      <c r="NNH112" s="1370"/>
      <c r="NNI112" s="1370"/>
      <c r="NNJ112" s="1370"/>
      <c r="NNK112" s="1370"/>
      <c r="NNL112" s="1370"/>
      <c r="NNM112" s="1370"/>
      <c r="NNN112" s="1370"/>
      <c r="NNO112" s="1370"/>
      <c r="NNP112" s="1370"/>
      <c r="NNQ112" s="1370"/>
      <c r="NNR112" s="1370"/>
      <c r="NNS112" s="1370"/>
      <c r="NNT112" s="1370"/>
      <c r="NNU112" s="1370"/>
      <c r="NNV112" s="1370"/>
      <c r="NNW112" s="1370"/>
      <c r="NNX112" s="1370"/>
      <c r="NNY112" s="1370"/>
      <c r="NNZ112" s="1370"/>
      <c r="NOA112" s="1370"/>
      <c r="NOB112" s="1370"/>
      <c r="NOC112" s="1370"/>
      <c r="NOD112" s="1370"/>
      <c r="NOE112" s="1370"/>
      <c r="NOF112" s="1370"/>
      <c r="NOG112" s="1370"/>
      <c r="NOH112" s="1370"/>
      <c r="NOI112" s="1370"/>
      <c r="NOJ112" s="1370"/>
      <c r="NOK112" s="1370"/>
      <c r="NOL112" s="1370"/>
      <c r="NOM112" s="1370"/>
      <c r="NON112" s="1370"/>
      <c r="NOO112" s="1370"/>
      <c r="NOP112" s="1370"/>
      <c r="NOQ112" s="1370"/>
      <c r="NOR112" s="1370"/>
      <c r="NOS112" s="1370"/>
      <c r="NOT112" s="1370"/>
      <c r="NOU112" s="1370"/>
      <c r="NOV112" s="1370"/>
      <c r="NOW112" s="1370"/>
      <c r="NOX112" s="1370"/>
      <c r="NOY112" s="1370"/>
      <c r="NOZ112" s="1370"/>
      <c r="NPA112" s="1370"/>
      <c r="NPB112" s="1370"/>
      <c r="NPC112" s="1370"/>
      <c r="NPD112" s="1370"/>
      <c r="NPE112" s="1370"/>
      <c r="NPF112" s="1370"/>
      <c r="NPG112" s="1370"/>
      <c r="NPH112" s="1370"/>
      <c r="NPI112" s="1370"/>
      <c r="NPJ112" s="1370"/>
      <c r="NPK112" s="1370"/>
      <c r="NPL112" s="1370"/>
      <c r="NPM112" s="1370"/>
      <c r="NPN112" s="1370"/>
      <c r="NPO112" s="1370"/>
      <c r="NPP112" s="1370"/>
      <c r="NPQ112" s="1370"/>
      <c r="NPR112" s="1370"/>
      <c r="NPS112" s="1370"/>
      <c r="NPT112" s="1370"/>
      <c r="NPU112" s="1370"/>
      <c r="NPV112" s="1370"/>
      <c r="NPW112" s="1370"/>
      <c r="NPX112" s="1370"/>
      <c r="NPY112" s="1370"/>
      <c r="NPZ112" s="1370"/>
      <c r="NQA112" s="1370"/>
      <c r="NQB112" s="1370"/>
      <c r="NQC112" s="1370"/>
      <c r="NQD112" s="1370"/>
      <c r="NQE112" s="1370"/>
      <c r="NQF112" s="1370"/>
      <c r="NQG112" s="1370"/>
      <c r="NQH112" s="1370"/>
      <c r="NQI112" s="1370"/>
      <c r="NQJ112" s="1370"/>
      <c r="NQK112" s="1370"/>
      <c r="NQL112" s="1370"/>
      <c r="NQM112" s="1370"/>
      <c r="NQN112" s="1370"/>
      <c r="NQO112" s="1370"/>
      <c r="NQP112" s="1370"/>
      <c r="NQQ112" s="1370"/>
      <c r="NQR112" s="1370"/>
      <c r="NQS112" s="1370"/>
      <c r="NQT112" s="1370"/>
      <c r="NQU112" s="1370"/>
      <c r="NQV112" s="1370"/>
      <c r="NQW112" s="1370"/>
      <c r="NQX112" s="1370"/>
      <c r="NQY112" s="1370"/>
      <c r="NQZ112" s="1370"/>
      <c r="NRA112" s="1370"/>
      <c r="NRB112" s="1370"/>
      <c r="NRC112" s="1370"/>
      <c r="NRD112" s="1370"/>
      <c r="NRE112" s="1370"/>
      <c r="NRF112" s="1370"/>
      <c r="NRG112" s="1370"/>
      <c r="NRH112" s="1370"/>
      <c r="NRI112" s="1370"/>
      <c r="NRJ112" s="1370"/>
      <c r="NRK112" s="1370"/>
      <c r="NRL112" s="1370"/>
      <c r="NRM112" s="1370"/>
      <c r="NRN112" s="1370"/>
      <c r="NRO112" s="1370"/>
      <c r="NRP112" s="1370"/>
      <c r="NRQ112" s="1370"/>
      <c r="NRR112" s="1370"/>
      <c r="NRS112" s="1370"/>
      <c r="NRT112" s="1370"/>
      <c r="NRU112" s="1370"/>
      <c r="NRV112" s="1370"/>
      <c r="NRW112" s="1370"/>
      <c r="NRX112" s="1370"/>
      <c r="NRY112" s="1370"/>
      <c r="NRZ112" s="1370"/>
      <c r="NSA112" s="1370"/>
      <c r="NSB112" s="1370"/>
      <c r="NSC112" s="1370"/>
      <c r="NSD112" s="1370"/>
      <c r="NSE112" s="1370"/>
      <c r="NSF112" s="1370"/>
      <c r="NSG112" s="1370"/>
      <c r="NSH112" s="1370"/>
      <c r="NSI112" s="1370"/>
      <c r="NSJ112" s="1370"/>
      <c r="NSK112" s="1370"/>
      <c r="NSL112" s="1370"/>
      <c r="NSM112" s="1370"/>
      <c r="NSN112" s="1370"/>
      <c r="NSO112" s="1370"/>
      <c r="NSP112" s="1370"/>
      <c r="NSQ112" s="1370"/>
      <c r="NSR112" s="1370"/>
      <c r="NSS112" s="1370"/>
      <c r="NST112" s="1370"/>
      <c r="NSU112" s="1370"/>
      <c r="NSV112" s="1370"/>
      <c r="NSW112" s="1370"/>
      <c r="NSX112" s="1370"/>
      <c r="NSY112" s="1370"/>
      <c r="NSZ112" s="1370"/>
      <c r="NTA112" s="1370"/>
      <c r="NTB112" s="1370"/>
      <c r="NTC112" s="1370"/>
      <c r="NTD112" s="1370"/>
      <c r="NTE112" s="1370"/>
      <c r="NTF112" s="1370"/>
      <c r="NTG112" s="1370"/>
      <c r="NTH112" s="1370"/>
      <c r="NTI112" s="1370"/>
      <c r="NTJ112" s="1370"/>
      <c r="NTK112" s="1370"/>
      <c r="NTL112" s="1370"/>
      <c r="NTM112" s="1370"/>
      <c r="NTN112" s="1370"/>
      <c r="NTO112" s="1370"/>
      <c r="NTP112" s="1370"/>
      <c r="NTQ112" s="1370"/>
      <c r="NTR112" s="1370"/>
      <c r="NTS112" s="1370"/>
      <c r="NTT112" s="1370"/>
      <c r="NTU112" s="1370"/>
      <c r="NTV112" s="1370"/>
      <c r="NTW112" s="1370"/>
      <c r="NTX112" s="1370"/>
      <c r="NTY112" s="1370"/>
      <c r="NTZ112" s="1370"/>
      <c r="NUA112" s="1370"/>
      <c r="NUB112" s="1370"/>
      <c r="NUC112" s="1370"/>
      <c r="NUD112" s="1370"/>
      <c r="NUE112" s="1370"/>
      <c r="NUF112" s="1370"/>
      <c r="NUG112" s="1370"/>
      <c r="NUH112" s="1370"/>
      <c r="NUI112" s="1370"/>
      <c r="NUJ112" s="1370"/>
      <c r="NUK112" s="1370"/>
      <c r="NUL112" s="1370"/>
      <c r="NUM112" s="1370"/>
      <c r="NUN112" s="1370"/>
      <c r="NUO112" s="1370"/>
      <c r="NUP112" s="1370"/>
      <c r="NUQ112" s="1370"/>
      <c r="NUR112" s="1370"/>
      <c r="NUS112" s="1370"/>
      <c r="NUT112" s="1370"/>
      <c r="NUU112" s="1370"/>
      <c r="NUV112" s="1370"/>
      <c r="NUW112" s="1370"/>
      <c r="NUX112" s="1370"/>
      <c r="NUY112" s="1370"/>
      <c r="NUZ112" s="1370"/>
      <c r="NVA112" s="1370"/>
      <c r="NVB112" s="1370"/>
      <c r="NVC112" s="1370"/>
      <c r="NVD112" s="1370"/>
      <c r="NVE112" s="1370"/>
      <c r="NVF112" s="1370"/>
      <c r="NVG112" s="1370"/>
      <c r="NVH112" s="1370"/>
      <c r="NVI112" s="1370"/>
      <c r="NVJ112" s="1370"/>
      <c r="NVK112" s="1370"/>
      <c r="NVL112" s="1370"/>
      <c r="NVM112" s="1370"/>
      <c r="NVN112" s="1370"/>
      <c r="NVO112" s="1370"/>
      <c r="NVP112" s="1370"/>
      <c r="NVQ112" s="1370"/>
      <c r="NVR112" s="1370"/>
      <c r="NVS112" s="1370"/>
      <c r="NVT112" s="1370"/>
      <c r="NVU112" s="1370"/>
      <c r="NVV112" s="1370"/>
      <c r="NVW112" s="1370"/>
      <c r="NVX112" s="1370"/>
      <c r="NVY112" s="1370"/>
      <c r="NVZ112" s="1370"/>
      <c r="NWA112" s="1370"/>
      <c r="NWB112" s="1370"/>
      <c r="NWC112" s="1370"/>
      <c r="NWD112" s="1370"/>
      <c r="NWE112" s="1370"/>
      <c r="NWF112" s="1370"/>
      <c r="NWG112" s="1370"/>
      <c r="NWH112" s="1370"/>
      <c r="NWI112" s="1370"/>
      <c r="NWJ112" s="1370"/>
      <c r="NWK112" s="1370"/>
      <c r="NWL112" s="1370"/>
      <c r="NWM112" s="1370"/>
      <c r="NWN112" s="1370"/>
      <c r="NWO112" s="1370"/>
      <c r="NWP112" s="1370"/>
      <c r="NWQ112" s="1370"/>
      <c r="NWR112" s="1370"/>
      <c r="NWS112" s="1370"/>
      <c r="NWT112" s="1370"/>
      <c r="NWU112" s="1370"/>
      <c r="NWV112" s="1370"/>
      <c r="NWW112" s="1370"/>
      <c r="NWX112" s="1370"/>
      <c r="NWY112" s="1370"/>
      <c r="NWZ112" s="1370"/>
      <c r="NXA112" s="1370"/>
      <c r="NXB112" s="1370"/>
      <c r="NXC112" s="1370"/>
      <c r="NXD112" s="1370"/>
      <c r="NXE112" s="1370"/>
      <c r="NXF112" s="1370"/>
      <c r="NXG112" s="1370"/>
      <c r="NXH112" s="1370"/>
      <c r="NXI112" s="1370"/>
      <c r="NXJ112" s="1370"/>
      <c r="NXK112" s="1370"/>
      <c r="NXL112" s="1370"/>
      <c r="NXM112" s="1370"/>
      <c r="NXN112" s="1370"/>
      <c r="NXO112" s="1370"/>
      <c r="NXP112" s="1370"/>
      <c r="NXQ112" s="1370"/>
      <c r="NXR112" s="1370"/>
      <c r="NXS112" s="1370"/>
      <c r="NXT112" s="1370"/>
      <c r="NXU112" s="1370"/>
      <c r="NXV112" s="1370"/>
      <c r="NXW112" s="1370"/>
      <c r="NXX112" s="1370"/>
      <c r="NXY112" s="1370"/>
      <c r="NXZ112" s="1370"/>
      <c r="NYA112" s="1370"/>
      <c r="NYB112" s="1370"/>
      <c r="NYC112" s="1370"/>
      <c r="NYD112" s="1370"/>
      <c r="NYE112" s="1370"/>
      <c r="NYF112" s="1370"/>
      <c r="NYG112" s="1370"/>
      <c r="NYH112" s="1370"/>
      <c r="NYI112" s="1370"/>
      <c r="NYJ112" s="1370"/>
      <c r="NYK112" s="1370"/>
      <c r="NYL112" s="1370"/>
      <c r="NYM112" s="1370"/>
      <c r="NYN112" s="1370"/>
      <c r="NYO112" s="1370"/>
      <c r="NYP112" s="1370"/>
      <c r="NYQ112" s="1370"/>
      <c r="NYR112" s="1370"/>
      <c r="NYS112" s="1370"/>
      <c r="NYT112" s="1370"/>
      <c r="NYU112" s="1370"/>
      <c r="NYV112" s="1370"/>
      <c r="NYW112" s="1370"/>
      <c r="NYX112" s="1370"/>
      <c r="NYY112" s="1370"/>
      <c r="NYZ112" s="1370"/>
      <c r="NZA112" s="1370"/>
      <c r="NZB112" s="1370"/>
      <c r="NZC112" s="1370"/>
      <c r="NZD112" s="1370"/>
      <c r="NZE112" s="1370"/>
      <c r="NZF112" s="1370"/>
      <c r="NZG112" s="1370"/>
      <c r="NZH112" s="1370"/>
      <c r="NZI112" s="1370"/>
      <c r="NZJ112" s="1370"/>
      <c r="NZK112" s="1370"/>
      <c r="NZL112" s="1370"/>
      <c r="NZM112" s="1370"/>
      <c r="NZN112" s="1370"/>
      <c r="NZO112" s="1370"/>
      <c r="NZP112" s="1370"/>
      <c r="NZQ112" s="1370"/>
      <c r="NZR112" s="1370"/>
      <c r="NZS112" s="1370"/>
      <c r="NZT112" s="1370"/>
      <c r="NZU112" s="1370"/>
      <c r="NZV112" s="1370"/>
      <c r="NZW112" s="1370"/>
      <c r="NZX112" s="1370"/>
      <c r="NZY112" s="1370"/>
      <c r="NZZ112" s="1370"/>
      <c r="OAA112" s="1370"/>
      <c r="OAB112" s="1370"/>
      <c r="OAC112" s="1370"/>
      <c r="OAD112" s="1370"/>
      <c r="OAE112" s="1370"/>
      <c r="OAF112" s="1370"/>
      <c r="OAG112" s="1370"/>
      <c r="OAH112" s="1370"/>
      <c r="OAI112" s="1370"/>
      <c r="OAJ112" s="1370"/>
      <c r="OAK112" s="1370"/>
      <c r="OAL112" s="1370"/>
      <c r="OAM112" s="1370"/>
      <c r="OAN112" s="1370"/>
      <c r="OAO112" s="1370"/>
      <c r="OAP112" s="1370"/>
      <c r="OAQ112" s="1370"/>
      <c r="OAR112" s="1370"/>
      <c r="OAS112" s="1370"/>
      <c r="OAT112" s="1370"/>
      <c r="OAU112" s="1370"/>
      <c r="OAV112" s="1370"/>
      <c r="OAW112" s="1370"/>
      <c r="OAX112" s="1370"/>
      <c r="OAY112" s="1370"/>
      <c r="OAZ112" s="1370"/>
      <c r="OBA112" s="1370"/>
      <c r="OBB112" s="1370"/>
      <c r="OBC112" s="1370"/>
      <c r="OBD112" s="1370"/>
      <c r="OBE112" s="1370"/>
      <c r="OBF112" s="1370"/>
      <c r="OBG112" s="1370"/>
      <c r="OBH112" s="1370"/>
      <c r="OBI112" s="1370"/>
      <c r="OBJ112" s="1370"/>
      <c r="OBK112" s="1370"/>
      <c r="OBL112" s="1370"/>
      <c r="OBM112" s="1370"/>
      <c r="OBN112" s="1370"/>
      <c r="OBO112" s="1370"/>
      <c r="OBP112" s="1370"/>
      <c r="OBQ112" s="1370"/>
      <c r="OBR112" s="1370"/>
      <c r="OBS112" s="1370"/>
      <c r="OBT112" s="1370"/>
      <c r="OBU112" s="1370"/>
      <c r="OBV112" s="1370"/>
      <c r="OBW112" s="1370"/>
      <c r="OBX112" s="1370"/>
      <c r="OBY112" s="1370"/>
      <c r="OBZ112" s="1370"/>
      <c r="OCA112" s="1370"/>
      <c r="OCB112" s="1370"/>
      <c r="OCC112" s="1370"/>
      <c r="OCD112" s="1370"/>
      <c r="OCE112" s="1370"/>
      <c r="OCF112" s="1370"/>
      <c r="OCG112" s="1370"/>
      <c r="OCH112" s="1370"/>
      <c r="OCI112" s="1370"/>
      <c r="OCJ112" s="1370"/>
      <c r="OCK112" s="1370"/>
      <c r="OCL112" s="1370"/>
      <c r="OCM112" s="1370"/>
      <c r="OCN112" s="1370"/>
      <c r="OCO112" s="1370"/>
      <c r="OCP112" s="1370"/>
      <c r="OCQ112" s="1370"/>
      <c r="OCR112" s="1370"/>
      <c r="OCS112" s="1370"/>
      <c r="OCT112" s="1370"/>
      <c r="OCU112" s="1370"/>
      <c r="OCV112" s="1370"/>
      <c r="OCW112" s="1370"/>
      <c r="OCX112" s="1370"/>
      <c r="OCY112" s="1370"/>
      <c r="OCZ112" s="1370"/>
      <c r="ODA112" s="1370"/>
      <c r="ODB112" s="1370"/>
      <c r="ODC112" s="1370"/>
      <c r="ODD112" s="1370"/>
      <c r="ODE112" s="1370"/>
      <c r="ODF112" s="1370"/>
      <c r="ODG112" s="1370"/>
      <c r="ODH112" s="1370"/>
      <c r="ODI112" s="1370"/>
      <c r="ODJ112" s="1370"/>
      <c r="ODK112" s="1370"/>
      <c r="ODL112" s="1370"/>
      <c r="ODM112" s="1370"/>
      <c r="ODN112" s="1370"/>
      <c r="ODO112" s="1370"/>
      <c r="ODP112" s="1370"/>
      <c r="ODQ112" s="1370"/>
      <c r="ODR112" s="1370"/>
      <c r="ODS112" s="1370"/>
      <c r="ODT112" s="1370"/>
      <c r="ODU112" s="1370"/>
      <c r="ODV112" s="1370"/>
      <c r="ODW112" s="1370"/>
      <c r="ODX112" s="1370"/>
      <c r="ODY112" s="1370"/>
      <c r="ODZ112" s="1370"/>
      <c r="OEA112" s="1370"/>
      <c r="OEB112" s="1370"/>
      <c r="OEC112" s="1370"/>
      <c r="OED112" s="1370"/>
      <c r="OEE112" s="1370"/>
      <c r="OEF112" s="1370"/>
      <c r="OEG112" s="1370"/>
      <c r="OEH112" s="1370"/>
      <c r="OEI112" s="1370"/>
      <c r="OEJ112" s="1370"/>
      <c r="OEK112" s="1370"/>
      <c r="OEL112" s="1370"/>
      <c r="OEM112" s="1370"/>
      <c r="OEN112" s="1370"/>
      <c r="OEO112" s="1370"/>
      <c r="OEP112" s="1370"/>
      <c r="OEQ112" s="1370"/>
      <c r="OER112" s="1370"/>
      <c r="OES112" s="1370"/>
      <c r="OET112" s="1370"/>
      <c r="OEU112" s="1370"/>
      <c r="OEV112" s="1370"/>
      <c r="OEW112" s="1370"/>
      <c r="OEX112" s="1370"/>
      <c r="OEY112" s="1370"/>
      <c r="OEZ112" s="1370"/>
      <c r="OFA112" s="1370"/>
      <c r="OFB112" s="1370"/>
      <c r="OFC112" s="1370"/>
      <c r="OFD112" s="1370"/>
      <c r="OFE112" s="1370"/>
      <c r="OFF112" s="1370"/>
      <c r="OFG112" s="1370"/>
      <c r="OFH112" s="1370"/>
      <c r="OFI112" s="1370"/>
      <c r="OFJ112" s="1370"/>
      <c r="OFK112" s="1370"/>
      <c r="OFL112" s="1370"/>
      <c r="OFM112" s="1370"/>
      <c r="OFN112" s="1370"/>
      <c r="OFO112" s="1370"/>
      <c r="OFP112" s="1370"/>
      <c r="OFQ112" s="1370"/>
      <c r="OFR112" s="1370"/>
      <c r="OFS112" s="1370"/>
      <c r="OFT112" s="1370"/>
      <c r="OFU112" s="1370"/>
      <c r="OFV112" s="1370"/>
      <c r="OFW112" s="1370"/>
      <c r="OFX112" s="1370"/>
      <c r="OFY112" s="1370"/>
      <c r="OFZ112" s="1370"/>
      <c r="OGA112" s="1370"/>
      <c r="OGB112" s="1370"/>
      <c r="OGC112" s="1370"/>
      <c r="OGD112" s="1370"/>
      <c r="OGE112" s="1370"/>
      <c r="OGF112" s="1370"/>
      <c r="OGG112" s="1370"/>
      <c r="OGH112" s="1370"/>
      <c r="OGI112" s="1370"/>
      <c r="OGJ112" s="1370"/>
      <c r="OGK112" s="1370"/>
      <c r="OGL112" s="1370"/>
      <c r="OGM112" s="1370"/>
      <c r="OGN112" s="1370"/>
      <c r="OGO112" s="1370"/>
      <c r="OGP112" s="1370"/>
      <c r="OGQ112" s="1370"/>
      <c r="OGR112" s="1370"/>
      <c r="OGS112" s="1370"/>
      <c r="OGT112" s="1370"/>
      <c r="OGU112" s="1370"/>
      <c r="OGV112" s="1370"/>
      <c r="OGW112" s="1370"/>
      <c r="OGX112" s="1370"/>
      <c r="OGY112" s="1370"/>
      <c r="OGZ112" s="1370"/>
      <c r="OHA112" s="1370"/>
      <c r="OHB112" s="1370"/>
      <c r="OHC112" s="1370"/>
      <c r="OHD112" s="1370"/>
      <c r="OHE112" s="1370"/>
      <c r="OHF112" s="1370"/>
      <c r="OHG112" s="1370"/>
      <c r="OHH112" s="1370"/>
      <c r="OHI112" s="1370"/>
      <c r="OHJ112" s="1370"/>
      <c r="OHK112" s="1370"/>
      <c r="OHL112" s="1370"/>
      <c r="OHM112" s="1370"/>
      <c r="OHN112" s="1370"/>
      <c r="OHO112" s="1370"/>
      <c r="OHP112" s="1370"/>
      <c r="OHQ112" s="1370"/>
      <c r="OHR112" s="1370"/>
      <c r="OHS112" s="1370"/>
      <c r="OHT112" s="1370"/>
      <c r="OHU112" s="1370"/>
      <c r="OHV112" s="1370"/>
      <c r="OHW112" s="1370"/>
      <c r="OHX112" s="1370"/>
      <c r="OHY112" s="1370"/>
      <c r="OHZ112" s="1370"/>
      <c r="OIA112" s="1370"/>
      <c r="OIB112" s="1370"/>
      <c r="OIC112" s="1370"/>
      <c r="OID112" s="1370"/>
      <c r="OIE112" s="1370"/>
      <c r="OIF112" s="1370"/>
      <c r="OIG112" s="1370"/>
      <c r="OIH112" s="1370"/>
      <c r="OII112" s="1370"/>
      <c r="OIJ112" s="1370"/>
      <c r="OIK112" s="1370"/>
      <c r="OIL112" s="1370"/>
      <c r="OIM112" s="1370"/>
      <c r="OIN112" s="1370"/>
      <c r="OIO112" s="1370"/>
      <c r="OIP112" s="1370"/>
      <c r="OIQ112" s="1370"/>
      <c r="OIR112" s="1370"/>
      <c r="OIS112" s="1370"/>
      <c r="OIT112" s="1370"/>
      <c r="OIU112" s="1370"/>
      <c r="OIV112" s="1370"/>
      <c r="OIW112" s="1370"/>
      <c r="OIX112" s="1370"/>
      <c r="OIY112" s="1370"/>
      <c r="OIZ112" s="1370"/>
      <c r="OJA112" s="1370"/>
      <c r="OJB112" s="1370"/>
      <c r="OJC112" s="1370"/>
      <c r="OJD112" s="1370"/>
      <c r="OJE112" s="1370"/>
      <c r="OJF112" s="1370"/>
      <c r="OJG112" s="1370"/>
      <c r="OJH112" s="1370"/>
      <c r="OJI112" s="1370"/>
      <c r="OJJ112" s="1370"/>
      <c r="OJK112" s="1370"/>
      <c r="OJL112" s="1370"/>
      <c r="OJM112" s="1370"/>
      <c r="OJN112" s="1370"/>
      <c r="OJO112" s="1370"/>
      <c r="OJP112" s="1370"/>
      <c r="OJQ112" s="1370"/>
      <c r="OJR112" s="1370"/>
      <c r="OJS112" s="1370"/>
      <c r="OJT112" s="1370"/>
      <c r="OJU112" s="1370"/>
      <c r="OJV112" s="1370"/>
      <c r="OJW112" s="1370"/>
      <c r="OJX112" s="1370"/>
      <c r="OJY112" s="1370"/>
      <c r="OJZ112" s="1370"/>
      <c r="OKA112" s="1370"/>
      <c r="OKB112" s="1370"/>
      <c r="OKC112" s="1370"/>
      <c r="OKD112" s="1370"/>
      <c r="OKE112" s="1370"/>
      <c r="OKF112" s="1370"/>
      <c r="OKG112" s="1370"/>
      <c r="OKH112" s="1370"/>
      <c r="OKI112" s="1370"/>
      <c r="OKJ112" s="1370"/>
      <c r="OKK112" s="1370"/>
      <c r="OKL112" s="1370"/>
      <c r="OKM112" s="1370"/>
      <c r="OKN112" s="1370"/>
      <c r="OKO112" s="1370"/>
      <c r="OKP112" s="1370"/>
      <c r="OKQ112" s="1370"/>
      <c r="OKR112" s="1370"/>
      <c r="OKS112" s="1370"/>
      <c r="OKT112" s="1370"/>
      <c r="OKU112" s="1370"/>
      <c r="OKV112" s="1370"/>
      <c r="OKW112" s="1370"/>
      <c r="OKX112" s="1370"/>
      <c r="OKY112" s="1370"/>
      <c r="OKZ112" s="1370"/>
      <c r="OLA112" s="1370"/>
      <c r="OLB112" s="1370"/>
      <c r="OLC112" s="1370"/>
      <c r="OLD112" s="1370"/>
      <c r="OLE112" s="1370"/>
      <c r="OLF112" s="1370"/>
      <c r="OLG112" s="1370"/>
      <c r="OLH112" s="1370"/>
      <c r="OLI112" s="1370"/>
      <c r="OLJ112" s="1370"/>
      <c r="OLK112" s="1370"/>
      <c r="OLL112" s="1370"/>
      <c r="OLM112" s="1370"/>
      <c r="OLN112" s="1370"/>
      <c r="OLO112" s="1370"/>
      <c r="OLP112" s="1370"/>
      <c r="OLQ112" s="1370"/>
      <c r="OLR112" s="1370"/>
      <c r="OLS112" s="1370"/>
      <c r="OLT112" s="1370"/>
      <c r="OLU112" s="1370"/>
      <c r="OLV112" s="1370"/>
      <c r="OLW112" s="1370"/>
      <c r="OLX112" s="1370"/>
      <c r="OLY112" s="1370"/>
      <c r="OLZ112" s="1370"/>
      <c r="OMA112" s="1370"/>
      <c r="OMB112" s="1370"/>
      <c r="OMC112" s="1370"/>
      <c r="OMD112" s="1370"/>
      <c r="OME112" s="1370"/>
      <c r="OMF112" s="1370"/>
      <c r="OMG112" s="1370"/>
      <c r="OMH112" s="1370"/>
      <c r="OMI112" s="1370"/>
      <c r="OMJ112" s="1370"/>
      <c r="OMK112" s="1370"/>
      <c r="OML112" s="1370"/>
      <c r="OMM112" s="1370"/>
      <c r="OMN112" s="1370"/>
      <c r="OMO112" s="1370"/>
      <c r="OMP112" s="1370"/>
      <c r="OMQ112" s="1370"/>
      <c r="OMR112" s="1370"/>
      <c r="OMS112" s="1370"/>
      <c r="OMT112" s="1370"/>
      <c r="OMU112" s="1370"/>
      <c r="OMV112" s="1370"/>
      <c r="OMW112" s="1370"/>
      <c r="OMX112" s="1370"/>
      <c r="OMY112" s="1370"/>
      <c r="OMZ112" s="1370"/>
      <c r="ONA112" s="1370"/>
      <c r="ONB112" s="1370"/>
      <c r="ONC112" s="1370"/>
      <c r="OND112" s="1370"/>
      <c r="ONE112" s="1370"/>
      <c r="ONF112" s="1370"/>
      <c r="ONG112" s="1370"/>
      <c r="ONH112" s="1370"/>
      <c r="ONI112" s="1370"/>
      <c r="ONJ112" s="1370"/>
      <c r="ONK112" s="1370"/>
      <c r="ONL112" s="1370"/>
      <c r="ONM112" s="1370"/>
      <c r="ONN112" s="1370"/>
      <c r="ONO112" s="1370"/>
      <c r="ONP112" s="1370"/>
      <c r="ONQ112" s="1370"/>
      <c r="ONR112" s="1370"/>
      <c r="ONS112" s="1370"/>
      <c r="ONT112" s="1370"/>
      <c r="ONU112" s="1370"/>
      <c r="ONV112" s="1370"/>
      <c r="ONW112" s="1370"/>
      <c r="ONX112" s="1370"/>
      <c r="ONY112" s="1370"/>
      <c r="ONZ112" s="1370"/>
      <c r="OOA112" s="1370"/>
      <c r="OOB112" s="1370"/>
      <c r="OOC112" s="1370"/>
      <c r="OOD112" s="1370"/>
      <c r="OOE112" s="1370"/>
      <c r="OOF112" s="1370"/>
      <c r="OOG112" s="1370"/>
      <c r="OOH112" s="1370"/>
      <c r="OOI112" s="1370"/>
      <c r="OOJ112" s="1370"/>
      <c r="OOK112" s="1370"/>
      <c r="OOL112" s="1370"/>
      <c r="OOM112" s="1370"/>
      <c r="OON112" s="1370"/>
      <c r="OOO112" s="1370"/>
      <c r="OOP112" s="1370"/>
      <c r="OOQ112" s="1370"/>
      <c r="OOR112" s="1370"/>
      <c r="OOS112" s="1370"/>
      <c r="OOT112" s="1370"/>
      <c r="OOU112" s="1370"/>
      <c r="OOV112" s="1370"/>
      <c r="OOW112" s="1370"/>
      <c r="OOX112" s="1370"/>
      <c r="OOY112" s="1370"/>
      <c r="OOZ112" s="1370"/>
      <c r="OPA112" s="1370"/>
      <c r="OPB112" s="1370"/>
      <c r="OPC112" s="1370"/>
      <c r="OPD112" s="1370"/>
      <c r="OPE112" s="1370"/>
      <c r="OPF112" s="1370"/>
      <c r="OPG112" s="1370"/>
      <c r="OPH112" s="1370"/>
      <c r="OPI112" s="1370"/>
      <c r="OPJ112" s="1370"/>
      <c r="OPK112" s="1370"/>
      <c r="OPL112" s="1370"/>
      <c r="OPM112" s="1370"/>
      <c r="OPN112" s="1370"/>
      <c r="OPO112" s="1370"/>
      <c r="OPP112" s="1370"/>
      <c r="OPQ112" s="1370"/>
      <c r="OPR112" s="1370"/>
      <c r="OPS112" s="1370"/>
      <c r="OPT112" s="1370"/>
      <c r="OPU112" s="1370"/>
      <c r="OPV112" s="1370"/>
      <c r="OPW112" s="1370"/>
      <c r="OPX112" s="1370"/>
      <c r="OPY112" s="1370"/>
      <c r="OPZ112" s="1370"/>
      <c r="OQA112" s="1370"/>
      <c r="OQB112" s="1370"/>
      <c r="OQC112" s="1370"/>
      <c r="OQD112" s="1370"/>
      <c r="OQE112" s="1370"/>
      <c r="OQF112" s="1370"/>
      <c r="OQG112" s="1370"/>
      <c r="OQH112" s="1370"/>
      <c r="OQI112" s="1370"/>
      <c r="OQJ112" s="1370"/>
      <c r="OQK112" s="1370"/>
      <c r="OQL112" s="1370"/>
      <c r="OQM112" s="1370"/>
      <c r="OQN112" s="1370"/>
      <c r="OQO112" s="1370"/>
      <c r="OQP112" s="1370"/>
      <c r="OQQ112" s="1370"/>
      <c r="OQR112" s="1370"/>
      <c r="OQS112" s="1370"/>
      <c r="OQT112" s="1370"/>
      <c r="OQU112" s="1370"/>
      <c r="OQV112" s="1370"/>
      <c r="OQW112" s="1370"/>
      <c r="OQX112" s="1370"/>
      <c r="OQY112" s="1370"/>
      <c r="OQZ112" s="1370"/>
      <c r="ORA112" s="1370"/>
      <c r="ORB112" s="1370"/>
      <c r="ORC112" s="1370"/>
      <c r="ORD112" s="1370"/>
      <c r="ORE112" s="1370"/>
      <c r="ORF112" s="1370"/>
      <c r="ORG112" s="1370"/>
      <c r="ORH112" s="1370"/>
      <c r="ORI112" s="1370"/>
      <c r="ORJ112" s="1370"/>
      <c r="ORK112" s="1370"/>
      <c r="ORL112" s="1370"/>
      <c r="ORM112" s="1370"/>
      <c r="ORN112" s="1370"/>
      <c r="ORO112" s="1370"/>
      <c r="ORP112" s="1370"/>
      <c r="ORQ112" s="1370"/>
      <c r="ORR112" s="1370"/>
      <c r="ORS112" s="1370"/>
      <c r="ORT112" s="1370"/>
      <c r="ORU112" s="1370"/>
      <c r="ORV112" s="1370"/>
      <c r="ORW112" s="1370"/>
      <c r="ORX112" s="1370"/>
      <c r="ORY112" s="1370"/>
      <c r="ORZ112" s="1370"/>
      <c r="OSA112" s="1370"/>
      <c r="OSB112" s="1370"/>
      <c r="OSC112" s="1370"/>
      <c r="OSD112" s="1370"/>
      <c r="OSE112" s="1370"/>
      <c r="OSF112" s="1370"/>
      <c r="OSG112" s="1370"/>
      <c r="OSH112" s="1370"/>
      <c r="OSI112" s="1370"/>
      <c r="OSJ112" s="1370"/>
      <c r="OSK112" s="1370"/>
      <c r="OSL112" s="1370"/>
      <c r="OSM112" s="1370"/>
      <c r="OSN112" s="1370"/>
      <c r="OSO112" s="1370"/>
      <c r="OSP112" s="1370"/>
      <c r="OSQ112" s="1370"/>
      <c r="OSR112" s="1370"/>
      <c r="OSS112" s="1370"/>
      <c r="OST112" s="1370"/>
      <c r="OSU112" s="1370"/>
      <c r="OSV112" s="1370"/>
      <c r="OSW112" s="1370"/>
      <c r="OSX112" s="1370"/>
      <c r="OSY112" s="1370"/>
      <c r="OSZ112" s="1370"/>
      <c r="OTA112" s="1370"/>
      <c r="OTB112" s="1370"/>
      <c r="OTC112" s="1370"/>
      <c r="OTD112" s="1370"/>
      <c r="OTE112" s="1370"/>
      <c r="OTF112" s="1370"/>
      <c r="OTG112" s="1370"/>
      <c r="OTH112" s="1370"/>
      <c r="OTI112" s="1370"/>
      <c r="OTJ112" s="1370"/>
      <c r="OTK112" s="1370"/>
      <c r="OTL112" s="1370"/>
      <c r="OTM112" s="1370"/>
      <c r="OTN112" s="1370"/>
      <c r="OTO112" s="1370"/>
      <c r="OTP112" s="1370"/>
      <c r="OTQ112" s="1370"/>
      <c r="OTR112" s="1370"/>
      <c r="OTS112" s="1370"/>
      <c r="OTT112" s="1370"/>
      <c r="OTU112" s="1370"/>
      <c r="OTV112" s="1370"/>
      <c r="OTW112" s="1370"/>
      <c r="OTX112" s="1370"/>
      <c r="OTY112" s="1370"/>
      <c r="OTZ112" s="1370"/>
      <c r="OUA112" s="1370"/>
      <c r="OUB112" s="1370"/>
      <c r="OUC112" s="1370"/>
      <c r="OUD112" s="1370"/>
      <c r="OUE112" s="1370"/>
      <c r="OUF112" s="1370"/>
      <c r="OUG112" s="1370"/>
      <c r="OUH112" s="1370"/>
      <c r="OUI112" s="1370"/>
      <c r="OUJ112" s="1370"/>
      <c r="OUK112" s="1370"/>
      <c r="OUL112" s="1370"/>
      <c r="OUM112" s="1370"/>
      <c r="OUN112" s="1370"/>
      <c r="OUO112" s="1370"/>
      <c r="OUP112" s="1370"/>
      <c r="OUQ112" s="1370"/>
      <c r="OUR112" s="1370"/>
      <c r="OUS112" s="1370"/>
      <c r="OUT112" s="1370"/>
      <c r="OUU112" s="1370"/>
      <c r="OUV112" s="1370"/>
      <c r="OUW112" s="1370"/>
      <c r="OUX112" s="1370"/>
      <c r="OUY112" s="1370"/>
      <c r="OUZ112" s="1370"/>
      <c r="OVA112" s="1370"/>
      <c r="OVB112" s="1370"/>
      <c r="OVC112" s="1370"/>
      <c r="OVD112" s="1370"/>
      <c r="OVE112" s="1370"/>
      <c r="OVF112" s="1370"/>
      <c r="OVG112" s="1370"/>
      <c r="OVH112" s="1370"/>
      <c r="OVI112" s="1370"/>
      <c r="OVJ112" s="1370"/>
      <c r="OVK112" s="1370"/>
      <c r="OVL112" s="1370"/>
      <c r="OVM112" s="1370"/>
      <c r="OVN112" s="1370"/>
      <c r="OVO112" s="1370"/>
      <c r="OVP112" s="1370"/>
      <c r="OVQ112" s="1370"/>
      <c r="OVR112" s="1370"/>
      <c r="OVS112" s="1370"/>
      <c r="OVT112" s="1370"/>
      <c r="OVU112" s="1370"/>
      <c r="OVV112" s="1370"/>
      <c r="OVW112" s="1370"/>
      <c r="OVX112" s="1370"/>
      <c r="OVY112" s="1370"/>
      <c r="OVZ112" s="1370"/>
      <c r="OWA112" s="1370"/>
      <c r="OWB112" s="1370"/>
      <c r="OWC112" s="1370"/>
      <c r="OWD112" s="1370"/>
      <c r="OWE112" s="1370"/>
      <c r="OWF112" s="1370"/>
      <c r="OWG112" s="1370"/>
      <c r="OWH112" s="1370"/>
      <c r="OWI112" s="1370"/>
      <c r="OWJ112" s="1370"/>
      <c r="OWK112" s="1370"/>
      <c r="OWL112" s="1370"/>
      <c r="OWM112" s="1370"/>
      <c r="OWN112" s="1370"/>
      <c r="OWO112" s="1370"/>
      <c r="OWP112" s="1370"/>
      <c r="OWQ112" s="1370"/>
      <c r="OWR112" s="1370"/>
      <c r="OWS112" s="1370"/>
      <c r="OWT112" s="1370"/>
      <c r="OWU112" s="1370"/>
      <c r="OWV112" s="1370"/>
      <c r="OWW112" s="1370"/>
      <c r="OWX112" s="1370"/>
      <c r="OWY112" s="1370"/>
      <c r="OWZ112" s="1370"/>
      <c r="OXA112" s="1370"/>
      <c r="OXB112" s="1370"/>
      <c r="OXC112" s="1370"/>
      <c r="OXD112" s="1370"/>
      <c r="OXE112" s="1370"/>
      <c r="OXF112" s="1370"/>
      <c r="OXG112" s="1370"/>
      <c r="OXH112" s="1370"/>
      <c r="OXI112" s="1370"/>
      <c r="OXJ112" s="1370"/>
      <c r="OXK112" s="1370"/>
      <c r="OXL112" s="1370"/>
      <c r="OXM112" s="1370"/>
      <c r="OXN112" s="1370"/>
      <c r="OXO112" s="1370"/>
      <c r="OXP112" s="1370"/>
      <c r="OXQ112" s="1370"/>
      <c r="OXR112" s="1370"/>
      <c r="OXS112" s="1370"/>
      <c r="OXT112" s="1370"/>
      <c r="OXU112" s="1370"/>
      <c r="OXV112" s="1370"/>
      <c r="OXW112" s="1370"/>
      <c r="OXX112" s="1370"/>
      <c r="OXY112" s="1370"/>
      <c r="OXZ112" s="1370"/>
      <c r="OYA112" s="1370"/>
      <c r="OYB112" s="1370"/>
      <c r="OYC112" s="1370"/>
      <c r="OYD112" s="1370"/>
      <c r="OYE112" s="1370"/>
      <c r="OYF112" s="1370"/>
      <c r="OYG112" s="1370"/>
      <c r="OYH112" s="1370"/>
      <c r="OYI112" s="1370"/>
      <c r="OYJ112" s="1370"/>
      <c r="OYK112" s="1370"/>
      <c r="OYL112" s="1370"/>
      <c r="OYM112" s="1370"/>
      <c r="OYN112" s="1370"/>
      <c r="OYO112" s="1370"/>
      <c r="OYP112" s="1370"/>
      <c r="OYQ112" s="1370"/>
      <c r="OYR112" s="1370"/>
      <c r="OYS112" s="1370"/>
      <c r="OYT112" s="1370"/>
      <c r="OYU112" s="1370"/>
      <c r="OYV112" s="1370"/>
      <c r="OYW112" s="1370"/>
      <c r="OYX112" s="1370"/>
      <c r="OYY112" s="1370"/>
      <c r="OYZ112" s="1370"/>
      <c r="OZA112" s="1370"/>
      <c r="OZB112" s="1370"/>
      <c r="OZC112" s="1370"/>
      <c r="OZD112" s="1370"/>
      <c r="OZE112" s="1370"/>
      <c r="OZF112" s="1370"/>
      <c r="OZG112" s="1370"/>
      <c r="OZH112" s="1370"/>
      <c r="OZI112" s="1370"/>
      <c r="OZJ112" s="1370"/>
      <c r="OZK112" s="1370"/>
      <c r="OZL112" s="1370"/>
      <c r="OZM112" s="1370"/>
      <c r="OZN112" s="1370"/>
      <c r="OZO112" s="1370"/>
      <c r="OZP112" s="1370"/>
      <c r="OZQ112" s="1370"/>
      <c r="OZR112" s="1370"/>
      <c r="OZS112" s="1370"/>
      <c r="OZT112" s="1370"/>
      <c r="OZU112" s="1370"/>
      <c r="OZV112" s="1370"/>
      <c r="OZW112" s="1370"/>
      <c r="OZX112" s="1370"/>
      <c r="OZY112" s="1370"/>
      <c r="OZZ112" s="1370"/>
      <c r="PAA112" s="1370"/>
      <c r="PAB112" s="1370"/>
      <c r="PAC112" s="1370"/>
      <c r="PAD112" s="1370"/>
      <c r="PAE112" s="1370"/>
      <c r="PAF112" s="1370"/>
      <c r="PAG112" s="1370"/>
      <c r="PAH112" s="1370"/>
      <c r="PAI112" s="1370"/>
      <c r="PAJ112" s="1370"/>
      <c r="PAK112" s="1370"/>
      <c r="PAL112" s="1370"/>
      <c r="PAM112" s="1370"/>
      <c r="PAN112" s="1370"/>
      <c r="PAO112" s="1370"/>
      <c r="PAP112" s="1370"/>
      <c r="PAQ112" s="1370"/>
      <c r="PAR112" s="1370"/>
      <c r="PAS112" s="1370"/>
      <c r="PAT112" s="1370"/>
      <c r="PAU112" s="1370"/>
      <c r="PAV112" s="1370"/>
      <c r="PAW112" s="1370"/>
      <c r="PAX112" s="1370"/>
      <c r="PAY112" s="1370"/>
      <c r="PAZ112" s="1370"/>
      <c r="PBA112" s="1370"/>
      <c r="PBB112" s="1370"/>
      <c r="PBC112" s="1370"/>
      <c r="PBD112" s="1370"/>
      <c r="PBE112" s="1370"/>
      <c r="PBF112" s="1370"/>
      <c r="PBG112" s="1370"/>
      <c r="PBH112" s="1370"/>
      <c r="PBI112" s="1370"/>
      <c r="PBJ112" s="1370"/>
      <c r="PBK112" s="1370"/>
      <c r="PBL112" s="1370"/>
      <c r="PBM112" s="1370"/>
      <c r="PBN112" s="1370"/>
      <c r="PBO112" s="1370"/>
      <c r="PBP112" s="1370"/>
      <c r="PBQ112" s="1370"/>
      <c r="PBR112" s="1370"/>
      <c r="PBS112" s="1370"/>
      <c r="PBT112" s="1370"/>
      <c r="PBU112" s="1370"/>
      <c r="PBV112" s="1370"/>
      <c r="PBW112" s="1370"/>
      <c r="PBX112" s="1370"/>
      <c r="PBY112" s="1370"/>
      <c r="PBZ112" s="1370"/>
      <c r="PCA112" s="1370"/>
      <c r="PCB112" s="1370"/>
      <c r="PCC112" s="1370"/>
      <c r="PCD112" s="1370"/>
      <c r="PCE112" s="1370"/>
      <c r="PCF112" s="1370"/>
      <c r="PCG112" s="1370"/>
      <c r="PCH112" s="1370"/>
      <c r="PCI112" s="1370"/>
      <c r="PCJ112" s="1370"/>
      <c r="PCK112" s="1370"/>
      <c r="PCL112" s="1370"/>
      <c r="PCM112" s="1370"/>
      <c r="PCN112" s="1370"/>
      <c r="PCO112" s="1370"/>
      <c r="PCP112" s="1370"/>
      <c r="PCQ112" s="1370"/>
      <c r="PCR112" s="1370"/>
      <c r="PCS112" s="1370"/>
      <c r="PCT112" s="1370"/>
      <c r="PCU112" s="1370"/>
      <c r="PCV112" s="1370"/>
      <c r="PCW112" s="1370"/>
      <c r="PCX112" s="1370"/>
      <c r="PCY112" s="1370"/>
      <c r="PCZ112" s="1370"/>
      <c r="PDA112" s="1370"/>
      <c r="PDB112" s="1370"/>
      <c r="PDC112" s="1370"/>
      <c r="PDD112" s="1370"/>
      <c r="PDE112" s="1370"/>
      <c r="PDF112" s="1370"/>
      <c r="PDG112" s="1370"/>
      <c r="PDH112" s="1370"/>
      <c r="PDI112" s="1370"/>
      <c r="PDJ112" s="1370"/>
      <c r="PDK112" s="1370"/>
      <c r="PDL112" s="1370"/>
      <c r="PDM112" s="1370"/>
      <c r="PDN112" s="1370"/>
      <c r="PDO112" s="1370"/>
      <c r="PDP112" s="1370"/>
      <c r="PDQ112" s="1370"/>
      <c r="PDR112" s="1370"/>
      <c r="PDS112" s="1370"/>
      <c r="PDT112" s="1370"/>
      <c r="PDU112" s="1370"/>
      <c r="PDV112" s="1370"/>
      <c r="PDW112" s="1370"/>
      <c r="PDX112" s="1370"/>
      <c r="PDY112" s="1370"/>
      <c r="PDZ112" s="1370"/>
      <c r="PEA112" s="1370"/>
      <c r="PEB112" s="1370"/>
      <c r="PEC112" s="1370"/>
      <c r="PED112" s="1370"/>
      <c r="PEE112" s="1370"/>
      <c r="PEF112" s="1370"/>
      <c r="PEG112" s="1370"/>
      <c r="PEH112" s="1370"/>
      <c r="PEI112" s="1370"/>
      <c r="PEJ112" s="1370"/>
      <c r="PEK112" s="1370"/>
      <c r="PEL112" s="1370"/>
      <c r="PEM112" s="1370"/>
      <c r="PEN112" s="1370"/>
      <c r="PEO112" s="1370"/>
      <c r="PEP112" s="1370"/>
      <c r="PEQ112" s="1370"/>
      <c r="PER112" s="1370"/>
      <c r="PES112" s="1370"/>
      <c r="PET112" s="1370"/>
      <c r="PEU112" s="1370"/>
      <c r="PEV112" s="1370"/>
      <c r="PEW112" s="1370"/>
      <c r="PEX112" s="1370"/>
      <c r="PEY112" s="1370"/>
      <c r="PEZ112" s="1370"/>
      <c r="PFA112" s="1370"/>
      <c r="PFB112" s="1370"/>
      <c r="PFC112" s="1370"/>
      <c r="PFD112" s="1370"/>
      <c r="PFE112" s="1370"/>
      <c r="PFF112" s="1370"/>
      <c r="PFG112" s="1370"/>
      <c r="PFH112" s="1370"/>
      <c r="PFI112" s="1370"/>
      <c r="PFJ112" s="1370"/>
      <c r="PFK112" s="1370"/>
      <c r="PFL112" s="1370"/>
      <c r="PFM112" s="1370"/>
      <c r="PFN112" s="1370"/>
      <c r="PFO112" s="1370"/>
      <c r="PFP112" s="1370"/>
      <c r="PFQ112" s="1370"/>
      <c r="PFR112" s="1370"/>
      <c r="PFS112" s="1370"/>
      <c r="PFT112" s="1370"/>
      <c r="PFU112" s="1370"/>
      <c r="PFV112" s="1370"/>
      <c r="PFW112" s="1370"/>
      <c r="PFX112" s="1370"/>
      <c r="PFY112" s="1370"/>
      <c r="PFZ112" s="1370"/>
      <c r="PGA112" s="1370"/>
      <c r="PGB112" s="1370"/>
      <c r="PGC112" s="1370"/>
      <c r="PGD112" s="1370"/>
      <c r="PGE112" s="1370"/>
      <c r="PGF112" s="1370"/>
      <c r="PGG112" s="1370"/>
      <c r="PGH112" s="1370"/>
      <c r="PGI112" s="1370"/>
      <c r="PGJ112" s="1370"/>
      <c r="PGK112" s="1370"/>
      <c r="PGL112" s="1370"/>
      <c r="PGM112" s="1370"/>
      <c r="PGN112" s="1370"/>
      <c r="PGO112" s="1370"/>
      <c r="PGP112" s="1370"/>
      <c r="PGQ112" s="1370"/>
      <c r="PGR112" s="1370"/>
      <c r="PGS112" s="1370"/>
      <c r="PGT112" s="1370"/>
      <c r="PGU112" s="1370"/>
      <c r="PGV112" s="1370"/>
      <c r="PGW112" s="1370"/>
      <c r="PGX112" s="1370"/>
      <c r="PGY112" s="1370"/>
      <c r="PGZ112" s="1370"/>
      <c r="PHA112" s="1370"/>
      <c r="PHB112" s="1370"/>
      <c r="PHC112" s="1370"/>
      <c r="PHD112" s="1370"/>
      <c r="PHE112" s="1370"/>
      <c r="PHF112" s="1370"/>
      <c r="PHG112" s="1370"/>
      <c r="PHH112" s="1370"/>
      <c r="PHI112" s="1370"/>
      <c r="PHJ112" s="1370"/>
      <c r="PHK112" s="1370"/>
      <c r="PHL112" s="1370"/>
      <c r="PHM112" s="1370"/>
      <c r="PHN112" s="1370"/>
      <c r="PHO112" s="1370"/>
      <c r="PHP112" s="1370"/>
      <c r="PHQ112" s="1370"/>
      <c r="PHR112" s="1370"/>
      <c r="PHS112" s="1370"/>
      <c r="PHT112" s="1370"/>
      <c r="PHU112" s="1370"/>
      <c r="PHV112" s="1370"/>
      <c r="PHW112" s="1370"/>
      <c r="PHX112" s="1370"/>
      <c r="PHY112" s="1370"/>
      <c r="PHZ112" s="1370"/>
      <c r="PIA112" s="1370"/>
      <c r="PIB112" s="1370"/>
      <c r="PIC112" s="1370"/>
      <c r="PID112" s="1370"/>
      <c r="PIE112" s="1370"/>
      <c r="PIF112" s="1370"/>
      <c r="PIG112" s="1370"/>
      <c r="PIH112" s="1370"/>
      <c r="PII112" s="1370"/>
      <c r="PIJ112" s="1370"/>
      <c r="PIK112" s="1370"/>
      <c r="PIL112" s="1370"/>
      <c r="PIM112" s="1370"/>
      <c r="PIN112" s="1370"/>
      <c r="PIO112" s="1370"/>
      <c r="PIP112" s="1370"/>
      <c r="PIQ112" s="1370"/>
      <c r="PIR112" s="1370"/>
      <c r="PIS112" s="1370"/>
      <c r="PIT112" s="1370"/>
      <c r="PIU112" s="1370"/>
      <c r="PIV112" s="1370"/>
      <c r="PIW112" s="1370"/>
      <c r="PIX112" s="1370"/>
      <c r="PIY112" s="1370"/>
      <c r="PIZ112" s="1370"/>
      <c r="PJA112" s="1370"/>
      <c r="PJB112" s="1370"/>
      <c r="PJC112" s="1370"/>
      <c r="PJD112" s="1370"/>
      <c r="PJE112" s="1370"/>
      <c r="PJF112" s="1370"/>
      <c r="PJG112" s="1370"/>
      <c r="PJH112" s="1370"/>
      <c r="PJI112" s="1370"/>
      <c r="PJJ112" s="1370"/>
      <c r="PJK112" s="1370"/>
      <c r="PJL112" s="1370"/>
      <c r="PJM112" s="1370"/>
      <c r="PJN112" s="1370"/>
      <c r="PJO112" s="1370"/>
      <c r="PJP112" s="1370"/>
      <c r="PJQ112" s="1370"/>
      <c r="PJR112" s="1370"/>
      <c r="PJS112" s="1370"/>
      <c r="PJT112" s="1370"/>
      <c r="PJU112" s="1370"/>
      <c r="PJV112" s="1370"/>
      <c r="PJW112" s="1370"/>
      <c r="PJX112" s="1370"/>
      <c r="PJY112" s="1370"/>
      <c r="PJZ112" s="1370"/>
      <c r="PKA112" s="1370"/>
      <c r="PKB112" s="1370"/>
      <c r="PKC112" s="1370"/>
      <c r="PKD112" s="1370"/>
      <c r="PKE112" s="1370"/>
      <c r="PKF112" s="1370"/>
      <c r="PKG112" s="1370"/>
      <c r="PKH112" s="1370"/>
      <c r="PKI112" s="1370"/>
      <c r="PKJ112" s="1370"/>
      <c r="PKK112" s="1370"/>
      <c r="PKL112" s="1370"/>
      <c r="PKM112" s="1370"/>
      <c r="PKN112" s="1370"/>
      <c r="PKO112" s="1370"/>
      <c r="PKP112" s="1370"/>
      <c r="PKQ112" s="1370"/>
      <c r="PKR112" s="1370"/>
      <c r="PKS112" s="1370"/>
      <c r="PKT112" s="1370"/>
      <c r="PKU112" s="1370"/>
      <c r="PKV112" s="1370"/>
      <c r="PKW112" s="1370"/>
      <c r="PKX112" s="1370"/>
      <c r="PKY112" s="1370"/>
      <c r="PKZ112" s="1370"/>
      <c r="PLA112" s="1370"/>
      <c r="PLB112" s="1370"/>
      <c r="PLC112" s="1370"/>
      <c r="PLD112" s="1370"/>
      <c r="PLE112" s="1370"/>
      <c r="PLF112" s="1370"/>
      <c r="PLG112" s="1370"/>
      <c r="PLH112" s="1370"/>
      <c r="PLI112" s="1370"/>
      <c r="PLJ112" s="1370"/>
      <c r="PLK112" s="1370"/>
      <c r="PLL112" s="1370"/>
      <c r="PLM112" s="1370"/>
      <c r="PLN112" s="1370"/>
      <c r="PLO112" s="1370"/>
      <c r="PLP112" s="1370"/>
      <c r="PLQ112" s="1370"/>
      <c r="PLR112" s="1370"/>
      <c r="PLS112" s="1370"/>
      <c r="PLT112" s="1370"/>
      <c r="PLU112" s="1370"/>
      <c r="PLV112" s="1370"/>
      <c r="PLW112" s="1370"/>
      <c r="PLX112" s="1370"/>
      <c r="PLY112" s="1370"/>
      <c r="PLZ112" s="1370"/>
      <c r="PMA112" s="1370"/>
      <c r="PMB112" s="1370"/>
      <c r="PMC112" s="1370"/>
      <c r="PMD112" s="1370"/>
      <c r="PME112" s="1370"/>
      <c r="PMF112" s="1370"/>
      <c r="PMG112" s="1370"/>
      <c r="PMH112" s="1370"/>
      <c r="PMI112" s="1370"/>
      <c r="PMJ112" s="1370"/>
      <c r="PMK112" s="1370"/>
      <c r="PML112" s="1370"/>
      <c r="PMM112" s="1370"/>
      <c r="PMN112" s="1370"/>
      <c r="PMO112" s="1370"/>
      <c r="PMP112" s="1370"/>
      <c r="PMQ112" s="1370"/>
      <c r="PMR112" s="1370"/>
      <c r="PMS112" s="1370"/>
      <c r="PMT112" s="1370"/>
      <c r="PMU112" s="1370"/>
      <c r="PMV112" s="1370"/>
      <c r="PMW112" s="1370"/>
      <c r="PMX112" s="1370"/>
      <c r="PMY112" s="1370"/>
      <c r="PMZ112" s="1370"/>
      <c r="PNA112" s="1370"/>
      <c r="PNB112" s="1370"/>
      <c r="PNC112" s="1370"/>
      <c r="PND112" s="1370"/>
      <c r="PNE112" s="1370"/>
      <c r="PNF112" s="1370"/>
      <c r="PNG112" s="1370"/>
      <c r="PNH112" s="1370"/>
      <c r="PNI112" s="1370"/>
      <c r="PNJ112" s="1370"/>
      <c r="PNK112" s="1370"/>
      <c r="PNL112" s="1370"/>
      <c r="PNM112" s="1370"/>
      <c r="PNN112" s="1370"/>
      <c r="PNO112" s="1370"/>
      <c r="PNP112" s="1370"/>
      <c r="PNQ112" s="1370"/>
      <c r="PNR112" s="1370"/>
      <c r="PNS112" s="1370"/>
      <c r="PNT112" s="1370"/>
      <c r="PNU112" s="1370"/>
      <c r="PNV112" s="1370"/>
      <c r="PNW112" s="1370"/>
      <c r="PNX112" s="1370"/>
      <c r="PNY112" s="1370"/>
      <c r="PNZ112" s="1370"/>
      <c r="POA112" s="1370"/>
      <c r="POB112" s="1370"/>
      <c r="POC112" s="1370"/>
      <c r="POD112" s="1370"/>
      <c r="POE112" s="1370"/>
      <c r="POF112" s="1370"/>
      <c r="POG112" s="1370"/>
      <c r="POH112" s="1370"/>
      <c r="POI112" s="1370"/>
      <c r="POJ112" s="1370"/>
      <c r="POK112" s="1370"/>
      <c r="POL112" s="1370"/>
      <c r="POM112" s="1370"/>
      <c r="PON112" s="1370"/>
      <c r="POO112" s="1370"/>
      <c r="POP112" s="1370"/>
      <c r="POQ112" s="1370"/>
      <c r="POR112" s="1370"/>
      <c r="POS112" s="1370"/>
      <c r="POT112" s="1370"/>
      <c r="POU112" s="1370"/>
      <c r="POV112" s="1370"/>
      <c r="POW112" s="1370"/>
      <c r="POX112" s="1370"/>
      <c r="POY112" s="1370"/>
      <c r="POZ112" s="1370"/>
      <c r="PPA112" s="1370"/>
      <c r="PPB112" s="1370"/>
      <c r="PPC112" s="1370"/>
      <c r="PPD112" s="1370"/>
      <c r="PPE112" s="1370"/>
      <c r="PPF112" s="1370"/>
      <c r="PPG112" s="1370"/>
      <c r="PPH112" s="1370"/>
      <c r="PPI112" s="1370"/>
      <c r="PPJ112" s="1370"/>
      <c r="PPK112" s="1370"/>
      <c r="PPL112" s="1370"/>
      <c r="PPM112" s="1370"/>
      <c r="PPN112" s="1370"/>
      <c r="PPO112" s="1370"/>
      <c r="PPP112" s="1370"/>
      <c r="PPQ112" s="1370"/>
      <c r="PPR112" s="1370"/>
      <c r="PPS112" s="1370"/>
      <c r="PPT112" s="1370"/>
      <c r="PPU112" s="1370"/>
      <c r="PPV112" s="1370"/>
      <c r="PPW112" s="1370"/>
      <c r="PPX112" s="1370"/>
      <c r="PPY112" s="1370"/>
      <c r="PPZ112" s="1370"/>
      <c r="PQA112" s="1370"/>
      <c r="PQB112" s="1370"/>
      <c r="PQC112" s="1370"/>
      <c r="PQD112" s="1370"/>
      <c r="PQE112" s="1370"/>
      <c r="PQF112" s="1370"/>
      <c r="PQG112" s="1370"/>
      <c r="PQH112" s="1370"/>
      <c r="PQI112" s="1370"/>
      <c r="PQJ112" s="1370"/>
      <c r="PQK112" s="1370"/>
      <c r="PQL112" s="1370"/>
      <c r="PQM112" s="1370"/>
      <c r="PQN112" s="1370"/>
      <c r="PQO112" s="1370"/>
      <c r="PQP112" s="1370"/>
      <c r="PQQ112" s="1370"/>
      <c r="PQR112" s="1370"/>
      <c r="PQS112" s="1370"/>
      <c r="PQT112" s="1370"/>
      <c r="PQU112" s="1370"/>
      <c r="PQV112" s="1370"/>
      <c r="PQW112" s="1370"/>
      <c r="PQX112" s="1370"/>
      <c r="PQY112" s="1370"/>
      <c r="PQZ112" s="1370"/>
      <c r="PRA112" s="1370"/>
      <c r="PRB112" s="1370"/>
      <c r="PRC112" s="1370"/>
      <c r="PRD112" s="1370"/>
      <c r="PRE112" s="1370"/>
      <c r="PRF112" s="1370"/>
      <c r="PRG112" s="1370"/>
      <c r="PRH112" s="1370"/>
      <c r="PRI112" s="1370"/>
      <c r="PRJ112" s="1370"/>
      <c r="PRK112" s="1370"/>
      <c r="PRL112" s="1370"/>
      <c r="PRM112" s="1370"/>
      <c r="PRN112" s="1370"/>
      <c r="PRO112" s="1370"/>
      <c r="PRP112" s="1370"/>
      <c r="PRQ112" s="1370"/>
      <c r="PRR112" s="1370"/>
      <c r="PRS112" s="1370"/>
      <c r="PRT112" s="1370"/>
      <c r="PRU112" s="1370"/>
      <c r="PRV112" s="1370"/>
      <c r="PRW112" s="1370"/>
      <c r="PRX112" s="1370"/>
      <c r="PRY112" s="1370"/>
      <c r="PRZ112" s="1370"/>
      <c r="PSA112" s="1370"/>
      <c r="PSB112" s="1370"/>
      <c r="PSC112" s="1370"/>
      <c r="PSD112" s="1370"/>
      <c r="PSE112" s="1370"/>
      <c r="PSF112" s="1370"/>
      <c r="PSG112" s="1370"/>
      <c r="PSH112" s="1370"/>
      <c r="PSI112" s="1370"/>
      <c r="PSJ112" s="1370"/>
      <c r="PSK112" s="1370"/>
      <c r="PSL112" s="1370"/>
      <c r="PSM112" s="1370"/>
      <c r="PSN112" s="1370"/>
      <c r="PSO112" s="1370"/>
      <c r="PSP112" s="1370"/>
      <c r="PSQ112" s="1370"/>
      <c r="PSR112" s="1370"/>
      <c r="PSS112" s="1370"/>
      <c r="PST112" s="1370"/>
      <c r="PSU112" s="1370"/>
      <c r="PSV112" s="1370"/>
      <c r="PSW112" s="1370"/>
      <c r="PSX112" s="1370"/>
      <c r="PSY112" s="1370"/>
      <c r="PSZ112" s="1370"/>
      <c r="PTA112" s="1370"/>
      <c r="PTB112" s="1370"/>
      <c r="PTC112" s="1370"/>
      <c r="PTD112" s="1370"/>
      <c r="PTE112" s="1370"/>
      <c r="PTF112" s="1370"/>
      <c r="PTG112" s="1370"/>
      <c r="PTH112" s="1370"/>
      <c r="PTI112" s="1370"/>
      <c r="PTJ112" s="1370"/>
      <c r="PTK112" s="1370"/>
      <c r="PTL112" s="1370"/>
      <c r="PTM112" s="1370"/>
      <c r="PTN112" s="1370"/>
      <c r="PTO112" s="1370"/>
      <c r="PTP112" s="1370"/>
      <c r="PTQ112" s="1370"/>
      <c r="PTR112" s="1370"/>
      <c r="PTS112" s="1370"/>
      <c r="PTT112" s="1370"/>
      <c r="PTU112" s="1370"/>
      <c r="PTV112" s="1370"/>
      <c r="PTW112" s="1370"/>
      <c r="PTX112" s="1370"/>
      <c r="PTY112" s="1370"/>
      <c r="PTZ112" s="1370"/>
      <c r="PUA112" s="1370"/>
      <c r="PUB112" s="1370"/>
      <c r="PUC112" s="1370"/>
      <c r="PUD112" s="1370"/>
      <c r="PUE112" s="1370"/>
      <c r="PUF112" s="1370"/>
      <c r="PUG112" s="1370"/>
      <c r="PUH112" s="1370"/>
      <c r="PUI112" s="1370"/>
      <c r="PUJ112" s="1370"/>
      <c r="PUK112" s="1370"/>
      <c r="PUL112" s="1370"/>
      <c r="PUM112" s="1370"/>
      <c r="PUN112" s="1370"/>
      <c r="PUO112" s="1370"/>
      <c r="PUP112" s="1370"/>
      <c r="PUQ112" s="1370"/>
      <c r="PUR112" s="1370"/>
      <c r="PUS112" s="1370"/>
      <c r="PUT112" s="1370"/>
      <c r="PUU112" s="1370"/>
      <c r="PUV112" s="1370"/>
      <c r="PUW112" s="1370"/>
      <c r="PUX112" s="1370"/>
      <c r="PUY112" s="1370"/>
      <c r="PUZ112" s="1370"/>
      <c r="PVA112" s="1370"/>
      <c r="PVB112" s="1370"/>
      <c r="PVC112" s="1370"/>
      <c r="PVD112" s="1370"/>
      <c r="PVE112" s="1370"/>
      <c r="PVF112" s="1370"/>
      <c r="PVG112" s="1370"/>
      <c r="PVH112" s="1370"/>
      <c r="PVI112" s="1370"/>
      <c r="PVJ112" s="1370"/>
      <c r="PVK112" s="1370"/>
      <c r="PVL112" s="1370"/>
      <c r="PVM112" s="1370"/>
      <c r="PVN112" s="1370"/>
      <c r="PVO112" s="1370"/>
      <c r="PVP112" s="1370"/>
      <c r="PVQ112" s="1370"/>
      <c r="PVR112" s="1370"/>
      <c r="PVS112" s="1370"/>
      <c r="PVT112" s="1370"/>
      <c r="PVU112" s="1370"/>
      <c r="PVV112" s="1370"/>
      <c r="PVW112" s="1370"/>
      <c r="PVX112" s="1370"/>
      <c r="PVY112" s="1370"/>
      <c r="PVZ112" s="1370"/>
      <c r="PWA112" s="1370"/>
      <c r="PWB112" s="1370"/>
      <c r="PWC112" s="1370"/>
      <c r="PWD112" s="1370"/>
      <c r="PWE112" s="1370"/>
      <c r="PWF112" s="1370"/>
      <c r="PWG112" s="1370"/>
      <c r="PWH112" s="1370"/>
      <c r="PWI112" s="1370"/>
      <c r="PWJ112" s="1370"/>
      <c r="PWK112" s="1370"/>
      <c r="PWL112" s="1370"/>
      <c r="PWM112" s="1370"/>
      <c r="PWN112" s="1370"/>
      <c r="PWO112" s="1370"/>
      <c r="PWP112" s="1370"/>
      <c r="PWQ112" s="1370"/>
      <c r="PWR112" s="1370"/>
      <c r="PWS112" s="1370"/>
      <c r="PWT112" s="1370"/>
      <c r="PWU112" s="1370"/>
      <c r="PWV112" s="1370"/>
      <c r="PWW112" s="1370"/>
      <c r="PWX112" s="1370"/>
      <c r="PWY112" s="1370"/>
      <c r="PWZ112" s="1370"/>
      <c r="PXA112" s="1370"/>
      <c r="PXB112" s="1370"/>
      <c r="PXC112" s="1370"/>
      <c r="PXD112" s="1370"/>
      <c r="PXE112" s="1370"/>
      <c r="PXF112" s="1370"/>
      <c r="PXG112" s="1370"/>
      <c r="PXH112" s="1370"/>
      <c r="PXI112" s="1370"/>
      <c r="PXJ112" s="1370"/>
      <c r="PXK112" s="1370"/>
      <c r="PXL112" s="1370"/>
      <c r="PXM112" s="1370"/>
      <c r="PXN112" s="1370"/>
      <c r="PXO112" s="1370"/>
      <c r="PXP112" s="1370"/>
      <c r="PXQ112" s="1370"/>
      <c r="PXR112" s="1370"/>
      <c r="PXS112" s="1370"/>
      <c r="PXT112" s="1370"/>
      <c r="PXU112" s="1370"/>
      <c r="PXV112" s="1370"/>
      <c r="PXW112" s="1370"/>
      <c r="PXX112" s="1370"/>
      <c r="PXY112" s="1370"/>
      <c r="PXZ112" s="1370"/>
      <c r="PYA112" s="1370"/>
      <c r="PYB112" s="1370"/>
      <c r="PYC112" s="1370"/>
      <c r="PYD112" s="1370"/>
      <c r="PYE112" s="1370"/>
      <c r="PYF112" s="1370"/>
      <c r="PYG112" s="1370"/>
      <c r="PYH112" s="1370"/>
      <c r="PYI112" s="1370"/>
      <c r="PYJ112" s="1370"/>
      <c r="PYK112" s="1370"/>
      <c r="PYL112" s="1370"/>
      <c r="PYM112" s="1370"/>
      <c r="PYN112" s="1370"/>
      <c r="PYO112" s="1370"/>
      <c r="PYP112" s="1370"/>
      <c r="PYQ112" s="1370"/>
      <c r="PYR112" s="1370"/>
      <c r="PYS112" s="1370"/>
      <c r="PYT112" s="1370"/>
      <c r="PYU112" s="1370"/>
      <c r="PYV112" s="1370"/>
      <c r="PYW112" s="1370"/>
      <c r="PYX112" s="1370"/>
      <c r="PYY112" s="1370"/>
      <c r="PYZ112" s="1370"/>
      <c r="PZA112" s="1370"/>
      <c r="PZB112" s="1370"/>
      <c r="PZC112" s="1370"/>
      <c r="PZD112" s="1370"/>
      <c r="PZE112" s="1370"/>
      <c r="PZF112" s="1370"/>
      <c r="PZG112" s="1370"/>
      <c r="PZH112" s="1370"/>
      <c r="PZI112" s="1370"/>
      <c r="PZJ112" s="1370"/>
      <c r="PZK112" s="1370"/>
      <c r="PZL112" s="1370"/>
      <c r="PZM112" s="1370"/>
      <c r="PZN112" s="1370"/>
      <c r="PZO112" s="1370"/>
      <c r="PZP112" s="1370"/>
      <c r="PZQ112" s="1370"/>
      <c r="PZR112" s="1370"/>
      <c r="PZS112" s="1370"/>
      <c r="PZT112" s="1370"/>
      <c r="PZU112" s="1370"/>
      <c r="PZV112" s="1370"/>
      <c r="PZW112" s="1370"/>
      <c r="PZX112" s="1370"/>
      <c r="PZY112" s="1370"/>
      <c r="PZZ112" s="1370"/>
      <c r="QAA112" s="1370"/>
      <c r="QAB112" s="1370"/>
      <c r="QAC112" s="1370"/>
      <c r="QAD112" s="1370"/>
      <c r="QAE112" s="1370"/>
      <c r="QAF112" s="1370"/>
      <c r="QAG112" s="1370"/>
      <c r="QAH112" s="1370"/>
      <c r="QAI112" s="1370"/>
      <c r="QAJ112" s="1370"/>
      <c r="QAK112" s="1370"/>
      <c r="QAL112" s="1370"/>
      <c r="QAM112" s="1370"/>
      <c r="QAN112" s="1370"/>
      <c r="QAO112" s="1370"/>
      <c r="QAP112" s="1370"/>
      <c r="QAQ112" s="1370"/>
      <c r="QAR112" s="1370"/>
      <c r="QAS112" s="1370"/>
      <c r="QAT112" s="1370"/>
      <c r="QAU112" s="1370"/>
      <c r="QAV112" s="1370"/>
      <c r="QAW112" s="1370"/>
      <c r="QAX112" s="1370"/>
      <c r="QAY112" s="1370"/>
      <c r="QAZ112" s="1370"/>
      <c r="QBA112" s="1370"/>
      <c r="QBB112" s="1370"/>
      <c r="QBC112" s="1370"/>
      <c r="QBD112" s="1370"/>
      <c r="QBE112" s="1370"/>
      <c r="QBF112" s="1370"/>
      <c r="QBG112" s="1370"/>
      <c r="QBH112" s="1370"/>
      <c r="QBI112" s="1370"/>
      <c r="QBJ112" s="1370"/>
      <c r="QBK112" s="1370"/>
      <c r="QBL112" s="1370"/>
      <c r="QBM112" s="1370"/>
      <c r="QBN112" s="1370"/>
      <c r="QBO112" s="1370"/>
      <c r="QBP112" s="1370"/>
      <c r="QBQ112" s="1370"/>
      <c r="QBR112" s="1370"/>
      <c r="QBS112" s="1370"/>
      <c r="QBT112" s="1370"/>
      <c r="QBU112" s="1370"/>
      <c r="QBV112" s="1370"/>
      <c r="QBW112" s="1370"/>
      <c r="QBX112" s="1370"/>
      <c r="QBY112" s="1370"/>
      <c r="QBZ112" s="1370"/>
      <c r="QCA112" s="1370"/>
      <c r="QCB112" s="1370"/>
      <c r="QCC112" s="1370"/>
      <c r="QCD112" s="1370"/>
      <c r="QCE112" s="1370"/>
      <c r="QCF112" s="1370"/>
      <c r="QCG112" s="1370"/>
      <c r="QCH112" s="1370"/>
      <c r="QCI112" s="1370"/>
      <c r="QCJ112" s="1370"/>
      <c r="QCK112" s="1370"/>
      <c r="QCL112" s="1370"/>
      <c r="QCM112" s="1370"/>
      <c r="QCN112" s="1370"/>
      <c r="QCO112" s="1370"/>
      <c r="QCP112" s="1370"/>
      <c r="QCQ112" s="1370"/>
      <c r="QCR112" s="1370"/>
      <c r="QCS112" s="1370"/>
      <c r="QCT112" s="1370"/>
      <c r="QCU112" s="1370"/>
      <c r="QCV112" s="1370"/>
      <c r="QCW112" s="1370"/>
      <c r="QCX112" s="1370"/>
      <c r="QCY112" s="1370"/>
      <c r="QCZ112" s="1370"/>
      <c r="QDA112" s="1370"/>
      <c r="QDB112" s="1370"/>
      <c r="QDC112" s="1370"/>
      <c r="QDD112" s="1370"/>
      <c r="QDE112" s="1370"/>
      <c r="QDF112" s="1370"/>
      <c r="QDG112" s="1370"/>
      <c r="QDH112" s="1370"/>
      <c r="QDI112" s="1370"/>
      <c r="QDJ112" s="1370"/>
      <c r="QDK112" s="1370"/>
      <c r="QDL112" s="1370"/>
      <c r="QDM112" s="1370"/>
      <c r="QDN112" s="1370"/>
      <c r="QDO112" s="1370"/>
      <c r="QDP112" s="1370"/>
      <c r="QDQ112" s="1370"/>
      <c r="QDR112" s="1370"/>
      <c r="QDS112" s="1370"/>
      <c r="QDT112" s="1370"/>
      <c r="QDU112" s="1370"/>
      <c r="QDV112" s="1370"/>
      <c r="QDW112" s="1370"/>
      <c r="QDX112" s="1370"/>
      <c r="QDY112" s="1370"/>
      <c r="QDZ112" s="1370"/>
      <c r="QEA112" s="1370"/>
      <c r="QEB112" s="1370"/>
      <c r="QEC112" s="1370"/>
      <c r="QED112" s="1370"/>
      <c r="QEE112" s="1370"/>
      <c r="QEF112" s="1370"/>
      <c r="QEG112" s="1370"/>
      <c r="QEH112" s="1370"/>
      <c r="QEI112" s="1370"/>
      <c r="QEJ112" s="1370"/>
      <c r="QEK112" s="1370"/>
      <c r="QEL112" s="1370"/>
      <c r="QEM112" s="1370"/>
      <c r="QEN112" s="1370"/>
      <c r="QEO112" s="1370"/>
      <c r="QEP112" s="1370"/>
      <c r="QEQ112" s="1370"/>
      <c r="QER112" s="1370"/>
      <c r="QES112" s="1370"/>
      <c r="QET112" s="1370"/>
      <c r="QEU112" s="1370"/>
      <c r="QEV112" s="1370"/>
      <c r="QEW112" s="1370"/>
      <c r="QEX112" s="1370"/>
      <c r="QEY112" s="1370"/>
      <c r="QEZ112" s="1370"/>
      <c r="QFA112" s="1370"/>
      <c r="QFB112" s="1370"/>
      <c r="QFC112" s="1370"/>
      <c r="QFD112" s="1370"/>
      <c r="QFE112" s="1370"/>
      <c r="QFF112" s="1370"/>
      <c r="QFG112" s="1370"/>
      <c r="QFH112" s="1370"/>
      <c r="QFI112" s="1370"/>
      <c r="QFJ112" s="1370"/>
      <c r="QFK112" s="1370"/>
      <c r="QFL112" s="1370"/>
      <c r="QFM112" s="1370"/>
      <c r="QFN112" s="1370"/>
      <c r="QFO112" s="1370"/>
      <c r="QFP112" s="1370"/>
      <c r="QFQ112" s="1370"/>
      <c r="QFR112" s="1370"/>
      <c r="QFS112" s="1370"/>
      <c r="QFT112" s="1370"/>
      <c r="QFU112" s="1370"/>
      <c r="QFV112" s="1370"/>
      <c r="QFW112" s="1370"/>
      <c r="QFX112" s="1370"/>
      <c r="QFY112" s="1370"/>
      <c r="QFZ112" s="1370"/>
      <c r="QGA112" s="1370"/>
      <c r="QGB112" s="1370"/>
      <c r="QGC112" s="1370"/>
      <c r="QGD112" s="1370"/>
      <c r="QGE112" s="1370"/>
      <c r="QGF112" s="1370"/>
      <c r="QGG112" s="1370"/>
      <c r="QGH112" s="1370"/>
      <c r="QGI112" s="1370"/>
      <c r="QGJ112" s="1370"/>
      <c r="QGK112" s="1370"/>
      <c r="QGL112" s="1370"/>
      <c r="QGM112" s="1370"/>
      <c r="QGN112" s="1370"/>
      <c r="QGO112" s="1370"/>
      <c r="QGP112" s="1370"/>
      <c r="QGQ112" s="1370"/>
      <c r="QGR112" s="1370"/>
      <c r="QGS112" s="1370"/>
      <c r="QGT112" s="1370"/>
      <c r="QGU112" s="1370"/>
      <c r="QGV112" s="1370"/>
      <c r="QGW112" s="1370"/>
      <c r="QGX112" s="1370"/>
      <c r="QGY112" s="1370"/>
      <c r="QGZ112" s="1370"/>
      <c r="QHA112" s="1370"/>
      <c r="QHB112" s="1370"/>
      <c r="QHC112" s="1370"/>
      <c r="QHD112" s="1370"/>
      <c r="QHE112" s="1370"/>
      <c r="QHF112" s="1370"/>
      <c r="QHG112" s="1370"/>
      <c r="QHH112" s="1370"/>
      <c r="QHI112" s="1370"/>
      <c r="QHJ112" s="1370"/>
      <c r="QHK112" s="1370"/>
      <c r="QHL112" s="1370"/>
      <c r="QHM112" s="1370"/>
      <c r="QHN112" s="1370"/>
      <c r="QHO112" s="1370"/>
      <c r="QHP112" s="1370"/>
      <c r="QHQ112" s="1370"/>
      <c r="QHR112" s="1370"/>
      <c r="QHS112" s="1370"/>
      <c r="QHT112" s="1370"/>
      <c r="QHU112" s="1370"/>
      <c r="QHV112" s="1370"/>
      <c r="QHW112" s="1370"/>
      <c r="QHX112" s="1370"/>
      <c r="QHY112" s="1370"/>
      <c r="QHZ112" s="1370"/>
      <c r="QIA112" s="1370"/>
      <c r="QIB112" s="1370"/>
      <c r="QIC112" s="1370"/>
      <c r="QID112" s="1370"/>
      <c r="QIE112" s="1370"/>
      <c r="QIF112" s="1370"/>
      <c r="QIG112" s="1370"/>
      <c r="QIH112" s="1370"/>
      <c r="QII112" s="1370"/>
      <c r="QIJ112" s="1370"/>
      <c r="QIK112" s="1370"/>
      <c r="QIL112" s="1370"/>
      <c r="QIM112" s="1370"/>
      <c r="QIN112" s="1370"/>
      <c r="QIO112" s="1370"/>
      <c r="QIP112" s="1370"/>
      <c r="QIQ112" s="1370"/>
      <c r="QIR112" s="1370"/>
      <c r="QIS112" s="1370"/>
      <c r="QIT112" s="1370"/>
      <c r="QIU112" s="1370"/>
      <c r="QIV112" s="1370"/>
      <c r="QIW112" s="1370"/>
      <c r="QIX112" s="1370"/>
      <c r="QIY112" s="1370"/>
      <c r="QIZ112" s="1370"/>
      <c r="QJA112" s="1370"/>
      <c r="QJB112" s="1370"/>
      <c r="QJC112" s="1370"/>
      <c r="QJD112" s="1370"/>
      <c r="QJE112" s="1370"/>
      <c r="QJF112" s="1370"/>
      <c r="QJG112" s="1370"/>
      <c r="QJH112" s="1370"/>
      <c r="QJI112" s="1370"/>
      <c r="QJJ112" s="1370"/>
      <c r="QJK112" s="1370"/>
      <c r="QJL112" s="1370"/>
      <c r="QJM112" s="1370"/>
      <c r="QJN112" s="1370"/>
      <c r="QJO112" s="1370"/>
      <c r="QJP112" s="1370"/>
      <c r="QJQ112" s="1370"/>
      <c r="QJR112" s="1370"/>
      <c r="QJS112" s="1370"/>
      <c r="QJT112" s="1370"/>
      <c r="QJU112" s="1370"/>
      <c r="QJV112" s="1370"/>
      <c r="QJW112" s="1370"/>
      <c r="QJX112" s="1370"/>
      <c r="QJY112" s="1370"/>
      <c r="QJZ112" s="1370"/>
      <c r="QKA112" s="1370"/>
      <c r="QKB112" s="1370"/>
      <c r="QKC112" s="1370"/>
      <c r="QKD112" s="1370"/>
      <c r="QKE112" s="1370"/>
      <c r="QKF112" s="1370"/>
      <c r="QKG112" s="1370"/>
      <c r="QKH112" s="1370"/>
      <c r="QKI112" s="1370"/>
      <c r="QKJ112" s="1370"/>
      <c r="QKK112" s="1370"/>
      <c r="QKL112" s="1370"/>
      <c r="QKM112" s="1370"/>
      <c r="QKN112" s="1370"/>
      <c r="QKO112" s="1370"/>
      <c r="QKP112" s="1370"/>
      <c r="QKQ112" s="1370"/>
      <c r="QKR112" s="1370"/>
      <c r="QKS112" s="1370"/>
      <c r="QKT112" s="1370"/>
      <c r="QKU112" s="1370"/>
      <c r="QKV112" s="1370"/>
      <c r="QKW112" s="1370"/>
      <c r="QKX112" s="1370"/>
      <c r="QKY112" s="1370"/>
      <c r="QKZ112" s="1370"/>
      <c r="QLA112" s="1370"/>
      <c r="QLB112" s="1370"/>
      <c r="QLC112" s="1370"/>
      <c r="QLD112" s="1370"/>
      <c r="QLE112" s="1370"/>
      <c r="QLF112" s="1370"/>
      <c r="QLG112" s="1370"/>
      <c r="QLH112" s="1370"/>
      <c r="QLI112" s="1370"/>
      <c r="QLJ112" s="1370"/>
      <c r="QLK112" s="1370"/>
      <c r="QLL112" s="1370"/>
      <c r="QLM112" s="1370"/>
      <c r="QLN112" s="1370"/>
      <c r="QLO112" s="1370"/>
      <c r="QLP112" s="1370"/>
      <c r="QLQ112" s="1370"/>
      <c r="QLR112" s="1370"/>
      <c r="QLS112" s="1370"/>
      <c r="QLT112" s="1370"/>
      <c r="QLU112" s="1370"/>
      <c r="QLV112" s="1370"/>
      <c r="QLW112" s="1370"/>
      <c r="QLX112" s="1370"/>
      <c r="QLY112" s="1370"/>
      <c r="QLZ112" s="1370"/>
      <c r="QMA112" s="1370"/>
      <c r="QMB112" s="1370"/>
      <c r="QMC112" s="1370"/>
      <c r="QMD112" s="1370"/>
      <c r="QME112" s="1370"/>
      <c r="QMF112" s="1370"/>
      <c r="QMG112" s="1370"/>
      <c r="QMH112" s="1370"/>
      <c r="QMI112" s="1370"/>
      <c r="QMJ112" s="1370"/>
      <c r="QMK112" s="1370"/>
      <c r="QML112" s="1370"/>
      <c r="QMM112" s="1370"/>
      <c r="QMN112" s="1370"/>
      <c r="QMO112" s="1370"/>
      <c r="QMP112" s="1370"/>
      <c r="QMQ112" s="1370"/>
      <c r="QMR112" s="1370"/>
      <c r="QMS112" s="1370"/>
      <c r="QMT112" s="1370"/>
      <c r="QMU112" s="1370"/>
      <c r="QMV112" s="1370"/>
      <c r="QMW112" s="1370"/>
      <c r="QMX112" s="1370"/>
      <c r="QMY112" s="1370"/>
      <c r="QMZ112" s="1370"/>
      <c r="QNA112" s="1370"/>
      <c r="QNB112" s="1370"/>
      <c r="QNC112" s="1370"/>
      <c r="QND112" s="1370"/>
      <c r="QNE112" s="1370"/>
      <c r="QNF112" s="1370"/>
      <c r="QNG112" s="1370"/>
      <c r="QNH112" s="1370"/>
      <c r="QNI112" s="1370"/>
      <c r="QNJ112" s="1370"/>
      <c r="QNK112" s="1370"/>
      <c r="QNL112" s="1370"/>
      <c r="QNM112" s="1370"/>
      <c r="QNN112" s="1370"/>
      <c r="QNO112" s="1370"/>
      <c r="QNP112" s="1370"/>
      <c r="QNQ112" s="1370"/>
      <c r="QNR112" s="1370"/>
      <c r="QNS112" s="1370"/>
      <c r="QNT112" s="1370"/>
      <c r="QNU112" s="1370"/>
      <c r="QNV112" s="1370"/>
      <c r="QNW112" s="1370"/>
      <c r="QNX112" s="1370"/>
      <c r="QNY112" s="1370"/>
      <c r="QNZ112" s="1370"/>
      <c r="QOA112" s="1370"/>
      <c r="QOB112" s="1370"/>
      <c r="QOC112" s="1370"/>
      <c r="QOD112" s="1370"/>
      <c r="QOE112" s="1370"/>
      <c r="QOF112" s="1370"/>
      <c r="QOG112" s="1370"/>
      <c r="QOH112" s="1370"/>
      <c r="QOI112" s="1370"/>
      <c r="QOJ112" s="1370"/>
      <c r="QOK112" s="1370"/>
      <c r="QOL112" s="1370"/>
      <c r="QOM112" s="1370"/>
      <c r="QON112" s="1370"/>
      <c r="QOO112" s="1370"/>
      <c r="QOP112" s="1370"/>
      <c r="QOQ112" s="1370"/>
      <c r="QOR112" s="1370"/>
      <c r="QOS112" s="1370"/>
      <c r="QOT112" s="1370"/>
      <c r="QOU112" s="1370"/>
      <c r="QOV112" s="1370"/>
      <c r="QOW112" s="1370"/>
      <c r="QOX112" s="1370"/>
      <c r="QOY112" s="1370"/>
      <c r="QOZ112" s="1370"/>
      <c r="QPA112" s="1370"/>
      <c r="QPB112" s="1370"/>
      <c r="QPC112" s="1370"/>
      <c r="QPD112" s="1370"/>
      <c r="QPE112" s="1370"/>
      <c r="QPF112" s="1370"/>
      <c r="QPG112" s="1370"/>
      <c r="QPH112" s="1370"/>
      <c r="QPI112" s="1370"/>
      <c r="QPJ112" s="1370"/>
      <c r="QPK112" s="1370"/>
      <c r="QPL112" s="1370"/>
      <c r="QPM112" s="1370"/>
      <c r="QPN112" s="1370"/>
      <c r="QPO112" s="1370"/>
      <c r="QPP112" s="1370"/>
      <c r="QPQ112" s="1370"/>
      <c r="QPR112" s="1370"/>
      <c r="QPS112" s="1370"/>
      <c r="QPT112" s="1370"/>
      <c r="QPU112" s="1370"/>
      <c r="QPV112" s="1370"/>
      <c r="QPW112" s="1370"/>
      <c r="QPX112" s="1370"/>
      <c r="QPY112" s="1370"/>
      <c r="QPZ112" s="1370"/>
      <c r="QQA112" s="1370"/>
      <c r="QQB112" s="1370"/>
      <c r="QQC112" s="1370"/>
      <c r="QQD112" s="1370"/>
      <c r="QQE112" s="1370"/>
      <c r="QQF112" s="1370"/>
      <c r="QQG112" s="1370"/>
      <c r="QQH112" s="1370"/>
      <c r="QQI112" s="1370"/>
      <c r="QQJ112" s="1370"/>
      <c r="QQK112" s="1370"/>
      <c r="QQL112" s="1370"/>
      <c r="QQM112" s="1370"/>
      <c r="QQN112" s="1370"/>
      <c r="QQO112" s="1370"/>
      <c r="QQP112" s="1370"/>
      <c r="QQQ112" s="1370"/>
      <c r="QQR112" s="1370"/>
      <c r="QQS112" s="1370"/>
      <c r="QQT112" s="1370"/>
      <c r="QQU112" s="1370"/>
      <c r="QQV112" s="1370"/>
      <c r="QQW112" s="1370"/>
      <c r="QQX112" s="1370"/>
      <c r="QQY112" s="1370"/>
      <c r="QQZ112" s="1370"/>
      <c r="QRA112" s="1370"/>
      <c r="QRB112" s="1370"/>
      <c r="QRC112" s="1370"/>
      <c r="QRD112" s="1370"/>
      <c r="QRE112" s="1370"/>
      <c r="QRF112" s="1370"/>
      <c r="QRG112" s="1370"/>
      <c r="QRH112" s="1370"/>
      <c r="QRI112" s="1370"/>
      <c r="QRJ112" s="1370"/>
      <c r="QRK112" s="1370"/>
      <c r="QRL112" s="1370"/>
      <c r="QRM112" s="1370"/>
      <c r="QRN112" s="1370"/>
      <c r="QRO112" s="1370"/>
      <c r="QRP112" s="1370"/>
      <c r="QRQ112" s="1370"/>
      <c r="QRR112" s="1370"/>
      <c r="QRS112" s="1370"/>
      <c r="QRT112" s="1370"/>
      <c r="QRU112" s="1370"/>
      <c r="QRV112" s="1370"/>
      <c r="QRW112" s="1370"/>
      <c r="QRX112" s="1370"/>
      <c r="QRY112" s="1370"/>
      <c r="QRZ112" s="1370"/>
      <c r="QSA112" s="1370"/>
      <c r="QSB112" s="1370"/>
      <c r="QSC112" s="1370"/>
      <c r="QSD112" s="1370"/>
      <c r="QSE112" s="1370"/>
      <c r="QSF112" s="1370"/>
      <c r="QSG112" s="1370"/>
      <c r="QSH112" s="1370"/>
      <c r="QSI112" s="1370"/>
      <c r="QSJ112" s="1370"/>
      <c r="QSK112" s="1370"/>
      <c r="QSL112" s="1370"/>
      <c r="QSM112" s="1370"/>
      <c r="QSN112" s="1370"/>
      <c r="QSO112" s="1370"/>
      <c r="QSP112" s="1370"/>
      <c r="QSQ112" s="1370"/>
      <c r="QSR112" s="1370"/>
      <c r="QSS112" s="1370"/>
      <c r="QST112" s="1370"/>
      <c r="QSU112" s="1370"/>
      <c r="QSV112" s="1370"/>
      <c r="QSW112" s="1370"/>
      <c r="QSX112" s="1370"/>
      <c r="QSY112" s="1370"/>
      <c r="QSZ112" s="1370"/>
      <c r="QTA112" s="1370"/>
      <c r="QTB112" s="1370"/>
      <c r="QTC112" s="1370"/>
      <c r="QTD112" s="1370"/>
      <c r="QTE112" s="1370"/>
      <c r="QTF112" s="1370"/>
      <c r="QTG112" s="1370"/>
      <c r="QTH112" s="1370"/>
      <c r="QTI112" s="1370"/>
      <c r="QTJ112" s="1370"/>
      <c r="QTK112" s="1370"/>
      <c r="QTL112" s="1370"/>
      <c r="QTM112" s="1370"/>
      <c r="QTN112" s="1370"/>
      <c r="QTO112" s="1370"/>
      <c r="QTP112" s="1370"/>
      <c r="QTQ112" s="1370"/>
      <c r="QTR112" s="1370"/>
      <c r="QTS112" s="1370"/>
      <c r="QTT112" s="1370"/>
      <c r="QTU112" s="1370"/>
      <c r="QTV112" s="1370"/>
      <c r="QTW112" s="1370"/>
      <c r="QTX112" s="1370"/>
      <c r="QTY112" s="1370"/>
      <c r="QTZ112" s="1370"/>
      <c r="QUA112" s="1370"/>
      <c r="QUB112" s="1370"/>
      <c r="QUC112" s="1370"/>
      <c r="QUD112" s="1370"/>
      <c r="QUE112" s="1370"/>
      <c r="QUF112" s="1370"/>
      <c r="QUG112" s="1370"/>
      <c r="QUH112" s="1370"/>
      <c r="QUI112" s="1370"/>
      <c r="QUJ112" s="1370"/>
      <c r="QUK112" s="1370"/>
      <c r="QUL112" s="1370"/>
      <c r="QUM112" s="1370"/>
      <c r="QUN112" s="1370"/>
      <c r="QUO112" s="1370"/>
      <c r="QUP112" s="1370"/>
      <c r="QUQ112" s="1370"/>
      <c r="QUR112" s="1370"/>
      <c r="QUS112" s="1370"/>
      <c r="QUT112" s="1370"/>
      <c r="QUU112" s="1370"/>
      <c r="QUV112" s="1370"/>
      <c r="QUW112" s="1370"/>
      <c r="QUX112" s="1370"/>
      <c r="QUY112" s="1370"/>
      <c r="QUZ112" s="1370"/>
      <c r="QVA112" s="1370"/>
      <c r="QVB112" s="1370"/>
      <c r="QVC112" s="1370"/>
      <c r="QVD112" s="1370"/>
      <c r="QVE112" s="1370"/>
      <c r="QVF112" s="1370"/>
      <c r="QVG112" s="1370"/>
      <c r="QVH112" s="1370"/>
      <c r="QVI112" s="1370"/>
      <c r="QVJ112" s="1370"/>
      <c r="QVK112" s="1370"/>
      <c r="QVL112" s="1370"/>
      <c r="QVM112" s="1370"/>
      <c r="QVN112" s="1370"/>
      <c r="QVO112" s="1370"/>
      <c r="QVP112" s="1370"/>
      <c r="QVQ112" s="1370"/>
      <c r="QVR112" s="1370"/>
      <c r="QVS112" s="1370"/>
      <c r="QVT112" s="1370"/>
      <c r="QVU112" s="1370"/>
      <c r="QVV112" s="1370"/>
      <c r="QVW112" s="1370"/>
      <c r="QVX112" s="1370"/>
      <c r="QVY112" s="1370"/>
      <c r="QVZ112" s="1370"/>
      <c r="QWA112" s="1370"/>
      <c r="QWB112" s="1370"/>
      <c r="QWC112" s="1370"/>
      <c r="QWD112" s="1370"/>
      <c r="QWE112" s="1370"/>
      <c r="QWF112" s="1370"/>
      <c r="QWG112" s="1370"/>
      <c r="QWH112" s="1370"/>
      <c r="QWI112" s="1370"/>
      <c r="QWJ112" s="1370"/>
      <c r="QWK112" s="1370"/>
      <c r="QWL112" s="1370"/>
      <c r="QWM112" s="1370"/>
      <c r="QWN112" s="1370"/>
      <c r="QWO112" s="1370"/>
      <c r="QWP112" s="1370"/>
      <c r="QWQ112" s="1370"/>
      <c r="QWR112" s="1370"/>
      <c r="QWS112" s="1370"/>
      <c r="QWT112" s="1370"/>
      <c r="QWU112" s="1370"/>
      <c r="QWV112" s="1370"/>
      <c r="QWW112" s="1370"/>
      <c r="QWX112" s="1370"/>
      <c r="QWY112" s="1370"/>
      <c r="QWZ112" s="1370"/>
      <c r="QXA112" s="1370"/>
      <c r="QXB112" s="1370"/>
      <c r="QXC112" s="1370"/>
      <c r="QXD112" s="1370"/>
      <c r="QXE112" s="1370"/>
      <c r="QXF112" s="1370"/>
      <c r="QXG112" s="1370"/>
      <c r="QXH112" s="1370"/>
      <c r="QXI112" s="1370"/>
      <c r="QXJ112" s="1370"/>
      <c r="QXK112" s="1370"/>
      <c r="QXL112" s="1370"/>
      <c r="QXM112" s="1370"/>
      <c r="QXN112" s="1370"/>
      <c r="QXO112" s="1370"/>
      <c r="QXP112" s="1370"/>
      <c r="QXQ112" s="1370"/>
      <c r="QXR112" s="1370"/>
      <c r="QXS112" s="1370"/>
      <c r="QXT112" s="1370"/>
      <c r="QXU112" s="1370"/>
      <c r="QXV112" s="1370"/>
      <c r="QXW112" s="1370"/>
      <c r="QXX112" s="1370"/>
      <c r="QXY112" s="1370"/>
      <c r="QXZ112" s="1370"/>
      <c r="QYA112" s="1370"/>
      <c r="QYB112" s="1370"/>
      <c r="QYC112" s="1370"/>
      <c r="QYD112" s="1370"/>
      <c r="QYE112" s="1370"/>
      <c r="QYF112" s="1370"/>
      <c r="QYG112" s="1370"/>
      <c r="QYH112" s="1370"/>
      <c r="QYI112" s="1370"/>
      <c r="QYJ112" s="1370"/>
      <c r="QYK112" s="1370"/>
      <c r="QYL112" s="1370"/>
      <c r="QYM112" s="1370"/>
      <c r="QYN112" s="1370"/>
      <c r="QYO112" s="1370"/>
      <c r="QYP112" s="1370"/>
      <c r="QYQ112" s="1370"/>
      <c r="QYR112" s="1370"/>
      <c r="QYS112" s="1370"/>
      <c r="QYT112" s="1370"/>
      <c r="QYU112" s="1370"/>
      <c r="QYV112" s="1370"/>
      <c r="QYW112" s="1370"/>
      <c r="QYX112" s="1370"/>
      <c r="QYY112" s="1370"/>
      <c r="QYZ112" s="1370"/>
      <c r="QZA112" s="1370"/>
      <c r="QZB112" s="1370"/>
      <c r="QZC112" s="1370"/>
      <c r="QZD112" s="1370"/>
      <c r="QZE112" s="1370"/>
      <c r="QZF112" s="1370"/>
      <c r="QZG112" s="1370"/>
      <c r="QZH112" s="1370"/>
      <c r="QZI112" s="1370"/>
      <c r="QZJ112" s="1370"/>
      <c r="QZK112" s="1370"/>
      <c r="QZL112" s="1370"/>
      <c r="QZM112" s="1370"/>
      <c r="QZN112" s="1370"/>
      <c r="QZO112" s="1370"/>
      <c r="QZP112" s="1370"/>
      <c r="QZQ112" s="1370"/>
      <c r="QZR112" s="1370"/>
      <c r="QZS112" s="1370"/>
      <c r="QZT112" s="1370"/>
      <c r="QZU112" s="1370"/>
      <c r="QZV112" s="1370"/>
      <c r="QZW112" s="1370"/>
      <c r="QZX112" s="1370"/>
      <c r="QZY112" s="1370"/>
      <c r="QZZ112" s="1370"/>
      <c r="RAA112" s="1370"/>
      <c r="RAB112" s="1370"/>
      <c r="RAC112" s="1370"/>
      <c r="RAD112" s="1370"/>
      <c r="RAE112" s="1370"/>
      <c r="RAF112" s="1370"/>
      <c r="RAG112" s="1370"/>
      <c r="RAH112" s="1370"/>
      <c r="RAI112" s="1370"/>
      <c r="RAJ112" s="1370"/>
      <c r="RAK112" s="1370"/>
      <c r="RAL112" s="1370"/>
      <c r="RAM112" s="1370"/>
      <c r="RAN112" s="1370"/>
      <c r="RAO112" s="1370"/>
      <c r="RAP112" s="1370"/>
      <c r="RAQ112" s="1370"/>
      <c r="RAR112" s="1370"/>
      <c r="RAS112" s="1370"/>
      <c r="RAT112" s="1370"/>
      <c r="RAU112" s="1370"/>
      <c r="RAV112" s="1370"/>
      <c r="RAW112" s="1370"/>
      <c r="RAX112" s="1370"/>
      <c r="RAY112" s="1370"/>
      <c r="RAZ112" s="1370"/>
      <c r="RBA112" s="1370"/>
      <c r="RBB112" s="1370"/>
      <c r="RBC112" s="1370"/>
      <c r="RBD112" s="1370"/>
      <c r="RBE112" s="1370"/>
      <c r="RBF112" s="1370"/>
      <c r="RBG112" s="1370"/>
      <c r="RBH112" s="1370"/>
      <c r="RBI112" s="1370"/>
      <c r="RBJ112" s="1370"/>
      <c r="RBK112" s="1370"/>
      <c r="RBL112" s="1370"/>
      <c r="RBM112" s="1370"/>
      <c r="RBN112" s="1370"/>
      <c r="RBO112" s="1370"/>
      <c r="RBP112" s="1370"/>
      <c r="RBQ112" s="1370"/>
      <c r="RBR112" s="1370"/>
      <c r="RBS112" s="1370"/>
      <c r="RBT112" s="1370"/>
      <c r="RBU112" s="1370"/>
      <c r="RBV112" s="1370"/>
      <c r="RBW112" s="1370"/>
      <c r="RBX112" s="1370"/>
      <c r="RBY112" s="1370"/>
      <c r="RBZ112" s="1370"/>
      <c r="RCA112" s="1370"/>
      <c r="RCB112" s="1370"/>
      <c r="RCC112" s="1370"/>
      <c r="RCD112" s="1370"/>
      <c r="RCE112" s="1370"/>
      <c r="RCF112" s="1370"/>
      <c r="RCG112" s="1370"/>
      <c r="RCH112" s="1370"/>
      <c r="RCI112" s="1370"/>
      <c r="RCJ112" s="1370"/>
      <c r="RCK112" s="1370"/>
      <c r="RCL112" s="1370"/>
      <c r="RCM112" s="1370"/>
      <c r="RCN112" s="1370"/>
      <c r="RCO112" s="1370"/>
      <c r="RCP112" s="1370"/>
      <c r="RCQ112" s="1370"/>
      <c r="RCR112" s="1370"/>
      <c r="RCS112" s="1370"/>
      <c r="RCT112" s="1370"/>
      <c r="RCU112" s="1370"/>
      <c r="RCV112" s="1370"/>
      <c r="RCW112" s="1370"/>
      <c r="RCX112" s="1370"/>
      <c r="RCY112" s="1370"/>
      <c r="RCZ112" s="1370"/>
      <c r="RDA112" s="1370"/>
      <c r="RDB112" s="1370"/>
      <c r="RDC112" s="1370"/>
      <c r="RDD112" s="1370"/>
      <c r="RDE112" s="1370"/>
      <c r="RDF112" s="1370"/>
      <c r="RDG112" s="1370"/>
      <c r="RDH112" s="1370"/>
      <c r="RDI112" s="1370"/>
      <c r="RDJ112" s="1370"/>
      <c r="RDK112" s="1370"/>
      <c r="RDL112" s="1370"/>
      <c r="RDM112" s="1370"/>
      <c r="RDN112" s="1370"/>
      <c r="RDO112" s="1370"/>
      <c r="RDP112" s="1370"/>
      <c r="RDQ112" s="1370"/>
      <c r="RDR112" s="1370"/>
      <c r="RDS112" s="1370"/>
      <c r="RDT112" s="1370"/>
      <c r="RDU112" s="1370"/>
      <c r="RDV112" s="1370"/>
      <c r="RDW112" s="1370"/>
      <c r="RDX112" s="1370"/>
      <c r="RDY112" s="1370"/>
      <c r="RDZ112" s="1370"/>
      <c r="REA112" s="1370"/>
      <c r="REB112" s="1370"/>
      <c r="REC112" s="1370"/>
      <c r="RED112" s="1370"/>
      <c r="REE112" s="1370"/>
      <c r="REF112" s="1370"/>
      <c r="REG112" s="1370"/>
      <c r="REH112" s="1370"/>
      <c r="REI112" s="1370"/>
      <c r="REJ112" s="1370"/>
      <c r="REK112" s="1370"/>
      <c r="REL112" s="1370"/>
      <c r="REM112" s="1370"/>
      <c r="REN112" s="1370"/>
      <c r="REO112" s="1370"/>
      <c r="REP112" s="1370"/>
      <c r="REQ112" s="1370"/>
      <c r="RER112" s="1370"/>
      <c r="RES112" s="1370"/>
      <c r="RET112" s="1370"/>
      <c r="REU112" s="1370"/>
      <c r="REV112" s="1370"/>
      <c r="REW112" s="1370"/>
      <c r="REX112" s="1370"/>
      <c r="REY112" s="1370"/>
      <c r="REZ112" s="1370"/>
      <c r="RFA112" s="1370"/>
      <c r="RFB112" s="1370"/>
      <c r="RFC112" s="1370"/>
      <c r="RFD112" s="1370"/>
      <c r="RFE112" s="1370"/>
      <c r="RFF112" s="1370"/>
      <c r="RFG112" s="1370"/>
      <c r="RFH112" s="1370"/>
      <c r="RFI112" s="1370"/>
      <c r="RFJ112" s="1370"/>
      <c r="RFK112" s="1370"/>
      <c r="RFL112" s="1370"/>
      <c r="RFM112" s="1370"/>
      <c r="RFN112" s="1370"/>
      <c r="RFO112" s="1370"/>
      <c r="RFP112" s="1370"/>
      <c r="RFQ112" s="1370"/>
      <c r="RFR112" s="1370"/>
      <c r="RFS112" s="1370"/>
      <c r="RFT112" s="1370"/>
      <c r="RFU112" s="1370"/>
      <c r="RFV112" s="1370"/>
      <c r="RFW112" s="1370"/>
      <c r="RFX112" s="1370"/>
      <c r="RFY112" s="1370"/>
      <c r="RFZ112" s="1370"/>
      <c r="RGA112" s="1370"/>
      <c r="RGB112" s="1370"/>
      <c r="RGC112" s="1370"/>
      <c r="RGD112" s="1370"/>
      <c r="RGE112" s="1370"/>
      <c r="RGF112" s="1370"/>
      <c r="RGG112" s="1370"/>
      <c r="RGH112" s="1370"/>
      <c r="RGI112" s="1370"/>
      <c r="RGJ112" s="1370"/>
      <c r="RGK112" s="1370"/>
      <c r="RGL112" s="1370"/>
      <c r="RGM112" s="1370"/>
      <c r="RGN112" s="1370"/>
      <c r="RGO112" s="1370"/>
      <c r="RGP112" s="1370"/>
      <c r="RGQ112" s="1370"/>
      <c r="RGR112" s="1370"/>
      <c r="RGS112" s="1370"/>
      <c r="RGT112" s="1370"/>
      <c r="RGU112" s="1370"/>
      <c r="RGV112" s="1370"/>
      <c r="RGW112" s="1370"/>
      <c r="RGX112" s="1370"/>
      <c r="RGY112" s="1370"/>
      <c r="RGZ112" s="1370"/>
      <c r="RHA112" s="1370"/>
      <c r="RHB112" s="1370"/>
      <c r="RHC112" s="1370"/>
      <c r="RHD112" s="1370"/>
      <c r="RHE112" s="1370"/>
      <c r="RHF112" s="1370"/>
      <c r="RHG112" s="1370"/>
      <c r="RHH112" s="1370"/>
      <c r="RHI112" s="1370"/>
      <c r="RHJ112" s="1370"/>
      <c r="RHK112" s="1370"/>
      <c r="RHL112" s="1370"/>
      <c r="RHM112" s="1370"/>
      <c r="RHN112" s="1370"/>
      <c r="RHO112" s="1370"/>
      <c r="RHP112" s="1370"/>
      <c r="RHQ112" s="1370"/>
      <c r="RHR112" s="1370"/>
      <c r="RHS112" s="1370"/>
      <c r="RHT112" s="1370"/>
      <c r="RHU112" s="1370"/>
      <c r="RHV112" s="1370"/>
      <c r="RHW112" s="1370"/>
      <c r="RHX112" s="1370"/>
      <c r="RHY112" s="1370"/>
      <c r="RHZ112" s="1370"/>
      <c r="RIA112" s="1370"/>
      <c r="RIB112" s="1370"/>
      <c r="RIC112" s="1370"/>
      <c r="RID112" s="1370"/>
      <c r="RIE112" s="1370"/>
      <c r="RIF112" s="1370"/>
      <c r="RIG112" s="1370"/>
      <c r="RIH112" s="1370"/>
      <c r="RII112" s="1370"/>
      <c r="RIJ112" s="1370"/>
      <c r="RIK112" s="1370"/>
      <c r="RIL112" s="1370"/>
      <c r="RIM112" s="1370"/>
      <c r="RIN112" s="1370"/>
      <c r="RIO112" s="1370"/>
      <c r="RIP112" s="1370"/>
      <c r="RIQ112" s="1370"/>
      <c r="RIR112" s="1370"/>
      <c r="RIS112" s="1370"/>
      <c r="RIT112" s="1370"/>
      <c r="RIU112" s="1370"/>
      <c r="RIV112" s="1370"/>
      <c r="RIW112" s="1370"/>
      <c r="RIX112" s="1370"/>
      <c r="RIY112" s="1370"/>
      <c r="RIZ112" s="1370"/>
      <c r="RJA112" s="1370"/>
      <c r="RJB112" s="1370"/>
      <c r="RJC112" s="1370"/>
      <c r="RJD112" s="1370"/>
      <c r="RJE112" s="1370"/>
      <c r="RJF112" s="1370"/>
      <c r="RJG112" s="1370"/>
      <c r="RJH112" s="1370"/>
      <c r="RJI112" s="1370"/>
      <c r="RJJ112" s="1370"/>
      <c r="RJK112" s="1370"/>
      <c r="RJL112" s="1370"/>
      <c r="RJM112" s="1370"/>
      <c r="RJN112" s="1370"/>
      <c r="RJO112" s="1370"/>
      <c r="RJP112" s="1370"/>
      <c r="RJQ112" s="1370"/>
      <c r="RJR112" s="1370"/>
      <c r="RJS112" s="1370"/>
      <c r="RJT112" s="1370"/>
      <c r="RJU112" s="1370"/>
      <c r="RJV112" s="1370"/>
      <c r="RJW112" s="1370"/>
      <c r="RJX112" s="1370"/>
      <c r="RJY112" s="1370"/>
      <c r="RJZ112" s="1370"/>
      <c r="RKA112" s="1370"/>
      <c r="RKB112" s="1370"/>
      <c r="RKC112" s="1370"/>
      <c r="RKD112" s="1370"/>
      <c r="RKE112" s="1370"/>
      <c r="RKF112" s="1370"/>
      <c r="RKG112" s="1370"/>
      <c r="RKH112" s="1370"/>
      <c r="RKI112" s="1370"/>
      <c r="RKJ112" s="1370"/>
      <c r="RKK112" s="1370"/>
      <c r="RKL112" s="1370"/>
      <c r="RKM112" s="1370"/>
      <c r="RKN112" s="1370"/>
      <c r="RKO112" s="1370"/>
      <c r="RKP112" s="1370"/>
      <c r="RKQ112" s="1370"/>
      <c r="RKR112" s="1370"/>
      <c r="RKS112" s="1370"/>
      <c r="RKT112" s="1370"/>
      <c r="RKU112" s="1370"/>
      <c r="RKV112" s="1370"/>
      <c r="RKW112" s="1370"/>
      <c r="RKX112" s="1370"/>
      <c r="RKY112" s="1370"/>
      <c r="RKZ112" s="1370"/>
      <c r="RLA112" s="1370"/>
      <c r="RLB112" s="1370"/>
      <c r="RLC112" s="1370"/>
      <c r="RLD112" s="1370"/>
      <c r="RLE112" s="1370"/>
      <c r="RLF112" s="1370"/>
      <c r="RLG112" s="1370"/>
      <c r="RLH112" s="1370"/>
      <c r="RLI112" s="1370"/>
      <c r="RLJ112" s="1370"/>
      <c r="RLK112" s="1370"/>
      <c r="RLL112" s="1370"/>
      <c r="RLM112" s="1370"/>
      <c r="RLN112" s="1370"/>
      <c r="RLO112" s="1370"/>
      <c r="RLP112" s="1370"/>
      <c r="RLQ112" s="1370"/>
      <c r="RLR112" s="1370"/>
      <c r="RLS112" s="1370"/>
      <c r="RLT112" s="1370"/>
      <c r="RLU112" s="1370"/>
      <c r="RLV112" s="1370"/>
      <c r="RLW112" s="1370"/>
      <c r="RLX112" s="1370"/>
      <c r="RLY112" s="1370"/>
      <c r="RLZ112" s="1370"/>
      <c r="RMA112" s="1370"/>
      <c r="RMB112" s="1370"/>
      <c r="RMC112" s="1370"/>
      <c r="RMD112" s="1370"/>
      <c r="RME112" s="1370"/>
      <c r="RMF112" s="1370"/>
      <c r="RMG112" s="1370"/>
      <c r="RMH112" s="1370"/>
      <c r="RMI112" s="1370"/>
      <c r="RMJ112" s="1370"/>
      <c r="RMK112" s="1370"/>
      <c r="RML112" s="1370"/>
      <c r="RMM112" s="1370"/>
      <c r="RMN112" s="1370"/>
      <c r="RMO112" s="1370"/>
      <c r="RMP112" s="1370"/>
      <c r="RMQ112" s="1370"/>
      <c r="RMR112" s="1370"/>
      <c r="RMS112" s="1370"/>
      <c r="RMT112" s="1370"/>
      <c r="RMU112" s="1370"/>
      <c r="RMV112" s="1370"/>
      <c r="RMW112" s="1370"/>
      <c r="RMX112" s="1370"/>
      <c r="RMY112" s="1370"/>
      <c r="RMZ112" s="1370"/>
      <c r="RNA112" s="1370"/>
      <c r="RNB112" s="1370"/>
      <c r="RNC112" s="1370"/>
      <c r="RND112" s="1370"/>
      <c r="RNE112" s="1370"/>
      <c r="RNF112" s="1370"/>
      <c r="RNG112" s="1370"/>
      <c r="RNH112" s="1370"/>
      <c r="RNI112" s="1370"/>
      <c r="RNJ112" s="1370"/>
      <c r="RNK112" s="1370"/>
      <c r="RNL112" s="1370"/>
      <c r="RNM112" s="1370"/>
      <c r="RNN112" s="1370"/>
      <c r="RNO112" s="1370"/>
      <c r="RNP112" s="1370"/>
      <c r="RNQ112" s="1370"/>
      <c r="RNR112" s="1370"/>
      <c r="RNS112" s="1370"/>
      <c r="RNT112" s="1370"/>
      <c r="RNU112" s="1370"/>
      <c r="RNV112" s="1370"/>
      <c r="RNW112" s="1370"/>
      <c r="RNX112" s="1370"/>
      <c r="RNY112" s="1370"/>
      <c r="RNZ112" s="1370"/>
      <c r="ROA112" s="1370"/>
      <c r="ROB112" s="1370"/>
      <c r="ROC112" s="1370"/>
      <c r="ROD112" s="1370"/>
      <c r="ROE112" s="1370"/>
      <c r="ROF112" s="1370"/>
      <c r="ROG112" s="1370"/>
      <c r="ROH112" s="1370"/>
      <c r="ROI112" s="1370"/>
      <c r="ROJ112" s="1370"/>
      <c r="ROK112" s="1370"/>
      <c r="ROL112" s="1370"/>
      <c r="ROM112" s="1370"/>
      <c r="RON112" s="1370"/>
      <c r="ROO112" s="1370"/>
      <c r="ROP112" s="1370"/>
      <c r="ROQ112" s="1370"/>
      <c r="ROR112" s="1370"/>
      <c r="ROS112" s="1370"/>
      <c r="ROT112" s="1370"/>
      <c r="ROU112" s="1370"/>
      <c r="ROV112" s="1370"/>
      <c r="ROW112" s="1370"/>
      <c r="ROX112" s="1370"/>
      <c r="ROY112" s="1370"/>
      <c r="ROZ112" s="1370"/>
      <c r="RPA112" s="1370"/>
      <c r="RPB112" s="1370"/>
      <c r="RPC112" s="1370"/>
      <c r="RPD112" s="1370"/>
      <c r="RPE112" s="1370"/>
      <c r="RPF112" s="1370"/>
      <c r="RPG112" s="1370"/>
      <c r="RPH112" s="1370"/>
      <c r="RPI112" s="1370"/>
      <c r="RPJ112" s="1370"/>
      <c r="RPK112" s="1370"/>
      <c r="RPL112" s="1370"/>
      <c r="RPM112" s="1370"/>
      <c r="RPN112" s="1370"/>
      <c r="RPO112" s="1370"/>
      <c r="RPP112" s="1370"/>
      <c r="RPQ112" s="1370"/>
      <c r="RPR112" s="1370"/>
      <c r="RPS112" s="1370"/>
      <c r="RPT112" s="1370"/>
      <c r="RPU112" s="1370"/>
      <c r="RPV112" s="1370"/>
      <c r="RPW112" s="1370"/>
      <c r="RPX112" s="1370"/>
      <c r="RPY112" s="1370"/>
      <c r="RPZ112" s="1370"/>
      <c r="RQA112" s="1370"/>
      <c r="RQB112" s="1370"/>
      <c r="RQC112" s="1370"/>
      <c r="RQD112" s="1370"/>
      <c r="RQE112" s="1370"/>
      <c r="RQF112" s="1370"/>
      <c r="RQG112" s="1370"/>
      <c r="RQH112" s="1370"/>
      <c r="RQI112" s="1370"/>
      <c r="RQJ112" s="1370"/>
      <c r="RQK112" s="1370"/>
      <c r="RQL112" s="1370"/>
      <c r="RQM112" s="1370"/>
      <c r="RQN112" s="1370"/>
      <c r="RQO112" s="1370"/>
      <c r="RQP112" s="1370"/>
      <c r="RQQ112" s="1370"/>
      <c r="RQR112" s="1370"/>
      <c r="RQS112" s="1370"/>
      <c r="RQT112" s="1370"/>
      <c r="RQU112" s="1370"/>
      <c r="RQV112" s="1370"/>
      <c r="RQW112" s="1370"/>
      <c r="RQX112" s="1370"/>
      <c r="RQY112" s="1370"/>
      <c r="RQZ112" s="1370"/>
      <c r="RRA112" s="1370"/>
      <c r="RRB112" s="1370"/>
      <c r="RRC112" s="1370"/>
      <c r="RRD112" s="1370"/>
      <c r="RRE112" s="1370"/>
      <c r="RRF112" s="1370"/>
      <c r="RRG112" s="1370"/>
      <c r="RRH112" s="1370"/>
      <c r="RRI112" s="1370"/>
      <c r="RRJ112" s="1370"/>
      <c r="RRK112" s="1370"/>
      <c r="RRL112" s="1370"/>
      <c r="RRM112" s="1370"/>
      <c r="RRN112" s="1370"/>
      <c r="RRO112" s="1370"/>
      <c r="RRP112" s="1370"/>
      <c r="RRQ112" s="1370"/>
      <c r="RRR112" s="1370"/>
      <c r="RRS112" s="1370"/>
      <c r="RRT112" s="1370"/>
      <c r="RRU112" s="1370"/>
      <c r="RRV112" s="1370"/>
      <c r="RRW112" s="1370"/>
      <c r="RRX112" s="1370"/>
      <c r="RRY112" s="1370"/>
      <c r="RRZ112" s="1370"/>
      <c r="RSA112" s="1370"/>
      <c r="RSB112" s="1370"/>
      <c r="RSC112" s="1370"/>
      <c r="RSD112" s="1370"/>
      <c r="RSE112" s="1370"/>
      <c r="RSF112" s="1370"/>
      <c r="RSG112" s="1370"/>
      <c r="RSH112" s="1370"/>
      <c r="RSI112" s="1370"/>
      <c r="RSJ112" s="1370"/>
      <c r="RSK112" s="1370"/>
      <c r="RSL112" s="1370"/>
      <c r="RSM112" s="1370"/>
      <c r="RSN112" s="1370"/>
      <c r="RSO112" s="1370"/>
      <c r="RSP112" s="1370"/>
      <c r="RSQ112" s="1370"/>
      <c r="RSR112" s="1370"/>
      <c r="RSS112" s="1370"/>
      <c r="RST112" s="1370"/>
      <c r="RSU112" s="1370"/>
      <c r="RSV112" s="1370"/>
      <c r="RSW112" s="1370"/>
      <c r="RSX112" s="1370"/>
      <c r="RSY112" s="1370"/>
      <c r="RSZ112" s="1370"/>
      <c r="RTA112" s="1370"/>
      <c r="RTB112" s="1370"/>
      <c r="RTC112" s="1370"/>
      <c r="RTD112" s="1370"/>
      <c r="RTE112" s="1370"/>
      <c r="RTF112" s="1370"/>
      <c r="RTG112" s="1370"/>
      <c r="RTH112" s="1370"/>
      <c r="RTI112" s="1370"/>
      <c r="RTJ112" s="1370"/>
      <c r="RTK112" s="1370"/>
      <c r="RTL112" s="1370"/>
      <c r="RTM112" s="1370"/>
      <c r="RTN112" s="1370"/>
      <c r="RTO112" s="1370"/>
      <c r="RTP112" s="1370"/>
      <c r="RTQ112" s="1370"/>
      <c r="RTR112" s="1370"/>
      <c r="RTS112" s="1370"/>
      <c r="RTT112" s="1370"/>
      <c r="RTU112" s="1370"/>
      <c r="RTV112" s="1370"/>
      <c r="RTW112" s="1370"/>
      <c r="RTX112" s="1370"/>
      <c r="RTY112" s="1370"/>
      <c r="RTZ112" s="1370"/>
      <c r="RUA112" s="1370"/>
      <c r="RUB112" s="1370"/>
      <c r="RUC112" s="1370"/>
      <c r="RUD112" s="1370"/>
      <c r="RUE112" s="1370"/>
      <c r="RUF112" s="1370"/>
      <c r="RUG112" s="1370"/>
      <c r="RUH112" s="1370"/>
      <c r="RUI112" s="1370"/>
      <c r="RUJ112" s="1370"/>
      <c r="RUK112" s="1370"/>
      <c r="RUL112" s="1370"/>
      <c r="RUM112" s="1370"/>
      <c r="RUN112" s="1370"/>
      <c r="RUO112" s="1370"/>
      <c r="RUP112" s="1370"/>
      <c r="RUQ112" s="1370"/>
      <c r="RUR112" s="1370"/>
      <c r="RUS112" s="1370"/>
      <c r="RUT112" s="1370"/>
      <c r="RUU112" s="1370"/>
      <c r="RUV112" s="1370"/>
      <c r="RUW112" s="1370"/>
      <c r="RUX112" s="1370"/>
      <c r="RUY112" s="1370"/>
      <c r="RUZ112" s="1370"/>
      <c r="RVA112" s="1370"/>
      <c r="RVB112" s="1370"/>
      <c r="RVC112" s="1370"/>
      <c r="RVD112" s="1370"/>
      <c r="RVE112" s="1370"/>
      <c r="RVF112" s="1370"/>
      <c r="RVG112" s="1370"/>
      <c r="RVH112" s="1370"/>
      <c r="RVI112" s="1370"/>
      <c r="RVJ112" s="1370"/>
      <c r="RVK112" s="1370"/>
      <c r="RVL112" s="1370"/>
      <c r="RVM112" s="1370"/>
      <c r="RVN112" s="1370"/>
      <c r="RVO112" s="1370"/>
      <c r="RVP112" s="1370"/>
      <c r="RVQ112" s="1370"/>
      <c r="RVR112" s="1370"/>
      <c r="RVS112" s="1370"/>
      <c r="RVT112" s="1370"/>
      <c r="RVU112" s="1370"/>
      <c r="RVV112" s="1370"/>
      <c r="RVW112" s="1370"/>
      <c r="RVX112" s="1370"/>
      <c r="RVY112" s="1370"/>
      <c r="RVZ112" s="1370"/>
      <c r="RWA112" s="1370"/>
      <c r="RWB112" s="1370"/>
      <c r="RWC112" s="1370"/>
      <c r="RWD112" s="1370"/>
      <c r="RWE112" s="1370"/>
      <c r="RWF112" s="1370"/>
      <c r="RWG112" s="1370"/>
      <c r="RWH112" s="1370"/>
      <c r="RWI112" s="1370"/>
      <c r="RWJ112" s="1370"/>
      <c r="RWK112" s="1370"/>
      <c r="RWL112" s="1370"/>
      <c r="RWM112" s="1370"/>
      <c r="RWN112" s="1370"/>
      <c r="RWO112" s="1370"/>
      <c r="RWP112" s="1370"/>
      <c r="RWQ112" s="1370"/>
      <c r="RWR112" s="1370"/>
      <c r="RWS112" s="1370"/>
      <c r="RWT112" s="1370"/>
      <c r="RWU112" s="1370"/>
      <c r="RWV112" s="1370"/>
      <c r="RWW112" s="1370"/>
      <c r="RWX112" s="1370"/>
      <c r="RWY112" s="1370"/>
      <c r="RWZ112" s="1370"/>
      <c r="RXA112" s="1370"/>
      <c r="RXB112" s="1370"/>
      <c r="RXC112" s="1370"/>
      <c r="RXD112" s="1370"/>
      <c r="RXE112" s="1370"/>
      <c r="RXF112" s="1370"/>
      <c r="RXG112" s="1370"/>
      <c r="RXH112" s="1370"/>
      <c r="RXI112" s="1370"/>
      <c r="RXJ112" s="1370"/>
      <c r="RXK112" s="1370"/>
      <c r="RXL112" s="1370"/>
      <c r="RXM112" s="1370"/>
      <c r="RXN112" s="1370"/>
      <c r="RXO112" s="1370"/>
      <c r="RXP112" s="1370"/>
      <c r="RXQ112" s="1370"/>
      <c r="RXR112" s="1370"/>
      <c r="RXS112" s="1370"/>
      <c r="RXT112" s="1370"/>
      <c r="RXU112" s="1370"/>
      <c r="RXV112" s="1370"/>
      <c r="RXW112" s="1370"/>
      <c r="RXX112" s="1370"/>
      <c r="RXY112" s="1370"/>
      <c r="RXZ112" s="1370"/>
      <c r="RYA112" s="1370"/>
      <c r="RYB112" s="1370"/>
      <c r="RYC112" s="1370"/>
      <c r="RYD112" s="1370"/>
      <c r="RYE112" s="1370"/>
      <c r="RYF112" s="1370"/>
      <c r="RYG112" s="1370"/>
      <c r="RYH112" s="1370"/>
      <c r="RYI112" s="1370"/>
      <c r="RYJ112" s="1370"/>
      <c r="RYK112" s="1370"/>
      <c r="RYL112" s="1370"/>
      <c r="RYM112" s="1370"/>
      <c r="RYN112" s="1370"/>
      <c r="RYO112" s="1370"/>
      <c r="RYP112" s="1370"/>
      <c r="RYQ112" s="1370"/>
      <c r="RYR112" s="1370"/>
      <c r="RYS112" s="1370"/>
      <c r="RYT112" s="1370"/>
      <c r="RYU112" s="1370"/>
      <c r="RYV112" s="1370"/>
      <c r="RYW112" s="1370"/>
      <c r="RYX112" s="1370"/>
      <c r="RYY112" s="1370"/>
      <c r="RYZ112" s="1370"/>
      <c r="RZA112" s="1370"/>
      <c r="RZB112" s="1370"/>
      <c r="RZC112" s="1370"/>
      <c r="RZD112" s="1370"/>
      <c r="RZE112" s="1370"/>
      <c r="RZF112" s="1370"/>
      <c r="RZG112" s="1370"/>
      <c r="RZH112" s="1370"/>
      <c r="RZI112" s="1370"/>
      <c r="RZJ112" s="1370"/>
      <c r="RZK112" s="1370"/>
      <c r="RZL112" s="1370"/>
      <c r="RZM112" s="1370"/>
      <c r="RZN112" s="1370"/>
      <c r="RZO112" s="1370"/>
      <c r="RZP112" s="1370"/>
      <c r="RZQ112" s="1370"/>
      <c r="RZR112" s="1370"/>
      <c r="RZS112" s="1370"/>
      <c r="RZT112" s="1370"/>
      <c r="RZU112" s="1370"/>
      <c r="RZV112" s="1370"/>
      <c r="RZW112" s="1370"/>
      <c r="RZX112" s="1370"/>
      <c r="RZY112" s="1370"/>
      <c r="RZZ112" s="1370"/>
      <c r="SAA112" s="1370"/>
      <c r="SAB112" s="1370"/>
      <c r="SAC112" s="1370"/>
      <c r="SAD112" s="1370"/>
      <c r="SAE112" s="1370"/>
      <c r="SAF112" s="1370"/>
      <c r="SAG112" s="1370"/>
      <c r="SAH112" s="1370"/>
      <c r="SAI112" s="1370"/>
      <c r="SAJ112" s="1370"/>
      <c r="SAK112" s="1370"/>
      <c r="SAL112" s="1370"/>
      <c r="SAM112" s="1370"/>
      <c r="SAN112" s="1370"/>
      <c r="SAO112" s="1370"/>
      <c r="SAP112" s="1370"/>
      <c r="SAQ112" s="1370"/>
      <c r="SAR112" s="1370"/>
      <c r="SAS112" s="1370"/>
      <c r="SAT112" s="1370"/>
      <c r="SAU112" s="1370"/>
      <c r="SAV112" s="1370"/>
      <c r="SAW112" s="1370"/>
      <c r="SAX112" s="1370"/>
      <c r="SAY112" s="1370"/>
      <c r="SAZ112" s="1370"/>
      <c r="SBA112" s="1370"/>
      <c r="SBB112" s="1370"/>
      <c r="SBC112" s="1370"/>
      <c r="SBD112" s="1370"/>
      <c r="SBE112" s="1370"/>
      <c r="SBF112" s="1370"/>
      <c r="SBG112" s="1370"/>
      <c r="SBH112" s="1370"/>
      <c r="SBI112" s="1370"/>
      <c r="SBJ112" s="1370"/>
      <c r="SBK112" s="1370"/>
      <c r="SBL112" s="1370"/>
      <c r="SBM112" s="1370"/>
      <c r="SBN112" s="1370"/>
      <c r="SBO112" s="1370"/>
      <c r="SBP112" s="1370"/>
      <c r="SBQ112" s="1370"/>
      <c r="SBR112" s="1370"/>
      <c r="SBS112" s="1370"/>
      <c r="SBT112" s="1370"/>
      <c r="SBU112" s="1370"/>
      <c r="SBV112" s="1370"/>
      <c r="SBW112" s="1370"/>
      <c r="SBX112" s="1370"/>
      <c r="SBY112" s="1370"/>
      <c r="SBZ112" s="1370"/>
      <c r="SCA112" s="1370"/>
      <c r="SCB112" s="1370"/>
      <c r="SCC112" s="1370"/>
      <c r="SCD112" s="1370"/>
      <c r="SCE112" s="1370"/>
      <c r="SCF112" s="1370"/>
      <c r="SCG112" s="1370"/>
      <c r="SCH112" s="1370"/>
      <c r="SCI112" s="1370"/>
      <c r="SCJ112" s="1370"/>
      <c r="SCK112" s="1370"/>
      <c r="SCL112" s="1370"/>
      <c r="SCM112" s="1370"/>
      <c r="SCN112" s="1370"/>
      <c r="SCO112" s="1370"/>
      <c r="SCP112" s="1370"/>
      <c r="SCQ112" s="1370"/>
      <c r="SCR112" s="1370"/>
      <c r="SCS112" s="1370"/>
      <c r="SCT112" s="1370"/>
      <c r="SCU112" s="1370"/>
      <c r="SCV112" s="1370"/>
      <c r="SCW112" s="1370"/>
      <c r="SCX112" s="1370"/>
      <c r="SCY112" s="1370"/>
      <c r="SCZ112" s="1370"/>
      <c r="SDA112" s="1370"/>
      <c r="SDB112" s="1370"/>
      <c r="SDC112" s="1370"/>
      <c r="SDD112" s="1370"/>
      <c r="SDE112" s="1370"/>
      <c r="SDF112" s="1370"/>
      <c r="SDG112" s="1370"/>
      <c r="SDH112" s="1370"/>
      <c r="SDI112" s="1370"/>
      <c r="SDJ112" s="1370"/>
      <c r="SDK112" s="1370"/>
      <c r="SDL112" s="1370"/>
      <c r="SDM112" s="1370"/>
      <c r="SDN112" s="1370"/>
      <c r="SDO112" s="1370"/>
      <c r="SDP112" s="1370"/>
      <c r="SDQ112" s="1370"/>
      <c r="SDR112" s="1370"/>
      <c r="SDS112" s="1370"/>
      <c r="SDT112" s="1370"/>
      <c r="SDU112" s="1370"/>
      <c r="SDV112" s="1370"/>
      <c r="SDW112" s="1370"/>
      <c r="SDX112" s="1370"/>
      <c r="SDY112" s="1370"/>
      <c r="SDZ112" s="1370"/>
      <c r="SEA112" s="1370"/>
      <c r="SEB112" s="1370"/>
      <c r="SEC112" s="1370"/>
      <c r="SED112" s="1370"/>
      <c r="SEE112" s="1370"/>
      <c r="SEF112" s="1370"/>
      <c r="SEG112" s="1370"/>
      <c r="SEH112" s="1370"/>
      <c r="SEI112" s="1370"/>
      <c r="SEJ112" s="1370"/>
      <c r="SEK112" s="1370"/>
      <c r="SEL112" s="1370"/>
      <c r="SEM112" s="1370"/>
      <c r="SEN112" s="1370"/>
      <c r="SEO112" s="1370"/>
      <c r="SEP112" s="1370"/>
      <c r="SEQ112" s="1370"/>
      <c r="SER112" s="1370"/>
      <c r="SES112" s="1370"/>
      <c r="SET112" s="1370"/>
      <c r="SEU112" s="1370"/>
      <c r="SEV112" s="1370"/>
      <c r="SEW112" s="1370"/>
      <c r="SEX112" s="1370"/>
      <c r="SEY112" s="1370"/>
      <c r="SEZ112" s="1370"/>
      <c r="SFA112" s="1370"/>
      <c r="SFB112" s="1370"/>
      <c r="SFC112" s="1370"/>
      <c r="SFD112" s="1370"/>
      <c r="SFE112" s="1370"/>
      <c r="SFF112" s="1370"/>
      <c r="SFG112" s="1370"/>
      <c r="SFH112" s="1370"/>
      <c r="SFI112" s="1370"/>
      <c r="SFJ112" s="1370"/>
      <c r="SFK112" s="1370"/>
      <c r="SFL112" s="1370"/>
      <c r="SFM112" s="1370"/>
      <c r="SFN112" s="1370"/>
      <c r="SFO112" s="1370"/>
      <c r="SFP112" s="1370"/>
      <c r="SFQ112" s="1370"/>
      <c r="SFR112" s="1370"/>
      <c r="SFS112" s="1370"/>
      <c r="SFT112" s="1370"/>
      <c r="SFU112" s="1370"/>
      <c r="SFV112" s="1370"/>
      <c r="SFW112" s="1370"/>
      <c r="SFX112" s="1370"/>
      <c r="SFY112" s="1370"/>
      <c r="SFZ112" s="1370"/>
      <c r="SGA112" s="1370"/>
      <c r="SGB112" s="1370"/>
      <c r="SGC112" s="1370"/>
      <c r="SGD112" s="1370"/>
      <c r="SGE112" s="1370"/>
      <c r="SGF112" s="1370"/>
      <c r="SGG112" s="1370"/>
      <c r="SGH112" s="1370"/>
      <c r="SGI112" s="1370"/>
      <c r="SGJ112" s="1370"/>
      <c r="SGK112" s="1370"/>
      <c r="SGL112" s="1370"/>
      <c r="SGM112" s="1370"/>
      <c r="SGN112" s="1370"/>
      <c r="SGO112" s="1370"/>
      <c r="SGP112" s="1370"/>
      <c r="SGQ112" s="1370"/>
      <c r="SGR112" s="1370"/>
      <c r="SGS112" s="1370"/>
      <c r="SGT112" s="1370"/>
      <c r="SGU112" s="1370"/>
      <c r="SGV112" s="1370"/>
      <c r="SGW112" s="1370"/>
      <c r="SGX112" s="1370"/>
      <c r="SGY112" s="1370"/>
      <c r="SGZ112" s="1370"/>
      <c r="SHA112" s="1370"/>
      <c r="SHB112" s="1370"/>
      <c r="SHC112" s="1370"/>
      <c r="SHD112" s="1370"/>
      <c r="SHE112" s="1370"/>
      <c r="SHF112" s="1370"/>
      <c r="SHG112" s="1370"/>
      <c r="SHH112" s="1370"/>
      <c r="SHI112" s="1370"/>
      <c r="SHJ112" s="1370"/>
      <c r="SHK112" s="1370"/>
      <c r="SHL112" s="1370"/>
      <c r="SHM112" s="1370"/>
      <c r="SHN112" s="1370"/>
      <c r="SHO112" s="1370"/>
      <c r="SHP112" s="1370"/>
      <c r="SHQ112" s="1370"/>
      <c r="SHR112" s="1370"/>
      <c r="SHS112" s="1370"/>
      <c r="SHT112" s="1370"/>
      <c r="SHU112" s="1370"/>
      <c r="SHV112" s="1370"/>
      <c r="SHW112" s="1370"/>
      <c r="SHX112" s="1370"/>
      <c r="SHY112" s="1370"/>
      <c r="SHZ112" s="1370"/>
      <c r="SIA112" s="1370"/>
      <c r="SIB112" s="1370"/>
      <c r="SIC112" s="1370"/>
      <c r="SID112" s="1370"/>
      <c r="SIE112" s="1370"/>
      <c r="SIF112" s="1370"/>
      <c r="SIG112" s="1370"/>
      <c r="SIH112" s="1370"/>
      <c r="SII112" s="1370"/>
      <c r="SIJ112" s="1370"/>
      <c r="SIK112" s="1370"/>
      <c r="SIL112" s="1370"/>
      <c r="SIM112" s="1370"/>
      <c r="SIN112" s="1370"/>
      <c r="SIO112" s="1370"/>
      <c r="SIP112" s="1370"/>
      <c r="SIQ112" s="1370"/>
      <c r="SIR112" s="1370"/>
      <c r="SIS112" s="1370"/>
      <c r="SIT112" s="1370"/>
      <c r="SIU112" s="1370"/>
      <c r="SIV112" s="1370"/>
      <c r="SIW112" s="1370"/>
      <c r="SIX112" s="1370"/>
      <c r="SIY112" s="1370"/>
      <c r="SIZ112" s="1370"/>
      <c r="SJA112" s="1370"/>
      <c r="SJB112" s="1370"/>
      <c r="SJC112" s="1370"/>
      <c r="SJD112" s="1370"/>
      <c r="SJE112" s="1370"/>
      <c r="SJF112" s="1370"/>
      <c r="SJG112" s="1370"/>
      <c r="SJH112" s="1370"/>
      <c r="SJI112" s="1370"/>
      <c r="SJJ112" s="1370"/>
      <c r="SJK112" s="1370"/>
      <c r="SJL112" s="1370"/>
      <c r="SJM112" s="1370"/>
      <c r="SJN112" s="1370"/>
      <c r="SJO112" s="1370"/>
      <c r="SJP112" s="1370"/>
      <c r="SJQ112" s="1370"/>
      <c r="SJR112" s="1370"/>
      <c r="SJS112" s="1370"/>
      <c r="SJT112" s="1370"/>
      <c r="SJU112" s="1370"/>
      <c r="SJV112" s="1370"/>
      <c r="SJW112" s="1370"/>
      <c r="SJX112" s="1370"/>
      <c r="SJY112" s="1370"/>
      <c r="SJZ112" s="1370"/>
      <c r="SKA112" s="1370"/>
      <c r="SKB112" s="1370"/>
      <c r="SKC112" s="1370"/>
      <c r="SKD112" s="1370"/>
      <c r="SKE112" s="1370"/>
      <c r="SKF112" s="1370"/>
      <c r="SKG112" s="1370"/>
      <c r="SKH112" s="1370"/>
      <c r="SKI112" s="1370"/>
      <c r="SKJ112" s="1370"/>
      <c r="SKK112" s="1370"/>
      <c r="SKL112" s="1370"/>
      <c r="SKM112" s="1370"/>
      <c r="SKN112" s="1370"/>
      <c r="SKO112" s="1370"/>
      <c r="SKP112" s="1370"/>
      <c r="SKQ112" s="1370"/>
      <c r="SKR112" s="1370"/>
      <c r="SKS112" s="1370"/>
      <c r="SKT112" s="1370"/>
      <c r="SKU112" s="1370"/>
      <c r="SKV112" s="1370"/>
      <c r="SKW112" s="1370"/>
      <c r="SKX112" s="1370"/>
      <c r="SKY112" s="1370"/>
      <c r="SKZ112" s="1370"/>
      <c r="SLA112" s="1370"/>
      <c r="SLB112" s="1370"/>
      <c r="SLC112" s="1370"/>
      <c r="SLD112" s="1370"/>
      <c r="SLE112" s="1370"/>
      <c r="SLF112" s="1370"/>
      <c r="SLG112" s="1370"/>
      <c r="SLH112" s="1370"/>
      <c r="SLI112" s="1370"/>
      <c r="SLJ112" s="1370"/>
      <c r="SLK112" s="1370"/>
      <c r="SLL112" s="1370"/>
      <c r="SLM112" s="1370"/>
      <c r="SLN112" s="1370"/>
      <c r="SLO112" s="1370"/>
      <c r="SLP112" s="1370"/>
      <c r="SLQ112" s="1370"/>
      <c r="SLR112" s="1370"/>
      <c r="SLS112" s="1370"/>
      <c r="SLT112" s="1370"/>
      <c r="SLU112" s="1370"/>
      <c r="SLV112" s="1370"/>
      <c r="SLW112" s="1370"/>
      <c r="SLX112" s="1370"/>
      <c r="SLY112" s="1370"/>
      <c r="SLZ112" s="1370"/>
      <c r="SMA112" s="1370"/>
      <c r="SMB112" s="1370"/>
      <c r="SMC112" s="1370"/>
      <c r="SMD112" s="1370"/>
      <c r="SME112" s="1370"/>
      <c r="SMF112" s="1370"/>
      <c r="SMG112" s="1370"/>
      <c r="SMH112" s="1370"/>
      <c r="SMI112" s="1370"/>
      <c r="SMJ112" s="1370"/>
      <c r="SMK112" s="1370"/>
      <c r="SML112" s="1370"/>
      <c r="SMM112" s="1370"/>
      <c r="SMN112" s="1370"/>
      <c r="SMO112" s="1370"/>
      <c r="SMP112" s="1370"/>
      <c r="SMQ112" s="1370"/>
      <c r="SMR112" s="1370"/>
      <c r="SMS112" s="1370"/>
      <c r="SMT112" s="1370"/>
      <c r="SMU112" s="1370"/>
      <c r="SMV112" s="1370"/>
      <c r="SMW112" s="1370"/>
      <c r="SMX112" s="1370"/>
      <c r="SMY112" s="1370"/>
      <c r="SMZ112" s="1370"/>
      <c r="SNA112" s="1370"/>
      <c r="SNB112" s="1370"/>
      <c r="SNC112" s="1370"/>
      <c r="SND112" s="1370"/>
      <c r="SNE112" s="1370"/>
      <c r="SNF112" s="1370"/>
      <c r="SNG112" s="1370"/>
      <c r="SNH112" s="1370"/>
      <c r="SNI112" s="1370"/>
      <c r="SNJ112" s="1370"/>
      <c r="SNK112" s="1370"/>
      <c r="SNL112" s="1370"/>
      <c r="SNM112" s="1370"/>
      <c r="SNN112" s="1370"/>
      <c r="SNO112" s="1370"/>
      <c r="SNP112" s="1370"/>
      <c r="SNQ112" s="1370"/>
      <c r="SNR112" s="1370"/>
      <c r="SNS112" s="1370"/>
      <c r="SNT112" s="1370"/>
      <c r="SNU112" s="1370"/>
      <c r="SNV112" s="1370"/>
      <c r="SNW112" s="1370"/>
      <c r="SNX112" s="1370"/>
      <c r="SNY112" s="1370"/>
      <c r="SNZ112" s="1370"/>
      <c r="SOA112" s="1370"/>
      <c r="SOB112" s="1370"/>
      <c r="SOC112" s="1370"/>
      <c r="SOD112" s="1370"/>
      <c r="SOE112" s="1370"/>
      <c r="SOF112" s="1370"/>
      <c r="SOG112" s="1370"/>
      <c r="SOH112" s="1370"/>
      <c r="SOI112" s="1370"/>
      <c r="SOJ112" s="1370"/>
      <c r="SOK112" s="1370"/>
      <c r="SOL112" s="1370"/>
      <c r="SOM112" s="1370"/>
      <c r="SON112" s="1370"/>
      <c r="SOO112" s="1370"/>
      <c r="SOP112" s="1370"/>
      <c r="SOQ112" s="1370"/>
      <c r="SOR112" s="1370"/>
      <c r="SOS112" s="1370"/>
      <c r="SOT112" s="1370"/>
      <c r="SOU112" s="1370"/>
      <c r="SOV112" s="1370"/>
      <c r="SOW112" s="1370"/>
      <c r="SOX112" s="1370"/>
      <c r="SOY112" s="1370"/>
      <c r="SOZ112" s="1370"/>
      <c r="SPA112" s="1370"/>
      <c r="SPB112" s="1370"/>
      <c r="SPC112" s="1370"/>
      <c r="SPD112" s="1370"/>
      <c r="SPE112" s="1370"/>
      <c r="SPF112" s="1370"/>
      <c r="SPG112" s="1370"/>
      <c r="SPH112" s="1370"/>
      <c r="SPI112" s="1370"/>
      <c r="SPJ112" s="1370"/>
      <c r="SPK112" s="1370"/>
      <c r="SPL112" s="1370"/>
      <c r="SPM112" s="1370"/>
      <c r="SPN112" s="1370"/>
      <c r="SPO112" s="1370"/>
      <c r="SPP112" s="1370"/>
      <c r="SPQ112" s="1370"/>
      <c r="SPR112" s="1370"/>
      <c r="SPS112" s="1370"/>
      <c r="SPT112" s="1370"/>
      <c r="SPU112" s="1370"/>
      <c r="SPV112" s="1370"/>
      <c r="SPW112" s="1370"/>
      <c r="SPX112" s="1370"/>
      <c r="SPY112" s="1370"/>
      <c r="SPZ112" s="1370"/>
      <c r="SQA112" s="1370"/>
      <c r="SQB112" s="1370"/>
      <c r="SQC112" s="1370"/>
      <c r="SQD112" s="1370"/>
      <c r="SQE112" s="1370"/>
      <c r="SQF112" s="1370"/>
      <c r="SQG112" s="1370"/>
      <c r="SQH112" s="1370"/>
      <c r="SQI112" s="1370"/>
      <c r="SQJ112" s="1370"/>
      <c r="SQK112" s="1370"/>
      <c r="SQL112" s="1370"/>
      <c r="SQM112" s="1370"/>
      <c r="SQN112" s="1370"/>
      <c r="SQO112" s="1370"/>
      <c r="SQP112" s="1370"/>
      <c r="SQQ112" s="1370"/>
      <c r="SQR112" s="1370"/>
      <c r="SQS112" s="1370"/>
      <c r="SQT112" s="1370"/>
      <c r="SQU112" s="1370"/>
      <c r="SQV112" s="1370"/>
      <c r="SQW112" s="1370"/>
      <c r="SQX112" s="1370"/>
      <c r="SQY112" s="1370"/>
      <c r="SQZ112" s="1370"/>
      <c r="SRA112" s="1370"/>
      <c r="SRB112" s="1370"/>
      <c r="SRC112" s="1370"/>
      <c r="SRD112" s="1370"/>
      <c r="SRE112" s="1370"/>
      <c r="SRF112" s="1370"/>
      <c r="SRG112" s="1370"/>
      <c r="SRH112" s="1370"/>
      <c r="SRI112" s="1370"/>
      <c r="SRJ112" s="1370"/>
      <c r="SRK112" s="1370"/>
      <c r="SRL112" s="1370"/>
      <c r="SRM112" s="1370"/>
      <c r="SRN112" s="1370"/>
      <c r="SRO112" s="1370"/>
      <c r="SRP112" s="1370"/>
      <c r="SRQ112" s="1370"/>
      <c r="SRR112" s="1370"/>
      <c r="SRS112" s="1370"/>
      <c r="SRT112" s="1370"/>
      <c r="SRU112" s="1370"/>
      <c r="SRV112" s="1370"/>
      <c r="SRW112" s="1370"/>
      <c r="SRX112" s="1370"/>
      <c r="SRY112" s="1370"/>
      <c r="SRZ112" s="1370"/>
      <c r="SSA112" s="1370"/>
      <c r="SSB112" s="1370"/>
      <c r="SSC112" s="1370"/>
      <c r="SSD112" s="1370"/>
      <c r="SSE112" s="1370"/>
      <c r="SSF112" s="1370"/>
      <c r="SSG112" s="1370"/>
      <c r="SSH112" s="1370"/>
      <c r="SSI112" s="1370"/>
      <c r="SSJ112" s="1370"/>
      <c r="SSK112" s="1370"/>
      <c r="SSL112" s="1370"/>
      <c r="SSM112" s="1370"/>
      <c r="SSN112" s="1370"/>
      <c r="SSO112" s="1370"/>
      <c r="SSP112" s="1370"/>
      <c r="SSQ112" s="1370"/>
      <c r="SSR112" s="1370"/>
      <c r="SSS112" s="1370"/>
      <c r="SST112" s="1370"/>
      <c r="SSU112" s="1370"/>
      <c r="SSV112" s="1370"/>
      <c r="SSW112" s="1370"/>
      <c r="SSX112" s="1370"/>
      <c r="SSY112" s="1370"/>
      <c r="SSZ112" s="1370"/>
      <c r="STA112" s="1370"/>
      <c r="STB112" s="1370"/>
      <c r="STC112" s="1370"/>
      <c r="STD112" s="1370"/>
      <c r="STE112" s="1370"/>
      <c r="STF112" s="1370"/>
      <c r="STG112" s="1370"/>
      <c r="STH112" s="1370"/>
      <c r="STI112" s="1370"/>
      <c r="STJ112" s="1370"/>
      <c r="STK112" s="1370"/>
      <c r="STL112" s="1370"/>
      <c r="STM112" s="1370"/>
      <c r="STN112" s="1370"/>
      <c r="STO112" s="1370"/>
      <c r="STP112" s="1370"/>
      <c r="STQ112" s="1370"/>
      <c r="STR112" s="1370"/>
      <c r="STS112" s="1370"/>
      <c r="STT112" s="1370"/>
      <c r="STU112" s="1370"/>
      <c r="STV112" s="1370"/>
      <c r="STW112" s="1370"/>
      <c r="STX112" s="1370"/>
      <c r="STY112" s="1370"/>
      <c r="STZ112" s="1370"/>
      <c r="SUA112" s="1370"/>
      <c r="SUB112" s="1370"/>
      <c r="SUC112" s="1370"/>
      <c r="SUD112" s="1370"/>
      <c r="SUE112" s="1370"/>
      <c r="SUF112" s="1370"/>
      <c r="SUG112" s="1370"/>
      <c r="SUH112" s="1370"/>
      <c r="SUI112" s="1370"/>
      <c r="SUJ112" s="1370"/>
      <c r="SUK112" s="1370"/>
      <c r="SUL112" s="1370"/>
      <c r="SUM112" s="1370"/>
      <c r="SUN112" s="1370"/>
      <c r="SUO112" s="1370"/>
      <c r="SUP112" s="1370"/>
      <c r="SUQ112" s="1370"/>
      <c r="SUR112" s="1370"/>
      <c r="SUS112" s="1370"/>
      <c r="SUT112" s="1370"/>
      <c r="SUU112" s="1370"/>
      <c r="SUV112" s="1370"/>
      <c r="SUW112" s="1370"/>
      <c r="SUX112" s="1370"/>
      <c r="SUY112" s="1370"/>
      <c r="SUZ112" s="1370"/>
      <c r="SVA112" s="1370"/>
      <c r="SVB112" s="1370"/>
      <c r="SVC112" s="1370"/>
      <c r="SVD112" s="1370"/>
      <c r="SVE112" s="1370"/>
      <c r="SVF112" s="1370"/>
      <c r="SVG112" s="1370"/>
      <c r="SVH112" s="1370"/>
      <c r="SVI112" s="1370"/>
      <c r="SVJ112" s="1370"/>
      <c r="SVK112" s="1370"/>
      <c r="SVL112" s="1370"/>
      <c r="SVM112" s="1370"/>
      <c r="SVN112" s="1370"/>
      <c r="SVO112" s="1370"/>
      <c r="SVP112" s="1370"/>
      <c r="SVQ112" s="1370"/>
      <c r="SVR112" s="1370"/>
      <c r="SVS112" s="1370"/>
      <c r="SVT112" s="1370"/>
      <c r="SVU112" s="1370"/>
      <c r="SVV112" s="1370"/>
      <c r="SVW112" s="1370"/>
      <c r="SVX112" s="1370"/>
      <c r="SVY112" s="1370"/>
      <c r="SVZ112" s="1370"/>
      <c r="SWA112" s="1370"/>
      <c r="SWB112" s="1370"/>
      <c r="SWC112" s="1370"/>
      <c r="SWD112" s="1370"/>
      <c r="SWE112" s="1370"/>
      <c r="SWF112" s="1370"/>
      <c r="SWG112" s="1370"/>
      <c r="SWH112" s="1370"/>
      <c r="SWI112" s="1370"/>
      <c r="SWJ112" s="1370"/>
      <c r="SWK112" s="1370"/>
      <c r="SWL112" s="1370"/>
      <c r="SWM112" s="1370"/>
      <c r="SWN112" s="1370"/>
      <c r="SWO112" s="1370"/>
      <c r="SWP112" s="1370"/>
      <c r="SWQ112" s="1370"/>
      <c r="SWR112" s="1370"/>
      <c r="SWS112" s="1370"/>
      <c r="SWT112" s="1370"/>
      <c r="SWU112" s="1370"/>
      <c r="SWV112" s="1370"/>
      <c r="SWW112" s="1370"/>
      <c r="SWX112" s="1370"/>
      <c r="SWY112" s="1370"/>
      <c r="SWZ112" s="1370"/>
      <c r="SXA112" s="1370"/>
      <c r="SXB112" s="1370"/>
      <c r="SXC112" s="1370"/>
      <c r="SXD112" s="1370"/>
      <c r="SXE112" s="1370"/>
      <c r="SXF112" s="1370"/>
      <c r="SXG112" s="1370"/>
      <c r="SXH112" s="1370"/>
      <c r="SXI112" s="1370"/>
      <c r="SXJ112" s="1370"/>
      <c r="SXK112" s="1370"/>
      <c r="SXL112" s="1370"/>
      <c r="SXM112" s="1370"/>
      <c r="SXN112" s="1370"/>
      <c r="SXO112" s="1370"/>
      <c r="SXP112" s="1370"/>
      <c r="SXQ112" s="1370"/>
      <c r="SXR112" s="1370"/>
      <c r="SXS112" s="1370"/>
      <c r="SXT112" s="1370"/>
      <c r="SXU112" s="1370"/>
      <c r="SXV112" s="1370"/>
      <c r="SXW112" s="1370"/>
      <c r="SXX112" s="1370"/>
      <c r="SXY112" s="1370"/>
      <c r="SXZ112" s="1370"/>
      <c r="SYA112" s="1370"/>
      <c r="SYB112" s="1370"/>
      <c r="SYC112" s="1370"/>
      <c r="SYD112" s="1370"/>
      <c r="SYE112" s="1370"/>
      <c r="SYF112" s="1370"/>
      <c r="SYG112" s="1370"/>
      <c r="SYH112" s="1370"/>
      <c r="SYI112" s="1370"/>
      <c r="SYJ112" s="1370"/>
      <c r="SYK112" s="1370"/>
      <c r="SYL112" s="1370"/>
      <c r="SYM112" s="1370"/>
      <c r="SYN112" s="1370"/>
      <c r="SYO112" s="1370"/>
      <c r="SYP112" s="1370"/>
      <c r="SYQ112" s="1370"/>
      <c r="SYR112" s="1370"/>
      <c r="SYS112" s="1370"/>
      <c r="SYT112" s="1370"/>
      <c r="SYU112" s="1370"/>
      <c r="SYV112" s="1370"/>
      <c r="SYW112" s="1370"/>
      <c r="SYX112" s="1370"/>
      <c r="SYY112" s="1370"/>
      <c r="SYZ112" s="1370"/>
      <c r="SZA112" s="1370"/>
      <c r="SZB112" s="1370"/>
      <c r="SZC112" s="1370"/>
      <c r="SZD112" s="1370"/>
      <c r="SZE112" s="1370"/>
      <c r="SZF112" s="1370"/>
      <c r="SZG112" s="1370"/>
      <c r="SZH112" s="1370"/>
      <c r="SZI112" s="1370"/>
      <c r="SZJ112" s="1370"/>
      <c r="SZK112" s="1370"/>
      <c r="SZL112" s="1370"/>
      <c r="SZM112" s="1370"/>
      <c r="SZN112" s="1370"/>
      <c r="SZO112" s="1370"/>
      <c r="SZP112" s="1370"/>
      <c r="SZQ112" s="1370"/>
      <c r="SZR112" s="1370"/>
      <c r="SZS112" s="1370"/>
      <c r="SZT112" s="1370"/>
      <c r="SZU112" s="1370"/>
      <c r="SZV112" s="1370"/>
      <c r="SZW112" s="1370"/>
      <c r="SZX112" s="1370"/>
      <c r="SZY112" s="1370"/>
      <c r="SZZ112" s="1370"/>
      <c r="TAA112" s="1370"/>
      <c r="TAB112" s="1370"/>
      <c r="TAC112" s="1370"/>
      <c r="TAD112" s="1370"/>
      <c r="TAE112" s="1370"/>
      <c r="TAF112" s="1370"/>
      <c r="TAG112" s="1370"/>
      <c r="TAH112" s="1370"/>
      <c r="TAI112" s="1370"/>
      <c r="TAJ112" s="1370"/>
      <c r="TAK112" s="1370"/>
      <c r="TAL112" s="1370"/>
      <c r="TAM112" s="1370"/>
      <c r="TAN112" s="1370"/>
      <c r="TAO112" s="1370"/>
      <c r="TAP112" s="1370"/>
      <c r="TAQ112" s="1370"/>
      <c r="TAR112" s="1370"/>
      <c r="TAS112" s="1370"/>
      <c r="TAT112" s="1370"/>
      <c r="TAU112" s="1370"/>
      <c r="TAV112" s="1370"/>
      <c r="TAW112" s="1370"/>
      <c r="TAX112" s="1370"/>
      <c r="TAY112" s="1370"/>
      <c r="TAZ112" s="1370"/>
      <c r="TBA112" s="1370"/>
      <c r="TBB112" s="1370"/>
      <c r="TBC112" s="1370"/>
      <c r="TBD112" s="1370"/>
      <c r="TBE112" s="1370"/>
      <c r="TBF112" s="1370"/>
      <c r="TBG112" s="1370"/>
      <c r="TBH112" s="1370"/>
      <c r="TBI112" s="1370"/>
      <c r="TBJ112" s="1370"/>
      <c r="TBK112" s="1370"/>
      <c r="TBL112" s="1370"/>
      <c r="TBM112" s="1370"/>
      <c r="TBN112" s="1370"/>
      <c r="TBO112" s="1370"/>
      <c r="TBP112" s="1370"/>
      <c r="TBQ112" s="1370"/>
      <c r="TBR112" s="1370"/>
      <c r="TBS112" s="1370"/>
      <c r="TBT112" s="1370"/>
      <c r="TBU112" s="1370"/>
      <c r="TBV112" s="1370"/>
      <c r="TBW112" s="1370"/>
      <c r="TBX112" s="1370"/>
      <c r="TBY112" s="1370"/>
      <c r="TBZ112" s="1370"/>
      <c r="TCA112" s="1370"/>
      <c r="TCB112" s="1370"/>
      <c r="TCC112" s="1370"/>
      <c r="TCD112" s="1370"/>
      <c r="TCE112" s="1370"/>
      <c r="TCF112" s="1370"/>
      <c r="TCG112" s="1370"/>
      <c r="TCH112" s="1370"/>
      <c r="TCI112" s="1370"/>
      <c r="TCJ112" s="1370"/>
      <c r="TCK112" s="1370"/>
      <c r="TCL112" s="1370"/>
      <c r="TCM112" s="1370"/>
      <c r="TCN112" s="1370"/>
      <c r="TCO112" s="1370"/>
      <c r="TCP112" s="1370"/>
      <c r="TCQ112" s="1370"/>
      <c r="TCR112" s="1370"/>
      <c r="TCS112" s="1370"/>
      <c r="TCT112" s="1370"/>
      <c r="TCU112" s="1370"/>
      <c r="TCV112" s="1370"/>
      <c r="TCW112" s="1370"/>
      <c r="TCX112" s="1370"/>
      <c r="TCY112" s="1370"/>
      <c r="TCZ112" s="1370"/>
      <c r="TDA112" s="1370"/>
      <c r="TDB112" s="1370"/>
      <c r="TDC112" s="1370"/>
      <c r="TDD112" s="1370"/>
      <c r="TDE112" s="1370"/>
      <c r="TDF112" s="1370"/>
      <c r="TDG112" s="1370"/>
      <c r="TDH112" s="1370"/>
      <c r="TDI112" s="1370"/>
      <c r="TDJ112" s="1370"/>
      <c r="TDK112" s="1370"/>
      <c r="TDL112" s="1370"/>
      <c r="TDM112" s="1370"/>
      <c r="TDN112" s="1370"/>
      <c r="TDO112" s="1370"/>
      <c r="TDP112" s="1370"/>
      <c r="TDQ112" s="1370"/>
      <c r="TDR112" s="1370"/>
      <c r="TDS112" s="1370"/>
      <c r="TDT112" s="1370"/>
      <c r="TDU112" s="1370"/>
      <c r="TDV112" s="1370"/>
      <c r="TDW112" s="1370"/>
      <c r="TDX112" s="1370"/>
      <c r="TDY112" s="1370"/>
      <c r="TDZ112" s="1370"/>
      <c r="TEA112" s="1370"/>
      <c r="TEB112" s="1370"/>
      <c r="TEC112" s="1370"/>
      <c r="TED112" s="1370"/>
      <c r="TEE112" s="1370"/>
      <c r="TEF112" s="1370"/>
      <c r="TEG112" s="1370"/>
      <c r="TEH112" s="1370"/>
      <c r="TEI112" s="1370"/>
      <c r="TEJ112" s="1370"/>
      <c r="TEK112" s="1370"/>
      <c r="TEL112" s="1370"/>
      <c r="TEM112" s="1370"/>
      <c r="TEN112" s="1370"/>
      <c r="TEO112" s="1370"/>
      <c r="TEP112" s="1370"/>
      <c r="TEQ112" s="1370"/>
      <c r="TER112" s="1370"/>
      <c r="TES112" s="1370"/>
      <c r="TET112" s="1370"/>
      <c r="TEU112" s="1370"/>
      <c r="TEV112" s="1370"/>
      <c r="TEW112" s="1370"/>
      <c r="TEX112" s="1370"/>
      <c r="TEY112" s="1370"/>
      <c r="TEZ112" s="1370"/>
      <c r="TFA112" s="1370"/>
      <c r="TFB112" s="1370"/>
      <c r="TFC112" s="1370"/>
      <c r="TFD112" s="1370"/>
      <c r="TFE112" s="1370"/>
      <c r="TFF112" s="1370"/>
      <c r="TFG112" s="1370"/>
      <c r="TFH112" s="1370"/>
      <c r="TFI112" s="1370"/>
      <c r="TFJ112" s="1370"/>
      <c r="TFK112" s="1370"/>
      <c r="TFL112" s="1370"/>
      <c r="TFM112" s="1370"/>
      <c r="TFN112" s="1370"/>
      <c r="TFO112" s="1370"/>
      <c r="TFP112" s="1370"/>
      <c r="TFQ112" s="1370"/>
      <c r="TFR112" s="1370"/>
      <c r="TFS112" s="1370"/>
      <c r="TFT112" s="1370"/>
      <c r="TFU112" s="1370"/>
      <c r="TFV112" s="1370"/>
      <c r="TFW112" s="1370"/>
      <c r="TFX112" s="1370"/>
      <c r="TFY112" s="1370"/>
      <c r="TFZ112" s="1370"/>
      <c r="TGA112" s="1370"/>
      <c r="TGB112" s="1370"/>
      <c r="TGC112" s="1370"/>
      <c r="TGD112" s="1370"/>
      <c r="TGE112" s="1370"/>
      <c r="TGF112" s="1370"/>
      <c r="TGG112" s="1370"/>
      <c r="TGH112" s="1370"/>
      <c r="TGI112" s="1370"/>
      <c r="TGJ112" s="1370"/>
      <c r="TGK112" s="1370"/>
      <c r="TGL112" s="1370"/>
      <c r="TGM112" s="1370"/>
      <c r="TGN112" s="1370"/>
      <c r="TGO112" s="1370"/>
      <c r="TGP112" s="1370"/>
      <c r="TGQ112" s="1370"/>
      <c r="TGR112" s="1370"/>
      <c r="TGS112" s="1370"/>
      <c r="TGT112" s="1370"/>
      <c r="TGU112" s="1370"/>
      <c r="TGV112" s="1370"/>
      <c r="TGW112" s="1370"/>
      <c r="TGX112" s="1370"/>
      <c r="TGY112" s="1370"/>
      <c r="TGZ112" s="1370"/>
      <c r="THA112" s="1370"/>
      <c r="THB112" s="1370"/>
      <c r="THC112" s="1370"/>
      <c r="THD112" s="1370"/>
      <c r="THE112" s="1370"/>
      <c r="THF112" s="1370"/>
      <c r="THG112" s="1370"/>
      <c r="THH112" s="1370"/>
      <c r="THI112" s="1370"/>
      <c r="THJ112" s="1370"/>
      <c r="THK112" s="1370"/>
      <c r="THL112" s="1370"/>
      <c r="THM112" s="1370"/>
      <c r="THN112" s="1370"/>
      <c r="THO112" s="1370"/>
      <c r="THP112" s="1370"/>
      <c r="THQ112" s="1370"/>
      <c r="THR112" s="1370"/>
      <c r="THS112" s="1370"/>
      <c r="THT112" s="1370"/>
      <c r="THU112" s="1370"/>
      <c r="THV112" s="1370"/>
      <c r="THW112" s="1370"/>
      <c r="THX112" s="1370"/>
      <c r="THY112" s="1370"/>
      <c r="THZ112" s="1370"/>
      <c r="TIA112" s="1370"/>
      <c r="TIB112" s="1370"/>
      <c r="TIC112" s="1370"/>
      <c r="TID112" s="1370"/>
      <c r="TIE112" s="1370"/>
      <c r="TIF112" s="1370"/>
      <c r="TIG112" s="1370"/>
      <c r="TIH112" s="1370"/>
      <c r="TII112" s="1370"/>
      <c r="TIJ112" s="1370"/>
      <c r="TIK112" s="1370"/>
      <c r="TIL112" s="1370"/>
      <c r="TIM112" s="1370"/>
      <c r="TIN112" s="1370"/>
      <c r="TIO112" s="1370"/>
      <c r="TIP112" s="1370"/>
      <c r="TIQ112" s="1370"/>
      <c r="TIR112" s="1370"/>
      <c r="TIS112" s="1370"/>
      <c r="TIT112" s="1370"/>
      <c r="TIU112" s="1370"/>
      <c r="TIV112" s="1370"/>
      <c r="TIW112" s="1370"/>
      <c r="TIX112" s="1370"/>
      <c r="TIY112" s="1370"/>
      <c r="TIZ112" s="1370"/>
      <c r="TJA112" s="1370"/>
      <c r="TJB112" s="1370"/>
      <c r="TJC112" s="1370"/>
      <c r="TJD112" s="1370"/>
      <c r="TJE112" s="1370"/>
      <c r="TJF112" s="1370"/>
      <c r="TJG112" s="1370"/>
      <c r="TJH112" s="1370"/>
      <c r="TJI112" s="1370"/>
      <c r="TJJ112" s="1370"/>
      <c r="TJK112" s="1370"/>
      <c r="TJL112" s="1370"/>
      <c r="TJM112" s="1370"/>
      <c r="TJN112" s="1370"/>
      <c r="TJO112" s="1370"/>
      <c r="TJP112" s="1370"/>
      <c r="TJQ112" s="1370"/>
      <c r="TJR112" s="1370"/>
      <c r="TJS112" s="1370"/>
      <c r="TJT112" s="1370"/>
      <c r="TJU112" s="1370"/>
      <c r="TJV112" s="1370"/>
      <c r="TJW112" s="1370"/>
      <c r="TJX112" s="1370"/>
      <c r="TJY112" s="1370"/>
      <c r="TJZ112" s="1370"/>
      <c r="TKA112" s="1370"/>
      <c r="TKB112" s="1370"/>
      <c r="TKC112" s="1370"/>
      <c r="TKD112" s="1370"/>
      <c r="TKE112" s="1370"/>
      <c r="TKF112" s="1370"/>
      <c r="TKG112" s="1370"/>
      <c r="TKH112" s="1370"/>
      <c r="TKI112" s="1370"/>
      <c r="TKJ112" s="1370"/>
      <c r="TKK112" s="1370"/>
      <c r="TKL112" s="1370"/>
      <c r="TKM112" s="1370"/>
      <c r="TKN112" s="1370"/>
      <c r="TKO112" s="1370"/>
      <c r="TKP112" s="1370"/>
      <c r="TKQ112" s="1370"/>
      <c r="TKR112" s="1370"/>
      <c r="TKS112" s="1370"/>
      <c r="TKT112" s="1370"/>
      <c r="TKU112" s="1370"/>
      <c r="TKV112" s="1370"/>
      <c r="TKW112" s="1370"/>
      <c r="TKX112" s="1370"/>
      <c r="TKY112" s="1370"/>
      <c r="TKZ112" s="1370"/>
      <c r="TLA112" s="1370"/>
      <c r="TLB112" s="1370"/>
      <c r="TLC112" s="1370"/>
      <c r="TLD112" s="1370"/>
      <c r="TLE112" s="1370"/>
      <c r="TLF112" s="1370"/>
      <c r="TLG112" s="1370"/>
      <c r="TLH112" s="1370"/>
      <c r="TLI112" s="1370"/>
      <c r="TLJ112" s="1370"/>
      <c r="TLK112" s="1370"/>
      <c r="TLL112" s="1370"/>
      <c r="TLM112" s="1370"/>
      <c r="TLN112" s="1370"/>
      <c r="TLO112" s="1370"/>
      <c r="TLP112" s="1370"/>
      <c r="TLQ112" s="1370"/>
      <c r="TLR112" s="1370"/>
      <c r="TLS112" s="1370"/>
      <c r="TLT112" s="1370"/>
      <c r="TLU112" s="1370"/>
      <c r="TLV112" s="1370"/>
      <c r="TLW112" s="1370"/>
      <c r="TLX112" s="1370"/>
      <c r="TLY112" s="1370"/>
      <c r="TLZ112" s="1370"/>
      <c r="TMA112" s="1370"/>
      <c r="TMB112" s="1370"/>
      <c r="TMC112" s="1370"/>
      <c r="TMD112" s="1370"/>
      <c r="TME112" s="1370"/>
      <c r="TMF112" s="1370"/>
      <c r="TMG112" s="1370"/>
      <c r="TMH112" s="1370"/>
      <c r="TMI112" s="1370"/>
      <c r="TMJ112" s="1370"/>
      <c r="TMK112" s="1370"/>
      <c r="TML112" s="1370"/>
      <c r="TMM112" s="1370"/>
      <c r="TMN112" s="1370"/>
      <c r="TMO112" s="1370"/>
      <c r="TMP112" s="1370"/>
      <c r="TMQ112" s="1370"/>
      <c r="TMR112" s="1370"/>
      <c r="TMS112" s="1370"/>
      <c r="TMT112" s="1370"/>
      <c r="TMU112" s="1370"/>
      <c r="TMV112" s="1370"/>
      <c r="TMW112" s="1370"/>
      <c r="TMX112" s="1370"/>
      <c r="TMY112" s="1370"/>
      <c r="TMZ112" s="1370"/>
      <c r="TNA112" s="1370"/>
      <c r="TNB112" s="1370"/>
      <c r="TNC112" s="1370"/>
      <c r="TND112" s="1370"/>
      <c r="TNE112" s="1370"/>
      <c r="TNF112" s="1370"/>
      <c r="TNG112" s="1370"/>
      <c r="TNH112" s="1370"/>
      <c r="TNI112" s="1370"/>
      <c r="TNJ112" s="1370"/>
      <c r="TNK112" s="1370"/>
      <c r="TNL112" s="1370"/>
      <c r="TNM112" s="1370"/>
      <c r="TNN112" s="1370"/>
      <c r="TNO112" s="1370"/>
      <c r="TNP112" s="1370"/>
      <c r="TNQ112" s="1370"/>
      <c r="TNR112" s="1370"/>
      <c r="TNS112" s="1370"/>
      <c r="TNT112" s="1370"/>
      <c r="TNU112" s="1370"/>
      <c r="TNV112" s="1370"/>
      <c r="TNW112" s="1370"/>
      <c r="TNX112" s="1370"/>
      <c r="TNY112" s="1370"/>
      <c r="TNZ112" s="1370"/>
      <c r="TOA112" s="1370"/>
      <c r="TOB112" s="1370"/>
      <c r="TOC112" s="1370"/>
      <c r="TOD112" s="1370"/>
      <c r="TOE112" s="1370"/>
      <c r="TOF112" s="1370"/>
      <c r="TOG112" s="1370"/>
      <c r="TOH112" s="1370"/>
      <c r="TOI112" s="1370"/>
      <c r="TOJ112" s="1370"/>
      <c r="TOK112" s="1370"/>
      <c r="TOL112" s="1370"/>
      <c r="TOM112" s="1370"/>
      <c r="TON112" s="1370"/>
      <c r="TOO112" s="1370"/>
      <c r="TOP112" s="1370"/>
      <c r="TOQ112" s="1370"/>
      <c r="TOR112" s="1370"/>
      <c r="TOS112" s="1370"/>
      <c r="TOT112" s="1370"/>
      <c r="TOU112" s="1370"/>
      <c r="TOV112" s="1370"/>
      <c r="TOW112" s="1370"/>
      <c r="TOX112" s="1370"/>
      <c r="TOY112" s="1370"/>
      <c r="TOZ112" s="1370"/>
      <c r="TPA112" s="1370"/>
      <c r="TPB112" s="1370"/>
      <c r="TPC112" s="1370"/>
      <c r="TPD112" s="1370"/>
      <c r="TPE112" s="1370"/>
      <c r="TPF112" s="1370"/>
      <c r="TPG112" s="1370"/>
      <c r="TPH112" s="1370"/>
      <c r="TPI112" s="1370"/>
      <c r="TPJ112" s="1370"/>
      <c r="TPK112" s="1370"/>
      <c r="TPL112" s="1370"/>
      <c r="TPM112" s="1370"/>
      <c r="TPN112" s="1370"/>
      <c r="TPO112" s="1370"/>
      <c r="TPP112" s="1370"/>
      <c r="TPQ112" s="1370"/>
      <c r="TPR112" s="1370"/>
      <c r="TPS112" s="1370"/>
      <c r="TPT112" s="1370"/>
      <c r="TPU112" s="1370"/>
      <c r="TPV112" s="1370"/>
      <c r="TPW112" s="1370"/>
      <c r="TPX112" s="1370"/>
      <c r="TPY112" s="1370"/>
      <c r="TPZ112" s="1370"/>
      <c r="TQA112" s="1370"/>
      <c r="TQB112" s="1370"/>
      <c r="TQC112" s="1370"/>
      <c r="TQD112" s="1370"/>
      <c r="TQE112" s="1370"/>
      <c r="TQF112" s="1370"/>
      <c r="TQG112" s="1370"/>
      <c r="TQH112" s="1370"/>
      <c r="TQI112" s="1370"/>
      <c r="TQJ112" s="1370"/>
      <c r="TQK112" s="1370"/>
      <c r="TQL112" s="1370"/>
      <c r="TQM112" s="1370"/>
      <c r="TQN112" s="1370"/>
      <c r="TQO112" s="1370"/>
      <c r="TQP112" s="1370"/>
      <c r="TQQ112" s="1370"/>
      <c r="TQR112" s="1370"/>
      <c r="TQS112" s="1370"/>
      <c r="TQT112" s="1370"/>
      <c r="TQU112" s="1370"/>
      <c r="TQV112" s="1370"/>
      <c r="TQW112" s="1370"/>
      <c r="TQX112" s="1370"/>
      <c r="TQY112" s="1370"/>
      <c r="TQZ112" s="1370"/>
      <c r="TRA112" s="1370"/>
      <c r="TRB112" s="1370"/>
      <c r="TRC112" s="1370"/>
      <c r="TRD112" s="1370"/>
      <c r="TRE112" s="1370"/>
      <c r="TRF112" s="1370"/>
      <c r="TRG112" s="1370"/>
      <c r="TRH112" s="1370"/>
      <c r="TRI112" s="1370"/>
      <c r="TRJ112" s="1370"/>
      <c r="TRK112" s="1370"/>
      <c r="TRL112" s="1370"/>
      <c r="TRM112" s="1370"/>
      <c r="TRN112" s="1370"/>
      <c r="TRO112" s="1370"/>
      <c r="TRP112" s="1370"/>
      <c r="TRQ112" s="1370"/>
      <c r="TRR112" s="1370"/>
      <c r="TRS112" s="1370"/>
      <c r="TRT112" s="1370"/>
      <c r="TRU112" s="1370"/>
      <c r="TRV112" s="1370"/>
      <c r="TRW112" s="1370"/>
      <c r="TRX112" s="1370"/>
      <c r="TRY112" s="1370"/>
      <c r="TRZ112" s="1370"/>
      <c r="TSA112" s="1370"/>
      <c r="TSB112" s="1370"/>
      <c r="TSC112" s="1370"/>
      <c r="TSD112" s="1370"/>
      <c r="TSE112" s="1370"/>
      <c r="TSF112" s="1370"/>
      <c r="TSG112" s="1370"/>
      <c r="TSH112" s="1370"/>
      <c r="TSI112" s="1370"/>
      <c r="TSJ112" s="1370"/>
      <c r="TSK112" s="1370"/>
      <c r="TSL112" s="1370"/>
      <c r="TSM112" s="1370"/>
      <c r="TSN112" s="1370"/>
      <c r="TSO112" s="1370"/>
      <c r="TSP112" s="1370"/>
      <c r="TSQ112" s="1370"/>
      <c r="TSR112" s="1370"/>
      <c r="TSS112" s="1370"/>
      <c r="TST112" s="1370"/>
      <c r="TSU112" s="1370"/>
      <c r="TSV112" s="1370"/>
      <c r="TSW112" s="1370"/>
      <c r="TSX112" s="1370"/>
      <c r="TSY112" s="1370"/>
      <c r="TSZ112" s="1370"/>
      <c r="TTA112" s="1370"/>
      <c r="TTB112" s="1370"/>
      <c r="TTC112" s="1370"/>
      <c r="TTD112" s="1370"/>
      <c r="TTE112" s="1370"/>
      <c r="TTF112" s="1370"/>
      <c r="TTG112" s="1370"/>
      <c r="TTH112" s="1370"/>
      <c r="TTI112" s="1370"/>
      <c r="TTJ112" s="1370"/>
      <c r="TTK112" s="1370"/>
      <c r="TTL112" s="1370"/>
      <c r="TTM112" s="1370"/>
      <c r="TTN112" s="1370"/>
      <c r="TTO112" s="1370"/>
      <c r="TTP112" s="1370"/>
      <c r="TTQ112" s="1370"/>
      <c r="TTR112" s="1370"/>
      <c r="TTS112" s="1370"/>
      <c r="TTT112" s="1370"/>
      <c r="TTU112" s="1370"/>
      <c r="TTV112" s="1370"/>
      <c r="TTW112" s="1370"/>
      <c r="TTX112" s="1370"/>
      <c r="TTY112" s="1370"/>
      <c r="TTZ112" s="1370"/>
      <c r="TUA112" s="1370"/>
      <c r="TUB112" s="1370"/>
      <c r="TUC112" s="1370"/>
      <c r="TUD112" s="1370"/>
      <c r="TUE112" s="1370"/>
      <c r="TUF112" s="1370"/>
      <c r="TUG112" s="1370"/>
      <c r="TUH112" s="1370"/>
      <c r="TUI112" s="1370"/>
      <c r="TUJ112" s="1370"/>
      <c r="TUK112" s="1370"/>
      <c r="TUL112" s="1370"/>
      <c r="TUM112" s="1370"/>
      <c r="TUN112" s="1370"/>
      <c r="TUO112" s="1370"/>
      <c r="TUP112" s="1370"/>
      <c r="TUQ112" s="1370"/>
      <c r="TUR112" s="1370"/>
      <c r="TUS112" s="1370"/>
      <c r="TUT112" s="1370"/>
      <c r="TUU112" s="1370"/>
      <c r="TUV112" s="1370"/>
      <c r="TUW112" s="1370"/>
      <c r="TUX112" s="1370"/>
      <c r="TUY112" s="1370"/>
      <c r="TUZ112" s="1370"/>
      <c r="TVA112" s="1370"/>
      <c r="TVB112" s="1370"/>
      <c r="TVC112" s="1370"/>
      <c r="TVD112" s="1370"/>
      <c r="TVE112" s="1370"/>
      <c r="TVF112" s="1370"/>
      <c r="TVG112" s="1370"/>
      <c r="TVH112" s="1370"/>
      <c r="TVI112" s="1370"/>
      <c r="TVJ112" s="1370"/>
      <c r="TVK112" s="1370"/>
      <c r="TVL112" s="1370"/>
      <c r="TVM112" s="1370"/>
      <c r="TVN112" s="1370"/>
      <c r="TVO112" s="1370"/>
      <c r="TVP112" s="1370"/>
      <c r="TVQ112" s="1370"/>
      <c r="TVR112" s="1370"/>
      <c r="TVS112" s="1370"/>
      <c r="TVT112" s="1370"/>
      <c r="TVU112" s="1370"/>
      <c r="TVV112" s="1370"/>
      <c r="TVW112" s="1370"/>
      <c r="TVX112" s="1370"/>
      <c r="TVY112" s="1370"/>
      <c r="TVZ112" s="1370"/>
      <c r="TWA112" s="1370"/>
      <c r="TWB112" s="1370"/>
      <c r="TWC112" s="1370"/>
      <c r="TWD112" s="1370"/>
      <c r="TWE112" s="1370"/>
      <c r="TWF112" s="1370"/>
      <c r="TWG112" s="1370"/>
      <c r="TWH112" s="1370"/>
      <c r="TWI112" s="1370"/>
      <c r="TWJ112" s="1370"/>
      <c r="TWK112" s="1370"/>
      <c r="TWL112" s="1370"/>
      <c r="TWM112" s="1370"/>
      <c r="TWN112" s="1370"/>
      <c r="TWO112" s="1370"/>
      <c r="TWP112" s="1370"/>
      <c r="TWQ112" s="1370"/>
      <c r="TWR112" s="1370"/>
      <c r="TWS112" s="1370"/>
      <c r="TWT112" s="1370"/>
      <c r="TWU112" s="1370"/>
      <c r="TWV112" s="1370"/>
      <c r="TWW112" s="1370"/>
      <c r="TWX112" s="1370"/>
      <c r="TWY112" s="1370"/>
      <c r="TWZ112" s="1370"/>
      <c r="TXA112" s="1370"/>
      <c r="TXB112" s="1370"/>
      <c r="TXC112" s="1370"/>
      <c r="TXD112" s="1370"/>
      <c r="TXE112" s="1370"/>
      <c r="TXF112" s="1370"/>
      <c r="TXG112" s="1370"/>
      <c r="TXH112" s="1370"/>
      <c r="TXI112" s="1370"/>
      <c r="TXJ112" s="1370"/>
      <c r="TXK112" s="1370"/>
      <c r="TXL112" s="1370"/>
      <c r="TXM112" s="1370"/>
      <c r="TXN112" s="1370"/>
      <c r="TXO112" s="1370"/>
      <c r="TXP112" s="1370"/>
      <c r="TXQ112" s="1370"/>
      <c r="TXR112" s="1370"/>
      <c r="TXS112" s="1370"/>
      <c r="TXT112" s="1370"/>
      <c r="TXU112" s="1370"/>
      <c r="TXV112" s="1370"/>
      <c r="TXW112" s="1370"/>
      <c r="TXX112" s="1370"/>
      <c r="TXY112" s="1370"/>
      <c r="TXZ112" s="1370"/>
      <c r="TYA112" s="1370"/>
      <c r="TYB112" s="1370"/>
      <c r="TYC112" s="1370"/>
      <c r="TYD112" s="1370"/>
      <c r="TYE112" s="1370"/>
      <c r="TYF112" s="1370"/>
      <c r="TYG112" s="1370"/>
      <c r="TYH112" s="1370"/>
      <c r="TYI112" s="1370"/>
      <c r="TYJ112" s="1370"/>
      <c r="TYK112" s="1370"/>
      <c r="TYL112" s="1370"/>
      <c r="TYM112" s="1370"/>
      <c r="TYN112" s="1370"/>
      <c r="TYO112" s="1370"/>
      <c r="TYP112" s="1370"/>
      <c r="TYQ112" s="1370"/>
      <c r="TYR112" s="1370"/>
      <c r="TYS112" s="1370"/>
      <c r="TYT112" s="1370"/>
      <c r="TYU112" s="1370"/>
      <c r="TYV112" s="1370"/>
      <c r="TYW112" s="1370"/>
      <c r="TYX112" s="1370"/>
      <c r="TYY112" s="1370"/>
      <c r="TYZ112" s="1370"/>
      <c r="TZA112" s="1370"/>
      <c r="TZB112" s="1370"/>
      <c r="TZC112" s="1370"/>
      <c r="TZD112" s="1370"/>
      <c r="TZE112" s="1370"/>
      <c r="TZF112" s="1370"/>
      <c r="TZG112" s="1370"/>
      <c r="TZH112" s="1370"/>
      <c r="TZI112" s="1370"/>
      <c r="TZJ112" s="1370"/>
      <c r="TZK112" s="1370"/>
      <c r="TZL112" s="1370"/>
      <c r="TZM112" s="1370"/>
      <c r="TZN112" s="1370"/>
      <c r="TZO112" s="1370"/>
      <c r="TZP112" s="1370"/>
      <c r="TZQ112" s="1370"/>
      <c r="TZR112" s="1370"/>
      <c r="TZS112" s="1370"/>
      <c r="TZT112" s="1370"/>
      <c r="TZU112" s="1370"/>
      <c r="TZV112" s="1370"/>
      <c r="TZW112" s="1370"/>
      <c r="TZX112" s="1370"/>
      <c r="TZY112" s="1370"/>
      <c r="TZZ112" s="1370"/>
      <c r="UAA112" s="1370"/>
      <c r="UAB112" s="1370"/>
      <c r="UAC112" s="1370"/>
      <c r="UAD112" s="1370"/>
      <c r="UAE112" s="1370"/>
      <c r="UAF112" s="1370"/>
      <c r="UAG112" s="1370"/>
      <c r="UAH112" s="1370"/>
      <c r="UAI112" s="1370"/>
      <c r="UAJ112" s="1370"/>
      <c r="UAK112" s="1370"/>
      <c r="UAL112" s="1370"/>
      <c r="UAM112" s="1370"/>
      <c r="UAN112" s="1370"/>
      <c r="UAO112" s="1370"/>
      <c r="UAP112" s="1370"/>
      <c r="UAQ112" s="1370"/>
      <c r="UAR112" s="1370"/>
      <c r="UAS112" s="1370"/>
      <c r="UAT112" s="1370"/>
      <c r="UAU112" s="1370"/>
      <c r="UAV112" s="1370"/>
      <c r="UAW112" s="1370"/>
      <c r="UAX112" s="1370"/>
      <c r="UAY112" s="1370"/>
      <c r="UAZ112" s="1370"/>
      <c r="UBA112" s="1370"/>
      <c r="UBB112" s="1370"/>
      <c r="UBC112" s="1370"/>
      <c r="UBD112" s="1370"/>
      <c r="UBE112" s="1370"/>
      <c r="UBF112" s="1370"/>
      <c r="UBG112" s="1370"/>
      <c r="UBH112" s="1370"/>
      <c r="UBI112" s="1370"/>
      <c r="UBJ112" s="1370"/>
      <c r="UBK112" s="1370"/>
      <c r="UBL112" s="1370"/>
      <c r="UBM112" s="1370"/>
      <c r="UBN112" s="1370"/>
      <c r="UBO112" s="1370"/>
      <c r="UBP112" s="1370"/>
      <c r="UBQ112" s="1370"/>
      <c r="UBR112" s="1370"/>
      <c r="UBS112" s="1370"/>
      <c r="UBT112" s="1370"/>
      <c r="UBU112" s="1370"/>
      <c r="UBV112" s="1370"/>
      <c r="UBW112" s="1370"/>
      <c r="UBX112" s="1370"/>
      <c r="UBY112" s="1370"/>
      <c r="UBZ112" s="1370"/>
      <c r="UCA112" s="1370"/>
      <c r="UCB112" s="1370"/>
      <c r="UCC112" s="1370"/>
      <c r="UCD112" s="1370"/>
      <c r="UCE112" s="1370"/>
      <c r="UCF112" s="1370"/>
      <c r="UCG112" s="1370"/>
      <c r="UCH112" s="1370"/>
      <c r="UCI112" s="1370"/>
      <c r="UCJ112" s="1370"/>
      <c r="UCK112" s="1370"/>
      <c r="UCL112" s="1370"/>
      <c r="UCM112" s="1370"/>
      <c r="UCN112" s="1370"/>
      <c r="UCO112" s="1370"/>
      <c r="UCP112" s="1370"/>
      <c r="UCQ112" s="1370"/>
      <c r="UCR112" s="1370"/>
      <c r="UCS112" s="1370"/>
      <c r="UCT112" s="1370"/>
      <c r="UCU112" s="1370"/>
      <c r="UCV112" s="1370"/>
      <c r="UCW112" s="1370"/>
      <c r="UCX112" s="1370"/>
      <c r="UCY112" s="1370"/>
      <c r="UCZ112" s="1370"/>
      <c r="UDA112" s="1370"/>
      <c r="UDB112" s="1370"/>
      <c r="UDC112" s="1370"/>
      <c r="UDD112" s="1370"/>
      <c r="UDE112" s="1370"/>
      <c r="UDF112" s="1370"/>
      <c r="UDG112" s="1370"/>
      <c r="UDH112" s="1370"/>
      <c r="UDI112" s="1370"/>
      <c r="UDJ112" s="1370"/>
      <c r="UDK112" s="1370"/>
      <c r="UDL112" s="1370"/>
      <c r="UDM112" s="1370"/>
      <c r="UDN112" s="1370"/>
      <c r="UDO112" s="1370"/>
      <c r="UDP112" s="1370"/>
      <c r="UDQ112" s="1370"/>
      <c r="UDR112" s="1370"/>
      <c r="UDS112" s="1370"/>
      <c r="UDT112" s="1370"/>
      <c r="UDU112" s="1370"/>
      <c r="UDV112" s="1370"/>
      <c r="UDW112" s="1370"/>
      <c r="UDX112" s="1370"/>
      <c r="UDY112" s="1370"/>
      <c r="UDZ112" s="1370"/>
      <c r="UEA112" s="1370"/>
      <c r="UEB112" s="1370"/>
      <c r="UEC112" s="1370"/>
      <c r="UED112" s="1370"/>
      <c r="UEE112" s="1370"/>
      <c r="UEF112" s="1370"/>
      <c r="UEG112" s="1370"/>
      <c r="UEH112" s="1370"/>
      <c r="UEI112" s="1370"/>
      <c r="UEJ112" s="1370"/>
      <c r="UEK112" s="1370"/>
      <c r="UEL112" s="1370"/>
      <c r="UEM112" s="1370"/>
      <c r="UEN112" s="1370"/>
      <c r="UEO112" s="1370"/>
      <c r="UEP112" s="1370"/>
      <c r="UEQ112" s="1370"/>
      <c r="UER112" s="1370"/>
      <c r="UES112" s="1370"/>
      <c r="UET112" s="1370"/>
      <c r="UEU112" s="1370"/>
      <c r="UEV112" s="1370"/>
      <c r="UEW112" s="1370"/>
      <c r="UEX112" s="1370"/>
      <c r="UEY112" s="1370"/>
      <c r="UEZ112" s="1370"/>
      <c r="UFA112" s="1370"/>
      <c r="UFB112" s="1370"/>
      <c r="UFC112" s="1370"/>
      <c r="UFD112" s="1370"/>
      <c r="UFE112" s="1370"/>
      <c r="UFF112" s="1370"/>
      <c r="UFG112" s="1370"/>
      <c r="UFH112" s="1370"/>
      <c r="UFI112" s="1370"/>
      <c r="UFJ112" s="1370"/>
      <c r="UFK112" s="1370"/>
      <c r="UFL112" s="1370"/>
      <c r="UFM112" s="1370"/>
      <c r="UFN112" s="1370"/>
      <c r="UFO112" s="1370"/>
      <c r="UFP112" s="1370"/>
      <c r="UFQ112" s="1370"/>
      <c r="UFR112" s="1370"/>
      <c r="UFS112" s="1370"/>
      <c r="UFT112" s="1370"/>
      <c r="UFU112" s="1370"/>
      <c r="UFV112" s="1370"/>
      <c r="UFW112" s="1370"/>
      <c r="UFX112" s="1370"/>
      <c r="UFY112" s="1370"/>
      <c r="UFZ112" s="1370"/>
      <c r="UGA112" s="1370"/>
      <c r="UGB112" s="1370"/>
      <c r="UGC112" s="1370"/>
      <c r="UGD112" s="1370"/>
      <c r="UGE112" s="1370"/>
      <c r="UGF112" s="1370"/>
      <c r="UGG112" s="1370"/>
      <c r="UGH112" s="1370"/>
      <c r="UGI112" s="1370"/>
      <c r="UGJ112" s="1370"/>
      <c r="UGK112" s="1370"/>
      <c r="UGL112" s="1370"/>
      <c r="UGM112" s="1370"/>
      <c r="UGN112" s="1370"/>
      <c r="UGO112" s="1370"/>
      <c r="UGP112" s="1370"/>
      <c r="UGQ112" s="1370"/>
      <c r="UGR112" s="1370"/>
      <c r="UGS112" s="1370"/>
      <c r="UGT112" s="1370"/>
      <c r="UGU112" s="1370"/>
      <c r="UGV112" s="1370"/>
      <c r="UGW112" s="1370"/>
      <c r="UGX112" s="1370"/>
      <c r="UGY112" s="1370"/>
      <c r="UGZ112" s="1370"/>
      <c r="UHA112" s="1370"/>
      <c r="UHB112" s="1370"/>
      <c r="UHC112" s="1370"/>
      <c r="UHD112" s="1370"/>
      <c r="UHE112" s="1370"/>
      <c r="UHF112" s="1370"/>
      <c r="UHG112" s="1370"/>
      <c r="UHH112" s="1370"/>
      <c r="UHI112" s="1370"/>
      <c r="UHJ112" s="1370"/>
      <c r="UHK112" s="1370"/>
      <c r="UHL112" s="1370"/>
      <c r="UHM112" s="1370"/>
      <c r="UHN112" s="1370"/>
      <c r="UHO112" s="1370"/>
      <c r="UHP112" s="1370"/>
      <c r="UHQ112" s="1370"/>
      <c r="UHR112" s="1370"/>
      <c r="UHS112" s="1370"/>
      <c r="UHT112" s="1370"/>
      <c r="UHU112" s="1370"/>
      <c r="UHV112" s="1370"/>
      <c r="UHW112" s="1370"/>
      <c r="UHX112" s="1370"/>
      <c r="UHY112" s="1370"/>
      <c r="UHZ112" s="1370"/>
      <c r="UIA112" s="1370"/>
      <c r="UIB112" s="1370"/>
      <c r="UIC112" s="1370"/>
      <c r="UID112" s="1370"/>
      <c r="UIE112" s="1370"/>
      <c r="UIF112" s="1370"/>
      <c r="UIG112" s="1370"/>
      <c r="UIH112" s="1370"/>
      <c r="UII112" s="1370"/>
      <c r="UIJ112" s="1370"/>
      <c r="UIK112" s="1370"/>
      <c r="UIL112" s="1370"/>
      <c r="UIM112" s="1370"/>
      <c r="UIN112" s="1370"/>
      <c r="UIO112" s="1370"/>
      <c r="UIP112" s="1370"/>
      <c r="UIQ112" s="1370"/>
      <c r="UIR112" s="1370"/>
      <c r="UIS112" s="1370"/>
      <c r="UIT112" s="1370"/>
      <c r="UIU112" s="1370"/>
      <c r="UIV112" s="1370"/>
      <c r="UIW112" s="1370"/>
      <c r="UIX112" s="1370"/>
      <c r="UIY112" s="1370"/>
      <c r="UIZ112" s="1370"/>
      <c r="UJA112" s="1370"/>
      <c r="UJB112" s="1370"/>
      <c r="UJC112" s="1370"/>
      <c r="UJD112" s="1370"/>
      <c r="UJE112" s="1370"/>
      <c r="UJF112" s="1370"/>
      <c r="UJG112" s="1370"/>
      <c r="UJH112" s="1370"/>
      <c r="UJI112" s="1370"/>
      <c r="UJJ112" s="1370"/>
      <c r="UJK112" s="1370"/>
      <c r="UJL112" s="1370"/>
      <c r="UJM112" s="1370"/>
      <c r="UJN112" s="1370"/>
      <c r="UJO112" s="1370"/>
      <c r="UJP112" s="1370"/>
      <c r="UJQ112" s="1370"/>
      <c r="UJR112" s="1370"/>
      <c r="UJS112" s="1370"/>
      <c r="UJT112" s="1370"/>
      <c r="UJU112" s="1370"/>
      <c r="UJV112" s="1370"/>
      <c r="UJW112" s="1370"/>
      <c r="UJX112" s="1370"/>
      <c r="UJY112" s="1370"/>
      <c r="UJZ112" s="1370"/>
      <c r="UKA112" s="1370"/>
      <c r="UKB112" s="1370"/>
      <c r="UKC112" s="1370"/>
      <c r="UKD112" s="1370"/>
      <c r="UKE112" s="1370"/>
      <c r="UKF112" s="1370"/>
      <c r="UKG112" s="1370"/>
      <c r="UKH112" s="1370"/>
      <c r="UKI112" s="1370"/>
      <c r="UKJ112" s="1370"/>
      <c r="UKK112" s="1370"/>
      <c r="UKL112" s="1370"/>
      <c r="UKM112" s="1370"/>
      <c r="UKN112" s="1370"/>
      <c r="UKO112" s="1370"/>
      <c r="UKP112" s="1370"/>
      <c r="UKQ112" s="1370"/>
      <c r="UKR112" s="1370"/>
      <c r="UKS112" s="1370"/>
      <c r="UKT112" s="1370"/>
      <c r="UKU112" s="1370"/>
      <c r="UKV112" s="1370"/>
      <c r="UKW112" s="1370"/>
      <c r="UKX112" s="1370"/>
      <c r="UKY112" s="1370"/>
      <c r="UKZ112" s="1370"/>
      <c r="ULA112" s="1370"/>
      <c r="ULB112" s="1370"/>
      <c r="ULC112" s="1370"/>
      <c r="ULD112" s="1370"/>
      <c r="ULE112" s="1370"/>
      <c r="ULF112" s="1370"/>
      <c r="ULG112" s="1370"/>
      <c r="ULH112" s="1370"/>
      <c r="ULI112" s="1370"/>
      <c r="ULJ112" s="1370"/>
      <c r="ULK112" s="1370"/>
      <c r="ULL112" s="1370"/>
      <c r="ULM112" s="1370"/>
      <c r="ULN112" s="1370"/>
      <c r="ULO112" s="1370"/>
      <c r="ULP112" s="1370"/>
      <c r="ULQ112" s="1370"/>
      <c r="ULR112" s="1370"/>
      <c r="ULS112" s="1370"/>
      <c r="ULT112" s="1370"/>
      <c r="ULU112" s="1370"/>
      <c r="ULV112" s="1370"/>
      <c r="ULW112" s="1370"/>
      <c r="ULX112" s="1370"/>
      <c r="ULY112" s="1370"/>
      <c r="ULZ112" s="1370"/>
      <c r="UMA112" s="1370"/>
      <c r="UMB112" s="1370"/>
      <c r="UMC112" s="1370"/>
      <c r="UMD112" s="1370"/>
      <c r="UME112" s="1370"/>
      <c r="UMF112" s="1370"/>
      <c r="UMG112" s="1370"/>
      <c r="UMH112" s="1370"/>
      <c r="UMI112" s="1370"/>
      <c r="UMJ112" s="1370"/>
      <c r="UMK112" s="1370"/>
      <c r="UML112" s="1370"/>
      <c r="UMM112" s="1370"/>
      <c r="UMN112" s="1370"/>
      <c r="UMO112" s="1370"/>
      <c r="UMP112" s="1370"/>
      <c r="UMQ112" s="1370"/>
      <c r="UMR112" s="1370"/>
      <c r="UMS112" s="1370"/>
      <c r="UMT112" s="1370"/>
      <c r="UMU112" s="1370"/>
      <c r="UMV112" s="1370"/>
      <c r="UMW112" s="1370"/>
      <c r="UMX112" s="1370"/>
      <c r="UMY112" s="1370"/>
      <c r="UMZ112" s="1370"/>
      <c r="UNA112" s="1370"/>
      <c r="UNB112" s="1370"/>
      <c r="UNC112" s="1370"/>
      <c r="UND112" s="1370"/>
      <c r="UNE112" s="1370"/>
      <c r="UNF112" s="1370"/>
      <c r="UNG112" s="1370"/>
      <c r="UNH112" s="1370"/>
      <c r="UNI112" s="1370"/>
      <c r="UNJ112" s="1370"/>
      <c r="UNK112" s="1370"/>
      <c r="UNL112" s="1370"/>
      <c r="UNM112" s="1370"/>
      <c r="UNN112" s="1370"/>
      <c r="UNO112" s="1370"/>
      <c r="UNP112" s="1370"/>
      <c r="UNQ112" s="1370"/>
      <c r="UNR112" s="1370"/>
      <c r="UNS112" s="1370"/>
      <c r="UNT112" s="1370"/>
      <c r="UNU112" s="1370"/>
      <c r="UNV112" s="1370"/>
      <c r="UNW112" s="1370"/>
      <c r="UNX112" s="1370"/>
      <c r="UNY112" s="1370"/>
      <c r="UNZ112" s="1370"/>
      <c r="UOA112" s="1370"/>
      <c r="UOB112" s="1370"/>
      <c r="UOC112" s="1370"/>
      <c r="UOD112" s="1370"/>
      <c r="UOE112" s="1370"/>
      <c r="UOF112" s="1370"/>
      <c r="UOG112" s="1370"/>
      <c r="UOH112" s="1370"/>
      <c r="UOI112" s="1370"/>
      <c r="UOJ112" s="1370"/>
      <c r="UOK112" s="1370"/>
      <c r="UOL112" s="1370"/>
      <c r="UOM112" s="1370"/>
      <c r="UON112" s="1370"/>
      <c r="UOO112" s="1370"/>
      <c r="UOP112" s="1370"/>
      <c r="UOQ112" s="1370"/>
      <c r="UOR112" s="1370"/>
      <c r="UOS112" s="1370"/>
      <c r="UOT112" s="1370"/>
      <c r="UOU112" s="1370"/>
      <c r="UOV112" s="1370"/>
      <c r="UOW112" s="1370"/>
      <c r="UOX112" s="1370"/>
      <c r="UOY112" s="1370"/>
      <c r="UOZ112" s="1370"/>
      <c r="UPA112" s="1370"/>
      <c r="UPB112" s="1370"/>
      <c r="UPC112" s="1370"/>
      <c r="UPD112" s="1370"/>
      <c r="UPE112" s="1370"/>
      <c r="UPF112" s="1370"/>
      <c r="UPG112" s="1370"/>
      <c r="UPH112" s="1370"/>
      <c r="UPI112" s="1370"/>
      <c r="UPJ112" s="1370"/>
      <c r="UPK112" s="1370"/>
      <c r="UPL112" s="1370"/>
      <c r="UPM112" s="1370"/>
      <c r="UPN112" s="1370"/>
      <c r="UPO112" s="1370"/>
      <c r="UPP112" s="1370"/>
      <c r="UPQ112" s="1370"/>
      <c r="UPR112" s="1370"/>
      <c r="UPS112" s="1370"/>
      <c r="UPT112" s="1370"/>
      <c r="UPU112" s="1370"/>
      <c r="UPV112" s="1370"/>
      <c r="UPW112" s="1370"/>
      <c r="UPX112" s="1370"/>
      <c r="UPY112" s="1370"/>
      <c r="UPZ112" s="1370"/>
      <c r="UQA112" s="1370"/>
      <c r="UQB112" s="1370"/>
      <c r="UQC112" s="1370"/>
      <c r="UQD112" s="1370"/>
      <c r="UQE112" s="1370"/>
      <c r="UQF112" s="1370"/>
      <c r="UQG112" s="1370"/>
      <c r="UQH112" s="1370"/>
      <c r="UQI112" s="1370"/>
      <c r="UQJ112" s="1370"/>
      <c r="UQK112" s="1370"/>
      <c r="UQL112" s="1370"/>
      <c r="UQM112" s="1370"/>
      <c r="UQN112" s="1370"/>
      <c r="UQO112" s="1370"/>
      <c r="UQP112" s="1370"/>
      <c r="UQQ112" s="1370"/>
      <c r="UQR112" s="1370"/>
      <c r="UQS112" s="1370"/>
      <c r="UQT112" s="1370"/>
      <c r="UQU112" s="1370"/>
      <c r="UQV112" s="1370"/>
      <c r="UQW112" s="1370"/>
      <c r="UQX112" s="1370"/>
      <c r="UQY112" s="1370"/>
      <c r="UQZ112" s="1370"/>
      <c r="URA112" s="1370"/>
      <c r="URB112" s="1370"/>
      <c r="URC112" s="1370"/>
      <c r="URD112" s="1370"/>
      <c r="URE112" s="1370"/>
      <c r="URF112" s="1370"/>
      <c r="URG112" s="1370"/>
      <c r="URH112" s="1370"/>
      <c r="URI112" s="1370"/>
      <c r="URJ112" s="1370"/>
      <c r="URK112" s="1370"/>
      <c r="URL112" s="1370"/>
      <c r="URM112" s="1370"/>
      <c r="URN112" s="1370"/>
      <c r="URO112" s="1370"/>
      <c r="URP112" s="1370"/>
      <c r="URQ112" s="1370"/>
      <c r="URR112" s="1370"/>
      <c r="URS112" s="1370"/>
      <c r="URT112" s="1370"/>
      <c r="URU112" s="1370"/>
      <c r="URV112" s="1370"/>
      <c r="URW112" s="1370"/>
      <c r="URX112" s="1370"/>
      <c r="URY112" s="1370"/>
      <c r="URZ112" s="1370"/>
      <c r="USA112" s="1370"/>
      <c r="USB112" s="1370"/>
      <c r="USC112" s="1370"/>
      <c r="USD112" s="1370"/>
      <c r="USE112" s="1370"/>
      <c r="USF112" s="1370"/>
      <c r="USG112" s="1370"/>
      <c r="USH112" s="1370"/>
      <c r="USI112" s="1370"/>
      <c r="USJ112" s="1370"/>
      <c r="USK112" s="1370"/>
      <c r="USL112" s="1370"/>
      <c r="USM112" s="1370"/>
      <c r="USN112" s="1370"/>
      <c r="USO112" s="1370"/>
      <c r="USP112" s="1370"/>
      <c r="USQ112" s="1370"/>
      <c r="USR112" s="1370"/>
      <c r="USS112" s="1370"/>
      <c r="UST112" s="1370"/>
      <c r="USU112" s="1370"/>
      <c r="USV112" s="1370"/>
      <c r="USW112" s="1370"/>
      <c r="USX112" s="1370"/>
      <c r="USY112" s="1370"/>
      <c r="USZ112" s="1370"/>
      <c r="UTA112" s="1370"/>
      <c r="UTB112" s="1370"/>
      <c r="UTC112" s="1370"/>
      <c r="UTD112" s="1370"/>
      <c r="UTE112" s="1370"/>
      <c r="UTF112" s="1370"/>
      <c r="UTG112" s="1370"/>
      <c r="UTH112" s="1370"/>
      <c r="UTI112" s="1370"/>
      <c r="UTJ112" s="1370"/>
      <c r="UTK112" s="1370"/>
      <c r="UTL112" s="1370"/>
      <c r="UTM112" s="1370"/>
      <c r="UTN112" s="1370"/>
      <c r="UTO112" s="1370"/>
      <c r="UTP112" s="1370"/>
      <c r="UTQ112" s="1370"/>
      <c r="UTR112" s="1370"/>
      <c r="UTS112" s="1370"/>
      <c r="UTT112" s="1370"/>
      <c r="UTU112" s="1370"/>
      <c r="UTV112" s="1370"/>
      <c r="UTW112" s="1370"/>
      <c r="UTX112" s="1370"/>
      <c r="UTY112" s="1370"/>
      <c r="UTZ112" s="1370"/>
      <c r="UUA112" s="1370"/>
      <c r="UUB112" s="1370"/>
      <c r="UUC112" s="1370"/>
      <c r="UUD112" s="1370"/>
      <c r="UUE112" s="1370"/>
      <c r="UUF112" s="1370"/>
      <c r="UUG112" s="1370"/>
      <c r="UUH112" s="1370"/>
      <c r="UUI112" s="1370"/>
      <c r="UUJ112" s="1370"/>
      <c r="UUK112" s="1370"/>
      <c r="UUL112" s="1370"/>
      <c r="UUM112" s="1370"/>
      <c r="UUN112" s="1370"/>
      <c r="UUO112" s="1370"/>
      <c r="UUP112" s="1370"/>
      <c r="UUQ112" s="1370"/>
      <c r="UUR112" s="1370"/>
      <c r="UUS112" s="1370"/>
      <c r="UUT112" s="1370"/>
      <c r="UUU112" s="1370"/>
      <c r="UUV112" s="1370"/>
      <c r="UUW112" s="1370"/>
      <c r="UUX112" s="1370"/>
      <c r="UUY112" s="1370"/>
      <c r="UUZ112" s="1370"/>
      <c r="UVA112" s="1370"/>
      <c r="UVB112" s="1370"/>
      <c r="UVC112" s="1370"/>
      <c r="UVD112" s="1370"/>
      <c r="UVE112" s="1370"/>
      <c r="UVF112" s="1370"/>
      <c r="UVG112" s="1370"/>
      <c r="UVH112" s="1370"/>
      <c r="UVI112" s="1370"/>
      <c r="UVJ112" s="1370"/>
      <c r="UVK112" s="1370"/>
      <c r="UVL112" s="1370"/>
      <c r="UVM112" s="1370"/>
      <c r="UVN112" s="1370"/>
      <c r="UVO112" s="1370"/>
      <c r="UVP112" s="1370"/>
      <c r="UVQ112" s="1370"/>
      <c r="UVR112" s="1370"/>
      <c r="UVS112" s="1370"/>
      <c r="UVT112" s="1370"/>
      <c r="UVU112" s="1370"/>
      <c r="UVV112" s="1370"/>
      <c r="UVW112" s="1370"/>
      <c r="UVX112" s="1370"/>
      <c r="UVY112" s="1370"/>
      <c r="UVZ112" s="1370"/>
      <c r="UWA112" s="1370"/>
      <c r="UWB112" s="1370"/>
      <c r="UWC112" s="1370"/>
      <c r="UWD112" s="1370"/>
      <c r="UWE112" s="1370"/>
      <c r="UWF112" s="1370"/>
      <c r="UWG112" s="1370"/>
      <c r="UWH112" s="1370"/>
      <c r="UWI112" s="1370"/>
      <c r="UWJ112" s="1370"/>
      <c r="UWK112" s="1370"/>
      <c r="UWL112" s="1370"/>
      <c r="UWM112" s="1370"/>
      <c r="UWN112" s="1370"/>
      <c r="UWO112" s="1370"/>
      <c r="UWP112" s="1370"/>
      <c r="UWQ112" s="1370"/>
      <c r="UWR112" s="1370"/>
      <c r="UWS112" s="1370"/>
      <c r="UWT112" s="1370"/>
      <c r="UWU112" s="1370"/>
      <c r="UWV112" s="1370"/>
      <c r="UWW112" s="1370"/>
      <c r="UWX112" s="1370"/>
      <c r="UWY112" s="1370"/>
      <c r="UWZ112" s="1370"/>
      <c r="UXA112" s="1370"/>
      <c r="UXB112" s="1370"/>
      <c r="UXC112" s="1370"/>
      <c r="UXD112" s="1370"/>
      <c r="UXE112" s="1370"/>
      <c r="UXF112" s="1370"/>
      <c r="UXG112" s="1370"/>
      <c r="UXH112" s="1370"/>
      <c r="UXI112" s="1370"/>
      <c r="UXJ112" s="1370"/>
      <c r="UXK112" s="1370"/>
      <c r="UXL112" s="1370"/>
      <c r="UXM112" s="1370"/>
      <c r="UXN112" s="1370"/>
      <c r="UXO112" s="1370"/>
      <c r="UXP112" s="1370"/>
      <c r="UXQ112" s="1370"/>
      <c r="UXR112" s="1370"/>
      <c r="UXS112" s="1370"/>
      <c r="UXT112" s="1370"/>
      <c r="UXU112" s="1370"/>
      <c r="UXV112" s="1370"/>
      <c r="UXW112" s="1370"/>
      <c r="UXX112" s="1370"/>
      <c r="UXY112" s="1370"/>
      <c r="UXZ112" s="1370"/>
      <c r="UYA112" s="1370"/>
      <c r="UYB112" s="1370"/>
      <c r="UYC112" s="1370"/>
      <c r="UYD112" s="1370"/>
      <c r="UYE112" s="1370"/>
      <c r="UYF112" s="1370"/>
      <c r="UYG112" s="1370"/>
      <c r="UYH112" s="1370"/>
      <c r="UYI112" s="1370"/>
      <c r="UYJ112" s="1370"/>
      <c r="UYK112" s="1370"/>
      <c r="UYL112" s="1370"/>
      <c r="UYM112" s="1370"/>
      <c r="UYN112" s="1370"/>
      <c r="UYO112" s="1370"/>
      <c r="UYP112" s="1370"/>
      <c r="UYQ112" s="1370"/>
      <c r="UYR112" s="1370"/>
      <c r="UYS112" s="1370"/>
      <c r="UYT112" s="1370"/>
      <c r="UYU112" s="1370"/>
      <c r="UYV112" s="1370"/>
      <c r="UYW112" s="1370"/>
      <c r="UYX112" s="1370"/>
      <c r="UYY112" s="1370"/>
      <c r="UYZ112" s="1370"/>
      <c r="UZA112" s="1370"/>
      <c r="UZB112" s="1370"/>
      <c r="UZC112" s="1370"/>
      <c r="UZD112" s="1370"/>
      <c r="UZE112" s="1370"/>
      <c r="UZF112" s="1370"/>
      <c r="UZG112" s="1370"/>
      <c r="UZH112" s="1370"/>
      <c r="UZI112" s="1370"/>
      <c r="UZJ112" s="1370"/>
      <c r="UZK112" s="1370"/>
      <c r="UZL112" s="1370"/>
      <c r="UZM112" s="1370"/>
      <c r="UZN112" s="1370"/>
      <c r="UZO112" s="1370"/>
      <c r="UZP112" s="1370"/>
      <c r="UZQ112" s="1370"/>
      <c r="UZR112" s="1370"/>
      <c r="UZS112" s="1370"/>
      <c r="UZT112" s="1370"/>
      <c r="UZU112" s="1370"/>
      <c r="UZV112" s="1370"/>
      <c r="UZW112" s="1370"/>
      <c r="UZX112" s="1370"/>
      <c r="UZY112" s="1370"/>
      <c r="UZZ112" s="1370"/>
      <c r="VAA112" s="1370"/>
      <c r="VAB112" s="1370"/>
      <c r="VAC112" s="1370"/>
      <c r="VAD112" s="1370"/>
      <c r="VAE112" s="1370"/>
      <c r="VAF112" s="1370"/>
      <c r="VAG112" s="1370"/>
      <c r="VAH112" s="1370"/>
      <c r="VAI112" s="1370"/>
      <c r="VAJ112" s="1370"/>
      <c r="VAK112" s="1370"/>
      <c r="VAL112" s="1370"/>
      <c r="VAM112" s="1370"/>
      <c r="VAN112" s="1370"/>
      <c r="VAO112" s="1370"/>
      <c r="VAP112" s="1370"/>
      <c r="VAQ112" s="1370"/>
      <c r="VAR112" s="1370"/>
      <c r="VAS112" s="1370"/>
      <c r="VAT112" s="1370"/>
      <c r="VAU112" s="1370"/>
      <c r="VAV112" s="1370"/>
      <c r="VAW112" s="1370"/>
      <c r="VAX112" s="1370"/>
      <c r="VAY112" s="1370"/>
      <c r="VAZ112" s="1370"/>
      <c r="VBA112" s="1370"/>
      <c r="VBB112" s="1370"/>
      <c r="VBC112" s="1370"/>
      <c r="VBD112" s="1370"/>
      <c r="VBE112" s="1370"/>
      <c r="VBF112" s="1370"/>
      <c r="VBG112" s="1370"/>
      <c r="VBH112" s="1370"/>
      <c r="VBI112" s="1370"/>
      <c r="VBJ112" s="1370"/>
      <c r="VBK112" s="1370"/>
      <c r="VBL112" s="1370"/>
      <c r="VBM112" s="1370"/>
      <c r="VBN112" s="1370"/>
      <c r="VBO112" s="1370"/>
      <c r="VBP112" s="1370"/>
      <c r="VBQ112" s="1370"/>
      <c r="VBR112" s="1370"/>
      <c r="VBS112" s="1370"/>
      <c r="VBT112" s="1370"/>
      <c r="VBU112" s="1370"/>
      <c r="VBV112" s="1370"/>
      <c r="VBW112" s="1370"/>
      <c r="VBX112" s="1370"/>
      <c r="VBY112" s="1370"/>
      <c r="VBZ112" s="1370"/>
      <c r="VCA112" s="1370"/>
      <c r="VCB112" s="1370"/>
      <c r="VCC112" s="1370"/>
      <c r="VCD112" s="1370"/>
      <c r="VCE112" s="1370"/>
      <c r="VCF112" s="1370"/>
      <c r="VCG112" s="1370"/>
      <c r="VCH112" s="1370"/>
      <c r="VCI112" s="1370"/>
      <c r="VCJ112" s="1370"/>
      <c r="VCK112" s="1370"/>
      <c r="VCL112" s="1370"/>
      <c r="VCM112" s="1370"/>
      <c r="VCN112" s="1370"/>
      <c r="VCO112" s="1370"/>
      <c r="VCP112" s="1370"/>
      <c r="VCQ112" s="1370"/>
      <c r="VCR112" s="1370"/>
      <c r="VCS112" s="1370"/>
      <c r="VCT112" s="1370"/>
      <c r="VCU112" s="1370"/>
      <c r="VCV112" s="1370"/>
      <c r="VCW112" s="1370"/>
      <c r="VCX112" s="1370"/>
      <c r="VCY112" s="1370"/>
      <c r="VCZ112" s="1370"/>
      <c r="VDA112" s="1370"/>
      <c r="VDB112" s="1370"/>
      <c r="VDC112" s="1370"/>
      <c r="VDD112" s="1370"/>
      <c r="VDE112" s="1370"/>
      <c r="VDF112" s="1370"/>
      <c r="VDG112" s="1370"/>
      <c r="VDH112" s="1370"/>
      <c r="VDI112" s="1370"/>
      <c r="VDJ112" s="1370"/>
      <c r="VDK112" s="1370"/>
      <c r="VDL112" s="1370"/>
      <c r="VDM112" s="1370"/>
      <c r="VDN112" s="1370"/>
      <c r="VDO112" s="1370"/>
      <c r="VDP112" s="1370"/>
      <c r="VDQ112" s="1370"/>
      <c r="VDR112" s="1370"/>
      <c r="VDS112" s="1370"/>
      <c r="VDT112" s="1370"/>
      <c r="VDU112" s="1370"/>
      <c r="VDV112" s="1370"/>
      <c r="VDW112" s="1370"/>
      <c r="VDX112" s="1370"/>
      <c r="VDY112" s="1370"/>
      <c r="VDZ112" s="1370"/>
      <c r="VEA112" s="1370"/>
      <c r="VEB112" s="1370"/>
      <c r="VEC112" s="1370"/>
      <c r="VED112" s="1370"/>
      <c r="VEE112" s="1370"/>
      <c r="VEF112" s="1370"/>
      <c r="VEG112" s="1370"/>
      <c r="VEH112" s="1370"/>
      <c r="VEI112" s="1370"/>
      <c r="VEJ112" s="1370"/>
      <c r="VEK112" s="1370"/>
      <c r="VEL112" s="1370"/>
      <c r="VEM112" s="1370"/>
      <c r="VEN112" s="1370"/>
      <c r="VEO112" s="1370"/>
      <c r="VEP112" s="1370"/>
      <c r="VEQ112" s="1370"/>
      <c r="VER112" s="1370"/>
      <c r="VES112" s="1370"/>
      <c r="VET112" s="1370"/>
      <c r="VEU112" s="1370"/>
      <c r="VEV112" s="1370"/>
      <c r="VEW112" s="1370"/>
      <c r="VEX112" s="1370"/>
      <c r="VEY112" s="1370"/>
      <c r="VEZ112" s="1370"/>
      <c r="VFA112" s="1370"/>
      <c r="VFB112" s="1370"/>
      <c r="VFC112" s="1370"/>
      <c r="VFD112" s="1370"/>
      <c r="VFE112" s="1370"/>
      <c r="VFF112" s="1370"/>
      <c r="VFG112" s="1370"/>
      <c r="VFH112" s="1370"/>
      <c r="VFI112" s="1370"/>
      <c r="VFJ112" s="1370"/>
      <c r="VFK112" s="1370"/>
      <c r="VFL112" s="1370"/>
      <c r="VFM112" s="1370"/>
      <c r="VFN112" s="1370"/>
      <c r="VFO112" s="1370"/>
      <c r="VFP112" s="1370"/>
      <c r="VFQ112" s="1370"/>
      <c r="VFR112" s="1370"/>
      <c r="VFS112" s="1370"/>
      <c r="VFT112" s="1370"/>
      <c r="VFU112" s="1370"/>
      <c r="VFV112" s="1370"/>
      <c r="VFW112" s="1370"/>
      <c r="VFX112" s="1370"/>
      <c r="VFY112" s="1370"/>
      <c r="VFZ112" s="1370"/>
      <c r="VGA112" s="1370"/>
      <c r="VGB112" s="1370"/>
      <c r="VGC112" s="1370"/>
      <c r="VGD112" s="1370"/>
      <c r="VGE112" s="1370"/>
      <c r="VGF112" s="1370"/>
      <c r="VGG112" s="1370"/>
      <c r="VGH112" s="1370"/>
      <c r="VGI112" s="1370"/>
      <c r="VGJ112" s="1370"/>
      <c r="VGK112" s="1370"/>
      <c r="VGL112" s="1370"/>
      <c r="VGM112" s="1370"/>
      <c r="VGN112" s="1370"/>
      <c r="VGO112" s="1370"/>
      <c r="VGP112" s="1370"/>
      <c r="VGQ112" s="1370"/>
      <c r="VGR112" s="1370"/>
      <c r="VGS112" s="1370"/>
      <c r="VGT112" s="1370"/>
      <c r="VGU112" s="1370"/>
      <c r="VGV112" s="1370"/>
      <c r="VGW112" s="1370"/>
      <c r="VGX112" s="1370"/>
      <c r="VGY112" s="1370"/>
      <c r="VGZ112" s="1370"/>
      <c r="VHA112" s="1370"/>
      <c r="VHB112" s="1370"/>
      <c r="VHC112" s="1370"/>
      <c r="VHD112" s="1370"/>
      <c r="VHE112" s="1370"/>
      <c r="VHF112" s="1370"/>
      <c r="VHG112" s="1370"/>
      <c r="VHH112" s="1370"/>
      <c r="VHI112" s="1370"/>
      <c r="VHJ112" s="1370"/>
      <c r="VHK112" s="1370"/>
      <c r="VHL112" s="1370"/>
      <c r="VHM112" s="1370"/>
      <c r="VHN112" s="1370"/>
      <c r="VHO112" s="1370"/>
      <c r="VHP112" s="1370"/>
      <c r="VHQ112" s="1370"/>
      <c r="VHR112" s="1370"/>
      <c r="VHS112" s="1370"/>
      <c r="VHT112" s="1370"/>
      <c r="VHU112" s="1370"/>
      <c r="VHV112" s="1370"/>
      <c r="VHW112" s="1370"/>
      <c r="VHX112" s="1370"/>
      <c r="VHY112" s="1370"/>
      <c r="VHZ112" s="1370"/>
      <c r="VIA112" s="1370"/>
      <c r="VIB112" s="1370"/>
      <c r="VIC112" s="1370"/>
      <c r="VID112" s="1370"/>
      <c r="VIE112" s="1370"/>
      <c r="VIF112" s="1370"/>
      <c r="VIG112" s="1370"/>
      <c r="VIH112" s="1370"/>
      <c r="VII112" s="1370"/>
      <c r="VIJ112" s="1370"/>
      <c r="VIK112" s="1370"/>
      <c r="VIL112" s="1370"/>
      <c r="VIM112" s="1370"/>
      <c r="VIN112" s="1370"/>
      <c r="VIO112" s="1370"/>
      <c r="VIP112" s="1370"/>
      <c r="VIQ112" s="1370"/>
      <c r="VIR112" s="1370"/>
      <c r="VIS112" s="1370"/>
      <c r="VIT112" s="1370"/>
      <c r="VIU112" s="1370"/>
      <c r="VIV112" s="1370"/>
      <c r="VIW112" s="1370"/>
      <c r="VIX112" s="1370"/>
      <c r="VIY112" s="1370"/>
      <c r="VIZ112" s="1370"/>
      <c r="VJA112" s="1370"/>
      <c r="VJB112" s="1370"/>
      <c r="VJC112" s="1370"/>
      <c r="VJD112" s="1370"/>
      <c r="VJE112" s="1370"/>
      <c r="VJF112" s="1370"/>
      <c r="VJG112" s="1370"/>
      <c r="VJH112" s="1370"/>
      <c r="VJI112" s="1370"/>
      <c r="VJJ112" s="1370"/>
      <c r="VJK112" s="1370"/>
      <c r="VJL112" s="1370"/>
      <c r="VJM112" s="1370"/>
      <c r="VJN112" s="1370"/>
      <c r="VJO112" s="1370"/>
      <c r="VJP112" s="1370"/>
      <c r="VJQ112" s="1370"/>
      <c r="VJR112" s="1370"/>
      <c r="VJS112" s="1370"/>
      <c r="VJT112" s="1370"/>
      <c r="VJU112" s="1370"/>
      <c r="VJV112" s="1370"/>
      <c r="VJW112" s="1370"/>
      <c r="VJX112" s="1370"/>
      <c r="VJY112" s="1370"/>
      <c r="VJZ112" s="1370"/>
      <c r="VKA112" s="1370"/>
      <c r="VKB112" s="1370"/>
      <c r="VKC112" s="1370"/>
      <c r="VKD112" s="1370"/>
      <c r="VKE112" s="1370"/>
      <c r="VKF112" s="1370"/>
      <c r="VKG112" s="1370"/>
      <c r="VKH112" s="1370"/>
      <c r="VKI112" s="1370"/>
      <c r="VKJ112" s="1370"/>
      <c r="VKK112" s="1370"/>
      <c r="VKL112" s="1370"/>
      <c r="VKM112" s="1370"/>
      <c r="VKN112" s="1370"/>
      <c r="VKO112" s="1370"/>
      <c r="VKP112" s="1370"/>
      <c r="VKQ112" s="1370"/>
      <c r="VKR112" s="1370"/>
      <c r="VKS112" s="1370"/>
      <c r="VKT112" s="1370"/>
      <c r="VKU112" s="1370"/>
      <c r="VKV112" s="1370"/>
      <c r="VKW112" s="1370"/>
      <c r="VKX112" s="1370"/>
      <c r="VKY112" s="1370"/>
      <c r="VKZ112" s="1370"/>
      <c r="VLA112" s="1370"/>
      <c r="VLB112" s="1370"/>
      <c r="VLC112" s="1370"/>
      <c r="VLD112" s="1370"/>
      <c r="VLE112" s="1370"/>
      <c r="VLF112" s="1370"/>
      <c r="VLG112" s="1370"/>
      <c r="VLH112" s="1370"/>
      <c r="VLI112" s="1370"/>
      <c r="VLJ112" s="1370"/>
      <c r="VLK112" s="1370"/>
      <c r="VLL112" s="1370"/>
      <c r="VLM112" s="1370"/>
      <c r="VLN112" s="1370"/>
      <c r="VLO112" s="1370"/>
      <c r="VLP112" s="1370"/>
      <c r="VLQ112" s="1370"/>
      <c r="VLR112" s="1370"/>
      <c r="VLS112" s="1370"/>
      <c r="VLT112" s="1370"/>
      <c r="VLU112" s="1370"/>
      <c r="VLV112" s="1370"/>
      <c r="VLW112" s="1370"/>
      <c r="VLX112" s="1370"/>
      <c r="VLY112" s="1370"/>
      <c r="VLZ112" s="1370"/>
      <c r="VMA112" s="1370"/>
      <c r="VMB112" s="1370"/>
      <c r="VMC112" s="1370"/>
      <c r="VMD112" s="1370"/>
      <c r="VME112" s="1370"/>
      <c r="VMF112" s="1370"/>
      <c r="VMG112" s="1370"/>
      <c r="VMH112" s="1370"/>
      <c r="VMI112" s="1370"/>
      <c r="VMJ112" s="1370"/>
      <c r="VMK112" s="1370"/>
      <c r="VML112" s="1370"/>
      <c r="VMM112" s="1370"/>
      <c r="VMN112" s="1370"/>
      <c r="VMO112" s="1370"/>
      <c r="VMP112" s="1370"/>
      <c r="VMQ112" s="1370"/>
      <c r="VMR112" s="1370"/>
      <c r="VMS112" s="1370"/>
      <c r="VMT112" s="1370"/>
      <c r="VMU112" s="1370"/>
      <c r="VMV112" s="1370"/>
      <c r="VMW112" s="1370"/>
      <c r="VMX112" s="1370"/>
      <c r="VMY112" s="1370"/>
      <c r="VMZ112" s="1370"/>
      <c r="VNA112" s="1370"/>
      <c r="VNB112" s="1370"/>
      <c r="VNC112" s="1370"/>
      <c r="VND112" s="1370"/>
      <c r="VNE112" s="1370"/>
      <c r="VNF112" s="1370"/>
      <c r="VNG112" s="1370"/>
      <c r="VNH112" s="1370"/>
      <c r="VNI112" s="1370"/>
      <c r="VNJ112" s="1370"/>
      <c r="VNK112" s="1370"/>
      <c r="VNL112" s="1370"/>
      <c r="VNM112" s="1370"/>
      <c r="VNN112" s="1370"/>
      <c r="VNO112" s="1370"/>
      <c r="VNP112" s="1370"/>
      <c r="VNQ112" s="1370"/>
      <c r="VNR112" s="1370"/>
      <c r="VNS112" s="1370"/>
      <c r="VNT112" s="1370"/>
      <c r="VNU112" s="1370"/>
      <c r="VNV112" s="1370"/>
      <c r="VNW112" s="1370"/>
      <c r="VNX112" s="1370"/>
      <c r="VNY112" s="1370"/>
      <c r="VNZ112" s="1370"/>
      <c r="VOA112" s="1370"/>
      <c r="VOB112" s="1370"/>
      <c r="VOC112" s="1370"/>
      <c r="VOD112" s="1370"/>
      <c r="VOE112" s="1370"/>
      <c r="VOF112" s="1370"/>
      <c r="VOG112" s="1370"/>
      <c r="VOH112" s="1370"/>
      <c r="VOI112" s="1370"/>
      <c r="VOJ112" s="1370"/>
      <c r="VOK112" s="1370"/>
      <c r="VOL112" s="1370"/>
      <c r="VOM112" s="1370"/>
      <c r="VON112" s="1370"/>
      <c r="VOO112" s="1370"/>
      <c r="VOP112" s="1370"/>
      <c r="VOQ112" s="1370"/>
      <c r="VOR112" s="1370"/>
      <c r="VOS112" s="1370"/>
      <c r="VOT112" s="1370"/>
      <c r="VOU112" s="1370"/>
      <c r="VOV112" s="1370"/>
      <c r="VOW112" s="1370"/>
      <c r="VOX112" s="1370"/>
      <c r="VOY112" s="1370"/>
      <c r="VOZ112" s="1370"/>
      <c r="VPA112" s="1370"/>
      <c r="VPB112" s="1370"/>
      <c r="VPC112" s="1370"/>
      <c r="VPD112" s="1370"/>
      <c r="VPE112" s="1370"/>
      <c r="VPF112" s="1370"/>
      <c r="VPG112" s="1370"/>
      <c r="VPH112" s="1370"/>
      <c r="VPI112" s="1370"/>
      <c r="VPJ112" s="1370"/>
      <c r="VPK112" s="1370"/>
      <c r="VPL112" s="1370"/>
      <c r="VPM112" s="1370"/>
      <c r="VPN112" s="1370"/>
      <c r="VPO112" s="1370"/>
      <c r="VPP112" s="1370"/>
      <c r="VPQ112" s="1370"/>
      <c r="VPR112" s="1370"/>
      <c r="VPS112" s="1370"/>
      <c r="VPT112" s="1370"/>
      <c r="VPU112" s="1370"/>
      <c r="VPV112" s="1370"/>
      <c r="VPW112" s="1370"/>
      <c r="VPX112" s="1370"/>
      <c r="VPY112" s="1370"/>
      <c r="VPZ112" s="1370"/>
      <c r="VQA112" s="1370"/>
      <c r="VQB112" s="1370"/>
      <c r="VQC112" s="1370"/>
      <c r="VQD112" s="1370"/>
      <c r="VQE112" s="1370"/>
      <c r="VQF112" s="1370"/>
      <c r="VQG112" s="1370"/>
      <c r="VQH112" s="1370"/>
      <c r="VQI112" s="1370"/>
      <c r="VQJ112" s="1370"/>
      <c r="VQK112" s="1370"/>
      <c r="VQL112" s="1370"/>
      <c r="VQM112" s="1370"/>
      <c r="VQN112" s="1370"/>
      <c r="VQO112" s="1370"/>
      <c r="VQP112" s="1370"/>
      <c r="VQQ112" s="1370"/>
      <c r="VQR112" s="1370"/>
      <c r="VQS112" s="1370"/>
      <c r="VQT112" s="1370"/>
      <c r="VQU112" s="1370"/>
      <c r="VQV112" s="1370"/>
      <c r="VQW112" s="1370"/>
      <c r="VQX112" s="1370"/>
      <c r="VQY112" s="1370"/>
      <c r="VQZ112" s="1370"/>
      <c r="VRA112" s="1370"/>
      <c r="VRB112" s="1370"/>
      <c r="VRC112" s="1370"/>
      <c r="VRD112" s="1370"/>
      <c r="VRE112" s="1370"/>
      <c r="VRF112" s="1370"/>
      <c r="VRG112" s="1370"/>
      <c r="VRH112" s="1370"/>
      <c r="VRI112" s="1370"/>
      <c r="VRJ112" s="1370"/>
      <c r="VRK112" s="1370"/>
      <c r="VRL112" s="1370"/>
      <c r="VRM112" s="1370"/>
      <c r="VRN112" s="1370"/>
      <c r="VRO112" s="1370"/>
      <c r="VRP112" s="1370"/>
      <c r="VRQ112" s="1370"/>
      <c r="VRR112" s="1370"/>
      <c r="VRS112" s="1370"/>
      <c r="VRT112" s="1370"/>
      <c r="VRU112" s="1370"/>
      <c r="VRV112" s="1370"/>
      <c r="VRW112" s="1370"/>
      <c r="VRX112" s="1370"/>
      <c r="VRY112" s="1370"/>
      <c r="VRZ112" s="1370"/>
      <c r="VSA112" s="1370"/>
      <c r="VSB112" s="1370"/>
      <c r="VSC112" s="1370"/>
      <c r="VSD112" s="1370"/>
      <c r="VSE112" s="1370"/>
      <c r="VSF112" s="1370"/>
      <c r="VSG112" s="1370"/>
      <c r="VSH112" s="1370"/>
      <c r="VSI112" s="1370"/>
      <c r="VSJ112" s="1370"/>
      <c r="VSK112" s="1370"/>
      <c r="VSL112" s="1370"/>
      <c r="VSM112" s="1370"/>
      <c r="VSN112" s="1370"/>
      <c r="VSO112" s="1370"/>
      <c r="VSP112" s="1370"/>
      <c r="VSQ112" s="1370"/>
      <c r="VSR112" s="1370"/>
      <c r="VSS112" s="1370"/>
      <c r="VST112" s="1370"/>
      <c r="VSU112" s="1370"/>
      <c r="VSV112" s="1370"/>
      <c r="VSW112" s="1370"/>
      <c r="VSX112" s="1370"/>
      <c r="VSY112" s="1370"/>
      <c r="VSZ112" s="1370"/>
      <c r="VTA112" s="1370"/>
      <c r="VTB112" s="1370"/>
      <c r="VTC112" s="1370"/>
      <c r="VTD112" s="1370"/>
      <c r="VTE112" s="1370"/>
      <c r="VTF112" s="1370"/>
      <c r="VTG112" s="1370"/>
      <c r="VTH112" s="1370"/>
      <c r="VTI112" s="1370"/>
      <c r="VTJ112" s="1370"/>
      <c r="VTK112" s="1370"/>
      <c r="VTL112" s="1370"/>
      <c r="VTM112" s="1370"/>
      <c r="VTN112" s="1370"/>
      <c r="VTO112" s="1370"/>
      <c r="VTP112" s="1370"/>
      <c r="VTQ112" s="1370"/>
      <c r="VTR112" s="1370"/>
      <c r="VTS112" s="1370"/>
      <c r="VTT112" s="1370"/>
      <c r="VTU112" s="1370"/>
      <c r="VTV112" s="1370"/>
      <c r="VTW112" s="1370"/>
      <c r="VTX112" s="1370"/>
      <c r="VTY112" s="1370"/>
      <c r="VTZ112" s="1370"/>
      <c r="VUA112" s="1370"/>
      <c r="VUB112" s="1370"/>
      <c r="VUC112" s="1370"/>
      <c r="VUD112" s="1370"/>
      <c r="VUE112" s="1370"/>
      <c r="VUF112" s="1370"/>
      <c r="VUG112" s="1370"/>
      <c r="VUH112" s="1370"/>
      <c r="VUI112" s="1370"/>
      <c r="VUJ112" s="1370"/>
      <c r="VUK112" s="1370"/>
      <c r="VUL112" s="1370"/>
      <c r="VUM112" s="1370"/>
      <c r="VUN112" s="1370"/>
      <c r="VUO112" s="1370"/>
      <c r="VUP112" s="1370"/>
      <c r="VUQ112" s="1370"/>
      <c r="VUR112" s="1370"/>
      <c r="VUS112" s="1370"/>
      <c r="VUT112" s="1370"/>
      <c r="VUU112" s="1370"/>
      <c r="VUV112" s="1370"/>
      <c r="VUW112" s="1370"/>
      <c r="VUX112" s="1370"/>
      <c r="VUY112" s="1370"/>
      <c r="VUZ112" s="1370"/>
      <c r="VVA112" s="1370"/>
      <c r="VVB112" s="1370"/>
      <c r="VVC112" s="1370"/>
      <c r="VVD112" s="1370"/>
      <c r="VVE112" s="1370"/>
      <c r="VVF112" s="1370"/>
      <c r="VVG112" s="1370"/>
      <c r="VVH112" s="1370"/>
      <c r="VVI112" s="1370"/>
      <c r="VVJ112" s="1370"/>
      <c r="VVK112" s="1370"/>
      <c r="VVL112" s="1370"/>
      <c r="VVM112" s="1370"/>
      <c r="VVN112" s="1370"/>
      <c r="VVO112" s="1370"/>
      <c r="VVP112" s="1370"/>
      <c r="VVQ112" s="1370"/>
      <c r="VVR112" s="1370"/>
      <c r="VVS112" s="1370"/>
      <c r="VVT112" s="1370"/>
      <c r="VVU112" s="1370"/>
      <c r="VVV112" s="1370"/>
      <c r="VVW112" s="1370"/>
      <c r="VVX112" s="1370"/>
      <c r="VVY112" s="1370"/>
      <c r="VVZ112" s="1370"/>
      <c r="VWA112" s="1370"/>
      <c r="VWB112" s="1370"/>
      <c r="VWC112" s="1370"/>
      <c r="VWD112" s="1370"/>
      <c r="VWE112" s="1370"/>
      <c r="VWF112" s="1370"/>
      <c r="VWG112" s="1370"/>
      <c r="VWH112" s="1370"/>
      <c r="VWI112" s="1370"/>
      <c r="VWJ112" s="1370"/>
      <c r="VWK112" s="1370"/>
      <c r="VWL112" s="1370"/>
      <c r="VWM112" s="1370"/>
      <c r="VWN112" s="1370"/>
      <c r="VWO112" s="1370"/>
      <c r="VWP112" s="1370"/>
      <c r="VWQ112" s="1370"/>
      <c r="VWR112" s="1370"/>
      <c r="VWS112" s="1370"/>
      <c r="VWT112" s="1370"/>
      <c r="VWU112" s="1370"/>
      <c r="VWV112" s="1370"/>
      <c r="VWW112" s="1370"/>
      <c r="VWX112" s="1370"/>
      <c r="VWY112" s="1370"/>
      <c r="VWZ112" s="1370"/>
      <c r="VXA112" s="1370"/>
      <c r="VXB112" s="1370"/>
      <c r="VXC112" s="1370"/>
      <c r="VXD112" s="1370"/>
      <c r="VXE112" s="1370"/>
      <c r="VXF112" s="1370"/>
      <c r="VXG112" s="1370"/>
      <c r="VXH112" s="1370"/>
      <c r="VXI112" s="1370"/>
      <c r="VXJ112" s="1370"/>
      <c r="VXK112" s="1370"/>
      <c r="VXL112" s="1370"/>
      <c r="VXM112" s="1370"/>
      <c r="VXN112" s="1370"/>
      <c r="VXO112" s="1370"/>
      <c r="VXP112" s="1370"/>
      <c r="VXQ112" s="1370"/>
      <c r="VXR112" s="1370"/>
      <c r="VXS112" s="1370"/>
      <c r="VXT112" s="1370"/>
      <c r="VXU112" s="1370"/>
      <c r="VXV112" s="1370"/>
      <c r="VXW112" s="1370"/>
      <c r="VXX112" s="1370"/>
      <c r="VXY112" s="1370"/>
      <c r="VXZ112" s="1370"/>
      <c r="VYA112" s="1370"/>
      <c r="VYB112" s="1370"/>
      <c r="VYC112" s="1370"/>
      <c r="VYD112" s="1370"/>
      <c r="VYE112" s="1370"/>
      <c r="VYF112" s="1370"/>
      <c r="VYG112" s="1370"/>
      <c r="VYH112" s="1370"/>
      <c r="VYI112" s="1370"/>
      <c r="VYJ112" s="1370"/>
      <c r="VYK112" s="1370"/>
      <c r="VYL112" s="1370"/>
      <c r="VYM112" s="1370"/>
      <c r="VYN112" s="1370"/>
      <c r="VYO112" s="1370"/>
      <c r="VYP112" s="1370"/>
      <c r="VYQ112" s="1370"/>
      <c r="VYR112" s="1370"/>
      <c r="VYS112" s="1370"/>
      <c r="VYT112" s="1370"/>
      <c r="VYU112" s="1370"/>
      <c r="VYV112" s="1370"/>
      <c r="VYW112" s="1370"/>
      <c r="VYX112" s="1370"/>
      <c r="VYY112" s="1370"/>
      <c r="VYZ112" s="1370"/>
      <c r="VZA112" s="1370"/>
      <c r="VZB112" s="1370"/>
      <c r="VZC112" s="1370"/>
      <c r="VZD112" s="1370"/>
      <c r="VZE112" s="1370"/>
      <c r="VZF112" s="1370"/>
      <c r="VZG112" s="1370"/>
      <c r="VZH112" s="1370"/>
      <c r="VZI112" s="1370"/>
      <c r="VZJ112" s="1370"/>
      <c r="VZK112" s="1370"/>
      <c r="VZL112" s="1370"/>
      <c r="VZM112" s="1370"/>
      <c r="VZN112" s="1370"/>
      <c r="VZO112" s="1370"/>
      <c r="VZP112" s="1370"/>
      <c r="VZQ112" s="1370"/>
      <c r="VZR112" s="1370"/>
      <c r="VZS112" s="1370"/>
      <c r="VZT112" s="1370"/>
      <c r="VZU112" s="1370"/>
      <c r="VZV112" s="1370"/>
      <c r="VZW112" s="1370"/>
      <c r="VZX112" s="1370"/>
      <c r="VZY112" s="1370"/>
      <c r="VZZ112" s="1370"/>
      <c r="WAA112" s="1370"/>
      <c r="WAB112" s="1370"/>
      <c r="WAC112" s="1370"/>
      <c r="WAD112" s="1370"/>
      <c r="WAE112" s="1370"/>
      <c r="WAF112" s="1370"/>
      <c r="WAG112" s="1370"/>
      <c r="WAH112" s="1370"/>
      <c r="WAI112" s="1370"/>
      <c r="WAJ112" s="1370"/>
      <c r="WAK112" s="1370"/>
      <c r="WAL112" s="1370"/>
      <c r="WAM112" s="1370"/>
      <c r="WAN112" s="1370"/>
      <c r="WAO112" s="1370"/>
      <c r="WAP112" s="1370"/>
      <c r="WAQ112" s="1370"/>
      <c r="WAR112" s="1370"/>
      <c r="WAS112" s="1370"/>
      <c r="WAT112" s="1370"/>
      <c r="WAU112" s="1370"/>
      <c r="WAV112" s="1370"/>
      <c r="WAW112" s="1370"/>
      <c r="WAX112" s="1370"/>
      <c r="WAY112" s="1370"/>
      <c r="WAZ112" s="1370"/>
      <c r="WBA112" s="1370"/>
      <c r="WBB112" s="1370"/>
      <c r="WBC112" s="1370"/>
      <c r="WBD112" s="1370"/>
      <c r="WBE112" s="1370"/>
      <c r="WBF112" s="1370"/>
      <c r="WBG112" s="1370"/>
      <c r="WBH112" s="1370"/>
      <c r="WBI112" s="1370"/>
      <c r="WBJ112" s="1370"/>
      <c r="WBK112" s="1370"/>
      <c r="WBL112" s="1370"/>
      <c r="WBM112" s="1370"/>
      <c r="WBN112" s="1370"/>
      <c r="WBO112" s="1370"/>
      <c r="WBP112" s="1370"/>
      <c r="WBQ112" s="1370"/>
      <c r="WBR112" s="1370"/>
      <c r="WBS112" s="1370"/>
      <c r="WBT112" s="1370"/>
      <c r="WBU112" s="1370"/>
      <c r="WBV112" s="1370"/>
      <c r="WBW112" s="1370"/>
      <c r="WBX112" s="1370"/>
      <c r="WBY112" s="1370"/>
      <c r="WBZ112" s="1370"/>
      <c r="WCA112" s="1370"/>
      <c r="WCB112" s="1370"/>
      <c r="WCC112" s="1370"/>
      <c r="WCD112" s="1370"/>
      <c r="WCE112" s="1370"/>
      <c r="WCF112" s="1370"/>
      <c r="WCG112" s="1370"/>
      <c r="WCH112" s="1370"/>
      <c r="WCI112" s="1370"/>
      <c r="WCJ112" s="1370"/>
      <c r="WCK112" s="1370"/>
      <c r="WCL112" s="1370"/>
      <c r="WCM112" s="1370"/>
      <c r="WCN112" s="1370"/>
      <c r="WCO112" s="1370"/>
      <c r="WCP112" s="1370"/>
      <c r="WCQ112" s="1370"/>
      <c r="WCR112" s="1370"/>
      <c r="WCS112" s="1370"/>
      <c r="WCT112" s="1370"/>
      <c r="WCU112" s="1370"/>
      <c r="WCV112" s="1370"/>
      <c r="WCW112" s="1370"/>
      <c r="WCX112" s="1370"/>
      <c r="WCY112" s="1370"/>
      <c r="WCZ112" s="1370"/>
      <c r="WDA112" s="1370"/>
      <c r="WDB112" s="1370"/>
      <c r="WDC112" s="1370"/>
      <c r="WDD112" s="1370"/>
      <c r="WDE112" s="1370"/>
      <c r="WDF112" s="1370"/>
      <c r="WDG112" s="1370"/>
      <c r="WDH112" s="1370"/>
      <c r="WDI112" s="1370"/>
      <c r="WDJ112" s="1370"/>
      <c r="WDK112" s="1370"/>
      <c r="WDL112" s="1370"/>
      <c r="WDM112" s="1370"/>
      <c r="WDN112" s="1370"/>
      <c r="WDO112" s="1370"/>
      <c r="WDP112" s="1370"/>
      <c r="WDQ112" s="1370"/>
      <c r="WDR112" s="1370"/>
      <c r="WDS112" s="1370"/>
      <c r="WDT112" s="1370"/>
      <c r="WDU112" s="1370"/>
      <c r="WDV112" s="1370"/>
      <c r="WDW112" s="1370"/>
      <c r="WDX112" s="1370"/>
      <c r="WDY112" s="1370"/>
      <c r="WDZ112" s="1370"/>
      <c r="WEA112" s="1370"/>
      <c r="WEB112" s="1370"/>
      <c r="WEC112" s="1370"/>
      <c r="WED112" s="1370"/>
      <c r="WEE112" s="1370"/>
      <c r="WEF112" s="1370"/>
      <c r="WEG112" s="1370"/>
      <c r="WEH112" s="1370"/>
      <c r="WEI112" s="1370"/>
      <c r="WEJ112" s="1370"/>
      <c r="WEK112" s="1370"/>
      <c r="WEL112" s="1370"/>
      <c r="WEM112" s="1370"/>
      <c r="WEN112" s="1370"/>
      <c r="WEO112" s="1370"/>
      <c r="WEP112" s="1370"/>
      <c r="WEQ112" s="1370"/>
      <c r="WER112" s="1370"/>
      <c r="WES112" s="1370"/>
      <c r="WET112" s="1370"/>
      <c r="WEU112" s="1370"/>
      <c r="WEV112" s="1370"/>
      <c r="WEW112" s="1370"/>
      <c r="WEX112" s="1370"/>
      <c r="WEY112" s="1370"/>
      <c r="WEZ112" s="1370"/>
      <c r="WFA112" s="1370"/>
      <c r="WFB112" s="1370"/>
      <c r="WFC112" s="1370"/>
      <c r="WFD112" s="1370"/>
      <c r="WFE112" s="1370"/>
      <c r="WFF112" s="1370"/>
      <c r="WFG112" s="1370"/>
      <c r="WFH112" s="1370"/>
      <c r="WFI112" s="1370"/>
      <c r="WFJ112" s="1370"/>
      <c r="WFK112" s="1370"/>
      <c r="WFL112" s="1370"/>
      <c r="WFM112" s="1370"/>
      <c r="WFN112" s="1370"/>
      <c r="WFO112" s="1370"/>
      <c r="WFP112" s="1370"/>
      <c r="WFQ112" s="1370"/>
      <c r="WFR112" s="1370"/>
      <c r="WFS112" s="1370"/>
      <c r="WFT112" s="1370"/>
      <c r="WFU112" s="1370"/>
      <c r="WFV112" s="1370"/>
      <c r="WFW112" s="1370"/>
      <c r="WFX112" s="1370"/>
      <c r="WFY112" s="1370"/>
      <c r="WFZ112" s="1370"/>
      <c r="WGA112" s="1370"/>
      <c r="WGB112" s="1370"/>
      <c r="WGC112" s="1370"/>
      <c r="WGD112" s="1370"/>
      <c r="WGE112" s="1370"/>
      <c r="WGF112" s="1370"/>
      <c r="WGG112" s="1370"/>
      <c r="WGH112" s="1370"/>
      <c r="WGI112" s="1370"/>
      <c r="WGJ112" s="1370"/>
      <c r="WGK112" s="1370"/>
      <c r="WGL112" s="1370"/>
      <c r="WGM112" s="1370"/>
      <c r="WGN112" s="1370"/>
      <c r="WGO112" s="1370"/>
      <c r="WGP112" s="1370"/>
      <c r="WGQ112" s="1370"/>
      <c r="WGR112" s="1370"/>
      <c r="WGS112" s="1370"/>
      <c r="WGT112" s="1370"/>
      <c r="WGU112" s="1370"/>
      <c r="WGV112" s="1370"/>
      <c r="WGW112" s="1370"/>
      <c r="WGX112" s="1370"/>
      <c r="WGY112" s="1370"/>
      <c r="WGZ112" s="1370"/>
      <c r="WHA112" s="1370"/>
      <c r="WHB112" s="1370"/>
      <c r="WHC112" s="1370"/>
      <c r="WHD112" s="1370"/>
      <c r="WHE112" s="1370"/>
      <c r="WHF112" s="1370"/>
      <c r="WHG112" s="1370"/>
      <c r="WHH112" s="1370"/>
      <c r="WHI112" s="1370"/>
      <c r="WHJ112" s="1370"/>
      <c r="WHK112" s="1370"/>
      <c r="WHL112" s="1370"/>
      <c r="WHM112" s="1370"/>
      <c r="WHN112" s="1370"/>
      <c r="WHO112" s="1370"/>
      <c r="WHP112" s="1370"/>
      <c r="WHQ112" s="1370"/>
      <c r="WHR112" s="1370"/>
      <c r="WHS112" s="1370"/>
      <c r="WHT112" s="1370"/>
      <c r="WHU112" s="1370"/>
      <c r="WHV112" s="1370"/>
      <c r="WHW112" s="1370"/>
      <c r="WHX112" s="1370"/>
      <c r="WHY112" s="1370"/>
      <c r="WHZ112" s="1370"/>
      <c r="WIA112" s="1370"/>
      <c r="WIB112" s="1370"/>
      <c r="WIC112" s="1370"/>
      <c r="WID112" s="1370"/>
      <c r="WIE112" s="1370"/>
      <c r="WIF112" s="1370"/>
      <c r="WIG112" s="1370"/>
      <c r="WIH112" s="1370"/>
      <c r="WII112" s="1370"/>
      <c r="WIJ112" s="1370"/>
      <c r="WIK112" s="1370"/>
      <c r="WIL112" s="1370"/>
      <c r="WIM112" s="1370"/>
      <c r="WIN112" s="1370"/>
      <c r="WIO112" s="1370"/>
      <c r="WIP112" s="1370"/>
      <c r="WIQ112" s="1370"/>
      <c r="WIR112" s="1370"/>
      <c r="WIS112" s="1370"/>
      <c r="WIT112" s="1370"/>
      <c r="WIU112" s="1370"/>
      <c r="WIV112" s="1370"/>
      <c r="WIW112" s="1370"/>
      <c r="WIX112" s="1370"/>
      <c r="WIY112" s="1370"/>
      <c r="WIZ112" s="1370"/>
      <c r="WJA112" s="1370"/>
      <c r="WJB112" s="1370"/>
      <c r="WJC112" s="1370"/>
      <c r="WJD112" s="1370"/>
      <c r="WJE112" s="1370"/>
      <c r="WJF112" s="1370"/>
      <c r="WJG112" s="1370"/>
      <c r="WJH112" s="1370"/>
      <c r="WJI112" s="1370"/>
      <c r="WJJ112" s="1370"/>
      <c r="WJK112" s="1370"/>
      <c r="WJL112" s="1370"/>
      <c r="WJM112" s="1370"/>
      <c r="WJN112" s="1370"/>
      <c r="WJO112" s="1370"/>
      <c r="WJP112" s="1370"/>
      <c r="WJQ112" s="1370"/>
      <c r="WJR112" s="1370"/>
      <c r="WJS112" s="1370"/>
      <c r="WJT112" s="1370"/>
      <c r="WJU112" s="1370"/>
      <c r="WJV112" s="1370"/>
      <c r="WJW112" s="1370"/>
      <c r="WJX112" s="1370"/>
      <c r="WJY112" s="1370"/>
      <c r="WJZ112" s="1370"/>
      <c r="WKA112" s="1370"/>
      <c r="WKB112" s="1370"/>
      <c r="WKC112" s="1370"/>
      <c r="WKD112" s="1370"/>
      <c r="WKE112" s="1370"/>
      <c r="WKF112" s="1370"/>
      <c r="WKG112" s="1370"/>
      <c r="WKH112" s="1370"/>
      <c r="WKI112" s="1370"/>
      <c r="WKJ112" s="1370"/>
      <c r="WKK112" s="1370"/>
      <c r="WKL112" s="1370"/>
      <c r="WKM112" s="1370"/>
      <c r="WKN112" s="1370"/>
      <c r="WKO112" s="1370"/>
      <c r="WKP112" s="1370"/>
      <c r="WKQ112" s="1370"/>
      <c r="WKR112" s="1370"/>
      <c r="WKS112" s="1370"/>
      <c r="WKT112" s="1370"/>
      <c r="WKU112" s="1370"/>
      <c r="WKV112" s="1370"/>
      <c r="WKW112" s="1370"/>
      <c r="WKX112" s="1370"/>
      <c r="WKY112" s="1370"/>
      <c r="WKZ112" s="1370"/>
      <c r="WLA112" s="1370"/>
      <c r="WLB112" s="1370"/>
      <c r="WLC112" s="1370"/>
      <c r="WLD112" s="1370"/>
      <c r="WLE112" s="1370"/>
      <c r="WLF112" s="1370"/>
      <c r="WLG112" s="1370"/>
      <c r="WLH112" s="1370"/>
      <c r="WLI112" s="1370"/>
      <c r="WLJ112" s="1370"/>
      <c r="WLK112" s="1370"/>
      <c r="WLL112" s="1370"/>
      <c r="WLM112" s="1370"/>
      <c r="WLN112" s="1370"/>
      <c r="WLO112" s="1370"/>
      <c r="WLP112" s="1370"/>
      <c r="WLQ112" s="1370"/>
      <c r="WLR112" s="1370"/>
      <c r="WLS112" s="1370"/>
      <c r="WLT112" s="1370"/>
      <c r="WLU112" s="1370"/>
      <c r="WLV112" s="1370"/>
      <c r="WLW112" s="1370"/>
      <c r="WLX112" s="1370"/>
      <c r="WLY112" s="1370"/>
      <c r="WLZ112" s="1370"/>
      <c r="WMA112" s="1370"/>
      <c r="WMB112" s="1370"/>
      <c r="WMC112" s="1370"/>
      <c r="WMD112" s="1370"/>
      <c r="WME112" s="1370"/>
      <c r="WMF112" s="1370"/>
      <c r="WMG112" s="1370"/>
      <c r="WMH112" s="1370"/>
      <c r="WMI112" s="1370"/>
      <c r="WMJ112" s="1370"/>
      <c r="WMK112" s="1370"/>
      <c r="WML112" s="1370"/>
      <c r="WMM112" s="1370"/>
      <c r="WMN112" s="1370"/>
      <c r="WMO112" s="1370"/>
      <c r="WMP112" s="1370"/>
      <c r="WMQ112" s="1370"/>
      <c r="WMR112" s="1370"/>
      <c r="WMS112" s="1370"/>
      <c r="WMT112" s="1370"/>
      <c r="WMU112" s="1370"/>
      <c r="WMV112" s="1370"/>
      <c r="WMW112" s="1370"/>
      <c r="WMX112" s="1370"/>
      <c r="WMY112" s="1370"/>
      <c r="WMZ112" s="1370"/>
      <c r="WNA112" s="1370"/>
      <c r="WNB112" s="1370"/>
      <c r="WNC112" s="1370"/>
      <c r="WND112" s="1370"/>
      <c r="WNE112" s="1370"/>
      <c r="WNF112" s="1370"/>
      <c r="WNG112" s="1370"/>
      <c r="WNH112" s="1370"/>
      <c r="WNI112" s="1370"/>
      <c r="WNJ112" s="1370"/>
      <c r="WNK112" s="1370"/>
      <c r="WNL112" s="1370"/>
      <c r="WNM112" s="1370"/>
      <c r="WNN112" s="1370"/>
      <c r="WNO112" s="1370"/>
      <c r="WNP112" s="1370"/>
      <c r="WNQ112" s="1370"/>
      <c r="WNR112" s="1370"/>
      <c r="WNS112" s="1370"/>
      <c r="WNT112" s="1370"/>
      <c r="WNU112" s="1370"/>
      <c r="WNV112" s="1370"/>
      <c r="WNW112" s="1370"/>
      <c r="WNX112" s="1370"/>
      <c r="WNY112" s="1370"/>
      <c r="WNZ112" s="1370"/>
      <c r="WOA112" s="1370"/>
      <c r="WOB112" s="1370"/>
      <c r="WOC112" s="1370"/>
      <c r="WOD112" s="1370"/>
      <c r="WOE112" s="1370"/>
      <c r="WOF112" s="1370"/>
      <c r="WOG112" s="1370"/>
      <c r="WOH112" s="1370"/>
      <c r="WOI112" s="1370"/>
      <c r="WOJ112" s="1370"/>
      <c r="WOK112" s="1370"/>
      <c r="WOL112" s="1370"/>
      <c r="WOM112" s="1370"/>
      <c r="WON112" s="1370"/>
      <c r="WOO112" s="1370"/>
      <c r="WOP112" s="1370"/>
      <c r="WOQ112" s="1370"/>
      <c r="WOR112" s="1370"/>
      <c r="WOS112" s="1370"/>
      <c r="WOT112" s="1370"/>
      <c r="WOU112" s="1370"/>
      <c r="WOV112" s="1370"/>
      <c r="WOW112" s="1370"/>
      <c r="WOX112" s="1370"/>
      <c r="WOY112" s="1370"/>
      <c r="WOZ112" s="1370"/>
      <c r="WPA112" s="1370"/>
      <c r="WPB112" s="1370"/>
      <c r="WPC112" s="1370"/>
      <c r="WPD112" s="1370"/>
      <c r="WPE112" s="1370"/>
      <c r="WPF112" s="1370"/>
      <c r="WPG112" s="1370"/>
      <c r="WPH112" s="1370"/>
      <c r="WPI112" s="1370"/>
      <c r="WPJ112" s="1370"/>
      <c r="WPK112" s="1370"/>
      <c r="WPL112" s="1370"/>
      <c r="WPM112" s="1370"/>
      <c r="WPN112" s="1370"/>
      <c r="WPO112" s="1370"/>
      <c r="WPP112" s="1370"/>
      <c r="WPQ112" s="1370"/>
      <c r="WPR112" s="1370"/>
      <c r="WPS112" s="1370"/>
      <c r="WPT112" s="1370"/>
      <c r="WPU112" s="1370"/>
      <c r="WPV112" s="1370"/>
      <c r="WPW112" s="1370"/>
      <c r="WPX112" s="1370"/>
      <c r="WPY112" s="1370"/>
      <c r="WPZ112" s="1370"/>
      <c r="WQA112" s="1370"/>
      <c r="WQB112" s="1370"/>
      <c r="WQC112" s="1370"/>
      <c r="WQD112" s="1370"/>
      <c r="WQE112" s="1370"/>
      <c r="WQF112" s="1370"/>
      <c r="WQG112" s="1370"/>
      <c r="WQH112" s="1370"/>
      <c r="WQI112" s="1370"/>
      <c r="WQJ112" s="1370"/>
      <c r="WQK112" s="1370"/>
      <c r="WQL112" s="1370"/>
      <c r="WQM112" s="1370"/>
      <c r="WQN112" s="1370"/>
      <c r="WQO112" s="1370"/>
      <c r="WQP112" s="1370"/>
      <c r="WQQ112" s="1370"/>
      <c r="WQR112" s="1370"/>
      <c r="WQS112" s="1370"/>
      <c r="WQT112" s="1370"/>
      <c r="WQU112" s="1370"/>
      <c r="WQV112" s="1370"/>
      <c r="WQW112" s="1370"/>
      <c r="WQX112" s="1370"/>
      <c r="WQY112" s="1370"/>
      <c r="WQZ112" s="1370"/>
      <c r="WRA112" s="1370"/>
      <c r="WRB112" s="1370"/>
      <c r="WRC112" s="1370"/>
      <c r="WRD112" s="1370"/>
      <c r="WRE112" s="1370"/>
      <c r="WRF112" s="1370"/>
      <c r="WRG112" s="1370"/>
      <c r="WRH112" s="1370"/>
      <c r="WRI112" s="1370"/>
      <c r="WRJ112" s="1370"/>
      <c r="WRK112" s="1370"/>
      <c r="WRL112" s="1370"/>
      <c r="WRM112" s="1370"/>
      <c r="WRN112" s="1370"/>
      <c r="WRO112" s="1370"/>
      <c r="WRP112" s="1370"/>
      <c r="WRQ112" s="1370"/>
      <c r="WRR112" s="1370"/>
      <c r="WRS112" s="1370"/>
      <c r="WRT112" s="1370"/>
      <c r="WRU112" s="1370"/>
      <c r="WRV112" s="1370"/>
      <c r="WRW112" s="1370"/>
      <c r="WRX112" s="1370"/>
      <c r="WRY112" s="1370"/>
      <c r="WRZ112" s="1370"/>
      <c r="WSA112" s="1370"/>
      <c r="WSB112" s="1370"/>
      <c r="WSC112" s="1370"/>
      <c r="WSD112" s="1370"/>
      <c r="WSE112" s="1370"/>
      <c r="WSF112" s="1370"/>
      <c r="WSG112" s="1370"/>
      <c r="WSH112" s="1370"/>
      <c r="WSI112" s="1370"/>
      <c r="WSJ112" s="1370"/>
      <c r="WSK112" s="1370"/>
      <c r="WSL112" s="1370"/>
      <c r="WSM112" s="1370"/>
      <c r="WSN112" s="1370"/>
      <c r="WSO112" s="1370"/>
      <c r="WSP112" s="1370"/>
      <c r="WSQ112" s="1370"/>
      <c r="WSR112" s="1370"/>
      <c r="WSS112" s="1370"/>
      <c r="WST112" s="1370"/>
      <c r="WSU112" s="1370"/>
      <c r="WSV112" s="1370"/>
      <c r="WSW112" s="1370"/>
      <c r="WSX112" s="1370"/>
      <c r="WSY112" s="1370"/>
      <c r="WSZ112" s="1370"/>
      <c r="WTA112" s="1370"/>
      <c r="WTB112" s="1370"/>
      <c r="WTC112" s="1370"/>
      <c r="WTD112" s="1370"/>
      <c r="WTE112" s="1370"/>
      <c r="WTF112" s="1370"/>
      <c r="WTG112" s="1370"/>
      <c r="WTH112" s="1370"/>
      <c r="WTI112" s="1370"/>
      <c r="WTJ112" s="1370"/>
      <c r="WTK112" s="1370"/>
      <c r="WTL112" s="1370"/>
      <c r="WTM112" s="1370"/>
      <c r="WTN112" s="1370"/>
      <c r="WTO112" s="1370"/>
      <c r="WTP112" s="1370"/>
      <c r="WTQ112" s="1370"/>
      <c r="WTR112" s="1370"/>
      <c r="WTS112" s="1370"/>
      <c r="WTT112" s="1370"/>
      <c r="WTU112" s="1370"/>
      <c r="WTV112" s="1370"/>
      <c r="WTW112" s="1370"/>
      <c r="WTX112" s="1370"/>
      <c r="WTY112" s="1370"/>
      <c r="WTZ112" s="1370"/>
      <c r="WUA112" s="1370"/>
      <c r="WUB112" s="1370"/>
      <c r="WUC112" s="1370"/>
      <c r="WUD112" s="1370"/>
      <c r="WUE112" s="1370"/>
      <c r="WUF112" s="1370"/>
      <c r="WUG112" s="1370"/>
      <c r="WUH112" s="1370"/>
      <c r="WUI112" s="1370"/>
      <c r="WUJ112" s="1370"/>
      <c r="WUK112" s="1370"/>
      <c r="WUL112" s="1370"/>
      <c r="WUM112" s="1370"/>
      <c r="WUN112" s="1370"/>
      <c r="WUO112" s="1370"/>
      <c r="WUP112" s="1370"/>
      <c r="WUQ112" s="1370"/>
      <c r="WUR112" s="1370"/>
      <c r="WUS112" s="1370"/>
      <c r="WUT112" s="1370"/>
      <c r="WUU112" s="1370"/>
      <c r="WUV112" s="1370"/>
      <c r="WUW112" s="1370"/>
      <c r="WUX112" s="1370"/>
      <c r="WUY112" s="1370"/>
      <c r="WUZ112" s="1370"/>
      <c r="WVA112" s="1370"/>
      <c r="WVB112" s="1370"/>
      <c r="WVC112" s="1370"/>
      <c r="WVD112" s="1370"/>
      <c r="WVE112" s="1370"/>
      <c r="WVF112" s="1370"/>
      <c r="WVG112" s="1370"/>
      <c r="WVH112" s="1370"/>
      <c r="WVI112" s="1370"/>
      <c r="WVJ112" s="1370"/>
      <c r="WVK112" s="1370"/>
      <c r="WVL112" s="1370"/>
      <c r="WVM112" s="1370"/>
      <c r="WVN112" s="1370"/>
      <c r="WVO112" s="1370"/>
      <c r="WVP112" s="1370"/>
      <c r="WVQ112" s="1370"/>
      <c r="WVR112" s="1370"/>
      <c r="WVS112" s="1370"/>
      <c r="WVT112" s="1370"/>
      <c r="WVU112" s="1370"/>
      <c r="WVV112" s="1370"/>
      <c r="WVW112" s="1370"/>
      <c r="WVX112" s="1370"/>
      <c r="WVY112" s="1370"/>
      <c r="WVZ112" s="1370"/>
      <c r="WWA112" s="1370"/>
      <c r="WWB112" s="1370"/>
      <c r="WWC112" s="1370"/>
      <c r="WWD112" s="1370"/>
      <c r="WWE112" s="1370"/>
      <c r="WWF112" s="1370"/>
      <c r="WWG112" s="1370"/>
      <c r="WWH112" s="1370"/>
      <c r="WWI112" s="1370"/>
      <c r="WWJ112" s="1370"/>
      <c r="WWK112" s="1370"/>
      <c r="WWL112" s="1370"/>
      <c r="WWM112" s="1370"/>
      <c r="WWN112" s="1370"/>
      <c r="WWO112" s="1370"/>
      <c r="WWP112" s="1370"/>
      <c r="WWQ112" s="1370"/>
      <c r="WWR112" s="1370"/>
      <c r="WWS112" s="1370"/>
      <c r="WWT112" s="1370"/>
      <c r="WWU112" s="1370"/>
      <c r="WWV112" s="1370"/>
      <c r="WWW112" s="1370"/>
      <c r="WWX112" s="1370"/>
      <c r="WWY112" s="1370"/>
      <c r="WWZ112" s="1370"/>
      <c r="WXA112" s="1370"/>
      <c r="WXB112" s="1370"/>
      <c r="WXC112" s="1370"/>
      <c r="WXD112" s="1370"/>
      <c r="WXE112" s="1370"/>
      <c r="WXF112" s="1370"/>
      <c r="WXG112" s="1370"/>
      <c r="WXH112" s="1370"/>
      <c r="WXI112" s="1370"/>
      <c r="WXJ112" s="1370"/>
      <c r="WXK112" s="1370"/>
      <c r="WXL112" s="1370"/>
      <c r="WXM112" s="1370"/>
      <c r="WXN112" s="1370"/>
      <c r="WXO112" s="1370"/>
      <c r="WXP112" s="1370"/>
      <c r="WXQ112" s="1370"/>
      <c r="WXR112" s="1370"/>
      <c r="WXS112" s="1370"/>
      <c r="WXT112" s="1370"/>
      <c r="WXU112" s="1370"/>
      <c r="WXV112" s="1370"/>
      <c r="WXW112" s="1370"/>
      <c r="WXX112" s="1370"/>
      <c r="WXY112" s="1370"/>
      <c r="WXZ112" s="1370"/>
      <c r="WYA112" s="1370"/>
      <c r="WYB112" s="1370"/>
      <c r="WYC112" s="1370"/>
      <c r="WYD112" s="1370"/>
      <c r="WYE112" s="1370"/>
      <c r="WYF112" s="1370"/>
      <c r="WYG112" s="1370"/>
      <c r="WYH112" s="1370"/>
      <c r="WYI112" s="1370"/>
      <c r="WYJ112" s="1370"/>
      <c r="WYK112" s="1370"/>
      <c r="WYL112" s="1370"/>
      <c r="WYM112" s="1370"/>
      <c r="WYN112" s="1370"/>
      <c r="WYO112" s="1370"/>
      <c r="WYP112" s="1370"/>
      <c r="WYQ112" s="1370"/>
      <c r="WYR112" s="1370"/>
      <c r="WYS112" s="1370"/>
      <c r="WYT112" s="1370"/>
      <c r="WYU112" s="1370"/>
      <c r="WYV112" s="1370"/>
      <c r="WYW112" s="1370"/>
      <c r="WYX112" s="1370"/>
      <c r="WYY112" s="1370"/>
      <c r="WYZ112" s="1370"/>
      <c r="WZA112" s="1370"/>
      <c r="WZB112" s="1370"/>
      <c r="WZC112" s="1370"/>
      <c r="WZD112" s="1370"/>
      <c r="WZE112" s="1370"/>
      <c r="WZF112" s="1370"/>
      <c r="WZG112" s="1370"/>
      <c r="WZH112" s="1370"/>
      <c r="WZI112" s="1370"/>
      <c r="WZJ112" s="1370"/>
      <c r="WZK112" s="1370"/>
      <c r="WZL112" s="1370"/>
      <c r="WZM112" s="1370"/>
      <c r="WZN112" s="1370"/>
      <c r="WZO112" s="1370"/>
      <c r="WZP112" s="1370"/>
      <c r="WZQ112" s="1370"/>
      <c r="WZR112" s="1370"/>
      <c r="WZS112" s="1370"/>
      <c r="WZT112" s="1370"/>
      <c r="WZU112" s="1370"/>
      <c r="WZV112" s="1370"/>
      <c r="WZW112" s="1370"/>
      <c r="WZX112" s="1370"/>
      <c r="WZY112" s="1370"/>
      <c r="WZZ112" s="1370"/>
      <c r="XAA112" s="1370"/>
      <c r="XAB112" s="1370"/>
      <c r="XAC112" s="1370"/>
      <c r="XAD112" s="1370"/>
      <c r="XAE112" s="1370"/>
      <c r="XAF112" s="1370"/>
      <c r="XAG112" s="1370"/>
      <c r="XAH112" s="1370"/>
      <c r="XAI112" s="1370"/>
      <c r="XAJ112" s="1370"/>
      <c r="XAK112" s="1370"/>
      <c r="XAL112" s="1370"/>
      <c r="XAM112" s="1370"/>
      <c r="XAN112" s="1370"/>
      <c r="XAO112" s="1370"/>
      <c r="XAP112" s="1370"/>
      <c r="XAQ112" s="1370"/>
      <c r="XAR112" s="1370"/>
      <c r="XAS112" s="1370"/>
      <c r="XAT112" s="1370"/>
      <c r="XAU112" s="1370"/>
      <c r="XAV112" s="1370"/>
      <c r="XAW112" s="1370"/>
      <c r="XAX112" s="1370"/>
      <c r="XAY112" s="1370"/>
      <c r="XAZ112" s="1370"/>
      <c r="XBA112" s="1370"/>
      <c r="XBB112" s="1370"/>
      <c r="XBC112" s="1370"/>
      <c r="XBD112" s="1370"/>
      <c r="XBE112" s="1370"/>
      <c r="XBF112" s="1370"/>
      <c r="XBG112" s="1370"/>
      <c r="XBH112" s="1370"/>
      <c r="XBI112" s="1370"/>
      <c r="XBJ112" s="1370"/>
      <c r="XBK112" s="1370"/>
      <c r="XBL112" s="1370"/>
      <c r="XBM112" s="1370"/>
      <c r="XBN112" s="1370"/>
      <c r="XBO112" s="1370"/>
      <c r="XBP112" s="1370"/>
      <c r="XBQ112" s="1370"/>
      <c r="XBR112" s="1370"/>
      <c r="XBS112" s="1370"/>
      <c r="XBT112" s="1370"/>
      <c r="XBU112" s="1370"/>
      <c r="XBV112" s="1370"/>
      <c r="XBW112" s="1370"/>
      <c r="XBX112" s="1370"/>
      <c r="XBY112" s="1370"/>
      <c r="XBZ112" s="1370"/>
      <c r="XCA112" s="1370"/>
      <c r="XCB112" s="1370"/>
      <c r="XCC112" s="1370"/>
      <c r="XCD112" s="1370"/>
      <c r="XCE112" s="1370"/>
      <c r="XCF112" s="1370"/>
      <c r="XCG112" s="1370"/>
      <c r="XCH112" s="1370"/>
      <c r="XCI112" s="1370"/>
      <c r="XCJ112" s="1370"/>
      <c r="XCK112" s="1370"/>
      <c r="XCL112" s="1370"/>
      <c r="XCM112" s="1370"/>
      <c r="XCN112" s="1370"/>
      <c r="XCO112" s="1370"/>
      <c r="XCP112" s="1370"/>
      <c r="XCQ112" s="1370"/>
      <c r="XCR112" s="1370"/>
      <c r="XCS112" s="1370"/>
      <c r="XCT112" s="1370"/>
      <c r="XCU112" s="1370"/>
      <c r="XCV112" s="1370"/>
      <c r="XCW112" s="1370"/>
      <c r="XCX112" s="1370"/>
      <c r="XCY112" s="1370"/>
      <c r="XCZ112" s="1370"/>
      <c r="XDA112" s="1370"/>
      <c r="XDB112" s="1370"/>
      <c r="XDC112" s="1370"/>
      <c r="XDD112" s="1370"/>
      <c r="XDE112" s="1370"/>
      <c r="XDF112" s="1370"/>
      <c r="XDG112" s="1370"/>
      <c r="XDH112" s="1370"/>
      <c r="XDI112" s="1370"/>
      <c r="XDJ112" s="1370"/>
      <c r="XDK112" s="1370"/>
      <c r="XDL112" s="1370"/>
      <c r="XDM112" s="1370"/>
      <c r="XDN112" s="1370"/>
      <c r="XDO112" s="1370"/>
      <c r="XDP112" s="1370"/>
      <c r="XDQ112" s="1370"/>
      <c r="XDR112" s="1370"/>
      <c r="XDS112" s="1370"/>
      <c r="XDT112" s="1370"/>
      <c r="XDU112" s="1370"/>
      <c r="XDV112" s="1370"/>
      <c r="XDW112" s="1370"/>
      <c r="XDX112" s="1370"/>
      <c r="XDY112" s="1370"/>
      <c r="XDZ112" s="1370"/>
      <c r="XEA112" s="1370"/>
      <c r="XEB112" s="1370"/>
      <c r="XEC112" s="1370"/>
      <c r="XED112" s="1370"/>
      <c r="XEE112" s="1370"/>
      <c r="XEF112" s="1370"/>
      <c r="XEG112" s="1370"/>
      <c r="XEH112" s="1370"/>
      <c r="XEI112" s="1370"/>
      <c r="XEJ112" s="1370"/>
      <c r="XEK112" s="1370"/>
      <c r="XEL112" s="1370"/>
      <c r="XEM112" s="1370"/>
      <c r="XEN112" s="1370"/>
      <c r="XEO112" s="1370"/>
      <c r="XEP112" s="1370"/>
      <c r="XEQ112" s="1370"/>
      <c r="XER112" s="1370"/>
      <c r="XES112" s="1370"/>
      <c r="XET112" s="1370"/>
      <c r="XEU112" s="1370"/>
      <c r="XEV112" s="1370"/>
      <c r="XEW112" s="1370"/>
      <c r="XEX112" s="1370"/>
      <c r="XEY112" s="1370"/>
      <c r="XEZ112" s="1370"/>
      <c r="XFA112" s="1370"/>
    </row>
    <row r="113" spans="1:61" ht="15.5" x14ac:dyDescent="0.25">
      <c r="A113" s="1655"/>
      <c r="B113" s="1656"/>
      <c r="C113" s="1636"/>
      <c r="D113" s="1634"/>
      <c r="E113" s="1637"/>
      <c r="F113" s="1360"/>
      <c r="G113" s="1412"/>
      <c r="H113" s="1412"/>
      <c r="I113" s="1361"/>
      <c r="J113" s="1361"/>
      <c r="K113" s="1360"/>
      <c r="L113" s="1362"/>
      <c r="M113" s="1362"/>
      <c r="N113" s="1363"/>
      <c r="O113" s="1413"/>
      <c r="P113" s="1538"/>
      <c r="Q113" s="1573"/>
      <c r="R113" s="1573"/>
      <c r="S113" s="1574"/>
      <c r="T113" s="1594">
        <f t="shared" si="38"/>
        <v>0</v>
      </c>
      <c r="U113" s="1657"/>
      <c r="V113" s="1657"/>
      <c r="W113" s="1657"/>
      <c r="X113" s="1657"/>
      <c r="Y113" s="1657"/>
      <c r="Z113" s="1657"/>
      <c r="AA113" s="1657"/>
      <c r="AB113" s="1657"/>
      <c r="AC113" s="1576"/>
      <c r="AD113" s="1576"/>
      <c r="AE113" s="1576"/>
      <c r="AF113" s="1576"/>
      <c r="AG113" s="1541">
        <f t="shared" si="39"/>
        <v>0</v>
      </c>
      <c r="AH113" s="1596"/>
      <c r="AI113" s="1596"/>
      <c r="AJ113" s="1596"/>
      <c r="AK113" s="1596"/>
      <c r="AL113" s="1596"/>
      <c r="AM113" s="1596"/>
      <c r="AN113" s="1596"/>
      <c r="AO113" s="1596"/>
      <c r="AP113" s="1574"/>
      <c r="AQ113" s="1579"/>
      <c r="AR113" s="1579"/>
      <c r="AS113" s="1579"/>
      <c r="AT113" s="1594">
        <f t="shared" si="40"/>
        <v>0</v>
      </c>
      <c r="AU113" s="1597"/>
      <c r="AV113" s="1597"/>
      <c r="AW113" s="1565"/>
      <c r="AX113" s="1565"/>
      <c r="AY113" s="1565"/>
      <c r="AZ113" s="1565"/>
      <c r="BA113" s="1565"/>
      <c r="BB113" s="1565"/>
      <c r="BC113" s="1383"/>
      <c r="BD113" s="1383"/>
      <c r="BE113" s="1581"/>
      <c r="BF113" s="1658"/>
      <c r="BH113" s="1355"/>
    </row>
    <row r="114" spans="1:61" ht="18.5" x14ac:dyDescent="0.25">
      <c r="A114" s="1338" t="s">
        <v>184</v>
      </c>
      <c r="B114" s="1339" t="s">
        <v>1770</v>
      </c>
      <c r="C114" s="1358"/>
      <c r="D114" s="1358"/>
      <c r="E114" s="1359"/>
      <c r="F114" s="1360"/>
      <c r="G114" s="1361"/>
      <c r="H114" s="1361"/>
      <c r="I114" s="1365"/>
      <c r="J114" s="1365"/>
      <c r="K114" s="1359"/>
      <c r="L114" s="1362"/>
      <c r="M114" s="1362"/>
      <c r="N114" s="1363"/>
      <c r="O114" s="1361"/>
      <c r="P114" s="1538"/>
      <c r="Q114" s="1659"/>
      <c r="R114" s="1659"/>
      <c r="S114" s="1660"/>
      <c r="T114" s="1594">
        <f t="shared" si="38"/>
        <v>0</v>
      </c>
      <c r="U114" s="1657"/>
      <c r="V114" s="1657"/>
      <c r="W114" s="1657"/>
      <c r="X114" s="1657"/>
      <c r="Y114" s="1657"/>
      <c r="Z114" s="1657"/>
      <c r="AA114" s="1657"/>
      <c r="AB114" s="1657"/>
      <c r="AC114" s="1576"/>
      <c r="AD114" s="1550"/>
      <c r="AE114" s="1550"/>
      <c r="AF114" s="1550"/>
      <c r="AG114" s="1541">
        <f t="shared" si="39"/>
        <v>0</v>
      </c>
      <c r="AH114" s="1596"/>
      <c r="AI114" s="1596"/>
      <c r="AJ114" s="1596"/>
      <c r="AK114" s="1596"/>
      <c r="AL114" s="1596"/>
      <c r="AM114" s="1596"/>
      <c r="AN114" s="1596"/>
      <c r="AO114" s="1596"/>
      <c r="AP114" s="1361"/>
      <c r="AQ114" s="1361"/>
      <c r="AR114" s="1361"/>
      <c r="AS114" s="1361"/>
      <c r="AT114" s="1594">
        <f t="shared" si="40"/>
        <v>0</v>
      </c>
      <c r="AU114" s="1661"/>
      <c r="AV114" s="1661"/>
      <c r="AW114" s="1361"/>
      <c r="AX114" s="1361"/>
      <c r="AY114" s="1361"/>
      <c r="AZ114" s="1361"/>
      <c r="BA114" s="1361"/>
      <c r="BB114" s="1361"/>
      <c r="BC114" s="1380"/>
      <c r="BD114" s="1380"/>
      <c r="BE114" s="1613" t="s">
        <v>941</v>
      </c>
      <c r="BH114" s="1319" t="s">
        <v>1771</v>
      </c>
      <c r="BI114" s="1355"/>
    </row>
    <row r="115" spans="1:61" outlineLevel="1" x14ac:dyDescent="0.25">
      <c r="A115" s="1634">
        <v>1</v>
      </c>
      <c r="B115" s="1635" t="s">
        <v>1772</v>
      </c>
      <c r="C115" s="1662"/>
      <c r="D115" s="1634" t="s">
        <v>936</v>
      </c>
      <c r="E115" s="1637"/>
      <c r="F115" s="1360"/>
      <c r="G115" s="1414"/>
      <c r="H115" s="1414"/>
      <c r="I115" s="1365"/>
      <c r="J115" s="1365"/>
      <c r="K115" s="1360"/>
      <c r="L115" s="1381"/>
      <c r="M115" s="1381"/>
      <c r="N115" s="1382" t="s">
        <v>1771</v>
      </c>
      <c r="O115" s="1380"/>
      <c r="P115" s="1538"/>
      <c r="Q115" s="1539">
        <f t="shared" ref="Q115:S124" si="51">AQ115</f>
        <v>0</v>
      </c>
      <c r="R115" s="1539">
        <f t="shared" si="51"/>
        <v>0</v>
      </c>
      <c r="S115" s="1540">
        <f t="shared" si="51"/>
        <v>0.72651449999999995</v>
      </c>
      <c r="T115" s="1594">
        <f t="shared" si="38"/>
        <v>0.72651449999999995</v>
      </c>
      <c r="U115" s="1595"/>
      <c r="V115" s="1595"/>
      <c r="W115" s="1595"/>
      <c r="X115" s="1595"/>
      <c r="Y115" s="1595"/>
      <c r="Z115" s="1595"/>
      <c r="AA115" s="1595"/>
      <c r="AB115" s="1595"/>
      <c r="AC115" s="1576"/>
      <c r="AD115" s="1550"/>
      <c r="AE115" s="1550"/>
      <c r="AF115" s="1550"/>
      <c r="AG115" s="1541">
        <f t="shared" si="39"/>
        <v>0</v>
      </c>
      <c r="AH115" s="1596"/>
      <c r="AI115" s="1596"/>
      <c r="AJ115" s="1596"/>
      <c r="AK115" s="1596"/>
      <c r="AL115" s="1596"/>
      <c r="AM115" s="1596"/>
      <c r="AN115" s="1596"/>
      <c r="AO115" s="1596"/>
      <c r="AP115" s="1538">
        <v>0</v>
      </c>
      <c r="AQ115" s="1542">
        <v>0</v>
      </c>
      <c r="AR115" s="1542">
        <v>0</v>
      </c>
      <c r="AS115" s="1542">
        <v>0.72651449999999995</v>
      </c>
      <c r="AT115" s="1594">
        <f t="shared" si="40"/>
        <v>0.72651449999999995</v>
      </c>
      <c r="AU115" s="1597">
        <v>0</v>
      </c>
      <c r="AV115" s="1597">
        <v>0</v>
      </c>
      <c r="AW115" s="1565">
        <v>0</v>
      </c>
      <c r="AX115" s="1565"/>
      <c r="AY115" s="1565"/>
      <c r="AZ115" s="1565"/>
      <c r="BA115" s="1565"/>
      <c r="BB115" s="1565"/>
      <c r="BC115" s="1380"/>
      <c r="BD115" s="1565"/>
      <c r="BE115" s="1613" t="s">
        <v>941</v>
      </c>
      <c r="BH115" s="1319" t="s">
        <v>1773</v>
      </c>
      <c r="BI115" s="1355"/>
    </row>
    <row r="116" spans="1:61" outlineLevel="1" x14ac:dyDescent="0.25">
      <c r="A116" s="1634">
        <v>2</v>
      </c>
      <c r="B116" s="1635" t="s">
        <v>1774</v>
      </c>
      <c r="C116" s="1662"/>
      <c r="D116" s="1634" t="s">
        <v>936</v>
      </c>
      <c r="E116" s="1637"/>
      <c r="F116" s="1360"/>
      <c r="G116" s="1414"/>
      <c r="H116" s="1414"/>
      <c r="I116" s="1365"/>
      <c r="J116" s="1365"/>
      <c r="K116" s="1360"/>
      <c r="L116" s="1381"/>
      <c r="M116" s="1381"/>
      <c r="N116" s="1382" t="s">
        <v>1773</v>
      </c>
      <c r="O116" s="1380"/>
      <c r="P116" s="1538"/>
      <c r="Q116" s="1539">
        <f t="shared" si="51"/>
        <v>0</v>
      </c>
      <c r="R116" s="1539">
        <f t="shared" si="51"/>
        <v>0</v>
      </c>
      <c r="S116" s="1540">
        <f t="shared" si="51"/>
        <v>14.2796416</v>
      </c>
      <c r="T116" s="1594">
        <f t="shared" si="38"/>
        <v>14.2796416</v>
      </c>
      <c r="U116" s="1595"/>
      <c r="V116" s="1595"/>
      <c r="W116" s="1595"/>
      <c r="X116" s="1595"/>
      <c r="Y116" s="1595"/>
      <c r="Z116" s="1595"/>
      <c r="AA116" s="1595"/>
      <c r="AB116" s="1595"/>
      <c r="AC116" s="1576"/>
      <c r="AD116" s="1550"/>
      <c r="AE116" s="1550"/>
      <c r="AF116" s="1550"/>
      <c r="AG116" s="1541">
        <f t="shared" si="39"/>
        <v>0</v>
      </c>
      <c r="AH116" s="1596"/>
      <c r="AI116" s="1596"/>
      <c r="AJ116" s="1596"/>
      <c r="AK116" s="1596"/>
      <c r="AL116" s="1596"/>
      <c r="AM116" s="1596"/>
      <c r="AN116" s="1596"/>
      <c r="AO116" s="1596"/>
      <c r="AP116" s="1538">
        <v>0</v>
      </c>
      <c r="AQ116" s="1542">
        <v>0</v>
      </c>
      <c r="AR116" s="1542">
        <v>0</v>
      </c>
      <c r="AS116" s="1542">
        <v>14.2796416</v>
      </c>
      <c r="AT116" s="1594">
        <f t="shared" si="40"/>
        <v>14.2796416</v>
      </c>
      <c r="AU116" s="1597">
        <v>0</v>
      </c>
      <c r="AV116" s="1597">
        <v>0</v>
      </c>
      <c r="AW116" s="1565">
        <v>0</v>
      </c>
      <c r="AX116" s="1565"/>
      <c r="AY116" s="1565"/>
      <c r="AZ116" s="1565"/>
      <c r="BA116" s="1565"/>
      <c r="BB116" s="1565"/>
      <c r="BC116" s="1380"/>
      <c r="BD116" s="1565"/>
      <c r="BE116" s="1613" t="s">
        <v>941</v>
      </c>
      <c r="BH116" s="1319" t="s">
        <v>1775</v>
      </c>
      <c r="BI116" s="1355"/>
    </row>
    <row r="117" spans="1:61" outlineLevel="1" x14ac:dyDescent="0.25">
      <c r="A117" s="1634">
        <v>3</v>
      </c>
      <c r="B117" s="1635" t="s">
        <v>1776</v>
      </c>
      <c r="C117" s="1662"/>
      <c r="D117" s="1634" t="s">
        <v>936</v>
      </c>
      <c r="E117" s="1637"/>
      <c r="F117" s="1360"/>
      <c r="G117" s="1414"/>
      <c r="H117" s="1414"/>
      <c r="I117" s="1365"/>
      <c r="J117" s="1365"/>
      <c r="K117" s="1360"/>
      <c r="L117" s="1381"/>
      <c r="M117" s="1381"/>
      <c r="N117" s="1382" t="s">
        <v>1775</v>
      </c>
      <c r="O117" s="1380"/>
      <c r="P117" s="1538"/>
      <c r="Q117" s="1539">
        <f t="shared" si="51"/>
        <v>0</v>
      </c>
      <c r="R117" s="1663">
        <f>+AR117</f>
        <v>0.118890178</v>
      </c>
      <c r="S117" s="1563">
        <f t="shared" si="51"/>
        <v>0</v>
      </c>
      <c r="T117" s="1594">
        <f t="shared" si="38"/>
        <v>0.118890178</v>
      </c>
      <c r="U117" s="1595"/>
      <c r="V117" s="1595"/>
      <c r="W117" s="1595"/>
      <c r="X117" s="1595"/>
      <c r="Y117" s="1595"/>
      <c r="Z117" s="1595"/>
      <c r="AA117" s="1595"/>
      <c r="AB117" s="1595"/>
      <c r="AC117" s="1576"/>
      <c r="AD117" s="1550"/>
      <c r="AE117" s="1550"/>
      <c r="AF117" s="1550"/>
      <c r="AG117" s="1541">
        <f t="shared" si="39"/>
        <v>0</v>
      </c>
      <c r="AH117" s="1596"/>
      <c r="AI117" s="1596"/>
      <c r="AJ117" s="1596"/>
      <c r="AK117" s="1596"/>
      <c r="AL117" s="1596"/>
      <c r="AM117" s="1596"/>
      <c r="AN117" s="1596"/>
      <c r="AO117" s="1596"/>
      <c r="AP117" s="1538">
        <v>0</v>
      </c>
      <c r="AQ117" s="1542">
        <v>0</v>
      </c>
      <c r="AR117" s="1542">
        <v>0.118890178</v>
      </c>
      <c r="AS117" s="1565">
        <v>0</v>
      </c>
      <c r="AT117" s="1594">
        <f t="shared" si="40"/>
        <v>0.118890178</v>
      </c>
      <c r="AU117" s="1597">
        <v>0</v>
      </c>
      <c r="AV117" s="1597">
        <v>0</v>
      </c>
      <c r="AW117" s="1565"/>
      <c r="AX117" s="1565"/>
      <c r="AY117" s="1565"/>
      <c r="AZ117" s="1565"/>
      <c r="BA117" s="1565"/>
      <c r="BB117" s="1565"/>
      <c r="BC117" s="1380"/>
      <c r="BD117" s="1565"/>
      <c r="BE117" s="1613" t="s">
        <v>941</v>
      </c>
      <c r="BH117" s="1319" t="s">
        <v>1777</v>
      </c>
      <c r="BI117" s="1355"/>
    </row>
    <row r="118" spans="1:61" ht="29" outlineLevel="1" x14ac:dyDescent="0.25">
      <c r="A118" s="1634">
        <v>4</v>
      </c>
      <c r="B118" s="1635" t="s">
        <v>1778</v>
      </c>
      <c r="C118" s="1662"/>
      <c r="D118" s="1634" t="s">
        <v>936</v>
      </c>
      <c r="E118" s="1637"/>
      <c r="F118" s="1360"/>
      <c r="G118" s="1414"/>
      <c r="H118" s="1414"/>
      <c r="I118" s="1365"/>
      <c r="J118" s="1365"/>
      <c r="K118" s="1360"/>
      <c r="L118" s="1381"/>
      <c r="M118" s="1381"/>
      <c r="N118" s="1382" t="s">
        <v>1777</v>
      </c>
      <c r="O118" s="1380"/>
      <c r="P118" s="1538"/>
      <c r="Q118" s="1539">
        <f t="shared" si="51"/>
        <v>0</v>
      </c>
      <c r="R118" s="1663">
        <f>+AR118</f>
        <v>0.118890178</v>
      </c>
      <c r="S118" s="1563">
        <f t="shared" si="51"/>
        <v>0</v>
      </c>
      <c r="T118" s="1594">
        <f t="shared" si="38"/>
        <v>0.118890178</v>
      </c>
      <c r="U118" s="1595"/>
      <c r="V118" s="1595"/>
      <c r="W118" s="1595"/>
      <c r="X118" s="1595"/>
      <c r="Y118" s="1595"/>
      <c r="Z118" s="1595"/>
      <c r="AA118" s="1595"/>
      <c r="AB118" s="1595"/>
      <c r="AC118" s="1576"/>
      <c r="AD118" s="1550"/>
      <c r="AE118" s="1550"/>
      <c r="AF118" s="1550"/>
      <c r="AG118" s="1541">
        <f t="shared" si="39"/>
        <v>0</v>
      </c>
      <c r="AH118" s="1596"/>
      <c r="AI118" s="1596"/>
      <c r="AJ118" s="1596"/>
      <c r="AK118" s="1596"/>
      <c r="AL118" s="1596"/>
      <c r="AM118" s="1596"/>
      <c r="AN118" s="1596"/>
      <c r="AO118" s="1596"/>
      <c r="AP118" s="1538">
        <v>0</v>
      </c>
      <c r="AQ118" s="1542">
        <v>0</v>
      </c>
      <c r="AR118" s="1542">
        <v>0.118890178</v>
      </c>
      <c r="AS118" s="1565">
        <v>0</v>
      </c>
      <c r="AT118" s="1594">
        <f t="shared" si="40"/>
        <v>0.118890178</v>
      </c>
      <c r="AU118" s="1597">
        <v>0</v>
      </c>
      <c r="AV118" s="1597">
        <v>0</v>
      </c>
      <c r="AW118" s="1565"/>
      <c r="AX118" s="1565"/>
      <c r="AY118" s="1565"/>
      <c r="AZ118" s="1565"/>
      <c r="BA118" s="1565"/>
      <c r="BB118" s="1565"/>
      <c r="BC118" s="1380"/>
      <c r="BD118" s="1565"/>
      <c r="BE118" s="1613" t="s">
        <v>941</v>
      </c>
      <c r="BH118" s="1319" t="s">
        <v>1777</v>
      </c>
      <c r="BI118" s="1355"/>
    </row>
    <row r="119" spans="1:61" outlineLevel="1" x14ac:dyDescent="0.25">
      <c r="A119" s="1634">
        <v>5</v>
      </c>
      <c r="B119" s="1635" t="s">
        <v>1779</v>
      </c>
      <c r="C119" s="1662"/>
      <c r="D119" s="1634" t="s">
        <v>936</v>
      </c>
      <c r="E119" s="1637"/>
      <c r="F119" s="1360"/>
      <c r="G119" s="1414"/>
      <c r="H119" s="1414"/>
      <c r="I119" s="1365"/>
      <c r="J119" s="1365"/>
      <c r="K119" s="1360"/>
      <c r="L119" s="1381"/>
      <c r="M119" s="1381"/>
      <c r="N119" s="1382" t="s">
        <v>1777</v>
      </c>
      <c r="O119" s="1380"/>
      <c r="P119" s="1538"/>
      <c r="Q119" s="1539">
        <f t="shared" si="51"/>
        <v>0</v>
      </c>
      <c r="R119" s="1539">
        <f>+AR119</f>
        <v>7.6350699999999994E-2</v>
      </c>
      <c r="S119" s="1563">
        <f t="shared" si="51"/>
        <v>0</v>
      </c>
      <c r="T119" s="1594">
        <f t="shared" si="38"/>
        <v>7.6350699999999994E-2</v>
      </c>
      <c r="U119" s="1595"/>
      <c r="V119" s="1595"/>
      <c r="W119" s="1595"/>
      <c r="X119" s="1595"/>
      <c r="Y119" s="1595"/>
      <c r="Z119" s="1595"/>
      <c r="AA119" s="1595"/>
      <c r="AB119" s="1595"/>
      <c r="AC119" s="1576"/>
      <c r="AD119" s="1550"/>
      <c r="AE119" s="1550"/>
      <c r="AF119" s="1550"/>
      <c r="AG119" s="1541">
        <f t="shared" si="39"/>
        <v>0</v>
      </c>
      <c r="AH119" s="1596"/>
      <c r="AI119" s="1596"/>
      <c r="AJ119" s="1596"/>
      <c r="AK119" s="1596"/>
      <c r="AL119" s="1596"/>
      <c r="AM119" s="1596"/>
      <c r="AN119" s="1596"/>
      <c r="AO119" s="1596"/>
      <c r="AP119" s="1538">
        <v>0</v>
      </c>
      <c r="AQ119" s="1542">
        <v>0</v>
      </c>
      <c r="AR119" s="1542">
        <v>7.6350699999999994E-2</v>
      </c>
      <c r="AS119" s="1565">
        <v>0</v>
      </c>
      <c r="AT119" s="1594">
        <f t="shared" si="40"/>
        <v>7.6350699999999994E-2</v>
      </c>
      <c r="AU119" s="1597">
        <v>0</v>
      </c>
      <c r="AV119" s="1597">
        <v>0</v>
      </c>
      <c r="AW119" s="1565">
        <v>0</v>
      </c>
      <c r="AX119" s="1565"/>
      <c r="AY119" s="1565"/>
      <c r="AZ119" s="1565"/>
      <c r="BA119" s="1565"/>
      <c r="BB119" s="1565"/>
      <c r="BC119" s="1380"/>
      <c r="BD119" s="1565"/>
      <c r="BE119" s="1613" t="s">
        <v>941</v>
      </c>
      <c r="BH119" s="1319" t="s">
        <v>1780</v>
      </c>
      <c r="BI119" s="1355"/>
    </row>
    <row r="120" spans="1:61" outlineLevel="1" x14ac:dyDescent="0.25">
      <c r="A120" s="1634">
        <v>6</v>
      </c>
      <c r="B120" s="1635" t="s">
        <v>1781</v>
      </c>
      <c r="C120" s="1662"/>
      <c r="D120" s="1634" t="s">
        <v>936</v>
      </c>
      <c r="E120" s="1637"/>
      <c r="F120" s="1360"/>
      <c r="G120" s="1414"/>
      <c r="H120" s="1414"/>
      <c r="I120" s="1365"/>
      <c r="J120" s="1365"/>
      <c r="K120" s="1360"/>
      <c r="L120" s="1381"/>
      <c r="M120" s="1381"/>
      <c r="N120" s="1382" t="s">
        <v>1780</v>
      </c>
      <c r="O120" s="1380"/>
      <c r="P120" s="1538"/>
      <c r="Q120" s="1539">
        <f t="shared" si="51"/>
        <v>0</v>
      </c>
      <c r="R120" s="1539">
        <f>+AR120</f>
        <v>4.2359800000000003E-2</v>
      </c>
      <c r="S120" s="1563">
        <f t="shared" si="51"/>
        <v>0</v>
      </c>
      <c r="T120" s="1594">
        <f t="shared" si="38"/>
        <v>4.2359800000000003E-2</v>
      </c>
      <c r="U120" s="1595"/>
      <c r="V120" s="1595"/>
      <c r="W120" s="1595"/>
      <c r="X120" s="1595"/>
      <c r="Y120" s="1595"/>
      <c r="Z120" s="1595"/>
      <c r="AA120" s="1595"/>
      <c r="AB120" s="1595"/>
      <c r="AC120" s="1576"/>
      <c r="AD120" s="1550"/>
      <c r="AE120" s="1550"/>
      <c r="AF120" s="1550"/>
      <c r="AG120" s="1541">
        <f t="shared" si="39"/>
        <v>0</v>
      </c>
      <c r="AH120" s="1596"/>
      <c r="AI120" s="1596"/>
      <c r="AJ120" s="1596"/>
      <c r="AK120" s="1596"/>
      <c r="AL120" s="1596"/>
      <c r="AM120" s="1596"/>
      <c r="AN120" s="1596"/>
      <c r="AO120" s="1596"/>
      <c r="AP120" s="1538">
        <v>0</v>
      </c>
      <c r="AQ120" s="1542">
        <v>0</v>
      </c>
      <c r="AR120" s="1542">
        <v>4.2359800000000003E-2</v>
      </c>
      <c r="AS120" s="1565">
        <v>0</v>
      </c>
      <c r="AT120" s="1594">
        <f t="shared" si="40"/>
        <v>4.2359800000000003E-2</v>
      </c>
      <c r="AU120" s="1597">
        <v>0</v>
      </c>
      <c r="AV120" s="1597">
        <v>0</v>
      </c>
      <c r="AW120" s="1565">
        <v>0</v>
      </c>
      <c r="AX120" s="1565"/>
      <c r="AY120" s="1565"/>
      <c r="AZ120" s="1565"/>
      <c r="BA120" s="1565"/>
      <c r="BB120" s="1565"/>
      <c r="BC120" s="1380"/>
      <c r="BD120" s="1565"/>
      <c r="BE120" s="1613" t="s">
        <v>941</v>
      </c>
      <c r="BH120" s="1319" t="s">
        <v>1782</v>
      </c>
      <c r="BI120" s="1355"/>
    </row>
    <row r="121" spans="1:61" outlineLevel="1" x14ac:dyDescent="0.25">
      <c r="A121" s="1634">
        <v>7</v>
      </c>
      <c r="B121" s="1635" t="s">
        <v>1783</v>
      </c>
      <c r="C121" s="1662"/>
      <c r="D121" s="1634" t="s">
        <v>936</v>
      </c>
      <c r="E121" s="1637"/>
      <c r="F121" s="1360"/>
      <c r="G121" s="1414"/>
      <c r="H121" s="1414"/>
      <c r="I121" s="1365"/>
      <c r="J121" s="1365"/>
      <c r="K121" s="1360"/>
      <c r="L121" s="1381"/>
      <c r="M121" s="1381"/>
      <c r="N121" s="1382" t="s">
        <v>1782</v>
      </c>
      <c r="O121" s="1380"/>
      <c r="P121" s="1538"/>
      <c r="Q121" s="1539">
        <f t="shared" si="51"/>
        <v>0.60786030000000002</v>
      </c>
      <c r="R121" s="1562">
        <f>+AR121</f>
        <v>0</v>
      </c>
      <c r="S121" s="1563">
        <f t="shared" si="51"/>
        <v>0</v>
      </c>
      <c r="T121" s="1594">
        <f t="shared" si="38"/>
        <v>0.60786030000000002</v>
      </c>
      <c r="U121" s="1595"/>
      <c r="V121" s="1595"/>
      <c r="W121" s="1595"/>
      <c r="X121" s="1595"/>
      <c r="Y121" s="1595"/>
      <c r="Z121" s="1595"/>
      <c r="AA121" s="1595"/>
      <c r="AB121" s="1595"/>
      <c r="AC121" s="1576"/>
      <c r="AD121" s="1550"/>
      <c r="AE121" s="1550"/>
      <c r="AF121" s="1550"/>
      <c r="AG121" s="1541">
        <f t="shared" si="39"/>
        <v>0</v>
      </c>
      <c r="AH121" s="1596"/>
      <c r="AI121" s="1596"/>
      <c r="AJ121" s="1596"/>
      <c r="AK121" s="1596"/>
      <c r="AL121" s="1596"/>
      <c r="AM121" s="1596"/>
      <c r="AN121" s="1596"/>
      <c r="AO121" s="1596"/>
      <c r="AP121" s="1538">
        <v>0</v>
      </c>
      <c r="AQ121" s="1542">
        <v>0.60786030000000002</v>
      </c>
      <c r="AR121" s="1565">
        <v>0</v>
      </c>
      <c r="AS121" s="1565">
        <v>0</v>
      </c>
      <c r="AT121" s="1594">
        <f t="shared" si="40"/>
        <v>0.60786030000000002</v>
      </c>
      <c r="AU121" s="1597">
        <v>0</v>
      </c>
      <c r="AV121" s="1597">
        <v>0</v>
      </c>
      <c r="AW121" s="1565">
        <v>0</v>
      </c>
      <c r="AX121" s="1565"/>
      <c r="AY121" s="1565"/>
      <c r="AZ121" s="1565"/>
      <c r="BA121" s="1565"/>
      <c r="BB121" s="1565"/>
      <c r="BC121" s="1380"/>
      <c r="BD121" s="1565"/>
      <c r="BE121" s="1613" t="s">
        <v>941</v>
      </c>
      <c r="BH121" s="1319" t="s">
        <v>1775</v>
      </c>
      <c r="BI121" s="1355"/>
    </row>
    <row r="122" spans="1:61" outlineLevel="1" x14ac:dyDescent="0.25">
      <c r="A122" s="1634">
        <v>8</v>
      </c>
      <c r="B122" s="1635" t="s">
        <v>1776</v>
      </c>
      <c r="C122" s="1662"/>
      <c r="D122" s="1634" t="s">
        <v>936</v>
      </c>
      <c r="E122" s="1637"/>
      <c r="F122" s="1360"/>
      <c r="G122" s="1414"/>
      <c r="H122" s="1414"/>
      <c r="I122" s="1365"/>
      <c r="J122" s="1365"/>
      <c r="K122" s="1360"/>
      <c r="L122" s="1381"/>
      <c r="M122" s="1381"/>
      <c r="N122" s="1382" t="s">
        <v>1775</v>
      </c>
      <c r="O122" s="1380"/>
      <c r="P122" s="1538"/>
      <c r="Q122" s="1663">
        <f t="shared" si="51"/>
        <v>2.6342887240000001</v>
      </c>
      <c r="R122" s="1562">
        <f>AR121</f>
        <v>0</v>
      </c>
      <c r="S122" s="1563">
        <f t="shared" si="51"/>
        <v>0</v>
      </c>
      <c r="T122" s="1594">
        <f t="shared" si="38"/>
        <v>2.6342887240000001</v>
      </c>
      <c r="U122" s="1595"/>
      <c r="V122" s="1595"/>
      <c r="W122" s="1595"/>
      <c r="X122" s="1595"/>
      <c r="Y122" s="1595"/>
      <c r="Z122" s="1595"/>
      <c r="AA122" s="1595"/>
      <c r="AB122" s="1595"/>
      <c r="AC122" s="1576"/>
      <c r="AD122" s="1550"/>
      <c r="AE122" s="1550"/>
      <c r="AF122" s="1550"/>
      <c r="AG122" s="1541">
        <f t="shared" si="39"/>
        <v>0</v>
      </c>
      <c r="AH122" s="1596"/>
      <c r="AI122" s="1596"/>
      <c r="AJ122" s="1596"/>
      <c r="AK122" s="1596"/>
      <c r="AL122" s="1596"/>
      <c r="AM122" s="1596"/>
      <c r="AN122" s="1596"/>
      <c r="AO122" s="1596"/>
      <c r="AP122" s="1538">
        <v>0</v>
      </c>
      <c r="AQ122" s="1542">
        <v>2.6342887240000001</v>
      </c>
      <c r="AR122" s="1565">
        <v>0</v>
      </c>
      <c r="AS122" s="1565">
        <v>0</v>
      </c>
      <c r="AT122" s="1594">
        <f t="shared" si="40"/>
        <v>2.6342887240000001</v>
      </c>
      <c r="AU122" s="1597">
        <v>0</v>
      </c>
      <c r="AV122" s="1597">
        <v>0</v>
      </c>
      <c r="AW122" s="1565"/>
      <c r="AX122" s="1565"/>
      <c r="AY122" s="1565"/>
      <c r="AZ122" s="1565"/>
      <c r="BA122" s="1565"/>
      <c r="BB122" s="1565"/>
      <c r="BC122" s="1380"/>
      <c r="BD122" s="1565"/>
      <c r="BE122" s="1613" t="s">
        <v>941</v>
      </c>
      <c r="BH122" s="1319" t="s">
        <v>1777</v>
      </c>
      <c r="BI122" s="1355"/>
    </row>
    <row r="123" spans="1:61" ht="29" outlineLevel="1" x14ac:dyDescent="0.25">
      <c r="A123" s="1634">
        <v>9</v>
      </c>
      <c r="B123" s="1635" t="s">
        <v>1778</v>
      </c>
      <c r="C123" s="1662"/>
      <c r="D123" s="1634" t="s">
        <v>936</v>
      </c>
      <c r="E123" s="1637"/>
      <c r="F123" s="1360"/>
      <c r="G123" s="1414"/>
      <c r="H123" s="1414"/>
      <c r="I123" s="1365"/>
      <c r="J123" s="1365"/>
      <c r="K123" s="1360"/>
      <c r="L123" s="1381"/>
      <c r="M123" s="1381"/>
      <c r="N123" s="1382" t="s">
        <v>1777</v>
      </c>
      <c r="O123" s="1380"/>
      <c r="P123" s="1538"/>
      <c r="Q123" s="1663">
        <f t="shared" si="51"/>
        <v>2.6342887240000001</v>
      </c>
      <c r="R123" s="1562">
        <f>AR122</f>
        <v>0</v>
      </c>
      <c r="S123" s="1563">
        <f t="shared" si="51"/>
        <v>0</v>
      </c>
      <c r="T123" s="1594">
        <f t="shared" si="38"/>
        <v>2.6342887240000001</v>
      </c>
      <c r="U123" s="1595"/>
      <c r="V123" s="1595"/>
      <c r="W123" s="1595"/>
      <c r="X123" s="1595"/>
      <c r="Y123" s="1595"/>
      <c r="Z123" s="1595"/>
      <c r="AA123" s="1595"/>
      <c r="AB123" s="1595"/>
      <c r="AC123" s="1576"/>
      <c r="AD123" s="1550"/>
      <c r="AE123" s="1550"/>
      <c r="AF123" s="1550"/>
      <c r="AG123" s="1541">
        <f t="shared" si="39"/>
        <v>0</v>
      </c>
      <c r="AH123" s="1596"/>
      <c r="AI123" s="1596"/>
      <c r="AJ123" s="1596"/>
      <c r="AK123" s="1596"/>
      <c r="AL123" s="1596"/>
      <c r="AM123" s="1596"/>
      <c r="AN123" s="1596"/>
      <c r="AO123" s="1596"/>
      <c r="AP123" s="1538">
        <v>0</v>
      </c>
      <c r="AQ123" s="1542">
        <v>2.6342887240000001</v>
      </c>
      <c r="AR123" s="1565">
        <v>0</v>
      </c>
      <c r="AS123" s="1565">
        <v>0</v>
      </c>
      <c r="AT123" s="1594">
        <f t="shared" si="40"/>
        <v>2.6342887240000001</v>
      </c>
      <c r="AU123" s="1597">
        <v>0</v>
      </c>
      <c r="AV123" s="1597">
        <v>0</v>
      </c>
      <c r="AW123" s="1565"/>
      <c r="AX123" s="1565"/>
      <c r="AY123" s="1565"/>
      <c r="AZ123" s="1565"/>
      <c r="BA123" s="1565"/>
      <c r="BB123" s="1565"/>
      <c r="BC123" s="1380"/>
      <c r="BD123" s="1565"/>
      <c r="BE123" s="1613" t="s">
        <v>941</v>
      </c>
      <c r="BH123" s="1319" t="s">
        <v>1777</v>
      </c>
      <c r="BI123" s="1355"/>
    </row>
    <row r="124" spans="1:61" outlineLevel="1" x14ac:dyDescent="0.25">
      <c r="A124" s="1634">
        <v>10</v>
      </c>
      <c r="B124" s="1635" t="s">
        <v>1784</v>
      </c>
      <c r="C124" s="1662"/>
      <c r="D124" s="1634" t="s">
        <v>936</v>
      </c>
      <c r="E124" s="1637"/>
      <c r="F124" s="1360"/>
      <c r="G124" s="1414"/>
      <c r="H124" s="1414"/>
      <c r="I124" s="1365"/>
      <c r="J124" s="1365"/>
      <c r="K124" s="1360"/>
      <c r="L124" s="1381"/>
      <c r="M124" s="1381"/>
      <c r="N124" s="1382" t="s">
        <v>1777</v>
      </c>
      <c r="O124" s="1380"/>
      <c r="P124" s="1538"/>
      <c r="Q124" s="1539">
        <f t="shared" si="51"/>
        <v>1.20114E-2</v>
      </c>
      <c r="R124" s="1562">
        <f>AR123</f>
        <v>0</v>
      </c>
      <c r="S124" s="1563">
        <f t="shared" si="51"/>
        <v>0</v>
      </c>
      <c r="T124" s="1594">
        <f t="shared" si="38"/>
        <v>1.20114E-2</v>
      </c>
      <c r="U124" s="1595"/>
      <c r="V124" s="1595"/>
      <c r="W124" s="1595"/>
      <c r="X124" s="1595"/>
      <c r="Y124" s="1595"/>
      <c r="Z124" s="1595"/>
      <c r="AA124" s="1595"/>
      <c r="AB124" s="1595"/>
      <c r="AC124" s="1576"/>
      <c r="AD124" s="1576"/>
      <c r="AE124" s="1576"/>
      <c r="AF124" s="1576"/>
      <c r="AG124" s="1541">
        <f t="shared" si="39"/>
        <v>0</v>
      </c>
      <c r="AH124" s="1664"/>
      <c r="AI124" s="1664"/>
      <c r="AJ124" s="1664"/>
      <c r="AK124" s="1664"/>
      <c r="AL124" s="1664"/>
      <c r="AM124" s="1664"/>
      <c r="AN124" s="1664"/>
      <c r="AO124" s="1664"/>
      <c r="AP124" s="1538">
        <v>0</v>
      </c>
      <c r="AQ124" s="1542">
        <v>1.20114E-2</v>
      </c>
      <c r="AR124" s="1565">
        <v>0</v>
      </c>
      <c r="AS124" s="1565">
        <v>0</v>
      </c>
      <c r="AT124" s="1594">
        <f t="shared" si="40"/>
        <v>1.20114E-2</v>
      </c>
      <c r="AU124" s="1597">
        <v>0</v>
      </c>
      <c r="AV124" s="1597">
        <v>0</v>
      </c>
      <c r="AW124" s="1565">
        <v>0</v>
      </c>
      <c r="AX124" s="1565"/>
      <c r="AY124" s="1565"/>
      <c r="AZ124" s="1565"/>
      <c r="BA124" s="1565"/>
      <c r="BB124" s="1565"/>
      <c r="BC124" s="1380"/>
      <c r="BD124" s="1565"/>
      <c r="BE124" s="1613" t="s">
        <v>941</v>
      </c>
      <c r="BG124" s="1658"/>
    </row>
    <row r="125" spans="1:61" outlineLevel="1" x14ac:dyDescent="0.25">
      <c r="A125" s="1634">
        <v>11</v>
      </c>
      <c r="B125" s="1635" t="s">
        <v>1785</v>
      </c>
      <c r="C125" s="1662"/>
      <c r="D125" s="1634"/>
      <c r="E125" s="1637"/>
      <c r="F125" s="1360"/>
      <c r="G125" s="1414"/>
      <c r="H125" s="1414"/>
      <c r="I125" s="1365"/>
      <c r="J125" s="1365"/>
      <c r="K125" s="1360"/>
      <c r="L125" s="1381"/>
      <c r="M125" s="1381"/>
      <c r="N125" s="1382"/>
      <c r="O125" s="1380"/>
      <c r="P125" s="1538"/>
      <c r="Q125" s="1539"/>
      <c r="R125" s="1562"/>
      <c r="S125" s="1563"/>
      <c r="T125" s="1594">
        <f t="shared" si="38"/>
        <v>0</v>
      </c>
      <c r="U125" s="1595"/>
      <c r="V125" s="1657">
        <v>0.4706939</v>
      </c>
      <c r="W125" s="1595"/>
      <c r="X125" s="1595"/>
      <c r="Y125" s="1595"/>
      <c r="Z125" s="1595"/>
      <c r="AA125" s="1595"/>
      <c r="AB125" s="1595"/>
      <c r="AC125" s="1576"/>
      <c r="AD125" s="1576"/>
      <c r="AE125" s="1576"/>
      <c r="AF125" s="1576"/>
      <c r="AG125" s="1541">
        <f t="shared" si="39"/>
        <v>0</v>
      </c>
      <c r="AH125" s="1664"/>
      <c r="AI125" s="1664"/>
      <c r="AJ125" s="1664"/>
      <c r="AK125" s="1664"/>
      <c r="AL125" s="1664"/>
      <c r="AM125" s="1664"/>
      <c r="AN125" s="1664"/>
      <c r="AO125" s="1664"/>
      <c r="AP125" s="1538"/>
      <c r="AQ125" s="1542"/>
      <c r="AR125" s="1565"/>
      <c r="AS125" s="1565"/>
      <c r="AT125" s="1594">
        <f t="shared" si="40"/>
        <v>0</v>
      </c>
      <c r="AU125" s="1597"/>
      <c r="AV125" s="1657">
        <v>0.4706939</v>
      </c>
      <c r="AW125" s="1565"/>
      <c r="AX125" s="1565"/>
      <c r="AY125" s="1565"/>
      <c r="AZ125" s="1565"/>
      <c r="BA125" s="1565"/>
      <c r="BB125" s="1565"/>
      <c r="BC125" s="1380"/>
      <c r="BD125" s="1565"/>
      <c r="BE125" s="1613" t="s">
        <v>941</v>
      </c>
      <c r="BG125" s="1658">
        <v>110100135</v>
      </c>
      <c r="BH125" s="1319" t="s">
        <v>1786</v>
      </c>
    </row>
    <row r="126" spans="1:61" outlineLevel="1" x14ac:dyDescent="0.25">
      <c r="A126" s="1634">
        <v>12</v>
      </c>
      <c r="B126" s="1635" t="s">
        <v>1787</v>
      </c>
      <c r="C126" s="1662"/>
      <c r="D126" s="1634"/>
      <c r="E126" s="1637"/>
      <c r="F126" s="1360"/>
      <c r="G126" s="1414"/>
      <c r="H126" s="1414"/>
      <c r="I126" s="1365"/>
      <c r="J126" s="1365"/>
      <c r="K126" s="1360"/>
      <c r="L126" s="1381"/>
      <c r="M126" s="1381"/>
      <c r="N126" s="1382"/>
      <c r="O126" s="1380"/>
      <c r="P126" s="1538"/>
      <c r="Q126" s="1539"/>
      <c r="R126" s="1562"/>
      <c r="S126" s="1563"/>
      <c r="T126" s="1594">
        <f t="shared" si="38"/>
        <v>0</v>
      </c>
      <c r="U126" s="1595"/>
      <c r="V126" s="1657">
        <v>0.32731569999999999</v>
      </c>
      <c r="W126" s="1595"/>
      <c r="X126" s="1595"/>
      <c r="Y126" s="1595"/>
      <c r="Z126" s="1595"/>
      <c r="AA126" s="1595"/>
      <c r="AB126" s="1595"/>
      <c r="AC126" s="1576"/>
      <c r="AD126" s="1576"/>
      <c r="AE126" s="1576"/>
      <c r="AF126" s="1576"/>
      <c r="AG126" s="1541">
        <f t="shared" si="39"/>
        <v>0</v>
      </c>
      <c r="AH126" s="1664"/>
      <c r="AI126" s="1664"/>
      <c r="AJ126" s="1664"/>
      <c r="AK126" s="1664"/>
      <c r="AL126" s="1664"/>
      <c r="AM126" s="1664"/>
      <c r="AN126" s="1664"/>
      <c r="AO126" s="1664"/>
      <c r="AP126" s="1538"/>
      <c r="AQ126" s="1542"/>
      <c r="AR126" s="1565"/>
      <c r="AS126" s="1565"/>
      <c r="AT126" s="1594">
        <f t="shared" si="40"/>
        <v>0</v>
      </c>
      <c r="AU126" s="1597"/>
      <c r="AV126" s="1657">
        <v>0.32731569999999999</v>
      </c>
      <c r="AW126" s="1565"/>
      <c r="AX126" s="1565"/>
      <c r="AY126" s="1565"/>
      <c r="AZ126" s="1565"/>
      <c r="BA126" s="1565"/>
      <c r="BB126" s="1565"/>
      <c r="BC126" s="1380"/>
      <c r="BD126" s="1565"/>
      <c r="BE126" s="1613" t="s">
        <v>941</v>
      </c>
      <c r="BG126" s="1658">
        <v>110100136</v>
      </c>
      <c r="BH126" s="1319" t="s">
        <v>1788</v>
      </c>
    </row>
    <row r="127" spans="1:61" outlineLevel="1" x14ac:dyDescent="0.25">
      <c r="A127" s="1634">
        <v>13</v>
      </c>
      <c r="B127" s="1635" t="s">
        <v>1787</v>
      </c>
      <c r="C127" s="1662"/>
      <c r="D127" s="1634"/>
      <c r="E127" s="1637"/>
      <c r="F127" s="1360"/>
      <c r="G127" s="1414"/>
      <c r="H127" s="1414"/>
      <c r="I127" s="1365"/>
      <c r="J127" s="1365"/>
      <c r="K127" s="1360"/>
      <c r="L127" s="1381"/>
      <c r="M127" s="1381"/>
      <c r="N127" s="1382"/>
      <c r="O127" s="1380"/>
      <c r="P127" s="1538"/>
      <c r="Q127" s="1539"/>
      <c r="R127" s="1562"/>
      <c r="S127" s="1563"/>
      <c r="T127" s="1594">
        <f t="shared" si="38"/>
        <v>0</v>
      </c>
      <c r="U127" s="1595"/>
      <c r="V127" s="1657">
        <v>8.7899000000000005E-2</v>
      </c>
      <c r="W127" s="1595"/>
      <c r="X127" s="1595"/>
      <c r="Y127" s="1595"/>
      <c r="Z127" s="1595"/>
      <c r="AA127" s="1595"/>
      <c r="AB127" s="1595"/>
      <c r="AC127" s="1576"/>
      <c r="AD127" s="1576"/>
      <c r="AE127" s="1576"/>
      <c r="AF127" s="1576"/>
      <c r="AG127" s="1541">
        <f t="shared" si="39"/>
        <v>0</v>
      </c>
      <c r="AH127" s="1664"/>
      <c r="AI127" s="1664"/>
      <c r="AJ127" s="1664"/>
      <c r="AK127" s="1664"/>
      <c r="AL127" s="1664"/>
      <c r="AM127" s="1664"/>
      <c r="AN127" s="1664"/>
      <c r="AO127" s="1664"/>
      <c r="AP127" s="1538"/>
      <c r="AQ127" s="1542"/>
      <c r="AR127" s="1565"/>
      <c r="AS127" s="1565"/>
      <c r="AT127" s="1594">
        <f t="shared" si="40"/>
        <v>0</v>
      </c>
      <c r="AU127" s="1597"/>
      <c r="AV127" s="1657">
        <v>8.7899000000000005E-2</v>
      </c>
      <c r="AW127" s="1565"/>
      <c r="AX127" s="1565"/>
      <c r="AY127" s="1565"/>
      <c r="AZ127" s="1565"/>
      <c r="BA127" s="1565"/>
      <c r="BB127" s="1565"/>
      <c r="BC127" s="1380"/>
      <c r="BD127" s="1565"/>
      <c r="BE127" s="1613" t="s">
        <v>941</v>
      </c>
      <c r="BG127" s="1658">
        <v>110100137</v>
      </c>
      <c r="BH127" s="1319" t="s">
        <v>1788</v>
      </c>
    </row>
    <row r="128" spans="1:61" ht="29" outlineLevel="1" x14ac:dyDescent="0.25">
      <c r="A128" s="1634">
        <v>14</v>
      </c>
      <c r="B128" s="1632" t="s">
        <v>1789</v>
      </c>
      <c r="C128" s="1636"/>
      <c r="D128" s="1634"/>
      <c r="E128" s="1637"/>
      <c r="F128" s="1360"/>
      <c r="G128" s="1412"/>
      <c r="H128" s="1412"/>
      <c r="I128" s="1365"/>
      <c r="J128" s="1365"/>
      <c r="K128" s="1359"/>
      <c r="L128" s="1387"/>
      <c r="M128" s="1387"/>
      <c r="N128" s="1388"/>
      <c r="O128" s="1380"/>
      <c r="P128" s="1538"/>
      <c r="Q128" s="1573"/>
      <c r="R128" s="1573"/>
      <c r="S128" s="1574"/>
      <c r="T128" s="1594">
        <f t="shared" si="38"/>
        <v>0</v>
      </c>
      <c r="U128" s="1665"/>
      <c r="V128" s="1665">
        <v>6.8807868000000001</v>
      </c>
      <c r="W128" s="1665"/>
      <c r="X128" s="1665"/>
      <c r="Y128" s="1665"/>
      <c r="Z128" s="1665"/>
      <c r="AA128" s="1665"/>
      <c r="AB128" s="1665"/>
      <c r="AC128" s="1666"/>
      <c r="AD128" s="1666"/>
      <c r="AE128" s="1666"/>
      <c r="AF128" s="1666"/>
      <c r="AG128" s="1541">
        <f t="shared" si="39"/>
        <v>0</v>
      </c>
      <c r="AH128" s="1641"/>
      <c r="AI128" s="1641"/>
      <c r="AJ128" s="1641"/>
      <c r="AK128" s="1641"/>
      <c r="AL128" s="1641"/>
      <c r="AM128" s="1641"/>
      <c r="AN128" s="1641"/>
      <c r="AO128" s="1641"/>
      <c r="AP128" s="1667"/>
      <c r="AQ128" s="1668"/>
      <c r="AR128" s="1668"/>
      <c r="AS128" s="1668"/>
      <c r="AT128" s="1594">
        <f t="shared" si="40"/>
        <v>0</v>
      </c>
      <c r="AU128" s="1669"/>
      <c r="AV128" s="1669">
        <v>6.8807868000000001</v>
      </c>
      <c r="AW128" s="1668"/>
      <c r="AX128" s="1668"/>
      <c r="AY128" s="1668"/>
      <c r="AZ128" s="1668"/>
      <c r="BA128" s="1668"/>
      <c r="BB128" s="1668"/>
      <c r="BC128" s="1361"/>
      <c r="BD128" s="1361"/>
      <c r="BE128" s="1358" t="s">
        <v>941</v>
      </c>
      <c r="BI128" s="1355"/>
    </row>
    <row r="129" spans="1:58" x14ac:dyDescent="0.25">
      <c r="A129" s="1634">
        <v>15</v>
      </c>
      <c r="B129" s="1670" t="s">
        <v>2097</v>
      </c>
      <c r="C129" s="1636"/>
      <c r="D129" s="1634"/>
      <c r="E129" s="1637"/>
      <c r="F129" s="1360"/>
      <c r="G129" s="1412"/>
      <c r="H129" s="1412"/>
      <c r="I129" s="1365"/>
      <c r="J129" s="1365"/>
      <c r="K129" s="1359"/>
      <c r="L129" s="1387"/>
      <c r="M129" s="1387"/>
      <c r="N129" s="1388"/>
      <c r="O129" s="1380"/>
      <c r="P129" s="1538"/>
      <c r="Q129" s="1573"/>
      <c r="R129" s="1573"/>
      <c r="S129" s="1574"/>
      <c r="T129" s="1594">
        <f t="shared" si="38"/>
        <v>0</v>
      </c>
      <c r="U129" s="1665"/>
      <c r="V129" s="1665"/>
      <c r="W129" s="1671">
        <v>1.1658021999999999</v>
      </c>
      <c r="X129" s="1595"/>
      <c r="Y129" s="1595"/>
      <c r="Z129" s="1595"/>
      <c r="AA129" s="1595"/>
      <c r="AB129" s="1595"/>
      <c r="AC129" s="1576"/>
      <c r="AD129" s="1576"/>
      <c r="AE129" s="1576"/>
      <c r="AF129" s="1576"/>
      <c r="AG129" s="1541">
        <f t="shared" si="39"/>
        <v>0</v>
      </c>
      <c r="AH129" s="1595"/>
      <c r="AI129" s="1595"/>
      <c r="AJ129" s="1595"/>
      <c r="AK129" s="1595"/>
      <c r="AL129" s="1595"/>
      <c r="AM129" s="1595"/>
      <c r="AN129" s="1595"/>
      <c r="AO129" s="1595"/>
      <c r="AP129" s="1574"/>
      <c r="AQ129" s="1579"/>
      <c r="AR129" s="1574"/>
      <c r="AS129" s="1574"/>
      <c r="AT129" s="1594">
        <f t="shared" si="40"/>
        <v>0</v>
      </c>
      <c r="AU129" s="1595"/>
      <c r="AV129" s="1595"/>
      <c r="AW129" s="1671">
        <v>1.1658021999999999</v>
      </c>
      <c r="AX129" s="1595"/>
      <c r="AY129" s="1595"/>
      <c r="AZ129" s="1595"/>
      <c r="BA129" s="1595"/>
      <c r="BB129" s="1595"/>
      <c r="BC129" s="1361"/>
      <c r="BD129" s="1361"/>
      <c r="BE129" s="1358" t="s">
        <v>941</v>
      </c>
      <c r="BF129" s="1658"/>
    </row>
    <row r="130" spans="1:58" ht="26.25" customHeight="1" x14ac:dyDescent="0.25">
      <c r="A130" s="1338" t="s">
        <v>185</v>
      </c>
      <c r="B130" s="1339" t="s">
        <v>1790</v>
      </c>
      <c r="C130" s="1415"/>
      <c r="D130" s="1415"/>
      <c r="E130" s="1416"/>
      <c r="F130" s="1417"/>
      <c r="G130" s="1418"/>
      <c r="H130" s="1418"/>
      <c r="I130" s="1418"/>
      <c r="J130" s="1418"/>
      <c r="K130" s="1416"/>
      <c r="L130" s="1419"/>
      <c r="M130" s="1419"/>
      <c r="N130" s="1420"/>
      <c r="O130" s="1418"/>
      <c r="P130" s="1672"/>
      <c r="Q130" s="1673"/>
      <c r="R130" s="1673"/>
      <c r="S130" s="1674"/>
      <c r="T130" s="1594">
        <f t="shared" si="38"/>
        <v>0</v>
      </c>
      <c r="U130" s="1674"/>
      <c r="V130" s="1674"/>
      <c r="W130" s="1674"/>
      <c r="X130" s="1674"/>
      <c r="Y130" s="1674"/>
      <c r="Z130" s="1674"/>
      <c r="AA130" s="1674"/>
      <c r="AB130" s="1674"/>
      <c r="AC130" s="1675"/>
      <c r="AD130" s="1675"/>
      <c r="AE130" s="1675"/>
      <c r="AF130" s="1675"/>
      <c r="AG130" s="1541">
        <f t="shared" si="39"/>
        <v>0</v>
      </c>
      <c r="AH130" s="1675"/>
      <c r="AI130" s="1675"/>
      <c r="AJ130" s="1675"/>
      <c r="AK130" s="1675"/>
      <c r="AL130" s="1675"/>
      <c r="AM130" s="1675"/>
      <c r="AN130" s="1675"/>
      <c r="AO130" s="1675"/>
      <c r="AP130" s="1676"/>
      <c r="AQ130" s="1676"/>
      <c r="AR130" s="1676"/>
      <c r="AS130" s="1676"/>
      <c r="AT130" s="1594">
        <f t="shared" si="40"/>
        <v>0</v>
      </c>
      <c r="AU130" s="1676"/>
      <c r="AV130" s="1676"/>
      <c r="AW130" s="1676"/>
      <c r="AX130" s="1676"/>
      <c r="AY130" s="1676"/>
      <c r="AZ130" s="1676"/>
      <c r="BA130" s="1676"/>
      <c r="BB130" s="1676"/>
      <c r="BC130" s="1418"/>
      <c r="BD130" s="1418"/>
      <c r="BE130" s="1415"/>
      <c r="BF130" s="1355"/>
    </row>
    <row r="131" spans="1:58" ht="58" outlineLevel="1" x14ac:dyDescent="0.25">
      <c r="A131" s="1634">
        <v>2</v>
      </c>
      <c r="B131" s="1656" t="s">
        <v>1791</v>
      </c>
      <c r="C131" s="1655" t="s">
        <v>931</v>
      </c>
      <c r="D131" s="1655" t="s">
        <v>1754</v>
      </c>
      <c r="E131" s="1637"/>
      <c r="F131" s="1360"/>
      <c r="G131" s="1677"/>
      <c r="H131" s="1412"/>
      <c r="I131" s="1365"/>
      <c r="J131" s="1365"/>
      <c r="K131" s="1359"/>
      <c r="L131" s="1387"/>
      <c r="M131" s="1387"/>
      <c r="N131" s="1388"/>
      <c r="O131" s="1380"/>
      <c r="P131" s="1651"/>
      <c r="Q131" s="1651"/>
      <c r="R131" s="1651"/>
      <c r="S131" s="1651"/>
      <c r="T131" s="1594">
        <f t="shared" si="38"/>
        <v>0</v>
      </c>
      <c r="U131" s="1651"/>
      <c r="V131" s="1651"/>
      <c r="W131" s="1651"/>
      <c r="X131" s="1651"/>
      <c r="Y131" s="1651"/>
      <c r="Z131" s="1651"/>
      <c r="AA131" s="1651"/>
      <c r="AB131" s="1651"/>
      <c r="AC131" s="1651"/>
      <c r="AD131" s="1651"/>
      <c r="AE131" s="1651"/>
      <c r="AF131" s="1651"/>
      <c r="AG131" s="1541">
        <f t="shared" si="39"/>
        <v>0</v>
      </c>
      <c r="AH131" s="1651"/>
      <c r="AI131" s="1651"/>
      <c r="AJ131" s="1651"/>
      <c r="AK131" s="1651"/>
      <c r="AL131" s="1651"/>
      <c r="AM131" s="1651"/>
      <c r="AN131" s="1651"/>
      <c r="AO131" s="1651"/>
      <c r="AP131" s="1651"/>
      <c r="AQ131" s="1651"/>
      <c r="AR131" s="1651"/>
      <c r="AS131" s="1651"/>
      <c r="AT131" s="1594">
        <f t="shared" si="40"/>
        <v>0</v>
      </c>
      <c r="AU131" s="1651"/>
      <c r="AV131" s="1651"/>
      <c r="AW131" s="1651"/>
      <c r="AX131" s="1651"/>
      <c r="AY131" s="1651"/>
      <c r="AZ131" s="1651"/>
      <c r="BA131" s="1651"/>
      <c r="BB131" s="1651"/>
      <c r="BC131" s="1678"/>
      <c r="BD131" s="1678" t="s">
        <v>1792</v>
      </c>
      <c r="BE131" s="1678" t="s">
        <v>1793</v>
      </c>
    </row>
    <row r="132" spans="1:58" customFormat="1" ht="60.75" customHeight="1" outlineLevel="1" x14ac:dyDescent="0.25">
      <c r="A132" s="1634">
        <v>2.1</v>
      </c>
      <c r="B132" s="1421" t="s">
        <v>1794</v>
      </c>
      <c r="C132" s="1636" t="s">
        <v>938</v>
      </c>
      <c r="D132" s="1655" t="s">
        <v>1754</v>
      </c>
      <c r="E132" s="1637"/>
      <c r="F132" s="1360"/>
      <c r="G132" s="1412">
        <v>6.73</v>
      </c>
      <c r="H132" s="1412"/>
      <c r="I132" s="1422"/>
      <c r="J132" s="1422"/>
      <c r="K132" s="1360" t="str">
        <f t="shared" ref="K132:K137" si="52">IF(F132=0,"-",F132)</f>
        <v>-</v>
      </c>
      <c r="L132" s="1380"/>
      <c r="M132" s="1380"/>
      <c r="N132" s="1383"/>
      <c r="O132" s="1423" t="s">
        <v>1795</v>
      </c>
      <c r="P132" s="1562">
        <v>0</v>
      </c>
      <c r="Q132" s="1562">
        <v>0</v>
      </c>
      <c r="R132" s="1562">
        <v>0</v>
      </c>
      <c r="S132" s="1562">
        <v>0</v>
      </c>
      <c r="T132" s="1594">
        <f t="shared" si="38"/>
        <v>0</v>
      </c>
      <c r="U132" s="1562">
        <v>0</v>
      </c>
      <c r="V132" s="1562">
        <v>0</v>
      </c>
      <c r="W132" s="1562">
        <v>0</v>
      </c>
      <c r="X132" s="1538">
        <v>6.73</v>
      </c>
      <c r="Y132" s="1562">
        <v>0</v>
      </c>
      <c r="Z132" s="1562">
        <v>0</v>
      </c>
      <c r="AA132" s="1562">
        <v>0</v>
      </c>
      <c r="AB132" s="1562">
        <v>0</v>
      </c>
      <c r="AC132" s="1651"/>
      <c r="AD132" s="1651"/>
      <c r="AE132" s="1651"/>
      <c r="AF132" s="1651"/>
      <c r="AG132" s="1541">
        <f t="shared" si="39"/>
        <v>0</v>
      </c>
      <c r="AH132" s="1651"/>
      <c r="AI132" s="1651"/>
      <c r="AJ132" s="1650">
        <v>0.2</v>
      </c>
      <c r="AK132" s="1650">
        <v>1</v>
      </c>
      <c r="AL132" s="1651"/>
      <c r="AM132" s="1651"/>
      <c r="AN132" s="1651"/>
      <c r="AO132" s="1651"/>
      <c r="AP132" s="1651">
        <v>0</v>
      </c>
      <c r="AQ132" s="1651">
        <v>0</v>
      </c>
      <c r="AR132" s="1651">
        <v>0</v>
      </c>
      <c r="AS132" s="1651">
        <v>0</v>
      </c>
      <c r="AT132" s="1594">
        <f t="shared" si="40"/>
        <v>0</v>
      </c>
      <c r="AU132" s="1651">
        <v>0</v>
      </c>
      <c r="AV132" s="1651">
        <v>0</v>
      </c>
      <c r="AW132" s="1651">
        <v>0</v>
      </c>
      <c r="AX132" s="1538">
        <v>6.73</v>
      </c>
      <c r="AY132" s="1651">
        <v>0</v>
      </c>
      <c r="AZ132" s="1651">
        <v>0</v>
      </c>
      <c r="BA132" s="1651">
        <v>0</v>
      </c>
      <c r="BB132" s="1651">
        <v>0</v>
      </c>
      <c r="BC132" s="1678"/>
      <c r="BD132" s="1678" t="s">
        <v>1792</v>
      </c>
      <c r="BE132" s="1678" t="s">
        <v>1793</v>
      </c>
    </row>
    <row r="133" spans="1:58" customFormat="1" ht="55" customHeight="1" outlineLevel="1" x14ac:dyDescent="0.25">
      <c r="A133" s="1679">
        <v>2.2000000000000002</v>
      </c>
      <c r="B133" s="1680" t="s">
        <v>1796</v>
      </c>
      <c r="C133" s="1681" t="s">
        <v>938</v>
      </c>
      <c r="D133" s="1655" t="s">
        <v>1754</v>
      </c>
      <c r="E133" s="1637"/>
      <c r="F133" s="1360"/>
      <c r="G133" s="1412">
        <v>1.7850999999999999</v>
      </c>
      <c r="H133" s="1412"/>
      <c r="I133" s="1422"/>
      <c r="J133" s="1422"/>
      <c r="K133" s="1360" t="str">
        <f t="shared" si="52"/>
        <v>-</v>
      </c>
      <c r="L133" s="1380"/>
      <c r="M133" s="1380"/>
      <c r="N133" s="1383"/>
      <c r="O133" s="1354" t="s">
        <v>1797</v>
      </c>
      <c r="P133" s="1562">
        <v>0</v>
      </c>
      <c r="Q133" s="1562">
        <v>0</v>
      </c>
      <c r="R133" s="1562">
        <v>0</v>
      </c>
      <c r="S133" s="1562">
        <v>0</v>
      </c>
      <c r="T133" s="1594">
        <f t="shared" si="38"/>
        <v>0</v>
      </c>
      <c r="U133" s="1562">
        <v>0</v>
      </c>
      <c r="V133" s="1562">
        <v>0</v>
      </c>
      <c r="W133" s="1562">
        <v>0</v>
      </c>
      <c r="X133" s="1538">
        <v>1.7850999999999999</v>
      </c>
      <c r="Y133" s="1562">
        <v>0</v>
      </c>
      <c r="Z133" s="1562">
        <v>0</v>
      </c>
      <c r="AA133" s="1562">
        <v>0</v>
      </c>
      <c r="AB133" s="1562">
        <v>0</v>
      </c>
      <c r="AC133" s="1651"/>
      <c r="AD133" s="1651"/>
      <c r="AE133" s="1651"/>
      <c r="AF133" s="1651"/>
      <c r="AG133" s="1541">
        <f t="shared" si="39"/>
        <v>0</v>
      </c>
      <c r="AH133" s="1651"/>
      <c r="AI133" s="1651"/>
      <c r="AJ133" s="1650">
        <v>0.2</v>
      </c>
      <c r="AK133" s="1650">
        <v>1</v>
      </c>
      <c r="AL133" s="1651"/>
      <c r="AM133" s="1651"/>
      <c r="AN133" s="1651"/>
      <c r="AO133" s="1651"/>
      <c r="AP133" s="1651">
        <v>0</v>
      </c>
      <c r="AQ133" s="1651">
        <v>0</v>
      </c>
      <c r="AR133" s="1651">
        <v>0</v>
      </c>
      <c r="AS133" s="1651">
        <v>0</v>
      </c>
      <c r="AT133" s="1594">
        <f t="shared" si="40"/>
        <v>0</v>
      </c>
      <c r="AU133" s="1651">
        <v>0</v>
      </c>
      <c r="AV133" s="1651">
        <v>0</v>
      </c>
      <c r="AW133" s="1651">
        <v>0</v>
      </c>
      <c r="AX133" s="1538">
        <v>1.7850999999999999</v>
      </c>
      <c r="AY133" s="1651">
        <v>0</v>
      </c>
      <c r="AZ133" s="1651">
        <v>0</v>
      </c>
      <c r="BA133" s="1651">
        <v>0</v>
      </c>
      <c r="BB133" s="1651">
        <v>0</v>
      </c>
      <c r="BC133" s="1678"/>
      <c r="BD133" s="1678" t="s">
        <v>1792</v>
      </c>
      <c r="BE133" s="1678" t="s">
        <v>1793</v>
      </c>
    </row>
    <row r="134" spans="1:58" customFormat="1" ht="43" customHeight="1" outlineLevel="1" x14ac:dyDescent="0.25">
      <c r="A134" s="1679">
        <v>2.2999999999999998</v>
      </c>
      <c r="B134" s="1680" t="s">
        <v>1798</v>
      </c>
      <c r="C134" s="1681" t="s">
        <v>938</v>
      </c>
      <c r="D134" s="1655" t="s">
        <v>1754</v>
      </c>
      <c r="E134" s="1637"/>
      <c r="F134" s="1360"/>
      <c r="G134" s="1412">
        <v>5.3761000000000001</v>
      </c>
      <c r="H134" s="1412"/>
      <c r="I134" s="1422"/>
      <c r="J134" s="1422"/>
      <c r="K134" s="1360" t="str">
        <f t="shared" si="52"/>
        <v>-</v>
      </c>
      <c r="L134" s="1380"/>
      <c r="M134" s="1380"/>
      <c r="N134" s="1383"/>
      <c r="O134" s="1383" t="s">
        <v>1799</v>
      </c>
      <c r="P134" s="1562">
        <v>0</v>
      </c>
      <c r="Q134" s="1562">
        <v>0</v>
      </c>
      <c r="R134" s="1562">
        <v>0</v>
      </c>
      <c r="S134" s="1562">
        <v>0</v>
      </c>
      <c r="T134" s="1594">
        <f t="shared" si="38"/>
        <v>0</v>
      </c>
      <c r="U134" s="1562">
        <v>0</v>
      </c>
      <c r="V134" s="1562">
        <v>0</v>
      </c>
      <c r="W134" s="1562">
        <v>0</v>
      </c>
      <c r="X134" s="1538">
        <v>5.3761000000000001</v>
      </c>
      <c r="Y134" s="1562">
        <v>0</v>
      </c>
      <c r="Z134" s="1562">
        <v>0</v>
      </c>
      <c r="AA134" s="1562">
        <v>0</v>
      </c>
      <c r="AB134" s="1562">
        <v>0</v>
      </c>
      <c r="AC134" s="1651"/>
      <c r="AD134" s="1651"/>
      <c r="AE134" s="1651"/>
      <c r="AF134" s="1651"/>
      <c r="AG134" s="1541">
        <f t="shared" si="39"/>
        <v>0</v>
      </c>
      <c r="AH134" s="1651"/>
      <c r="AI134" s="1651"/>
      <c r="AJ134" s="1650">
        <v>0.2</v>
      </c>
      <c r="AK134" s="1650">
        <v>1</v>
      </c>
      <c r="AL134" s="1651"/>
      <c r="AM134" s="1651"/>
      <c r="AN134" s="1651"/>
      <c r="AO134" s="1651"/>
      <c r="AP134" s="1651">
        <v>0</v>
      </c>
      <c r="AQ134" s="1651">
        <v>0</v>
      </c>
      <c r="AR134" s="1651">
        <v>0</v>
      </c>
      <c r="AS134" s="1651">
        <v>0</v>
      </c>
      <c r="AT134" s="1594">
        <f t="shared" si="40"/>
        <v>0</v>
      </c>
      <c r="AU134" s="1651">
        <v>0</v>
      </c>
      <c r="AV134" s="1651">
        <v>0</v>
      </c>
      <c r="AW134" s="1651">
        <v>0</v>
      </c>
      <c r="AX134" s="1538">
        <v>5.3761000000000001</v>
      </c>
      <c r="AY134" s="1651">
        <v>0</v>
      </c>
      <c r="AZ134" s="1651">
        <v>0</v>
      </c>
      <c r="BA134" s="1651">
        <v>0</v>
      </c>
      <c r="BB134" s="1651">
        <v>0</v>
      </c>
      <c r="BC134" s="1678"/>
      <c r="BD134" s="1678" t="s">
        <v>1792</v>
      </c>
      <c r="BE134" s="1678" t="s">
        <v>1793</v>
      </c>
    </row>
    <row r="135" spans="1:58" customFormat="1" ht="41.15" customHeight="1" outlineLevel="1" x14ac:dyDescent="0.25">
      <c r="A135" s="1679">
        <v>2.4</v>
      </c>
      <c r="B135" s="1680" t="s">
        <v>1800</v>
      </c>
      <c r="C135" s="1681" t="s">
        <v>938</v>
      </c>
      <c r="D135" s="1655" t="s">
        <v>1754</v>
      </c>
      <c r="E135" s="1637"/>
      <c r="F135" s="1360"/>
      <c r="G135" s="1412">
        <v>2.9377499999999999</v>
      </c>
      <c r="H135" s="1412"/>
      <c r="I135" s="1422"/>
      <c r="J135" s="1422"/>
      <c r="K135" s="1360" t="str">
        <f t="shared" si="52"/>
        <v>-</v>
      </c>
      <c r="L135" s="1380"/>
      <c r="M135" s="1380"/>
      <c r="N135" s="1383"/>
      <c r="O135" s="1383" t="s">
        <v>1801</v>
      </c>
      <c r="P135" s="1562">
        <v>0</v>
      </c>
      <c r="Q135" s="1562">
        <v>0</v>
      </c>
      <c r="R135" s="1562">
        <v>0</v>
      </c>
      <c r="S135" s="1562">
        <v>0</v>
      </c>
      <c r="T135" s="1594">
        <f t="shared" si="38"/>
        <v>0</v>
      </c>
      <c r="U135" s="1562">
        <v>0</v>
      </c>
      <c r="V135" s="1562">
        <v>0</v>
      </c>
      <c r="W135" s="1562">
        <v>0</v>
      </c>
      <c r="X135" s="1538">
        <v>2.9378000000000002</v>
      </c>
      <c r="Y135" s="1562">
        <v>0</v>
      </c>
      <c r="Z135" s="1562">
        <v>0</v>
      </c>
      <c r="AA135" s="1562">
        <v>0</v>
      </c>
      <c r="AB135" s="1562">
        <v>0</v>
      </c>
      <c r="AC135" s="1651"/>
      <c r="AD135" s="1651"/>
      <c r="AE135" s="1651"/>
      <c r="AF135" s="1651"/>
      <c r="AG135" s="1541">
        <f t="shared" si="39"/>
        <v>0</v>
      </c>
      <c r="AH135" s="1651"/>
      <c r="AI135" s="1651"/>
      <c r="AJ135" s="1650">
        <v>0.2</v>
      </c>
      <c r="AK135" s="1650">
        <v>1</v>
      </c>
      <c r="AL135" s="1651"/>
      <c r="AM135" s="1651"/>
      <c r="AN135" s="1651"/>
      <c r="AO135" s="1651"/>
      <c r="AP135" s="1651">
        <v>0</v>
      </c>
      <c r="AQ135" s="1651">
        <v>0</v>
      </c>
      <c r="AR135" s="1651">
        <v>0</v>
      </c>
      <c r="AS135" s="1651">
        <v>0</v>
      </c>
      <c r="AT135" s="1594">
        <f t="shared" si="40"/>
        <v>0</v>
      </c>
      <c r="AU135" s="1651">
        <v>0</v>
      </c>
      <c r="AV135" s="1651">
        <v>0</v>
      </c>
      <c r="AW135" s="1651">
        <v>0</v>
      </c>
      <c r="AX135" s="1538">
        <v>2.9378000000000002</v>
      </c>
      <c r="AY135" s="1651">
        <v>0</v>
      </c>
      <c r="AZ135" s="1651">
        <v>0</v>
      </c>
      <c r="BA135" s="1651">
        <v>0</v>
      </c>
      <c r="BB135" s="1651">
        <v>0</v>
      </c>
      <c r="BC135" s="1678"/>
      <c r="BD135" s="1678" t="s">
        <v>1792</v>
      </c>
      <c r="BE135" s="1678" t="s">
        <v>1793</v>
      </c>
    </row>
    <row r="136" spans="1:58" customFormat="1" ht="48.75" customHeight="1" outlineLevel="1" x14ac:dyDescent="0.25">
      <c r="A136" s="1679">
        <v>2.5</v>
      </c>
      <c r="B136" s="1680" t="s">
        <v>1802</v>
      </c>
      <c r="C136" s="1681" t="s">
        <v>938</v>
      </c>
      <c r="D136" s="1655" t="s">
        <v>1754</v>
      </c>
      <c r="E136" s="1637"/>
      <c r="F136" s="1360"/>
      <c r="G136" s="1412">
        <v>2.7534000000000001</v>
      </c>
      <c r="H136" s="1412"/>
      <c r="I136" s="1422"/>
      <c r="J136" s="1422"/>
      <c r="K136" s="1360" t="str">
        <f t="shared" si="52"/>
        <v>-</v>
      </c>
      <c r="L136" s="1380"/>
      <c r="M136" s="1380"/>
      <c r="N136" s="1383"/>
      <c r="O136" s="1383" t="s">
        <v>1803</v>
      </c>
      <c r="P136" s="1562">
        <v>0</v>
      </c>
      <c r="Q136" s="1562">
        <v>0</v>
      </c>
      <c r="R136" s="1562">
        <v>0</v>
      </c>
      <c r="S136" s="1562">
        <v>0</v>
      </c>
      <c r="T136" s="1594">
        <f t="shared" si="38"/>
        <v>0</v>
      </c>
      <c r="U136" s="1562">
        <v>0</v>
      </c>
      <c r="V136" s="1562">
        <v>0</v>
      </c>
      <c r="W136" s="1562">
        <v>0</v>
      </c>
      <c r="X136" s="1538">
        <v>2.7534000000000001</v>
      </c>
      <c r="Y136" s="1562">
        <v>0</v>
      </c>
      <c r="Z136" s="1562">
        <v>0</v>
      </c>
      <c r="AA136" s="1562">
        <v>0</v>
      </c>
      <c r="AB136" s="1562">
        <v>0</v>
      </c>
      <c r="AC136" s="1651"/>
      <c r="AD136" s="1651"/>
      <c r="AE136" s="1651"/>
      <c r="AF136" s="1651"/>
      <c r="AG136" s="1541">
        <f t="shared" si="39"/>
        <v>0</v>
      </c>
      <c r="AH136" s="1651"/>
      <c r="AI136" s="1651"/>
      <c r="AJ136" s="1650">
        <v>0.2</v>
      </c>
      <c r="AK136" s="1650">
        <v>1</v>
      </c>
      <c r="AL136" s="1651"/>
      <c r="AM136" s="1651"/>
      <c r="AN136" s="1651"/>
      <c r="AO136" s="1651"/>
      <c r="AP136" s="1651">
        <v>0</v>
      </c>
      <c r="AQ136" s="1651">
        <v>0</v>
      </c>
      <c r="AR136" s="1651">
        <v>0</v>
      </c>
      <c r="AS136" s="1651">
        <v>0</v>
      </c>
      <c r="AT136" s="1594">
        <f t="shared" si="40"/>
        <v>0</v>
      </c>
      <c r="AU136" s="1651">
        <v>0</v>
      </c>
      <c r="AV136" s="1651">
        <v>0</v>
      </c>
      <c r="AW136" s="1651">
        <v>0</v>
      </c>
      <c r="AX136" s="1538">
        <v>2.7534000000000001</v>
      </c>
      <c r="AY136" s="1651">
        <v>0</v>
      </c>
      <c r="AZ136" s="1651">
        <v>0</v>
      </c>
      <c r="BA136" s="1651">
        <v>0</v>
      </c>
      <c r="BB136" s="1651">
        <v>0</v>
      </c>
      <c r="BC136" s="1678"/>
      <c r="BD136" s="1678" t="s">
        <v>1792</v>
      </c>
      <c r="BE136" s="1678" t="s">
        <v>1793</v>
      </c>
    </row>
    <row r="137" spans="1:58" customFormat="1" ht="57" customHeight="1" outlineLevel="1" x14ac:dyDescent="0.25">
      <c r="A137" s="1679">
        <v>2.6</v>
      </c>
      <c r="B137" s="1680" t="s">
        <v>1804</v>
      </c>
      <c r="C137" s="1681" t="s">
        <v>938</v>
      </c>
      <c r="D137" s="1655" t="s">
        <v>1754</v>
      </c>
      <c r="E137" s="1637"/>
      <c r="F137" s="1360"/>
      <c r="G137" s="1412">
        <v>4.58</v>
      </c>
      <c r="H137" s="1412"/>
      <c r="I137" s="1422"/>
      <c r="J137" s="1422"/>
      <c r="K137" s="1360" t="str">
        <f t="shared" si="52"/>
        <v>-</v>
      </c>
      <c r="L137" s="1380"/>
      <c r="M137" s="1380"/>
      <c r="N137" s="1383"/>
      <c r="O137" s="1383" t="s">
        <v>1805</v>
      </c>
      <c r="P137" s="1562">
        <v>0</v>
      </c>
      <c r="Q137" s="1562">
        <v>0</v>
      </c>
      <c r="R137" s="1562">
        <v>0</v>
      </c>
      <c r="S137" s="1562">
        <v>0</v>
      </c>
      <c r="T137" s="1594">
        <f t="shared" si="38"/>
        <v>0</v>
      </c>
      <c r="U137" s="1562">
        <v>0</v>
      </c>
      <c r="V137" s="1562">
        <v>0</v>
      </c>
      <c r="W137" s="1562">
        <v>0</v>
      </c>
      <c r="X137" s="1538">
        <v>4.58</v>
      </c>
      <c r="Y137" s="1562">
        <v>0</v>
      </c>
      <c r="Z137" s="1562">
        <v>0</v>
      </c>
      <c r="AA137" s="1562">
        <v>0</v>
      </c>
      <c r="AB137" s="1562">
        <v>0</v>
      </c>
      <c r="AC137" s="1651"/>
      <c r="AD137" s="1651"/>
      <c r="AE137" s="1651"/>
      <c r="AF137" s="1651"/>
      <c r="AG137" s="1541">
        <f t="shared" si="39"/>
        <v>0</v>
      </c>
      <c r="AH137" s="1651"/>
      <c r="AI137" s="1651"/>
      <c r="AJ137" s="1650">
        <v>0.2</v>
      </c>
      <c r="AK137" s="1650">
        <v>1</v>
      </c>
      <c r="AL137" s="1651"/>
      <c r="AM137" s="1651"/>
      <c r="AN137" s="1651"/>
      <c r="AO137" s="1651"/>
      <c r="AP137" s="1651">
        <v>0</v>
      </c>
      <c r="AQ137" s="1651">
        <v>0</v>
      </c>
      <c r="AR137" s="1651">
        <v>0</v>
      </c>
      <c r="AS137" s="1651">
        <v>0</v>
      </c>
      <c r="AT137" s="1594">
        <f t="shared" si="40"/>
        <v>0</v>
      </c>
      <c r="AU137" s="1651">
        <v>0</v>
      </c>
      <c r="AV137" s="1651">
        <v>0</v>
      </c>
      <c r="AW137" s="1651">
        <v>0</v>
      </c>
      <c r="AX137" s="1538">
        <v>4.58</v>
      </c>
      <c r="AY137" s="1651">
        <v>0</v>
      </c>
      <c r="AZ137" s="1651">
        <v>0</v>
      </c>
      <c r="BA137" s="1651">
        <v>0</v>
      </c>
      <c r="BB137" s="1651">
        <v>0</v>
      </c>
      <c r="BC137" s="1678"/>
      <c r="BD137" s="1678" t="s">
        <v>1792</v>
      </c>
      <c r="BE137" s="1678" t="s">
        <v>1793</v>
      </c>
    </row>
    <row r="138" spans="1:58" customFormat="1" ht="57" customHeight="1" outlineLevel="1" x14ac:dyDescent="0.25">
      <c r="A138" s="1679">
        <v>2.7</v>
      </c>
      <c r="B138" s="1680" t="s">
        <v>1806</v>
      </c>
      <c r="C138" s="1662" t="s">
        <v>938</v>
      </c>
      <c r="D138" s="1655" t="s">
        <v>1754</v>
      </c>
      <c r="E138" s="1637"/>
      <c r="F138" s="1360"/>
      <c r="G138" s="1412">
        <v>19.402799999999999</v>
      </c>
      <c r="H138" s="1412"/>
      <c r="I138" s="1422"/>
      <c r="J138" s="1422"/>
      <c r="K138" s="1360"/>
      <c r="L138" s="1380"/>
      <c r="M138" s="1380"/>
      <c r="N138" s="1383"/>
      <c r="O138" s="1383" t="s">
        <v>1807</v>
      </c>
      <c r="P138" s="1562">
        <v>0</v>
      </c>
      <c r="Q138" s="1562">
        <v>0</v>
      </c>
      <c r="R138" s="1562">
        <v>0</v>
      </c>
      <c r="S138" s="1562">
        <v>0</v>
      </c>
      <c r="T138" s="1594">
        <f t="shared" si="38"/>
        <v>0</v>
      </c>
      <c r="U138" s="1562">
        <v>0</v>
      </c>
      <c r="V138" s="1562">
        <v>0</v>
      </c>
      <c r="W138" s="1562">
        <v>0</v>
      </c>
      <c r="X138" s="1538">
        <v>19.402799999999999</v>
      </c>
      <c r="Y138" s="1562">
        <v>0</v>
      </c>
      <c r="Z138" s="1562">
        <v>0</v>
      </c>
      <c r="AA138" s="1562">
        <v>0</v>
      </c>
      <c r="AB138" s="1562">
        <v>0</v>
      </c>
      <c r="AC138" s="1651"/>
      <c r="AD138" s="1651"/>
      <c r="AE138" s="1651"/>
      <c r="AF138" s="1651"/>
      <c r="AG138" s="1541">
        <f t="shared" si="39"/>
        <v>0</v>
      </c>
      <c r="AH138" s="1651"/>
      <c r="AI138" s="1651"/>
      <c r="AJ138" s="1650"/>
      <c r="AK138" s="1650"/>
      <c r="AL138" s="1651"/>
      <c r="AM138" s="1651"/>
      <c r="AN138" s="1651"/>
      <c r="AO138" s="1651"/>
      <c r="AP138" s="1651">
        <v>0</v>
      </c>
      <c r="AQ138" s="1651">
        <v>0</v>
      </c>
      <c r="AR138" s="1651">
        <v>0</v>
      </c>
      <c r="AS138" s="1651">
        <v>0</v>
      </c>
      <c r="AT138" s="1594">
        <f t="shared" si="40"/>
        <v>0</v>
      </c>
      <c r="AU138" s="1651">
        <v>0</v>
      </c>
      <c r="AV138" s="1651">
        <v>0</v>
      </c>
      <c r="AW138" s="1651">
        <v>0</v>
      </c>
      <c r="AX138" s="1538">
        <v>19.402799999999999</v>
      </c>
      <c r="AY138" s="1651">
        <v>0</v>
      </c>
      <c r="AZ138" s="1651">
        <v>0</v>
      </c>
      <c r="BA138" s="1651">
        <v>0</v>
      </c>
      <c r="BB138" s="1651">
        <v>0</v>
      </c>
      <c r="BC138" s="1678"/>
      <c r="BD138" s="1678" t="s">
        <v>1792</v>
      </c>
      <c r="BE138" s="1678" t="s">
        <v>1793</v>
      </c>
    </row>
    <row r="139" spans="1:58" customFormat="1" ht="33.75" customHeight="1" outlineLevel="1" x14ac:dyDescent="0.25">
      <c r="A139" s="1562"/>
      <c r="B139" s="1682" t="s">
        <v>413</v>
      </c>
      <c r="C139" s="1682"/>
      <c r="D139" s="1682"/>
      <c r="E139" s="1682"/>
      <c r="F139" s="1682"/>
      <c r="G139" s="1682"/>
      <c r="H139" s="1682"/>
      <c r="I139" s="1683"/>
      <c r="J139" s="1683"/>
      <c r="K139" s="1682"/>
      <c r="L139" s="1682"/>
      <c r="M139" s="1682"/>
      <c r="N139" s="1682"/>
      <c r="O139" s="1682"/>
      <c r="P139" s="1562"/>
      <c r="Q139" s="1562"/>
      <c r="R139" s="1562"/>
      <c r="S139" s="1562"/>
      <c r="T139" s="1594">
        <f t="shared" ref="T139:T202" si="53">SUM(P139:S139)</f>
        <v>0</v>
      </c>
      <c r="U139" s="1562"/>
      <c r="V139" s="1562"/>
      <c r="W139" s="1562"/>
      <c r="X139" s="1538">
        <v>0.8</v>
      </c>
      <c r="Y139" s="1562"/>
      <c r="Z139" s="1562"/>
      <c r="AA139" s="1562"/>
      <c r="AB139" s="1562"/>
      <c r="AC139" s="1565"/>
      <c r="AD139" s="1565"/>
      <c r="AE139" s="1565"/>
      <c r="AF139" s="1565"/>
      <c r="AG139" s="1541">
        <f t="shared" ref="AG139:AG202" si="54">SUM(AC139:AF139)</f>
        <v>0</v>
      </c>
      <c r="AH139" s="1565"/>
      <c r="AI139" s="1565"/>
      <c r="AJ139" s="1565"/>
      <c r="AK139" s="1565"/>
      <c r="AL139" s="1565"/>
      <c r="AM139" s="1565"/>
      <c r="AN139" s="1565"/>
      <c r="AO139" s="1565"/>
      <c r="AP139" s="1651">
        <v>0</v>
      </c>
      <c r="AQ139" s="1651">
        <v>0</v>
      </c>
      <c r="AR139" s="1651">
        <v>0</v>
      </c>
      <c r="AS139" s="1651">
        <v>0</v>
      </c>
      <c r="AT139" s="1594">
        <f t="shared" ref="AT139:AT202" si="55">SUM(AP139:AS139)</f>
        <v>0</v>
      </c>
      <c r="AU139" s="1651">
        <v>0</v>
      </c>
      <c r="AV139" s="1651">
        <v>0</v>
      </c>
      <c r="AW139" s="1651">
        <v>0</v>
      </c>
      <c r="AX139" s="1538">
        <v>0.8</v>
      </c>
      <c r="AY139" s="1651">
        <v>0</v>
      </c>
      <c r="AZ139" s="1651">
        <v>0</v>
      </c>
      <c r="BA139" s="1651">
        <v>0</v>
      </c>
      <c r="BB139" s="1651">
        <v>0</v>
      </c>
      <c r="BC139" s="1678"/>
      <c r="BD139" s="1651"/>
      <c r="BE139" s="1651"/>
    </row>
    <row r="140" spans="1:58" ht="43.5" outlineLevel="1" x14ac:dyDescent="0.25">
      <c r="A140" s="1634">
        <v>3</v>
      </c>
      <c r="B140" s="1656" t="s">
        <v>1808</v>
      </c>
      <c r="C140" s="1655" t="s">
        <v>931</v>
      </c>
      <c r="D140" s="1655" t="s">
        <v>1754</v>
      </c>
      <c r="E140" s="1637"/>
      <c r="F140" s="1360"/>
      <c r="G140" s="1677"/>
      <c r="H140" s="1412"/>
      <c r="I140" s="1422"/>
      <c r="J140" s="1422"/>
      <c r="K140" s="1366"/>
      <c r="L140" s="1366"/>
      <c r="M140" s="1366"/>
      <c r="N140" s="1366"/>
      <c r="O140" s="1366"/>
      <c r="P140" s="1651"/>
      <c r="Q140" s="1651"/>
      <c r="R140" s="1651"/>
      <c r="S140" s="1651"/>
      <c r="T140" s="1594">
        <f t="shared" si="53"/>
        <v>0</v>
      </c>
      <c r="U140" s="1651"/>
      <c r="V140" s="1651"/>
      <c r="W140" s="1651"/>
      <c r="X140" s="1651"/>
      <c r="Y140" s="1651"/>
      <c r="Z140" s="1651"/>
      <c r="AA140" s="1651"/>
      <c r="AB140" s="1651"/>
      <c r="AC140" s="1651"/>
      <c r="AD140" s="1651"/>
      <c r="AE140" s="1651"/>
      <c r="AF140" s="1651"/>
      <c r="AG140" s="1541">
        <f t="shared" si="54"/>
        <v>0</v>
      </c>
      <c r="AH140" s="1651"/>
      <c r="AI140" s="1651"/>
      <c r="AJ140" s="1651"/>
      <c r="AK140" s="1651"/>
      <c r="AL140" s="1651"/>
      <c r="AM140" s="1651"/>
      <c r="AN140" s="1651"/>
      <c r="AO140" s="1651"/>
      <c r="AP140" s="1651"/>
      <c r="AQ140" s="1651"/>
      <c r="AR140" s="1651"/>
      <c r="AS140" s="1651"/>
      <c r="AT140" s="1594">
        <f t="shared" si="55"/>
        <v>0</v>
      </c>
      <c r="AU140" s="1651"/>
      <c r="AV140" s="1651"/>
      <c r="AW140" s="1651"/>
      <c r="AX140" s="1651"/>
      <c r="AY140" s="1651"/>
      <c r="AZ140" s="1651"/>
      <c r="BA140" s="1651"/>
      <c r="BB140" s="1651"/>
      <c r="BC140" s="1678"/>
      <c r="BD140" s="1678" t="s">
        <v>2098</v>
      </c>
      <c r="BE140" s="1678" t="s">
        <v>1809</v>
      </c>
    </row>
    <row r="141" spans="1:58" customFormat="1" ht="51.75" customHeight="1" outlineLevel="1" x14ac:dyDescent="0.25">
      <c r="A141" s="1679">
        <v>3.1</v>
      </c>
      <c r="B141" s="1680" t="s">
        <v>1810</v>
      </c>
      <c r="C141" s="1662" t="s">
        <v>938</v>
      </c>
      <c r="D141" s="1655" t="s">
        <v>1754</v>
      </c>
      <c r="E141" s="1637"/>
      <c r="F141" s="1360"/>
      <c r="G141" s="1514">
        <v>23.423100000000002</v>
      </c>
      <c r="H141" s="1412"/>
      <c r="I141" s="1422"/>
      <c r="J141" s="1422"/>
      <c r="K141" s="1366"/>
      <c r="L141" s="1365"/>
      <c r="M141" s="1365"/>
      <c r="N141" s="1369"/>
      <c r="O141" s="1684" t="s">
        <v>1811</v>
      </c>
      <c r="P141" s="1562">
        <v>0</v>
      </c>
      <c r="Q141" s="1562">
        <v>0</v>
      </c>
      <c r="R141" s="1562">
        <v>0</v>
      </c>
      <c r="S141" s="1562">
        <v>0</v>
      </c>
      <c r="T141" s="1594">
        <f t="shared" si="53"/>
        <v>0</v>
      </c>
      <c r="U141" s="1562">
        <v>0</v>
      </c>
      <c r="V141" s="1562">
        <v>0</v>
      </c>
      <c r="W141" s="1562">
        <v>0</v>
      </c>
      <c r="X141" s="1514">
        <v>23.423100000000002</v>
      </c>
      <c r="Y141" s="1562"/>
      <c r="Z141" s="1562"/>
      <c r="AA141" s="1562"/>
      <c r="AB141" s="1562"/>
      <c r="AC141" s="1561"/>
      <c r="AD141" s="1685"/>
      <c r="AE141" s="1561"/>
      <c r="AF141" s="1565"/>
      <c r="AG141" s="1541">
        <f t="shared" si="54"/>
        <v>0</v>
      </c>
      <c r="AH141" s="1565"/>
      <c r="AI141" s="1565"/>
      <c r="AJ141" s="1565"/>
      <c r="AK141" s="1650">
        <v>1</v>
      </c>
      <c r="AL141" s="1565"/>
      <c r="AM141" s="1565"/>
      <c r="AN141" s="1365"/>
      <c r="AO141" s="1365"/>
      <c r="AP141" s="1651">
        <v>0</v>
      </c>
      <c r="AQ141" s="1651">
        <v>0</v>
      </c>
      <c r="AR141" s="1651">
        <v>0</v>
      </c>
      <c r="AS141" s="1651">
        <v>0</v>
      </c>
      <c r="AT141" s="1594">
        <f t="shared" si="55"/>
        <v>0</v>
      </c>
      <c r="AU141" s="1651">
        <v>0</v>
      </c>
      <c r="AV141" s="1651">
        <v>0</v>
      </c>
      <c r="AW141" s="1651">
        <v>0</v>
      </c>
      <c r="AX141" s="1514">
        <v>23.423100000000002</v>
      </c>
      <c r="AY141" s="1651">
        <v>0</v>
      </c>
      <c r="AZ141" s="1651">
        <v>0</v>
      </c>
      <c r="BA141" s="1651">
        <v>0</v>
      </c>
      <c r="BB141" s="1651">
        <v>0</v>
      </c>
      <c r="BC141" s="1678"/>
      <c r="BD141" s="1678"/>
      <c r="BE141" s="1678" t="s">
        <v>1809</v>
      </c>
    </row>
    <row r="142" spans="1:58" customFormat="1" ht="41.25" customHeight="1" outlineLevel="1" x14ac:dyDescent="0.25">
      <c r="A142" s="1679">
        <v>3.2</v>
      </c>
      <c r="B142" s="1680" t="s">
        <v>1812</v>
      </c>
      <c r="C142" s="1662" t="s">
        <v>938</v>
      </c>
      <c r="D142" s="1655" t="s">
        <v>1754</v>
      </c>
      <c r="E142" s="1637"/>
      <c r="F142" s="1360"/>
      <c r="G142" s="1514">
        <v>15.57</v>
      </c>
      <c r="H142" s="1412"/>
      <c r="I142" s="1422"/>
      <c r="J142" s="1422"/>
      <c r="K142" s="1366"/>
      <c r="L142" s="1365"/>
      <c r="M142" s="1365"/>
      <c r="N142" s="1369"/>
      <c r="O142" s="1684" t="s">
        <v>1813</v>
      </c>
      <c r="P142" s="1562">
        <v>0</v>
      </c>
      <c r="Q142" s="1562">
        <v>0</v>
      </c>
      <c r="R142" s="1562">
        <v>0</v>
      </c>
      <c r="S142" s="1562">
        <v>0</v>
      </c>
      <c r="T142" s="1594">
        <f t="shared" si="53"/>
        <v>0</v>
      </c>
      <c r="U142" s="1562">
        <v>0</v>
      </c>
      <c r="V142" s="1562">
        <v>0</v>
      </c>
      <c r="W142" s="1562">
        <v>0</v>
      </c>
      <c r="X142" s="1514">
        <v>15.57</v>
      </c>
      <c r="Y142" s="1562"/>
      <c r="Z142" s="1562"/>
      <c r="AA142" s="1562"/>
      <c r="AB142" s="1562"/>
      <c r="AC142" s="1561"/>
      <c r="AD142" s="1685"/>
      <c r="AE142" s="1561"/>
      <c r="AF142" s="1565"/>
      <c r="AG142" s="1541">
        <f t="shared" si="54"/>
        <v>0</v>
      </c>
      <c r="AH142" s="1565"/>
      <c r="AI142" s="1565"/>
      <c r="AJ142" s="1565"/>
      <c r="AK142" s="1650">
        <v>1</v>
      </c>
      <c r="AL142" s="1565"/>
      <c r="AM142" s="1565"/>
      <c r="AN142" s="1365"/>
      <c r="AO142" s="1365"/>
      <c r="AP142" s="1651">
        <v>0</v>
      </c>
      <c r="AQ142" s="1651">
        <v>0</v>
      </c>
      <c r="AR142" s="1651">
        <v>0</v>
      </c>
      <c r="AS142" s="1651">
        <v>0</v>
      </c>
      <c r="AT142" s="1594">
        <f t="shared" si="55"/>
        <v>0</v>
      </c>
      <c r="AU142" s="1651">
        <v>0</v>
      </c>
      <c r="AV142" s="1651">
        <v>0</v>
      </c>
      <c r="AW142" s="1651">
        <v>0</v>
      </c>
      <c r="AX142" s="1514">
        <v>15.57</v>
      </c>
      <c r="AY142" s="1651">
        <v>0</v>
      </c>
      <c r="AZ142" s="1651">
        <v>0</v>
      </c>
      <c r="BA142" s="1651">
        <v>0</v>
      </c>
      <c r="BB142" s="1651">
        <v>0</v>
      </c>
      <c r="BC142" s="1678"/>
      <c r="BD142" s="1678" t="s">
        <v>2098</v>
      </c>
      <c r="BE142" s="1678" t="s">
        <v>1809</v>
      </c>
    </row>
    <row r="143" spans="1:58" customFormat="1" ht="33.75" customHeight="1" outlineLevel="1" x14ac:dyDescent="0.25">
      <c r="A143" s="1562"/>
      <c r="B143" s="1682" t="s">
        <v>413</v>
      </c>
      <c r="C143" s="1682"/>
      <c r="D143" s="1563" t="s">
        <v>1754</v>
      </c>
      <c r="E143" s="1682"/>
      <c r="F143" s="1682"/>
      <c r="G143" s="1682"/>
      <c r="H143" s="1682"/>
      <c r="I143" s="1683"/>
      <c r="J143" s="1683"/>
      <c r="K143" s="1682"/>
      <c r="L143" s="1682"/>
      <c r="M143" s="1682"/>
      <c r="N143" s="1682"/>
      <c r="O143" s="1682"/>
      <c r="P143" s="1562">
        <v>0</v>
      </c>
      <c r="Q143" s="1562">
        <v>0</v>
      </c>
      <c r="R143" s="1562">
        <v>0</v>
      </c>
      <c r="S143" s="1562">
        <v>0</v>
      </c>
      <c r="T143" s="1594">
        <f t="shared" si="53"/>
        <v>0</v>
      </c>
      <c r="U143" s="1562">
        <v>0</v>
      </c>
      <c r="V143" s="1562">
        <v>0</v>
      </c>
      <c r="W143" s="1562">
        <v>0</v>
      </c>
      <c r="X143" s="1538"/>
      <c r="Y143" s="1562"/>
      <c r="Z143" s="1562"/>
      <c r="AA143" s="1562"/>
      <c r="AB143" s="1562"/>
      <c r="AC143" s="1565"/>
      <c r="AD143" s="1565"/>
      <c r="AE143" s="1565"/>
      <c r="AF143" s="1565"/>
      <c r="AG143" s="1541">
        <f t="shared" si="54"/>
        <v>0</v>
      </c>
      <c r="AH143" s="1565"/>
      <c r="AI143" s="1565"/>
      <c r="AJ143" s="1565"/>
      <c r="AK143" s="1565"/>
      <c r="AL143" s="1565"/>
      <c r="AM143" s="1565"/>
      <c r="AN143" s="1565"/>
      <c r="AO143" s="1565"/>
      <c r="AP143" s="1651"/>
      <c r="AQ143" s="1651"/>
      <c r="AR143" s="1651"/>
      <c r="AS143" s="1651"/>
      <c r="AT143" s="1594">
        <f t="shared" si="55"/>
        <v>0</v>
      </c>
      <c r="AU143" s="1651"/>
      <c r="AV143" s="1651"/>
      <c r="AW143" s="1651"/>
      <c r="AX143" s="1538"/>
      <c r="AY143" s="1651"/>
      <c r="AZ143" s="1651"/>
      <c r="BA143" s="1651"/>
      <c r="BB143" s="1651"/>
      <c r="BC143" s="1651"/>
      <c r="BD143" s="1651"/>
      <c r="BE143" s="1651"/>
    </row>
    <row r="144" spans="1:58" ht="101.5" outlineLevel="1" x14ac:dyDescent="0.25">
      <c r="A144" s="1634">
        <v>4</v>
      </c>
      <c r="B144" s="1656" t="s">
        <v>1814</v>
      </c>
      <c r="C144" s="1655" t="s">
        <v>931</v>
      </c>
      <c r="D144" s="1655" t="s">
        <v>1754</v>
      </c>
      <c r="E144" s="1637"/>
      <c r="F144" s="1360"/>
      <c r="G144" s="1677"/>
      <c r="H144" s="1412"/>
      <c r="I144" s="1422"/>
      <c r="J144" s="1422"/>
      <c r="K144" s="1366"/>
      <c r="L144" s="1366"/>
      <c r="M144" s="1366"/>
      <c r="N144" s="1366"/>
      <c r="O144" s="1366"/>
      <c r="P144" s="1651"/>
      <c r="Q144" s="1651"/>
      <c r="R144" s="1651"/>
      <c r="S144" s="1651"/>
      <c r="T144" s="1594">
        <f t="shared" si="53"/>
        <v>0</v>
      </c>
      <c r="U144" s="1651"/>
      <c r="V144" s="1651"/>
      <c r="W144" s="1651"/>
      <c r="X144" s="1651"/>
      <c r="Y144" s="1651"/>
      <c r="Z144" s="1651"/>
      <c r="AA144" s="1651"/>
      <c r="AB144" s="1651"/>
      <c r="AC144" s="1651"/>
      <c r="AD144" s="1651"/>
      <c r="AE144" s="1651"/>
      <c r="AF144" s="1651"/>
      <c r="AG144" s="1541">
        <f t="shared" si="54"/>
        <v>0</v>
      </c>
      <c r="AH144" s="1651"/>
      <c r="AI144" s="1651"/>
      <c r="AJ144" s="1651"/>
      <c r="AK144" s="1651"/>
      <c r="AL144" s="1651"/>
      <c r="AM144" s="1651"/>
      <c r="AN144" s="1651"/>
      <c r="AO144" s="1651"/>
      <c r="AP144" s="1651"/>
      <c r="AQ144" s="1651"/>
      <c r="AR144" s="1651"/>
      <c r="AS144" s="1651"/>
      <c r="AT144" s="1594">
        <f t="shared" si="55"/>
        <v>0</v>
      </c>
      <c r="AU144" s="1651"/>
      <c r="AV144" s="1651"/>
      <c r="AW144" s="1651"/>
      <c r="AX144" s="1651"/>
      <c r="AY144" s="1651"/>
      <c r="AZ144" s="1651"/>
      <c r="BA144" s="1651"/>
      <c r="BB144" s="1651"/>
      <c r="BC144" s="1686"/>
      <c r="BD144" s="1686" t="s">
        <v>1809</v>
      </c>
      <c r="BE144" s="1678" t="s">
        <v>1809</v>
      </c>
    </row>
    <row r="145" spans="1:58" customFormat="1" ht="41.25" customHeight="1" outlineLevel="1" x14ac:dyDescent="0.35">
      <c r="A145" s="1679">
        <v>4.0999999999999996</v>
      </c>
      <c r="B145" s="1680" t="s">
        <v>1815</v>
      </c>
      <c r="C145" s="1662" t="s">
        <v>938</v>
      </c>
      <c r="D145" s="1655" t="s">
        <v>1754</v>
      </c>
      <c r="E145" s="1637"/>
      <c r="F145" s="1360"/>
      <c r="G145" s="1573">
        <v>15</v>
      </c>
      <c r="H145" s="1412"/>
      <c r="I145" s="1422"/>
      <c r="J145" s="1422"/>
      <c r="K145" s="1366"/>
      <c r="L145" s="1365"/>
      <c r="M145" s="1365"/>
      <c r="N145" s="1369"/>
      <c r="O145" s="1684" t="s">
        <v>1816</v>
      </c>
      <c r="P145" s="1562">
        <v>0</v>
      </c>
      <c r="Q145" s="1562">
        <v>0</v>
      </c>
      <c r="R145" s="1562">
        <v>0</v>
      </c>
      <c r="S145" s="1562">
        <v>0</v>
      </c>
      <c r="T145" s="1594">
        <f t="shared" si="53"/>
        <v>0</v>
      </c>
      <c r="U145" s="1562">
        <v>0</v>
      </c>
      <c r="V145" s="1562">
        <v>0</v>
      </c>
      <c r="W145" s="1562">
        <v>0</v>
      </c>
      <c r="X145" s="1562">
        <v>0</v>
      </c>
      <c r="Y145" s="1573">
        <v>15</v>
      </c>
      <c r="Z145" s="1562">
        <v>0</v>
      </c>
      <c r="AA145" s="1562">
        <v>0</v>
      </c>
      <c r="AB145" s="1562">
        <v>0</v>
      </c>
      <c r="AC145" s="1561"/>
      <c r="AD145" s="1685"/>
      <c r="AE145" s="1561"/>
      <c r="AF145" s="1565"/>
      <c r="AG145" s="1541">
        <f t="shared" si="54"/>
        <v>0</v>
      </c>
      <c r="AH145" s="1565"/>
      <c r="AI145" s="1565"/>
      <c r="AJ145" s="1565"/>
      <c r="AK145" s="1565"/>
      <c r="AL145" s="1650">
        <v>1</v>
      </c>
      <c r="AM145" s="1565"/>
      <c r="AN145" s="1365"/>
      <c r="AO145" s="1365"/>
      <c r="AP145" s="1651">
        <v>0</v>
      </c>
      <c r="AQ145" s="1651">
        <v>0</v>
      </c>
      <c r="AR145" s="1651">
        <v>0</v>
      </c>
      <c r="AS145" s="1651">
        <v>0</v>
      </c>
      <c r="AT145" s="1594">
        <f t="shared" si="55"/>
        <v>0</v>
      </c>
      <c r="AU145" s="1651">
        <v>0</v>
      </c>
      <c r="AV145" s="1651">
        <v>0</v>
      </c>
      <c r="AW145" s="1651">
        <v>0</v>
      </c>
      <c r="AX145" s="1651">
        <v>0</v>
      </c>
      <c r="AY145" s="1573">
        <v>15</v>
      </c>
      <c r="AZ145" s="1651">
        <v>0</v>
      </c>
      <c r="BA145" s="1651">
        <v>0</v>
      </c>
      <c r="BB145" s="1651">
        <v>0</v>
      </c>
      <c r="BC145" s="1686"/>
      <c r="BD145" s="1686" t="s">
        <v>2098</v>
      </c>
      <c r="BE145" s="1687" t="s">
        <v>1809</v>
      </c>
    </row>
    <row r="146" spans="1:58" customFormat="1" ht="41.25" customHeight="1" outlineLevel="1" x14ac:dyDescent="0.35">
      <c r="A146" s="1679">
        <v>4.2</v>
      </c>
      <c r="B146" s="1680" t="s">
        <v>1817</v>
      </c>
      <c r="C146" s="1662" t="s">
        <v>938</v>
      </c>
      <c r="D146" s="1655" t="s">
        <v>1754</v>
      </c>
      <c r="E146" s="1637"/>
      <c r="F146" s="1360"/>
      <c r="G146" s="1573">
        <v>3.51</v>
      </c>
      <c r="H146" s="1412"/>
      <c r="I146" s="1422"/>
      <c r="J146" s="1422"/>
      <c r="K146" s="1366"/>
      <c r="L146" s="1365"/>
      <c r="M146" s="1365"/>
      <c r="N146" s="1369"/>
      <c r="O146" s="1684" t="s">
        <v>1818</v>
      </c>
      <c r="P146" s="1562">
        <v>0</v>
      </c>
      <c r="Q146" s="1562">
        <v>0</v>
      </c>
      <c r="R146" s="1562">
        <v>0</v>
      </c>
      <c r="S146" s="1562">
        <v>0</v>
      </c>
      <c r="T146" s="1594">
        <f t="shared" si="53"/>
        <v>0</v>
      </c>
      <c r="U146" s="1562">
        <v>0</v>
      </c>
      <c r="V146" s="1562">
        <v>0</v>
      </c>
      <c r="W146" s="1562">
        <v>0</v>
      </c>
      <c r="X146" s="1562">
        <v>0</v>
      </c>
      <c r="Y146" s="1573">
        <v>3.51</v>
      </c>
      <c r="Z146" s="1562">
        <v>0</v>
      </c>
      <c r="AA146" s="1562">
        <v>0</v>
      </c>
      <c r="AB146" s="1562">
        <v>0</v>
      </c>
      <c r="AC146" s="1561"/>
      <c r="AD146" s="1685"/>
      <c r="AE146" s="1561"/>
      <c r="AF146" s="1565"/>
      <c r="AG146" s="1541">
        <f t="shared" si="54"/>
        <v>0</v>
      </c>
      <c r="AH146" s="1565"/>
      <c r="AI146" s="1565"/>
      <c r="AJ146" s="1565"/>
      <c r="AK146" s="1565"/>
      <c r="AL146" s="1650">
        <v>1</v>
      </c>
      <c r="AM146" s="1565"/>
      <c r="AN146" s="1365"/>
      <c r="AO146" s="1365"/>
      <c r="AP146" s="1651">
        <v>0</v>
      </c>
      <c r="AQ146" s="1651">
        <v>0</v>
      </c>
      <c r="AR146" s="1651">
        <v>0</v>
      </c>
      <c r="AS146" s="1651">
        <v>0</v>
      </c>
      <c r="AT146" s="1594">
        <f t="shared" si="55"/>
        <v>0</v>
      </c>
      <c r="AU146" s="1651">
        <v>0</v>
      </c>
      <c r="AV146" s="1651">
        <v>0</v>
      </c>
      <c r="AW146" s="1651">
        <v>0</v>
      </c>
      <c r="AX146" s="1651">
        <v>0</v>
      </c>
      <c r="AY146" s="1573">
        <v>3.51</v>
      </c>
      <c r="AZ146" s="1651">
        <v>0</v>
      </c>
      <c r="BA146" s="1651">
        <v>0</v>
      </c>
      <c r="BB146" s="1651">
        <v>0</v>
      </c>
      <c r="BC146" s="797"/>
      <c r="BD146" s="1686" t="s">
        <v>1809</v>
      </c>
      <c r="BE146" s="1687" t="s">
        <v>1809</v>
      </c>
    </row>
    <row r="147" spans="1:58" customFormat="1" ht="41.25" customHeight="1" outlineLevel="1" x14ac:dyDescent="0.35">
      <c r="A147" s="1679">
        <v>4.3</v>
      </c>
      <c r="B147" s="1680" t="s">
        <v>1819</v>
      </c>
      <c r="C147" s="1662" t="s">
        <v>938</v>
      </c>
      <c r="D147" s="1655" t="s">
        <v>1754</v>
      </c>
      <c r="E147" s="1637"/>
      <c r="F147" s="1360"/>
      <c r="G147" s="1573">
        <v>4.59</v>
      </c>
      <c r="H147" s="1412"/>
      <c r="I147" s="1422"/>
      <c r="J147" s="1422"/>
      <c r="K147" s="1366"/>
      <c r="L147" s="1365"/>
      <c r="M147" s="1365"/>
      <c r="N147" s="1369"/>
      <c r="O147" s="1684" t="s">
        <v>1820</v>
      </c>
      <c r="P147" s="1562">
        <v>0</v>
      </c>
      <c r="Q147" s="1562">
        <v>0</v>
      </c>
      <c r="R147" s="1562">
        <v>0</v>
      </c>
      <c r="S147" s="1562">
        <v>0</v>
      </c>
      <c r="T147" s="1594">
        <f t="shared" si="53"/>
        <v>0</v>
      </c>
      <c r="U147" s="1562">
        <v>0</v>
      </c>
      <c r="V147" s="1562">
        <v>0</v>
      </c>
      <c r="W147" s="1562">
        <v>0</v>
      </c>
      <c r="X147" s="1562">
        <v>0</v>
      </c>
      <c r="Y147" s="1573">
        <v>4.59</v>
      </c>
      <c r="Z147" s="1562">
        <v>0</v>
      </c>
      <c r="AA147" s="1562">
        <v>0</v>
      </c>
      <c r="AB147" s="1562">
        <v>0</v>
      </c>
      <c r="AC147" s="1561"/>
      <c r="AD147" s="1685"/>
      <c r="AE147" s="1561"/>
      <c r="AF147" s="1565"/>
      <c r="AG147" s="1541">
        <f t="shared" si="54"/>
        <v>0</v>
      </c>
      <c r="AH147" s="1565"/>
      <c r="AI147" s="1565"/>
      <c r="AJ147" s="1565"/>
      <c r="AK147" s="1565"/>
      <c r="AL147" s="1650">
        <v>1</v>
      </c>
      <c r="AM147" s="1565"/>
      <c r="AN147" s="1365"/>
      <c r="AO147" s="1365"/>
      <c r="AP147" s="1651">
        <v>0</v>
      </c>
      <c r="AQ147" s="1651">
        <v>0</v>
      </c>
      <c r="AR147" s="1651">
        <v>0</v>
      </c>
      <c r="AS147" s="1651">
        <v>0</v>
      </c>
      <c r="AT147" s="1594">
        <f t="shared" si="55"/>
        <v>0</v>
      </c>
      <c r="AU147" s="1651">
        <v>0</v>
      </c>
      <c r="AV147" s="1651">
        <v>0</v>
      </c>
      <c r="AW147" s="1651">
        <v>0</v>
      </c>
      <c r="AX147" s="1651">
        <v>0</v>
      </c>
      <c r="AY147" s="1573">
        <v>4.59</v>
      </c>
      <c r="AZ147" s="1651">
        <v>0</v>
      </c>
      <c r="BA147" s="1651">
        <v>0</v>
      </c>
      <c r="BB147" s="1651">
        <v>0</v>
      </c>
      <c r="BC147" s="1686"/>
      <c r="BD147" s="1686" t="s">
        <v>1809</v>
      </c>
      <c r="BE147" s="1687" t="s">
        <v>1809</v>
      </c>
    </row>
    <row r="148" spans="1:58" customFormat="1" ht="41.25" customHeight="1" outlineLevel="1" x14ac:dyDescent="0.35">
      <c r="A148" s="1679">
        <v>4.4000000000000004</v>
      </c>
      <c r="B148" s="1680" t="s">
        <v>1821</v>
      </c>
      <c r="C148" s="1662" t="s">
        <v>938</v>
      </c>
      <c r="D148" s="1655" t="s">
        <v>1754</v>
      </c>
      <c r="E148" s="1637"/>
      <c r="F148" s="1360"/>
      <c r="G148" s="1573">
        <v>3.89</v>
      </c>
      <c r="H148" s="1412"/>
      <c r="I148" s="1422"/>
      <c r="J148" s="1422"/>
      <c r="K148" s="1366"/>
      <c r="L148" s="1365"/>
      <c r="M148" s="1365"/>
      <c r="N148" s="1369"/>
      <c r="O148" s="1684" t="s">
        <v>1822</v>
      </c>
      <c r="P148" s="1562">
        <v>0</v>
      </c>
      <c r="Q148" s="1562">
        <v>0</v>
      </c>
      <c r="R148" s="1562">
        <v>0</v>
      </c>
      <c r="S148" s="1562">
        <v>0</v>
      </c>
      <c r="T148" s="1594">
        <f t="shared" si="53"/>
        <v>0</v>
      </c>
      <c r="U148" s="1562">
        <v>0</v>
      </c>
      <c r="V148" s="1562">
        <v>0</v>
      </c>
      <c r="W148" s="1562">
        <v>0</v>
      </c>
      <c r="X148" s="1562">
        <v>0</v>
      </c>
      <c r="Y148" s="1573">
        <v>3.89</v>
      </c>
      <c r="Z148" s="1562">
        <v>0</v>
      </c>
      <c r="AA148" s="1562">
        <v>0</v>
      </c>
      <c r="AB148" s="1562">
        <v>0</v>
      </c>
      <c r="AC148" s="1561"/>
      <c r="AD148" s="1685"/>
      <c r="AE148" s="1561"/>
      <c r="AF148" s="1565"/>
      <c r="AG148" s="1541">
        <f t="shared" si="54"/>
        <v>0</v>
      </c>
      <c r="AH148" s="1565"/>
      <c r="AI148" s="1565"/>
      <c r="AJ148" s="1565"/>
      <c r="AK148" s="1565"/>
      <c r="AL148" s="1650">
        <v>1</v>
      </c>
      <c r="AM148" s="1565"/>
      <c r="AN148" s="1365"/>
      <c r="AO148" s="1365"/>
      <c r="AP148" s="1651">
        <v>0</v>
      </c>
      <c r="AQ148" s="1651">
        <v>0</v>
      </c>
      <c r="AR148" s="1651">
        <v>0</v>
      </c>
      <c r="AS148" s="1651">
        <v>0</v>
      </c>
      <c r="AT148" s="1594">
        <f t="shared" si="55"/>
        <v>0</v>
      </c>
      <c r="AU148" s="1651">
        <v>0</v>
      </c>
      <c r="AV148" s="1651">
        <v>0</v>
      </c>
      <c r="AW148" s="1651">
        <v>0</v>
      </c>
      <c r="AX148" s="1651">
        <v>0</v>
      </c>
      <c r="AY148" s="1573">
        <v>3.89</v>
      </c>
      <c r="AZ148" s="1651">
        <v>0</v>
      </c>
      <c r="BA148" s="1651">
        <v>0</v>
      </c>
      <c r="BB148" s="1651">
        <v>0</v>
      </c>
      <c r="BC148" s="1686"/>
      <c r="BD148" s="1686" t="s">
        <v>1809</v>
      </c>
      <c r="BE148" s="1687" t="s">
        <v>1809</v>
      </c>
    </row>
    <row r="149" spans="1:58" customFormat="1" ht="33.75" customHeight="1" outlineLevel="1" x14ac:dyDescent="0.25">
      <c r="A149" s="1562"/>
      <c r="B149" s="1682" t="s">
        <v>413</v>
      </c>
      <c r="C149" s="1682"/>
      <c r="D149" s="1563" t="s">
        <v>1754</v>
      </c>
      <c r="E149" s="1682"/>
      <c r="F149" s="1682"/>
      <c r="G149" s="1682"/>
      <c r="H149" s="1682"/>
      <c r="I149" s="1683"/>
      <c r="J149" s="1683"/>
      <c r="K149" s="1682"/>
      <c r="L149" s="1682"/>
      <c r="M149" s="1682"/>
      <c r="N149" s="1682"/>
      <c r="O149" s="1682"/>
      <c r="P149" s="1562">
        <v>0</v>
      </c>
      <c r="Q149" s="1562">
        <v>0</v>
      </c>
      <c r="R149" s="1562">
        <v>0</v>
      </c>
      <c r="S149" s="1562">
        <v>0</v>
      </c>
      <c r="T149" s="1594">
        <f t="shared" si="53"/>
        <v>0</v>
      </c>
      <c r="U149" s="1562">
        <v>0</v>
      </c>
      <c r="V149" s="1562">
        <v>0</v>
      </c>
      <c r="W149" s="1562">
        <v>0</v>
      </c>
      <c r="X149" s="1562">
        <v>0</v>
      </c>
      <c r="Y149" s="1573"/>
      <c r="Z149" s="1562"/>
      <c r="AA149" s="1562"/>
      <c r="AB149" s="1562"/>
      <c r="AC149" s="1565"/>
      <c r="AD149" s="1565"/>
      <c r="AE149" s="1565"/>
      <c r="AF149" s="1565"/>
      <c r="AG149" s="1541">
        <f t="shared" si="54"/>
        <v>0</v>
      </c>
      <c r="AH149" s="1565"/>
      <c r="AI149" s="1565"/>
      <c r="AJ149" s="1565"/>
      <c r="AK149" s="1565"/>
      <c r="AL149" s="1565"/>
      <c r="AM149" s="1565"/>
      <c r="AN149" s="1565"/>
      <c r="AO149" s="1565"/>
      <c r="AP149" s="1651"/>
      <c r="AQ149" s="1651"/>
      <c r="AR149" s="1651"/>
      <c r="AS149" s="1651"/>
      <c r="AT149" s="1594">
        <f t="shared" si="55"/>
        <v>0</v>
      </c>
      <c r="AU149" s="1651"/>
      <c r="AV149" s="1651"/>
      <c r="AW149" s="1651"/>
      <c r="AX149" s="1651"/>
      <c r="AY149" s="1573"/>
      <c r="AZ149" s="1651"/>
      <c r="BA149" s="1651"/>
      <c r="BB149" s="1651"/>
      <c r="BC149" s="1562"/>
      <c r="BD149" s="1651"/>
      <c r="BE149" s="1651"/>
    </row>
    <row r="150" spans="1:58" ht="36" customHeight="1" outlineLevel="1" x14ac:dyDescent="0.25">
      <c r="A150" s="1634">
        <v>5</v>
      </c>
      <c r="B150" s="1688" t="s">
        <v>1823</v>
      </c>
      <c r="C150" s="1655" t="s">
        <v>931</v>
      </c>
      <c r="D150" s="1563" t="s">
        <v>1754</v>
      </c>
      <c r="E150" s="1637"/>
      <c r="F150" s="1360"/>
      <c r="G150" s="1677"/>
      <c r="H150" s="1412"/>
      <c r="I150" s="1422"/>
      <c r="J150" s="1422"/>
      <c r="K150" s="1366"/>
      <c r="L150" s="1366"/>
      <c r="M150" s="1366"/>
      <c r="N150" s="1366"/>
      <c r="O150" s="1366"/>
      <c r="P150" s="1651"/>
      <c r="Q150" s="1651"/>
      <c r="R150" s="1651"/>
      <c r="S150" s="1651"/>
      <c r="T150" s="1594">
        <f t="shared" si="53"/>
        <v>0</v>
      </c>
      <c r="U150" s="1651"/>
      <c r="V150" s="1651"/>
      <c r="W150" s="1651"/>
      <c r="X150" s="1651"/>
      <c r="Y150" s="1651"/>
      <c r="Z150" s="1651"/>
      <c r="AA150" s="1651"/>
      <c r="AB150" s="1651"/>
      <c r="AC150" s="1651"/>
      <c r="AD150" s="1651"/>
      <c r="AE150" s="1651"/>
      <c r="AF150" s="1651"/>
      <c r="AG150" s="1541">
        <f t="shared" si="54"/>
        <v>0</v>
      </c>
      <c r="AH150" s="1651"/>
      <c r="AI150" s="1651"/>
      <c r="AJ150" s="1651"/>
      <c r="AK150" s="1651"/>
      <c r="AL150" s="1651"/>
      <c r="AM150" s="1651"/>
      <c r="AN150" s="1651"/>
      <c r="AO150" s="1651"/>
      <c r="AP150" s="1651"/>
      <c r="AQ150" s="1651"/>
      <c r="AR150" s="1651"/>
      <c r="AS150" s="1651"/>
      <c r="AT150" s="1594">
        <f t="shared" si="55"/>
        <v>0</v>
      </c>
      <c r="AU150" s="1651"/>
      <c r="AV150" s="1651"/>
      <c r="AW150" s="1651"/>
      <c r="AX150" s="1651"/>
      <c r="AY150" s="1651"/>
      <c r="AZ150" s="1651"/>
      <c r="BA150" s="1651"/>
      <c r="BB150" s="1651"/>
      <c r="BC150" s="1689"/>
      <c r="BD150" s="1690"/>
      <c r="BE150" s="1691"/>
    </row>
    <row r="151" spans="1:58" ht="36" customHeight="1" outlineLevel="1" x14ac:dyDescent="0.35">
      <c r="A151" s="1679">
        <v>5.0999999999999996</v>
      </c>
      <c r="B151" s="1680" t="s">
        <v>1824</v>
      </c>
      <c r="C151" s="1655"/>
      <c r="D151" s="1563" t="s">
        <v>1754</v>
      </c>
      <c r="E151" s="1637"/>
      <c r="F151" s="1360"/>
      <c r="G151" s="1412">
        <v>10</v>
      </c>
      <c r="H151" s="1412"/>
      <c r="I151" s="1422"/>
      <c r="J151" s="1422"/>
      <c r="K151" s="1366"/>
      <c r="L151" s="1366"/>
      <c r="M151" s="1366"/>
      <c r="N151" s="1366"/>
      <c r="O151" s="1413" t="s">
        <v>1719</v>
      </c>
      <c r="P151" s="1651"/>
      <c r="Q151" s="1651"/>
      <c r="R151" s="1651"/>
      <c r="S151" s="1651"/>
      <c r="T151" s="1594">
        <f t="shared" si="53"/>
        <v>0</v>
      </c>
      <c r="U151" s="1651"/>
      <c r="V151" s="1651"/>
      <c r="W151" s="1651"/>
      <c r="X151" s="1573">
        <v>5</v>
      </c>
      <c r="Y151" s="1573">
        <v>5</v>
      </c>
      <c r="Z151" s="1651"/>
      <c r="AA151" s="1651"/>
      <c r="AB151" s="1651"/>
      <c r="AC151" s="1651"/>
      <c r="AD151" s="1651"/>
      <c r="AE151" s="1651"/>
      <c r="AF151" s="1651"/>
      <c r="AG151" s="1541">
        <f t="shared" si="54"/>
        <v>0</v>
      </c>
      <c r="AH151" s="1651"/>
      <c r="AI151" s="1651"/>
      <c r="AJ151" s="1651"/>
      <c r="AK151" s="1650">
        <v>0.5</v>
      </c>
      <c r="AL151" s="1650">
        <v>1</v>
      </c>
      <c r="AM151" s="1651"/>
      <c r="AN151" s="1651"/>
      <c r="AO151" s="1651"/>
      <c r="AP151" s="1651"/>
      <c r="AQ151" s="1651"/>
      <c r="AR151" s="1651"/>
      <c r="AS151" s="1651"/>
      <c r="AT151" s="1594">
        <f t="shared" si="55"/>
        <v>0</v>
      </c>
      <c r="AU151" s="1651"/>
      <c r="AV151" s="1651"/>
      <c r="AW151" s="1651"/>
      <c r="AX151" s="1573">
        <v>5</v>
      </c>
      <c r="AY151" s="1573">
        <v>5</v>
      </c>
      <c r="AZ151" s="1651"/>
      <c r="BA151" s="1651"/>
      <c r="BB151" s="1651"/>
      <c r="BC151" s="1689"/>
      <c r="BD151" s="1687"/>
      <c r="BE151" s="1687" t="s">
        <v>1809</v>
      </c>
    </row>
    <row r="152" spans="1:58" customFormat="1" ht="53.25" customHeight="1" outlineLevel="1" x14ac:dyDescent="0.35">
      <c r="A152" s="1679">
        <v>5.2</v>
      </c>
      <c r="B152" s="1680" t="s">
        <v>1825</v>
      </c>
      <c r="C152" s="1662" t="s">
        <v>938</v>
      </c>
      <c r="D152" s="1563" t="s">
        <v>1754</v>
      </c>
      <c r="E152" s="1637"/>
      <c r="F152" s="1360"/>
      <c r="G152" s="1412">
        <v>2.5499999999999998</v>
      </c>
      <c r="H152" s="1412"/>
      <c r="I152" s="1422"/>
      <c r="J152" s="1422"/>
      <c r="K152" s="1366"/>
      <c r="L152" s="1365"/>
      <c r="M152" s="1365"/>
      <c r="N152" s="1369"/>
      <c r="O152" s="1413" t="s">
        <v>1826</v>
      </c>
      <c r="P152" s="1562">
        <v>0</v>
      </c>
      <c r="Q152" s="1562">
        <v>0</v>
      </c>
      <c r="R152" s="1562">
        <v>0</v>
      </c>
      <c r="S152" s="1562">
        <v>0</v>
      </c>
      <c r="T152" s="1594">
        <f t="shared" si="53"/>
        <v>0</v>
      </c>
      <c r="U152" s="1562">
        <v>0</v>
      </c>
      <c r="V152" s="1562">
        <v>0</v>
      </c>
      <c r="W152" s="1562">
        <v>0</v>
      </c>
      <c r="X152" s="1573">
        <v>1.25</v>
      </c>
      <c r="Y152" s="1573">
        <v>1.3</v>
      </c>
      <c r="Z152" s="1562"/>
      <c r="AA152" s="1562"/>
      <c r="AB152" s="1562"/>
      <c r="AC152" s="1561"/>
      <c r="AD152" s="1685"/>
      <c r="AE152" s="1561"/>
      <c r="AF152" s="1565"/>
      <c r="AG152" s="1541">
        <f t="shared" si="54"/>
        <v>0</v>
      </c>
      <c r="AH152" s="1565"/>
      <c r="AI152" s="1565"/>
      <c r="AJ152" s="1565"/>
      <c r="AK152" s="1650">
        <v>0.5</v>
      </c>
      <c r="AL152" s="1650">
        <v>1</v>
      </c>
      <c r="AM152" s="1565"/>
      <c r="AN152" s="1365"/>
      <c r="AO152" s="1365"/>
      <c r="AP152" s="1651">
        <v>0</v>
      </c>
      <c r="AQ152" s="1651">
        <v>0</v>
      </c>
      <c r="AR152" s="1651">
        <v>0</v>
      </c>
      <c r="AS152" s="1651">
        <v>0</v>
      </c>
      <c r="AT152" s="1594">
        <f t="shared" si="55"/>
        <v>0</v>
      </c>
      <c r="AU152" s="1651">
        <v>0</v>
      </c>
      <c r="AV152" s="1651">
        <v>0</v>
      </c>
      <c r="AW152" s="1651">
        <v>0</v>
      </c>
      <c r="AX152" s="1573">
        <v>1.25</v>
      </c>
      <c r="AY152" s="1573">
        <v>1.3</v>
      </c>
      <c r="AZ152" s="1651">
        <v>0</v>
      </c>
      <c r="BA152" s="1651">
        <v>0</v>
      </c>
      <c r="BB152" s="1651">
        <v>0</v>
      </c>
      <c r="BC152" s="1686"/>
      <c r="BD152" s="1686" t="s">
        <v>1809</v>
      </c>
      <c r="BE152" s="1687" t="s">
        <v>1809</v>
      </c>
    </row>
    <row r="153" spans="1:58" customFormat="1" ht="41.25" customHeight="1" outlineLevel="1" x14ac:dyDescent="0.35">
      <c r="A153" s="1679">
        <v>5.3</v>
      </c>
      <c r="B153" s="1680" t="s">
        <v>1827</v>
      </c>
      <c r="C153" s="1662" t="s">
        <v>938</v>
      </c>
      <c r="D153" s="1563" t="s">
        <v>1754</v>
      </c>
      <c r="E153" s="1637"/>
      <c r="F153" s="1360"/>
      <c r="G153" s="1412">
        <v>22.5</v>
      </c>
      <c r="H153" s="1412"/>
      <c r="I153" s="1422"/>
      <c r="J153" s="1422"/>
      <c r="K153" s="1366"/>
      <c r="L153" s="1365"/>
      <c r="M153" s="1365"/>
      <c r="N153" s="1369"/>
      <c r="O153" s="1365"/>
      <c r="P153" s="1562">
        <v>0</v>
      </c>
      <c r="Q153" s="1562">
        <v>0</v>
      </c>
      <c r="R153" s="1562">
        <v>0</v>
      </c>
      <c r="S153" s="1562">
        <v>0</v>
      </c>
      <c r="T153" s="1594">
        <f t="shared" si="53"/>
        <v>0</v>
      </c>
      <c r="U153" s="1562">
        <v>0</v>
      </c>
      <c r="V153" s="1562">
        <v>0</v>
      </c>
      <c r="W153" s="1562">
        <v>0</v>
      </c>
      <c r="X153" s="1573">
        <v>11</v>
      </c>
      <c r="Y153" s="1573">
        <v>11.5</v>
      </c>
      <c r="Z153" s="1562"/>
      <c r="AA153" s="1562"/>
      <c r="AB153" s="1562"/>
      <c r="AC153" s="1561"/>
      <c r="AD153" s="1685"/>
      <c r="AE153" s="1561"/>
      <c r="AF153" s="1565"/>
      <c r="AG153" s="1541">
        <f t="shared" si="54"/>
        <v>0</v>
      </c>
      <c r="AH153" s="1565"/>
      <c r="AI153" s="1565"/>
      <c r="AJ153" s="1565"/>
      <c r="AK153" s="1650">
        <v>0.5</v>
      </c>
      <c r="AL153" s="1650">
        <v>1</v>
      </c>
      <c r="AM153" s="1565"/>
      <c r="AN153" s="1365"/>
      <c r="AO153" s="1365"/>
      <c r="AP153" s="1651">
        <v>0</v>
      </c>
      <c r="AQ153" s="1651">
        <v>0</v>
      </c>
      <c r="AR153" s="1651">
        <v>0</v>
      </c>
      <c r="AS153" s="1651">
        <v>0</v>
      </c>
      <c r="AT153" s="1594">
        <f t="shared" si="55"/>
        <v>0</v>
      </c>
      <c r="AU153" s="1651">
        <v>0</v>
      </c>
      <c r="AV153" s="1651">
        <v>0</v>
      </c>
      <c r="AW153" s="1651">
        <v>0</v>
      </c>
      <c r="AX153" s="1573">
        <v>11</v>
      </c>
      <c r="AY153" s="1573">
        <v>11.5</v>
      </c>
      <c r="AZ153" s="1651">
        <v>0</v>
      </c>
      <c r="BA153" s="1651">
        <v>0</v>
      </c>
      <c r="BB153" s="1651">
        <v>0</v>
      </c>
      <c r="BC153" s="1686"/>
      <c r="BD153" s="1686" t="s">
        <v>1809</v>
      </c>
      <c r="BE153" s="1687" t="s">
        <v>1809</v>
      </c>
    </row>
    <row r="154" spans="1:58" customFormat="1" ht="41.25" customHeight="1" outlineLevel="1" x14ac:dyDescent="0.35">
      <c r="A154" s="1679">
        <v>5.4</v>
      </c>
      <c r="B154" s="1680" t="s">
        <v>1828</v>
      </c>
      <c r="C154" s="1662" t="s">
        <v>938</v>
      </c>
      <c r="D154" s="1563" t="s">
        <v>1754</v>
      </c>
      <c r="E154" s="1637"/>
      <c r="F154" s="1360"/>
      <c r="G154" s="1412">
        <v>25.5</v>
      </c>
      <c r="H154" s="1412"/>
      <c r="I154" s="1422"/>
      <c r="J154" s="1422"/>
      <c r="K154" s="1366"/>
      <c r="L154" s="1365"/>
      <c r="M154" s="1365"/>
      <c r="N154" s="1369"/>
      <c r="O154" s="1365"/>
      <c r="P154" s="1562">
        <v>0</v>
      </c>
      <c r="Q154" s="1562">
        <v>0</v>
      </c>
      <c r="R154" s="1562">
        <v>0</v>
      </c>
      <c r="S154" s="1562">
        <v>0</v>
      </c>
      <c r="T154" s="1594">
        <f t="shared" si="53"/>
        <v>0</v>
      </c>
      <c r="U154" s="1562">
        <v>0</v>
      </c>
      <c r="V154" s="1562">
        <v>0</v>
      </c>
      <c r="W154" s="1562">
        <v>0</v>
      </c>
      <c r="X154" s="1573">
        <v>12.5</v>
      </c>
      <c r="Y154" s="1573">
        <v>13</v>
      </c>
      <c r="Z154" s="1562"/>
      <c r="AA154" s="1562"/>
      <c r="AB154" s="1562"/>
      <c r="AC154" s="1561"/>
      <c r="AD154" s="1685"/>
      <c r="AE154" s="1561"/>
      <c r="AF154" s="1565"/>
      <c r="AG154" s="1541">
        <f t="shared" si="54"/>
        <v>0</v>
      </c>
      <c r="AH154" s="1565"/>
      <c r="AI154" s="1565"/>
      <c r="AJ154" s="1565"/>
      <c r="AK154" s="1650">
        <v>0.5</v>
      </c>
      <c r="AL154" s="1650">
        <v>1</v>
      </c>
      <c r="AM154" s="1565"/>
      <c r="AN154" s="1365"/>
      <c r="AO154" s="1365"/>
      <c r="AP154" s="1651">
        <v>0</v>
      </c>
      <c r="AQ154" s="1651">
        <v>0</v>
      </c>
      <c r="AR154" s="1651">
        <v>0</v>
      </c>
      <c r="AS154" s="1651">
        <v>0</v>
      </c>
      <c r="AT154" s="1594">
        <f t="shared" si="55"/>
        <v>0</v>
      </c>
      <c r="AU154" s="1651">
        <v>0</v>
      </c>
      <c r="AV154" s="1651">
        <v>0</v>
      </c>
      <c r="AW154" s="1651">
        <v>0</v>
      </c>
      <c r="AX154" s="1573">
        <v>12.5</v>
      </c>
      <c r="AY154" s="1573">
        <v>13</v>
      </c>
      <c r="AZ154" s="1651">
        <v>0</v>
      </c>
      <c r="BA154" s="1651">
        <v>0</v>
      </c>
      <c r="BB154" s="1651">
        <v>0</v>
      </c>
      <c r="BC154" s="1686"/>
      <c r="BD154" s="1686" t="s">
        <v>1809</v>
      </c>
      <c r="BE154" s="1687" t="s">
        <v>1809</v>
      </c>
    </row>
    <row r="155" spans="1:58" customFormat="1" ht="41.25" customHeight="1" outlineLevel="1" x14ac:dyDescent="0.35">
      <c r="A155" s="1679">
        <v>5.5</v>
      </c>
      <c r="B155" s="1680" t="s">
        <v>1829</v>
      </c>
      <c r="C155" s="1662" t="s">
        <v>938</v>
      </c>
      <c r="D155" s="1563" t="s">
        <v>1754</v>
      </c>
      <c r="E155" s="1637"/>
      <c r="F155" s="1360"/>
      <c r="G155" s="1412">
        <v>3.5</v>
      </c>
      <c r="H155" s="1412"/>
      <c r="I155" s="1422"/>
      <c r="J155" s="1422"/>
      <c r="K155" s="1366"/>
      <c r="L155" s="1365"/>
      <c r="M155" s="1365"/>
      <c r="N155" s="1369"/>
      <c r="O155" s="1365"/>
      <c r="P155" s="1562">
        <v>0</v>
      </c>
      <c r="Q155" s="1562">
        <v>0</v>
      </c>
      <c r="R155" s="1562">
        <v>0</v>
      </c>
      <c r="S155" s="1562">
        <v>0</v>
      </c>
      <c r="T155" s="1594">
        <f t="shared" si="53"/>
        <v>0</v>
      </c>
      <c r="U155" s="1562">
        <v>0</v>
      </c>
      <c r="V155" s="1562">
        <v>0</v>
      </c>
      <c r="W155" s="1562">
        <v>0</v>
      </c>
      <c r="X155" s="1573">
        <v>1.1000000000000001</v>
      </c>
      <c r="Y155" s="1573">
        <v>2.4</v>
      </c>
      <c r="Z155" s="1562"/>
      <c r="AA155" s="1562"/>
      <c r="AB155" s="1562"/>
      <c r="AC155" s="1561"/>
      <c r="AD155" s="1685"/>
      <c r="AE155" s="1561"/>
      <c r="AF155" s="1565"/>
      <c r="AG155" s="1541">
        <f t="shared" si="54"/>
        <v>0</v>
      </c>
      <c r="AH155" s="1565"/>
      <c r="AI155" s="1565"/>
      <c r="AJ155" s="1565"/>
      <c r="AK155" s="1650">
        <v>0.5</v>
      </c>
      <c r="AL155" s="1650">
        <v>1</v>
      </c>
      <c r="AM155" s="1565"/>
      <c r="AN155" s="1365"/>
      <c r="AO155" s="1365"/>
      <c r="AP155" s="1651">
        <v>0</v>
      </c>
      <c r="AQ155" s="1651">
        <v>0</v>
      </c>
      <c r="AR155" s="1651">
        <v>0</v>
      </c>
      <c r="AS155" s="1651">
        <v>0</v>
      </c>
      <c r="AT155" s="1594">
        <f t="shared" si="55"/>
        <v>0</v>
      </c>
      <c r="AU155" s="1651">
        <v>0</v>
      </c>
      <c r="AV155" s="1651">
        <v>0</v>
      </c>
      <c r="AW155" s="1651">
        <v>0</v>
      </c>
      <c r="AX155" s="1573">
        <v>1.1000000000000001</v>
      </c>
      <c r="AY155" s="1573">
        <v>2.4</v>
      </c>
      <c r="AZ155" s="1651">
        <v>0</v>
      </c>
      <c r="BA155" s="1651">
        <v>0</v>
      </c>
      <c r="BB155" s="1651">
        <v>0</v>
      </c>
      <c r="BC155" s="1686"/>
      <c r="BD155" s="1686" t="s">
        <v>1809</v>
      </c>
      <c r="BE155" s="1687" t="s">
        <v>1809</v>
      </c>
    </row>
    <row r="156" spans="1:58" customFormat="1" ht="41.25" customHeight="1" outlineLevel="1" x14ac:dyDescent="0.35">
      <c r="A156" s="1679">
        <v>5.6</v>
      </c>
      <c r="B156" s="1680" t="s">
        <v>1830</v>
      </c>
      <c r="C156" s="1662" t="s">
        <v>938</v>
      </c>
      <c r="D156" s="1563" t="s">
        <v>1754</v>
      </c>
      <c r="E156" s="1637"/>
      <c r="F156" s="1360"/>
      <c r="G156" s="1412">
        <v>8</v>
      </c>
      <c r="H156" s="1412"/>
      <c r="I156" s="1422"/>
      <c r="J156" s="1422"/>
      <c r="K156" s="1366"/>
      <c r="L156" s="1365"/>
      <c r="M156" s="1365"/>
      <c r="N156" s="1369"/>
      <c r="O156" s="1365"/>
      <c r="P156" s="1562">
        <v>0</v>
      </c>
      <c r="Q156" s="1562">
        <v>0</v>
      </c>
      <c r="R156" s="1562">
        <v>0</v>
      </c>
      <c r="S156" s="1562">
        <v>0</v>
      </c>
      <c r="T156" s="1594">
        <f t="shared" si="53"/>
        <v>0</v>
      </c>
      <c r="U156" s="1562">
        <v>0</v>
      </c>
      <c r="V156" s="1562">
        <v>0</v>
      </c>
      <c r="W156" s="1562">
        <v>0</v>
      </c>
      <c r="X156" s="1562"/>
      <c r="Y156" s="1573">
        <v>8</v>
      </c>
      <c r="Z156" s="1562"/>
      <c r="AA156" s="1562"/>
      <c r="AB156" s="1562"/>
      <c r="AC156" s="1561"/>
      <c r="AD156" s="1685"/>
      <c r="AE156" s="1561"/>
      <c r="AF156" s="1565"/>
      <c r="AG156" s="1541">
        <f t="shared" si="54"/>
        <v>0</v>
      </c>
      <c r="AH156" s="1565"/>
      <c r="AI156" s="1565"/>
      <c r="AJ156" s="1565"/>
      <c r="AK156" s="1565"/>
      <c r="AL156" s="1650">
        <v>1</v>
      </c>
      <c r="AM156" s="1565"/>
      <c r="AN156" s="1365"/>
      <c r="AO156" s="1365"/>
      <c r="AP156" s="1651">
        <v>0</v>
      </c>
      <c r="AQ156" s="1651">
        <v>0</v>
      </c>
      <c r="AR156" s="1651">
        <v>0</v>
      </c>
      <c r="AS156" s="1651">
        <v>0</v>
      </c>
      <c r="AT156" s="1594">
        <f t="shared" si="55"/>
        <v>0</v>
      </c>
      <c r="AU156" s="1651">
        <v>0</v>
      </c>
      <c r="AV156" s="1651">
        <v>0</v>
      </c>
      <c r="AW156" s="1651">
        <v>0</v>
      </c>
      <c r="AX156" s="1562"/>
      <c r="AY156" s="1573">
        <v>8</v>
      </c>
      <c r="AZ156" s="1651">
        <v>0</v>
      </c>
      <c r="BA156" s="1651">
        <v>0</v>
      </c>
      <c r="BB156" s="1651">
        <v>0</v>
      </c>
      <c r="BC156" s="1686"/>
      <c r="BD156" s="1686" t="s">
        <v>1809</v>
      </c>
      <c r="BE156" s="1687" t="s">
        <v>1809</v>
      </c>
    </row>
    <row r="157" spans="1:58" customFormat="1" ht="33.75" customHeight="1" outlineLevel="1" x14ac:dyDescent="0.35">
      <c r="A157" s="1562"/>
      <c r="B157" s="1682" t="s">
        <v>413</v>
      </c>
      <c r="C157" s="1682"/>
      <c r="D157" s="1563" t="s">
        <v>1754</v>
      </c>
      <c r="E157" s="1682"/>
      <c r="F157" s="1682"/>
      <c r="G157" s="1682"/>
      <c r="H157" s="1682"/>
      <c r="I157" s="1683"/>
      <c r="J157" s="1683"/>
      <c r="K157" s="1682"/>
      <c r="L157" s="1682"/>
      <c r="M157" s="1682"/>
      <c r="N157" s="1682"/>
      <c r="O157" s="1682"/>
      <c r="P157" s="1562">
        <v>0</v>
      </c>
      <c r="Q157" s="1562">
        <v>0</v>
      </c>
      <c r="R157" s="1562">
        <v>0</v>
      </c>
      <c r="S157" s="1562">
        <v>0</v>
      </c>
      <c r="T157" s="1594">
        <f t="shared" si="53"/>
        <v>0</v>
      </c>
      <c r="U157" s="1562">
        <v>0</v>
      </c>
      <c r="V157" s="1562">
        <v>0</v>
      </c>
      <c r="W157" s="1562">
        <v>0</v>
      </c>
      <c r="X157" s="1562">
        <v>0</v>
      </c>
      <c r="Y157" s="1573"/>
      <c r="Z157" s="1562"/>
      <c r="AA157" s="1562"/>
      <c r="AB157" s="1562"/>
      <c r="AC157" s="1565"/>
      <c r="AD157" s="1565"/>
      <c r="AE157" s="1565"/>
      <c r="AF157" s="1565"/>
      <c r="AG157" s="1541">
        <f t="shared" si="54"/>
        <v>0</v>
      </c>
      <c r="AH157" s="1565"/>
      <c r="AI157" s="1565"/>
      <c r="AJ157" s="1565"/>
      <c r="AK157" s="1565"/>
      <c r="AL157" s="1579"/>
      <c r="AM157" s="1565"/>
      <c r="AN157" s="1565"/>
      <c r="AO157" s="1565"/>
      <c r="AP157" s="1651"/>
      <c r="AQ157" s="1651"/>
      <c r="AR157" s="1651"/>
      <c r="AS157" s="1651"/>
      <c r="AT157" s="1594">
        <f t="shared" si="55"/>
        <v>0</v>
      </c>
      <c r="AU157" s="1651"/>
      <c r="AV157" s="1651"/>
      <c r="AW157" s="1651"/>
      <c r="AX157" s="1651"/>
      <c r="AY157" s="1573"/>
      <c r="AZ157" s="1651">
        <v>0</v>
      </c>
      <c r="BA157" s="1651">
        <v>0</v>
      </c>
      <c r="BB157" s="1651">
        <v>0</v>
      </c>
      <c r="BC157" s="797"/>
      <c r="BD157" s="797"/>
      <c r="BE157" s="1687"/>
    </row>
    <row r="158" spans="1:58" ht="26.25" customHeight="1" outlineLevel="1" x14ac:dyDescent="0.25">
      <c r="A158" s="1692">
        <v>6</v>
      </c>
      <c r="B158" s="1693" t="s">
        <v>1831</v>
      </c>
      <c r="C158" s="1655" t="s">
        <v>931</v>
      </c>
      <c r="D158" s="1563" t="s">
        <v>1754</v>
      </c>
      <c r="E158" s="1637"/>
      <c r="F158" s="1360"/>
      <c r="G158" s="1694"/>
      <c r="H158" s="1412"/>
      <c r="I158" s="1365"/>
      <c r="J158" s="1365"/>
      <c r="K158" s="1359"/>
      <c r="L158" s="1387"/>
      <c r="M158" s="1387"/>
      <c r="N158" s="1388"/>
      <c r="O158" s="1380"/>
      <c r="P158" s="1562"/>
      <c r="Q158" s="1562"/>
      <c r="R158" s="1562"/>
      <c r="S158" s="1562"/>
      <c r="T158" s="1594">
        <f t="shared" si="53"/>
        <v>0</v>
      </c>
      <c r="U158" s="1562"/>
      <c r="V158" s="1562"/>
      <c r="W158" s="1562"/>
      <c r="X158" s="1562"/>
      <c r="Y158" s="1562"/>
      <c r="Z158" s="1562"/>
      <c r="AA158" s="1562"/>
      <c r="AB158" s="1562"/>
      <c r="AC158" s="1562"/>
      <c r="AD158" s="1562"/>
      <c r="AE158" s="1562"/>
      <c r="AF158" s="1562"/>
      <c r="AG158" s="1541">
        <f t="shared" si="54"/>
        <v>0</v>
      </c>
      <c r="AH158" s="1562"/>
      <c r="AI158" s="1562"/>
      <c r="AJ158" s="1562"/>
      <c r="AK158" s="1562"/>
      <c r="AL158" s="1562"/>
      <c r="AM158" s="1562"/>
      <c r="AN158" s="1562"/>
      <c r="AO158" s="1562"/>
      <c r="AP158" s="1562"/>
      <c r="AQ158" s="1562"/>
      <c r="AR158" s="1562"/>
      <c r="AS158" s="1562"/>
      <c r="AT158" s="1594">
        <f t="shared" si="55"/>
        <v>0</v>
      </c>
      <c r="AU158" s="1562"/>
      <c r="AV158" s="1562"/>
      <c r="AW158" s="1562"/>
      <c r="AX158" s="1562"/>
      <c r="AY158" s="1562"/>
      <c r="AZ158" s="1562"/>
      <c r="BA158" s="1562"/>
      <c r="BB158" s="1562"/>
      <c r="BC158" s="1689"/>
      <c r="BD158" s="1690"/>
      <c r="BE158" s="1695"/>
      <c r="BF158" s="1355"/>
    </row>
    <row r="159" spans="1:58" customFormat="1" ht="51.75" customHeight="1" outlineLevel="1" x14ac:dyDescent="0.35">
      <c r="A159" s="1679">
        <v>6.1</v>
      </c>
      <c r="B159" s="1680" t="s">
        <v>1832</v>
      </c>
      <c r="C159" s="1662" t="s">
        <v>938</v>
      </c>
      <c r="D159" s="1563" t="s">
        <v>1754</v>
      </c>
      <c r="E159" s="1637"/>
      <c r="F159" s="1360"/>
      <c r="G159" s="1412">
        <v>2.75</v>
      </c>
      <c r="H159" s="1412"/>
      <c r="I159" s="1422"/>
      <c r="J159" s="1422"/>
      <c r="K159" s="1366"/>
      <c r="L159" s="1365"/>
      <c r="M159" s="1365"/>
      <c r="N159" s="1369"/>
      <c r="O159" s="1413" t="s">
        <v>1826</v>
      </c>
      <c r="P159" s="1562">
        <v>0</v>
      </c>
      <c r="Q159" s="1562">
        <v>0</v>
      </c>
      <c r="R159" s="1562">
        <v>0</v>
      </c>
      <c r="S159" s="1562">
        <v>0</v>
      </c>
      <c r="T159" s="1594">
        <f t="shared" si="53"/>
        <v>0</v>
      </c>
      <c r="U159" s="1562">
        <v>0</v>
      </c>
      <c r="V159" s="1562">
        <v>0</v>
      </c>
      <c r="W159" s="1562">
        <v>0</v>
      </c>
      <c r="X159" s="1562">
        <v>0</v>
      </c>
      <c r="Y159" s="1562">
        <v>0</v>
      </c>
      <c r="Z159" s="1573">
        <v>1.35</v>
      </c>
      <c r="AA159" s="1573">
        <v>1.4</v>
      </c>
      <c r="AB159" s="1562"/>
      <c r="AC159" s="1561"/>
      <c r="AD159" s="1685"/>
      <c r="AE159" s="1561"/>
      <c r="AF159" s="1565"/>
      <c r="AG159" s="1541">
        <f t="shared" si="54"/>
        <v>0</v>
      </c>
      <c r="AH159" s="1565"/>
      <c r="AI159" s="1565"/>
      <c r="AJ159" s="1565"/>
      <c r="AK159" s="1565"/>
      <c r="AL159" s="1565"/>
      <c r="AM159" s="1650">
        <v>0.5</v>
      </c>
      <c r="AN159" s="1650">
        <v>1</v>
      </c>
      <c r="AO159" s="1365"/>
      <c r="AP159" s="1651">
        <v>0</v>
      </c>
      <c r="AQ159" s="1651">
        <v>0</v>
      </c>
      <c r="AR159" s="1651">
        <v>0</v>
      </c>
      <c r="AS159" s="1651">
        <v>0</v>
      </c>
      <c r="AT159" s="1594">
        <f t="shared" si="55"/>
        <v>0</v>
      </c>
      <c r="AU159" s="1651">
        <v>0</v>
      </c>
      <c r="AV159" s="1651">
        <v>0</v>
      </c>
      <c r="AW159" s="1651">
        <v>0</v>
      </c>
      <c r="AX159" s="1651">
        <v>0</v>
      </c>
      <c r="AY159" s="1651">
        <v>0</v>
      </c>
      <c r="AZ159" s="1573">
        <v>1.35</v>
      </c>
      <c r="BA159" s="1573">
        <v>1.4</v>
      </c>
      <c r="BB159" s="1562"/>
      <c r="BC159" s="1686"/>
      <c r="BD159" s="1686" t="s">
        <v>1809</v>
      </c>
      <c r="BE159" s="1687" t="s">
        <v>1809</v>
      </c>
    </row>
    <row r="160" spans="1:58" customFormat="1" ht="41.25" customHeight="1" outlineLevel="1" x14ac:dyDescent="0.35">
      <c r="A160" s="1679">
        <v>6.2</v>
      </c>
      <c r="B160" s="1680" t="s">
        <v>1829</v>
      </c>
      <c r="C160" s="1662" t="s">
        <v>938</v>
      </c>
      <c r="D160" s="1563" t="s">
        <v>1754</v>
      </c>
      <c r="E160" s="1637"/>
      <c r="F160" s="1360"/>
      <c r="G160" s="1412">
        <v>4.05</v>
      </c>
      <c r="H160" s="1412"/>
      <c r="I160" s="1422"/>
      <c r="J160" s="1422"/>
      <c r="K160" s="1366"/>
      <c r="L160" s="1365"/>
      <c r="M160" s="1365"/>
      <c r="N160" s="1369"/>
      <c r="O160" s="1365"/>
      <c r="P160" s="1562">
        <v>0</v>
      </c>
      <c r="Q160" s="1562">
        <v>0</v>
      </c>
      <c r="R160" s="1562">
        <v>0</v>
      </c>
      <c r="S160" s="1562">
        <v>0</v>
      </c>
      <c r="T160" s="1594">
        <f t="shared" si="53"/>
        <v>0</v>
      </c>
      <c r="U160" s="1562">
        <v>0</v>
      </c>
      <c r="V160" s="1562">
        <v>0</v>
      </c>
      <c r="W160" s="1562">
        <v>0</v>
      </c>
      <c r="X160" s="1562">
        <v>0</v>
      </c>
      <c r="Y160" s="1562">
        <v>0</v>
      </c>
      <c r="Z160" s="1562"/>
      <c r="AA160" s="1573">
        <v>2.7</v>
      </c>
      <c r="AB160" s="1573">
        <v>1.35</v>
      </c>
      <c r="AC160" s="1561"/>
      <c r="AD160" s="1685"/>
      <c r="AE160" s="1561"/>
      <c r="AF160" s="1565"/>
      <c r="AG160" s="1541">
        <f t="shared" si="54"/>
        <v>0</v>
      </c>
      <c r="AH160" s="1565"/>
      <c r="AI160" s="1565"/>
      <c r="AJ160" s="1565"/>
      <c r="AK160" s="1565"/>
      <c r="AL160" s="1565"/>
      <c r="AM160" s="1565"/>
      <c r="AN160" s="1650">
        <v>0.5</v>
      </c>
      <c r="AO160" s="1650">
        <v>1</v>
      </c>
      <c r="AP160" s="1651">
        <v>0</v>
      </c>
      <c r="AQ160" s="1651">
        <v>0</v>
      </c>
      <c r="AR160" s="1651">
        <v>0</v>
      </c>
      <c r="AS160" s="1651">
        <v>0</v>
      </c>
      <c r="AT160" s="1594">
        <f t="shared" si="55"/>
        <v>0</v>
      </c>
      <c r="AU160" s="1651">
        <v>0</v>
      </c>
      <c r="AV160" s="1651">
        <v>0</v>
      </c>
      <c r="AW160" s="1651">
        <v>0</v>
      </c>
      <c r="AX160" s="1651">
        <v>0</v>
      </c>
      <c r="AY160" s="1651">
        <v>0</v>
      </c>
      <c r="AZ160" s="1562"/>
      <c r="BA160" s="1573">
        <v>2.7</v>
      </c>
      <c r="BB160" s="1573">
        <v>1.35</v>
      </c>
      <c r="BC160" s="1686"/>
      <c r="BD160" s="1686" t="s">
        <v>1809</v>
      </c>
      <c r="BE160" s="1687" t="s">
        <v>1809</v>
      </c>
    </row>
    <row r="161" spans="1:58" customFormat="1" ht="41.25" customHeight="1" outlineLevel="1" x14ac:dyDescent="0.35">
      <c r="A161" s="1679">
        <v>6.3</v>
      </c>
      <c r="B161" s="1680" t="s">
        <v>1833</v>
      </c>
      <c r="C161" s="1662" t="s">
        <v>938</v>
      </c>
      <c r="D161" s="1563" t="s">
        <v>1754</v>
      </c>
      <c r="E161" s="1637"/>
      <c r="F161" s="1360"/>
      <c r="G161" s="1412">
        <v>7</v>
      </c>
      <c r="H161" s="1412"/>
      <c r="I161" s="1422"/>
      <c r="J161" s="1422"/>
      <c r="K161" s="1366"/>
      <c r="L161" s="1365"/>
      <c r="M161" s="1365"/>
      <c r="N161" s="1369"/>
      <c r="O161" s="1365"/>
      <c r="P161" s="1562">
        <v>0</v>
      </c>
      <c r="Q161" s="1562">
        <v>0</v>
      </c>
      <c r="R161" s="1562">
        <v>0</v>
      </c>
      <c r="S161" s="1562">
        <v>0</v>
      </c>
      <c r="T161" s="1594">
        <f t="shared" si="53"/>
        <v>0</v>
      </c>
      <c r="U161" s="1562">
        <v>0</v>
      </c>
      <c r="V161" s="1562">
        <v>0</v>
      </c>
      <c r="W161" s="1562">
        <v>0</v>
      </c>
      <c r="X161" s="1562">
        <v>0</v>
      </c>
      <c r="Y161" s="1562">
        <v>0</v>
      </c>
      <c r="Z161" s="1573">
        <v>3.5</v>
      </c>
      <c r="AA161" s="1573">
        <v>3.5</v>
      </c>
      <c r="AB161" s="1562">
        <v>0</v>
      </c>
      <c r="AC161" s="1561"/>
      <c r="AD161" s="1685"/>
      <c r="AE161" s="1561"/>
      <c r="AF161" s="1565"/>
      <c r="AG161" s="1541">
        <f t="shared" si="54"/>
        <v>0</v>
      </c>
      <c r="AH161" s="1565"/>
      <c r="AI161" s="1565"/>
      <c r="AJ161" s="1565"/>
      <c r="AK161" s="1565"/>
      <c r="AL161" s="1565"/>
      <c r="AM161" s="1650">
        <v>0.5</v>
      </c>
      <c r="AN161" s="1650">
        <v>1</v>
      </c>
      <c r="AO161" s="1365"/>
      <c r="AP161" s="1651">
        <v>0</v>
      </c>
      <c r="AQ161" s="1651">
        <v>0</v>
      </c>
      <c r="AR161" s="1651">
        <v>0</v>
      </c>
      <c r="AS161" s="1651">
        <v>0</v>
      </c>
      <c r="AT161" s="1594">
        <f t="shared" si="55"/>
        <v>0</v>
      </c>
      <c r="AU161" s="1651">
        <v>0</v>
      </c>
      <c r="AV161" s="1651">
        <v>0</v>
      </c>
      <c r="AW161" s="1651">
        <v>0</v>
      </c>
      <c r="AX161" s="1651">
        <v>0</v>
      </c>
      <c r="AY161" s="1651">
        <v>0</v>
      </c>
      <c r="AZ161" s="1573">
        <v>3.5</v>
      </c>
      <c r="BA161" s="1573">
        <v>3.5</v>
      </c>
      <c r="BB161" s="1562">
        <v>0</v>
      </c>
      <c r="BC161" s="1686"/>
      <c r="BD161" s="1686" t="s">
        <v>1809</v>
      </c>
      <c r="BE161" s="1687" t="s">
        <v>1809</v>
      </c>
    </row>
    <row r="162" spans="1:58" customFormat="1" ht="77.5" outlineLevel="1" x14ac:dyDescent="0.25">
      <c r="A162" s="1679">
        <v>6.4</v>
      </c>
      <c r="B162" s="1680" t="s">
        <v>1834</v>
      </c>
      <c r="C162" s="1662" t="s">
        <v>938</v>
      </c>
      <c r="D162" s="1563" t="s">
        <v>1754</v>
      </c>
      <c r="E162" s="1637"/>
      <c r="F162" s="1360"/>
      <c r="G162" s="1412">
        <v>5.5</v>
      </c>
      <c r="H162" s="1412"/>
      <c r="I162" s="1422"/>
      <c r="J162" s="1422"/>
      <c r="K162" s="1366"/>
      <c r="L162" s="1365"/>
      <c r="M162" s="1365"/>
      <c r="N162" s="1369"/>
      <c r="O162" s="1413" t="s">
        <v>1719</v>
      </c>
      <c r="P162" s="1562">
        <v>0</v>
      </c>
      <c r="Q162" s="1562">
        <v>0</v>
      </c>
      <c r="R162" s="1562">
        <v>0</v>
      </c>
      <c r="S162" s="1562">
        <v>0</v>
      </c>
      <c r="T162" s="1594">
        <f t="shared" si="53"/>
        <v>0</v>
      </c>
      <c r="U162" s="1562">
        <v>0</v>
      </c>
      <c r="V162" s="1562">
        <v>0</v>
      </c>
      <c r="W162" s="1562">
        <v>0</v>
      </c>
      <c r="X162" s="1562">
        <v>0</v>
      </c>
      <c r="Y162" s="1562">
        <v>0</v>
      </c>
      <c r="Z162" s="1562">
        <v>0</v>
      </c>
      <c r="AA162" s="1562">
        <v>0</v>
      </c>
      <c r="AB162" s="1573">
        <v>5.5</v>
      </c>
      <c r="AC162" s="1561"/>
      <c r="AD162" s="1685"/>
      <c r="AE162" s="1561"/>
      <c r="AF162" s="1565"/>
      <c r="AG162" s="1541">
        <f t="shared" si="54"/>
        <v>0</v>
      </c>
      <c r="AH162" s="1565"/>
      <c r="AI162" s="1565"/>
      <c r="AJ162" s="1565"/>
      <c r="AK162" s="1565"/>
      <c r="AL162" s="1565"/>
      <c r="AM162" s="1565"/>
      <c r="AN162" s="1365"/>
      <c r="AO162" s="1650">
        <v>1</v>
      </c>
      <c r="AP162" s="1651">
        <v>0</v>
      </c>
      <c r="AQ162" s="1651">
        <v>0</v>
      </c>
      <c r="AR162" s="1651">
        <v>0</v>
      </c>
      <c r="AS162" s="1651">
        <v>0</v>
      </c>
      <c r="AT162" s="1594">
        <f t="shared" si="55"/>
        <v>0</v>
      </c>
      <c r="AU162" s="1651">
        <v>0</v>
      </c>
      <c r="AV162" s="1651">
        <v>0</v>
      </c>
      <c r="AW162" s="1651">
        <v>0</v>
      </c>
      <c r="AX162" s="1651">
        <v>0</v>
      </c>
      <c r="AY162" s="1651">
        <v>0</v>
      </c>
      <c r="AZ162" s="1562">
        <v>0</v>
      </c>
      <c r="BA162" s="1562">
        <v>0</v>
      </c>
      <c r="BB162" s="1573">
        <v>5.5</v>
      </c>
      <c r="BC162" s="1686"/>
      <c r="BD162" s="1686" t="s">
        <v>1809</v>
      </c>
      <c r="BE162" s="1678" t="s">
        <v>1809</v>
      </c>
    </row>
    <row r="163" spans="1:58" customFormat="1" ht="33.75" customHeight="1" outlineLevel="1" x14ac:dyDescent="0.25">
      <c r="A163" s="1562"/>
      <c r="B163" s="1682" t="s">
        <v>413</v>
      </c>
      <c r="C163" s="1682"/>
      <c r="D163" s="1563" t="s">
        <v>1754</v>
      </c>
      <c r="E163" s="1682"/>
      <c r="F163" s="1682"/>
      <c r="G163" s="1682"/>
      <c r="H163" s="1682"/>
      <c r="I163" s="1683"/>
      <c r="J163" s="1683"/>
      <c r="K163" s="1682"/>
      <c r="L163" s="1682"/>
      <c r="M163" s="1682"/>
      <c r="N163" s="1682"/>
      <c r="O163" s="1682"/>
      <c r="P163" s="1562">
        <v>0</v>
      </c>
      <c r="Q163" s="1562">
        <v>0</v>
      </c>
      <c r="R163" s="1562">
        <v>0</v>
      </c>
      <c r="S163" s="1562">
        <v>0</v>
      </c>
      <c r="T163" s="1594">
        <f t="shared" si="53"/>
        <v>0</v>
      </c>
      <c r="U163" s="1562">
        <v>0</v>
      </c>
      <c r="V163" s="1562">
        <v>0</v>
      </c>
      <c r="W163" s="1562">
        <v>0</v>
      </c>
      <c r="X163" s="1562">
        <v>0</v>
      </c>
      <c r="Y163" s="1562">
        <v>0</v>
      </c>
      <c r="Z163" s="1562"/>
      <c r="AA163" s="1562"/>
      <c r="AB163" s="1562"/>
      <c r="AC163" s="1565"/>
      <c r="AD163" s="1565"/>
      <c r="AE163" s="1565"/>
      <c r="AF163" s="1565"/>
      <c r="AG163" s="1541">
        <f t="shared" si="54"/>
        <v>0</v>
      </c>
      <c r="AH163" s="1565"/>
      <c r="AI163" s="1565"/>
      <c r="AJ163" s="1565"/>
      <c r="AK163" s="1565"/>
      <c r="AL163" s="1565"/>
      <c r="AM163" s="1565"/>
      <c r="AN163" s="1565"/>
      <c r="AO163" s="1565"/>
      <c r="AP163" s="1651"/>
      <c r="AQ163" s="1651"/>
      <c r="AR163" s="1651"/>
      <c r="AS163" s="1651"/>
      <c r="AT163" s="1594">
        <f t="shared" si="55"/>
        <v>0</v>
      </c>
      <c r="AU163" s="1651"/>
      <c r="AV163" s="1651"/>
      <c r="AW163" s="1651"/>
      <c r="AX163" s="1651"/>
      <c r="AY163" s="1562"/>
      <c r="AZ163" s="1651">
        <v>0</v>
      </c>
      <c r="BA163" s="1651">
        <v>0</v>
      </c>
      <c r="BB163" s="1651">
        <v>0</v>
      </c>
      <c r="BC163" s="797"/>
      <c r="BD163" s="1562"/>
      <c r="BE163" s="1562"/>
    </row>
    <row r="164" spans="1:58" ht="29.25" customHeight="1" outlineLevel="1" x14ac:dyDescent="0.25">
      <c r="A164" s="1692">
        <v>7</v>
      </c>
      <c r="B164" s="1693" t="s">
        <v>1835</v>
      </c>
      <c r="C164" s="1655" t="s">
        <v>931</v>
      </c>
      <c r="D164" s="1563" t="s">
        <v>1754</v>
      </c>
      <c r="E164" s="1637"/>
      <c r="F164" s="1360"/>
      <c r="G164" s="1694"/>
      <c r="H164" s="1412"/>
      <c r="I164" s="1365"/>
      <c r="J164" s="1365"/>
      <c r="K164" s="1359"/>
      <c r="L164" s="1387"/>
      <c r="M164" s="1387"/>
      <c r="N164" s="1388"/>
      <c r="O164" s="1380"/>
      <c r="P164" s="1562"/>
      <c r="Q164" s="1562"/>
      <c r="R164" s="1562"/>
      <c r="S164" s="1562"/>
      <c r="T164" s="1594">
        <f t="shared" si="53"/>
        <v>0</v>
      </c>
      <c r="U164" s="1562"/>
      <c r="V164" s="1562"/>
      <c r="W164" s="1562"/>
      <c r="X164" s="1562"/>
      <c r="Y164" s="1562"/>
      <c r="Z164" s="1562"/>
      <c r="AA164" s="1562"/>
      <c r="AB164" s="1562"/>
      <c r="AC164" s="1562"/>
      <c r="AD164" s="1562"/>
      <c r="AE164" s="1562"/>
      <c r="AF164" s="1562"/>
      <c r="AG164" s="1541">
        <f t="shared" si="54"/>
        <v>0</v>
      </c>
      <c r="AH164" s="1562"/>
      <c r="AI164" s="1562"/>
      <c r="AJ164" s="1562"/>
      <c r="AK164" s="1562"/>
      <c r="AL164" s="1562"/>
      <c r="AM164" s="1562"/>
      <c r="AN164" s="1562"/>
      <c r="AO164" s="1562"/>
      <c r="AP164" s="1562"/>
      <c r="AQ164" s="1562"/>
      <c r="AR164" s="1562"/>
      <c r="AS164" s="1562"/>
      <c r="AT164" s="1594">
        <f t="shared" si="55"/>
        <v>0</v>
      </c>
      <c r="AU164" s="1562"/>
      <c r="AV164" s="1562"/>
      <c r="AW164" s="1562"/>
      <c r="AX164" s="1562"/>
      <c r="AY164" s="1562"/>
      <c r="AZ164" s="1562"/>
      <c r="BA164" s="1562"/>
      <c r="BB164" s="1562"/>
      <c r="BC164" s="1689"/>
      <c r="BD164" s="1690"/>
      <c r="BE164" s="1696"/>
      <c r="BF164" s="1355"/>
    </row>
    <row r="165" spans="1:58" customFormat="1" ht="57" customHeight="1" outlineLevel="1" x14ac:dyDescent="0.35">
      <c r="A165" s="1679">
        <v>7.1</v>
      </c>
      <c r="B165" s="1680" t="s">
        <v>1836</v>
      </c>
      <c r="C165" s="1662" t="s">
        <v>938</v>
      </c>
      <c r="D165" s="1563" t="s">
        <v>1754</v>
      </c>
      <c r="E165" s="1637"/>
      <c r="F165" s="1360"/>
      <c r="G165" s="1573">
        <v>25</v>
      </c>
      <c r="H165" s="1412"/>
      <c r="I165" s="1422"/>
      <c r="J165" s="1422"/>
      <c r="K165" s="1366"/>
      <c r="L165" s="1365"/>
      <c r="M165" s="1365"/>
      <c r="N165" s="1369"/>
      <c r="O165" s="1365"/>
      <c r="P165" s="1651">
        <v>0</v>
      </c>
      <c r="Q165" s="1651">
        <v>0</v>
      </c>
      <c r="R165" s="1651">
        <v>0</v>
      </c>
      <c r="S165" s="1651">
        <v>0</v>
      </c>
      <c r="T165" s="1594">
        <f t="shared" si="53"/>
        <v>0</v>
      </c>
      <c r="U165" s="1651">
        <v>0</v>
      </c>
      <c r="V165" s="1651">
        <v>0</v>
      </c>
      <c r="W165" s="1651">
        <v>0</v>
      </c>
      <c r="X165" s="1651">
        <v>0</v>
      </c>
      <c r="Y165" s="1651">
        <v>0</v>
      </c>
      <c r="Z165" s="1573">
        <v>25</v>
      </c>
      <c r="AA165" s="1651">
        <v>0</v>
      </c>
      <c r="AB165" s="1651">
        <v>0</v>
      </c>
      <c r="AC165" s="1561"/>
      <c r="AD165" s="1685"/>
      <c r="AE165" s="1561"/>
      <c r="AF165" s="1565"/>
      <c r="AG165" s="1541">
        <f t="shared" si="54"/>
        <v>0</v>
      </c>
      <c r="AH165" s="1565"/>
      <c r="AI165" s="1565"/>
      <c r="AJ165" s="1565"/>
      <c r="AK165" s="1565"/>
      <c r="AL165" s="1565"/>
      <c r="AM165" s="1650">
        <v>1</v>
      </c>
      <c r="AN165" s="1365"/>
      <c r="AO165" s="1365"/>
      <c r="AP165" s="1651">
        <v>0</v>
      </c>
      <c r="AQ165" s="1651">
        <v>0</v>
      </c>
      <c r="AR165" s="1651">
        <v>0</v>
      </c>
      <c r="AS165" s="1651">
        <v>0</v>
      </c>
      <c r="AT165" s="1594">
        <f t="shared" si="55"/>
        <v>0</v>
      </c>
      <c r="AU165" s="1651">
        <v>0</v>
      </c>
      <c r="AV165" s="1651">
        <v>0</v>
      </c>
      <c r="AW165" s="1651">
        <v>0</v>
      </c>
      <c r="AX165" s="1651">
        <v>0</v>
      </c>
      <c r="AY165" s="1651">
        <v>0</v>
      </c>
      <c r="AZ165" s="1649">
        <v>25</v>
      </c>
      <c r="BA165" s="1651">
        <v>0</v>
      </c>
      <c r="BB165" s="1651">
        <v>0</v>
      </c>
      <c r="BC165" s="1686"/>
      <c r="BD165" s="1686" t="s">
        <v>1809</v>
      </c>
      <c r="BE165" s="1687" t="s">
        <v>1809</v>
      </c>
    </row>
    <row r="166" spans="1:58" customFormat="1" ht="41.25" customHeight="1" outlineLevel="1" x14ac:dyDescent="0.35">
      <c r="A166" s="1679">
        <v>7.2</v>
      </c>
      <c r="B166" s="1680" t="s">
        <v>1837</v>
      </c>
      <c r="C166" s="1662" t="s">
        <v>938</v>
      </c>
      <c r="D166" s="1563" t="s">
        <v>1754</v>
      </c>
      <c r="E166" s="1637"/>
      <c r="F166" s="1360"/>
      <c r="G166" s="1573">
        <v>0.8</v>
      </c>
      <c r="H166" s="1412"/>
      <c r="I166" s="1422"/>
      <c r="J166" s="1422"/>
      <c r="K166" s="1366"/>
      <c r="L166" s="1365"/>
      <c r="M166" s="1365"/>
      <c r="N166" s="1369"/>
      <c r="O166" s="1365"/>
      <c r="P166" s="1651">
        <v>0</v>
      </c>
      <c r="Q166" s="1651">
        <v>0</v>
      </c>
      <c r="R166" s="1651">
        <v>0</v>
      </c>
      <c r="S166" s="1651">
        <v>0</v>
      </c>
      <c r="T166" s="1594">
        <f t="shared" si="53"/>
        <v>0</v>
      </c>
      <c r="U166" s="1651">
        <v>0</v>
      </c>
      <c r="V166" s="1651">
        <v>0</v>
      </c>
      <c r="W166" s="1651">
        <v>0</v>
      </c>
      <c r="X166" s="1651">
        <v>0</v>
      </c>
      <c r="Y166" s="1651">
        <v>0</v>
      </c>
      <c r="Z166" s="1651">
        <v>0</v>
      </c>
      <c r="AA166" s="1651">
        <v>0</v>
      </c>
      <c r="AB166" s="1573">
        <v>0.8</v>
      </c>
      <c r="AC166" s="1561"/>
      <c r="AD166" s="1685"/>
      <c r="AE166" s="1561"/>
      <c r="AF166" s="1565"/>
      <c r="AG166" s="1541">
        <f t="shared" si="54"/>
        <v>0</v>
      </c>
      <c r="AH166" s="1565"/>
      <c r="AI166" s="1565"/>
      <c r="AJ166" s="1565"/>
      <c r="AK166" s="1565"/>
      <c r="AL166" s="1565"/>
      <c r="AM166" s="1565"/>
      <c r="AN166" s="1365"/>
      <c r="AO166" s="1650">
        <v>1</v>
      </c>
      <c r="AP166" s="1651">
        <v>0</v>
      </c>
      <c r="AQ166" s="1651">
        <v>0</v>
      </c>
      <c r="AR166" s="1651">
        <v>0</v>
      </c>
      <c r="AS166" s="1651">
        <v>0</v>
      </c>
      <c r="AT166" s="1594">
        <f t="shared" si="55"/>
        <v>0</v>
      </c>
      <c r="AU166" s="1651">
        <v>0</v>
      </c>
      <c r="AV166" s="1651">
        <v>0</v>
      </c>
      <c r="AW166" s="1651">
        <v>0</v>
      </c>
      <c r="AX166" s="1651">
        <v>0</v>
      </c>
      <c r="AY166" s="1651">
        <v>0</v>
      </c>
      <c r="AZ166" s="1651">
        <v>0</v>
      </c>
      <c r="BA166" s="1651"/>
      <c r="BB166" s="1649">
        <v>0.8</v>
      </c>
      <c r="BC166" s="1686"/>
      <c r="BD166" s="1686" t="s">
        <v>1809</v>
      </c>
      <c r="BE166" s="1687" t="s">
        <v>1809</v>
      </c>
    </row>
    <row r="167" spans="1:58" customFormat="1" ht="33.75" customHeight="1" outlineLevel="1" x14ac:dyDescent="0.25">
      <c r="A167" s="1562"/>
      <c r="B167" s="1682" t="s">
        <v>413</v>
      </c>
      <c r="C167" s="1682"/>
      <c r="D167" s="1563" t="s">
        <v>1754</v>
      </c>
      <c r="E167" s="1682"/>
      <c r="F167" s="1682"/>
      <c r="G167" s="1682"/>
      <c r="H167" s="1682"/>
      <c r="I167" s="1683"/>
      <c r="J167" s="1683"/>
      <c r="K167" s="1682"/>
      <c r="L167" s="1682"/>
      <c r="M167" s="1682"/>
      <c r="N167" s="1682"/>
      <c r="O167" s="1682"/>
      <c r="P167" s="1562">
        <v>0</v>
      </c>
      <c r="Q167" s="1562">
        <v>0</v>
      </c>
      <c r="R167" s="1562">
        <v>0</v>
      </c>
      <c r="S167" s="1562">
        <v>0</v>
      </c>
      <c r="T167" s="1594">
        <f t="shared" si="53"/>
        <v>0</v>
      </c>
      <c r="U167" s="1562">
        <v>0</v>
      </c>
      <c r="V167" s="1562">
        <v>0</v>
      </c>
      <c r="W167" s="1562">
        <v>0</v>
      </c>
      <c r="X167" s="1562">
        <v>0</v>
      </c>
      <c r="Y167" s="1562">
        <v>0</v>
      </c>
      <c r="Z167" s="1562"/>
      <c r="AA167" s="1562"/>
      <c r="AB167" s="1562"/>
      <c r="AC167" s="1565"/>
      <c r="AD167" s="1565"/>
      <c r="AE167" s="1565"/>
      <c r="AF167" s="1565"/>
      <c r="AG167" s="1541">
        <f t="shared" si="54"/>
        <v>0</v>
      </c>
      <c r="AH167" s="1565"/>
      <c r="AI167" s="1565"/>
      <c r="AJ167" s="1565"/>
      <c r="AK167" s="1565"/>
      <c r="AL167" s="1565"/>
      <c r="AM167" s="1565"/>
      <c r="AN167" s="1565"/>
      <c r="AO167" s="1565"/>
      <c r="AP167" s="1651"/>
      <c r="AQ167" s="1651"/>
      <c r="AR167" s="1651"/>
      <c r="AS167" s="1651"/>
      <c r="AT167" s="1594">
        <f t="shared" si="55"/>
        <v>0</v>
      </c>
      <c r="AU167" s="1651"/>
      <c r="AV167" s="1651"/>
      <c r="AW167" s="1651"/>
      <c r="AX167" s="1651"/>
      <c r="AY167" s="1562"/>
      <c r="AZ167" s="1651">
        <v>0</v>
      </c>
      <c r="BA167" s="1651">
        <v>0</v>
      </c>
      <c r="BB167" s="1651">
        <v>0</v>
      </c>
      <c r="BC167" s="797"/>
      <c r="BD167" s="1651"/>
      <c r="BE167" s="1651"/>
    </row>
    <row r="168" spans="1:58" ht="44.25" customHeight="1" outlineLevel="1" x14ac:dyDescent="0.25">
      <c r="A168" s="1692">
        <v>8</v>
      </c>
      <c r="B168" s="1693" t="s">
        <v>1838</v>
      </c>
      <c r="C168" s="1655" t="s">
        <v>931</v>
      </c>
      <c r="D168" s="1563" t="s">
        <v>1754</v>
      </c>
      <c r="E168" s="1637"/>
      <c r="F168" s="1360"/>
      <c r="G168" s="1694"/>
      <c r="H168" s="1412"/>
      <c r="I168" s="1365"/>
      <c r="J168" s="1365"/>
      <c r="K168" s="1359"/>
      <c r="L168" s="1387"/>
      <c r="M168" s="1387"/>
      <c r="N168" s="1388"/>
      <c r="O168" s="1380"/>
      <c r="P168" s="1562"/>
      <c r="Q168" s="1562"/>
      <c r="R168" s="1562"/>
      <c r="S168" s="1562"/>
      <c r="T168" s="1594">
        <f t="shared" si="53"/>
        <v>0</v>
      </c>
      <c r="U168" s="1562"/>
      <c r="V168" s="1562"/>
      <c r="W168" s="1562"/>
      <c r="X168" s="1562"/>
      <c r="Y168" s="1562"/>
      <c r="Z168" s="1562"/>
      <c r="AA168" s="1562"/>
      <c r="AB168" s="1562"/>
      <c r="AC168" s="1562"/>
      <c r="AD168" s="1562"/>
      <c r="AE168" s="1562"/>
      <c r="AF168" s="1562"/>
      <c r="AG168" s="1541">
        <f t="shared" si="54"/>
        <v>0</v>
      </c>
      <c r="AH168" s="1562"/>
      <c r="AI168" s="1562"/>
      <c r="AJ168" s="1562"/>
      <c r="AK168" s="1562"/>
      <c r="AL168" s="1562"/>
      <c r="AM168" s="1562"/>
      <c r="AN168" s="1562"/>
      <c r="AO168" s="1562"/>
      <c r="AP168" s="1562"/>
      <c r="AQ168" s="1562"/>
      <c r="AR168" s="1562"/>
      <c r="AS168" s="1562"/>
      <c r="AT168" s="1594">
        <f t="shared" si="55"/>
        <v>0</v>
      </c>
      <c r="AU168" s="1562"/>
      <c r="AV168" s="1562"/>
      <c r="AW168" s="1562"/>
      <c r="AX168" s="1562"/>
      <c r="AY168" s="1562"/>
      <c r="AZ168" s="1562"/>
      <c r="BA168" s="1562"/>
      <c r="BB168" s="1562"/>
      <c r="BC168" s="1689"/>
      <c r="BD168" s="1689"/>
      <c r="BE168" s="1696"/>
      <c r="BF168" s="1355"/>
    </row>
    <row r="169" spans="1:58" customFormat="1" ht="41.25" customHeight="1" outlineLevel="1" x14ac:dyDescent="0.35">
      <c r="A169" s="1679">
        <v>8.1</v>
      </c>
      <c r="B169" s="1680" t="s">
        <v>1839</v>
      </c>
      <c r="C169" s="1662" t="s">
        <v>938</v>
      </c>
      <c r="D169" s="1563" t="s">
        <v>1754</v>
      </c>
      <c r="E169" s="1637"/>
      <c r="F169" s="1360"/>
      <c r="G169" s="1573">
        <v>9.3000000000000007</v>
      </c>
      <c r="H169" s="1412"/>
      <c r="I169" s="1422"/>
      <c r="J169" s="1422"/>
      <c r="K169" s="1366"/>
      <c r="L169" s="1365"/>
      <c r="M169" s="1365"/>
      <c r="N169" s="1369"/>
      <c r="O169" s="1905" t="s">
        <v>1840</v>
      </c>
      <c r="P169" s="1651">
        <v>0</v>
      </c>
      <c r="Q169" s="1651">
        <v>0</v>
      </c>
      <c r="R169" s="1651">
        <v>0</v>
      </c>
      <c r="S169" s="1651">
        <v>0</v>
      </c>
      <c r="T169" s="1594">
        <f t="shared" si="53"/>
        <v>0</v>
      </c>
      <c r="U169" s="1651">
        <v>0</v>
      </c>
      <c r="V169" s="1651">
        <v>0</v>
      </c>
      <c r="W169" s="1651">
        <v>0</v>
      </c>
      <c r="X169" s="1573">
        <v>9.3000000000000007</v>
      </c>
      <c r="Y169" s="1651">
        <v>0</v>
      </c>
      <c r="Z169" s="1651">
        <v>0</v>
      </c>
      <c r="AA169" s="1651">
        <v>0</v>
      </c>
      <c r="AB169" s="1562"/>
      <c r="AC169" s="1561"/>
      <c r="AD169" s="1685"/>
      <c r="AE169" s="1561"/>
      <c r="AF169" s="1565"/>
      <c r="AG169" s="1541">
        <f t="shared" si="54"/>
        <v>0</v>
      </c>
      <c r="AH169" s="1565"/>
      <c r="AI169" s="1565"/>
      <c r="AJ169" s="1565"/>
      <c r="AK169" s="1650">
        <v>1</v>
      </c>
      <c r="AL169" s="1565"/>
      <c r="AM169" s="1565"/>
      <c r="AN169" s="1365"/>
      <c r="AO169" s="1365"/>
      <c r="AP169" s="1651">
        <v>0</v>
      </c>
      <c r="AQ169" s="1651">
        <v>0</v>
      </c>
      <c r="AR169" s="1651">
        <v>0</v>
      </c>
      <c r="AS169" s="1651">
        <v>0</v>
      </c>
      <c r="AT169" s="1594">
        <f t="shared" si="55"/>
        <v>0</v>
      </c>
      <c r="AU169" s="1651">
        <v>0</v>
      </c>
      <c r="AV169" s="1651">
        <v>0</v>
      </c>
      <c r="AW169" s="1651">
        <v>0</v>
      </c>
      <c r="AX169" s="1573">
        <v>9.3000000000000007</v>
      </c>
      <c r="AY169" s="1651">
        <v>0</v>
      </c>
      <c r="AZ169" s="1651">
        <v>0</v>
      </c>
      <c r="BA169" s="1651"/>
      <c r="BB169" s="1651"/>
      <c r="BC169" s="1686"/>
      <c r="BD169" s="1686" t="s">
        <v>1809</v>
      </c>
      <c r="BE169" s="1687" t="s">
        <v>1809</v>
      </c>
    </row>
    <row r="170" spans="1:58" customFormat="1" ht="41.25" customHeight="1" outlineLevel="1" x14ac:dyDescent="0.35">
      <c r="A170" s="1679">
        <v>8.1999999999999993</v>
      </c>
      <c r="B170" s="1680" t="s">
        <v>1841</v>
      </c>
      <c r="C170" s="1662" t="s">
        <v>938</v>
      </c>
      <c r="D170" s="1563" t="s">
        <v>1754</v>
      </c>
      <c r="E170" s="1637"/>
      <c r="F170" s="1360"/>
      <c r="G170" s="1573">
        <v>12.42</v>
      </c>
      <c r="H170" s="1412"/>
      <c r="I170" s="1422"/>
      <c r="J170" s="1422"/>
      <c r="K170" s="1366"/>
      <c r="L170" s="1365"/>
      <c r="M170" s="1365"/>
      <c r="N170" s="1369"/>
      <c r="O170" s="1906"/>
      <c r="P170" s="1651">
        <v>0</v>
      </c>
      <c r="Q170" s="1651">
        <v>0</v>
      </c>
      <c r="R170" s="1651">
        <v>0</v>
      </c>
      <c r="S170" s="1651">
        <v>0</v>
      </c>
      <c r="T170" s="1594">
        <f t="shared" si="53"/>
        <v>0</v>
      </c>
      <c r="U170" s="1651">
        <v>0</v>
      </c>
      <c r="V170" s="1651">
        <v>0</v>
      </c>
      <c r="W170" s="1651">
        <v>0</v>
      </c>
      <c r="X170" s="1573">
        <v>12.42</v>
      </c>
      <c r="Y170" s="1651">
        <v>0</v>
      </c>
      <c r="Z170" s="1651">
        <v>0</v>
      </c>
      <c r="AA170" s="1651">
        <v>0</v>
      </c>
      <c r="AB170" s="1562"/>
      <c r="AC170" s="1561"/>
      <c r="AD170" s="1685"/>
      <c r="AE170" s="1561"/>
      <c r="AF170" s="1565"/>
      <c r="AG170" s="1541">
        <f t="shared" si="54"/>
        <v>0</v>
      </c>
      <c r="AH170" s="1565"/>
      <c r="AI170" s="1565"/>
      <c r="AJ170" s="1565"/>
      <c r="AK170" s="1650">
        <v>1</v>
      </c>
      <c r="AL170" s="1565"/>
      <c r="AM170" s="1565"/>
      <c r="AN170" s="1365"/>
      <c r="AO170" s="1365"/>
      <c r="AP170" s="1651">
        <v>0</v>
      </c>
      <c r="AQ170" s="1651">
        <v>0</v>
      </c>
      <c r="AR170" s="1651">
        <v>0</v>
      </c>
      <c r="AS170" s="1651">
        <v>0</v>
      </c>
      <c r="AT170" s="1594">
        <f t="shared" si="55"/>
        <v>0</v>
      </c>
      <c r="AU170" s="1651">
        <v>0</v>
      </c>
      <c r="AV170" s="1651">
        <v>0</v>
      </c>
      <c r="AW170" s="1651">
        <v>0</v>
      </c>
      <c r="AX170" s="1573">
        <v>12.42</v>
      </c>
      <c r="AY170" s="1651">
        <v>0</v>
      </c>
      <c r="AZ170" s="1651">
        <v>0</v>
      </c>
      <c r="BA170" s="1651"/>
      <c r="BB170" s="1651"/>
      <c r="BC170" s="1686"/>
      <c r="BD170" s="1686" t="s">
        <v>1809</v>
      </c>
      <c r="BE170" s="1687" t="s">
        <v>1809</v>
      </c>
    </row>
    <row r="171" spans="1:58" customFormat="1" ht="41.25" customHeight="1" outlineLevel="1" x14ac:dyDescent="0.35">
      <c r="A171" s="1679">
        <v>8.3000000000000007</v>
      </c>
      <c r="B171" s="1680" t="s">
        <v>1842</v>
      </c>
      <c r="C171" s="1662" t="s">
        <v>938</v>
      </c>
      <c r="D171" s="1563" t="s">
        <v>1754</v>
      </c>
      <c r="E171" s="1637"/>
      <c r="F171" s="1360"/>
      <c r="G171" s="1573">
        <v>4.1399999999999997</v>
      </c>
      <c r="H171" s="1412"/>
      <c r="I171" s="1422"/>
      <c r="J171" s="1422"/>
      <c r="K171" s="1366"/>
      <c r="L171" s="1365"/>
      <c r="M171" s="1365"/>
      <c r="N171" s="1369"/>
      <c r="O171" s="1907"/>
      <c r="P171" s="1651">
        <v>0</v>
      </c>
      <c r="Q171" s="1651">
        <v>0</v>
      </c>
      <c r="R171" s="1651">
        <v>0</v>
      </c>
      <c r="S171" s="1651">
        <v>0</v>
      </c>
      <c r="T171" s="1594">
        <f t="shared" si="53"/>
        <v>0</v>
      </c>
      <c r="U171" s="1651">
        <v>0</v>
      </c>
      <c r="V171" s="1651">
        <v>0</v>
      </c>
      <c r="W171" s="1651">
        <v>0</v>
      </c>
      <c r="X171" s="1573">
        <v>4.1399999999999997</v>
      </c>
      <c r="Y171" s="1651">
        <v>0</v>
      </c>
      <c r="Z171" s="1651">
        <v>0</v>
      </c>
      <c r="AA171" s="1651">
        <v>0</v>
      </c>
      <c r="AB171" s="1562"/>
      <c r="AC171" s="1561"/>
      <c r="AD171" s="1685"/>
      <c r="AE171" s="1561"/>
      <c r="AF171" s="1565"/>
      <c r="AG171" s="1541">
        <f t="shared" si="54"/>
        <v>0</v>
      </c>
      <c r="AH171" s="1565"/>
      <c r="AI171" s="1565"/>
      <c r="AJ171" s="1565"/>
      <c r="AK171" s="1650">
        <v>1</v>
      </c>
      <c r="AL171" s="1565"/>
      <c r="AM171" s="1565"/>
      <c r="AN171" s="1365"/>
      <c r="AO171" s="1365"/>
      <c r="AP171" s="1651">
        <v>0</v>
      </c>
      <c r="AQ171" s="1651">
        <v>0</v>
      </c>
      <c r="AR171" s="1651">
        <v>0</v>
      </c>
      <c r="AS171" s="1651">
        <v>0</v>
      </c>
      <c r="AT171" s="1594">
        <f t="shared" si="55"/>
        <v>0</v>
      </c>
      <c r="AU171" s="1651">
        <v>0</v>
      </c>
      <c r="AV171" s="1651">
        <v>0</v>
      </c>
      <c r="AW171" s="1651">
        <v>0</v>
      </c>
      <c r="AX171" s="1573">
        <v>4.1399999999999997</v>
      </c>
      <c r="AY171" s="1651">
        <v>0</v>
      </c>
      <c r="AZ171" s="1651">
        <v>0</v>
      </c>
      <c r="BA171" s="1651"/>
      <c r="BB171" s="1651"/>
      <c r="BC171" s="1686"/>
      <c r="BD171" s="1686" t="s">
        <v>1809</v>
      </c>
      <c r="BE171" s="1687" t="s">
        <v>1809</v>
      </c>
    </row>
    <row r="172" spans="1:58" customFormat="1" ht="33.75" customHeight="1" outlineLevel="1" x14ac:dyDescent="0.25">
      <c r="A172" s="1562"/>
      <c r="B172" s="1682" t="s">
        <v>413</v>
      </c>
      <c r="C172" s="1682"/>
      <c r="D172" s="1563" t="s">
        <v>1754</v>
      </c>
      <c r="E172" s="1682"/>
      <c r="F172" s="1682"/>
      <c r="G172" s="1682"/>
      <c r="H172" s="1682"/>
      <c r="I172" s="1683"/>
      <c r="J172" s="1683"/>
      <c r="K172" s="1682"/>
      <c r="L172" s="1682"/>
      <c r="M172" s="1682"/>
      <c r="N172" s="1682"/>
      <c r="O172" s="1682"/>
      <c r="P172" s="1562">
        <v>0</v>
      </c>
      <c r="Q172" s="1562">
        <v>0</v>
      </c>
      <c r="R172" s="1562">
        <v>0</v>
      </c>
      <c r="S172" s="1562">
        <v>0</v>
      </c>
      <c r="T172" s="1594">
        <f t="shared" si="53"/>
        <v>0</v>
      </c>
      <c r="U172" s="1562">
        <v>0</v>
      </c>
      <c r="V172" s="1562">
        <v>0</v>
      </c>
      <c r="W172" s="1562">
        <v>0</v>
      </c>
      <c r="X172" s="1562">
        <v>0</v>
      </c>
      <c r="Y172" s="1562">
        <v>0</v>
      </c>
      <c r="Z172" s="1562"/>
      <c r="AA172" s="1562"/>
      <c r="AB172" s="1562"/>
      <c r="AC172" s="1565"/>
      <c r="AD172" s="1565"/>
      <c r="AE172" s="1565"/>
      <c r="AF172" s="1565"/>
      <c r="AG172" s="1541">
        <f t="shared" si="54"/>
        <v>0</v>
      </c>
      <c r="AH172" s="1565"/>
      <c r="AI172" s="1565"/>
      <c r="AJ172" s="1565"/>
      <c r="AK172" s="1565"/>
      <c r="AL172" s="1565"/>
      <c r="AM172" s="1565"/>
      <c r="AN172" s="1565"/>
      <c r="AO172" s="1565"/>
      <c r="AP172" s="1651"/>
      <c r="AQ172" s="1651"/>
      <c r="AR172" s="1651"/>
      <c r="AS172" s="1651"/>
      <c r="AT172" s="1594">
        <f t="shared" si="55"/>
        <v>0</v>
      </c>
      <c r="AU172" s="1651"/>
      <c r="AV172" s="1651"/>
      <c r="AW172" s="1651"/>
      <c r="AX172" s="1651"/>
      <c r="AY172" s="1573"/>
      <c r="AZ172" s="1651">
        <v>0</v>
      </c>
      <c r="BA172" s="1651">
        <v>0</v>
      </c>
      <c r="BB172" s="1651">
        <v>0</v>
      </c>
      <c r="BC172" s="797"/>
      <c r="BD172" s="797"/>
      <c r="BE172" s="797"/>
    </row>
    <row r="173" spans="1:58" ht="42" customHeight="1" outlineLevel="1" x14ac:dyDescent="0.25">
      <c r="A173" s="1692">
        <v>9</v>
      </c>
      <c r="B173" s="1697" t="s">
        <v>1843</v>
      </c>
      <c r="C173" s="1655" t="s">
        <v>931</v>
      </c>
      <c r="D173" s="1563" t="s">
        <v>1754</v>
      </c>
      <c r="E173" s="1637"/>
      <c r="F173" s="1360"/>
      <c r="G173" s="1694"/>
      <c r="H173" s="1412"/>
      <c r="I173" s="1365"/>
      <c r="J173" s="1365"/>
      <c r="K173" s="1359"/>
      <c r="L173" s="1387"/>
      <c r="M173" s="1387"/>
      <c r="N173" s="1388"/>
      <c r="O173" s="1380"/>
      <c r="P173" s="1562"/>
      <c r="Q173" s="1562"/>
      <c r="R173" s="1562"/>
      <c r="S173" s="1562"/>
      <c r="T173" s="1594">
        <f t="shared" si="53"/>
        <v>0</v>
      </c>
      <c r="U173" s="1562"/>
      <c r="V173" s="1562"/>
      <c r="W173" s="1562"/>
      <c r="X173" s="1562"/>
      <c r="Y173" s="1562"/>
      <c r="Z173" s="1562"/>
      <c r="AA173" s="1562"/>
      <c r="AB173" s="1562"/>
      <c r="AC173" s="1562"/>
      <c r="AD173" s="1562"/>
      <c r="AE173" s="1562"/>
      <c r="AF173" s="1562"/>
      <c r="AG173" s="1541">
        <f t="shared" si="54"/>
        <v>0</v>
      </c>
      <c r="AH173" s="1562"/>
      <c r="AI173" s="1562"/>
      <c r="AJ173" s="1562"/>
      <c r="AK173" s="1562"/>
      <c r="AL173" s="1562"/>
      <c r="AM173" s="1562"/>
      <c r="AN173" s="1562"/>
      <c r="AO173" s="1562"/>
      <c r="AP173" s="1562"/>
      <c r="AQ173" s="1562"/>
      <c r="AR173" s="1562"/>
      <c r="AS173" s="1562"/>
      <c r="AT173" s="1594">
        <f t="shared" si="55"/>
        <v>0</v>
      </c>
      <c r="AU173" s="1562"/>
      <c r="AV173" s="1562"/>
      <c r="AW173" s="1562"/>
      <c r="AX173" s="1562"/>
      <c r="AY173" s="1562"/>
      <c r="AZ173" s="1562"/>
      <c r="BA173" s="1562"/>
      <c r="BB173" s="1562"/>
      <c r="BC173" s="1689"/>
      <c r="BD173" s="1690"/>
      <c r="BE173" s="1696"/>
      <c r="BF173" s="1355"/>
    </row>
    <row r="174" spans="1:58" customFormat="1" ht="41.25" customHeight="1" outlineLevel="1" x14ac:dyDescent="0.35">
      <c r="A174" s="1679">
        <v>9.1</v>
      </c>
      <c r="B174" s="1680" t="s">
        <v>1844</v>
      </c>
      <c r="C174" s="1662" t="s">
        <v>938</v>
      </c>
      <c r="D174" s="1563"/>
      <c r="E174" s="1637"/>
      <c r="F174" s="1360"/>
      <c r="G174" s="1698">
        <v>15</v>
      </c>
      <c r="H174" s="1412"/>
      <c r="I174" s="1422"/>
      <c r="J174" s="1422"/>
      <c r="K174" s="1366"/>
      <c r="L174" s="1365"/>
      <c r="M174" s="1365"/>
      <c r="N174" s="1369"/>
      <c r="O174" s="1365"/>
      <c r="P174" s="1651">
        <v>0</v>
      </c>
      <c r="Q174" s="1651">
        <v>0</v>
      </c>
      <c r="R174" s="1651">
        <v>0</v>
      </c>
      <c r="S174" s="1651">
        <v>0</v>
      </c>
      <c r="T174" s="1594">
        <f t="shared" si="53"/>
        <v>0</v>
      </c>
      <c r="U174" s="1651">
        <v>0</v>
      </c>
      <c r="V174" s="1651">
        <v>0</v>
      </c>
      <c r="W174" s="1651">
        <v>0</v>
      </c>
      <c r="X174" s="1651">
        <v>0</v>
      </c>
      <c r="Y174" s="1698">
        <v>15</v>
      </c>
      <c r="Z174" s="1651">
        <v>0</v>
      </c>
      <c r="AA174" s="1651">
        <v>0</v>
      </c>
      <c r="AB174" s="1562"/>
      <c r="AC174" s="1561"/>
      <c r="AD174" s="1685"/>
      <c r="AE174" s="1561"/>
      <c r="AF174" s="1565"/>
      <c r="AG174" s="1541">
        <f t="shared" si="54"/>
        <v>0</v>
      </c>
      <c r="AH174" s="1565"/>
      <c r="AI174" s="1565"/>
      <c r="AJ174" s="1565"/>
      <c r="AK174" s="1565"/>
      <c r="AL174" s="1650">
        <v>1</v>
      </c>
      <c r="AM174" s="1565"/>
      <c r="AN174" s="1365"/>
      <c r="AO174" s="1365"/>
      <c r="AP174" s="1651">
        <v>0</v>
      </c>
      <c r="AQ174" s="1651">
        <v>0</v>
      </c>
      <c r="AR174" s="1651">
        <v>0</v>
      </c>
      <c r="AS174" s="1651">
        <v>0</v>
      </c>
      <c r="AT174" s="1594">
        <f t="shared" si="55"/>
        <v>0</v>
      </c>
      <c r="AU174" s="1651">
        <v>0</v>
      </c>
      <c r="AV174" s="1651">
        <v>0</v>
      </c>
      <c r="AW174" s="1651">
        <v>0</v>
      </c>
      <c r="AX174" s="1651">
        <v>0</v>
      </c>
      <c r="AY174" s="1698">
        <v>15</v>
      </c>
      <c r="AZ174" s="1651">
        <v>0</v>
      </c>
      <c r="BA174" s="1651">
        <v>0</v>
      </c>
      <c r="BB174" s="1651">
        <v>0</v>
      </c>
      <c r="BC174" s="1686"/>
      <c r="BD174" s="1686" t="s">
        <v>1809</v>
      </c>
      <c r="BE174" s="1687" t="s">
        <v>1809</v>
      </c>
    </row>
    <row r="175" spans="1:58" customFormat="1" ht="41.25" customHeight="1" outlineLevel="1" x14ac:dyDescent="0.35">
      <c r="A175" s="1679">
        <v>9.1999999999999993</v>
      </c>
      <c r="B175" s="1680" t="s">
        <v>1845</v>
      </c>
      <c r="C175" s="1662" t="s">
        <v>938</v>
      </c>
      <c r="D175" s="1563" t="s">
        <v>1754</v>
      </c>
      <c r="E175" s="1637"/>
      <c r="F175" s="1360"/>
      <c r="G175" s="1698">
        <v>23</v>
      </c>
      <c r="H175" s="1412"/>
      <c r="I175" s="1422"/>
      <c r="J175" s="1422"/>
      <c r="K175" s="1366"/>
      <c r="L175" s="1365"/>
      <c r="M175" s="1365"/>
      <c r="N175" s="1369"/>
      <c r="O175" s="1365"/>
      <c r="P175" s="1651">
        <v>0</v>
      </c>
      <c r="Q175" s="1651">
        <v>0</v>
      </c>
      <c r="R175" s="1651">
        <v>0</v>
      </c>
      <c r="S175" s="1651">
        <v>0</v>
      </c>
      <c r="T175" s="1594">
        <f t="shared" si="53"/>
        <v>0</v>
      </c>
      <c r="U175" s="1651">
        <v>0</v>
      </c>
      <c r="V175" s="1651">
        <v>0</v>
      </c>
      <c r="W175" s="1651">
        <v>0</v>
      </c>
      <c r="X175" s="1651">
        <v>0</v>
      </c>
      <c r="Y175" s="1698">
        <v>23</v>
      </c>
      <c r="Z175" s="1651">
        <v>0</v>
      </c>
      <c r="AA175" s="1651">
        <v>0</v>
      </c>
      <c r="AB175" s="1562"/>
      <c r="AC175" s="1561"/>
      <c r="AD175" s="1685"/>
      <c r="AE175" s="1561"/>
      <c r="AF175" s="1565"/>
      <c r="AG175" s="1541">
        <f t="shared" si="54"/>
        <v>0</v>
      </c>
      <c r="AH175" s="1565"/>
      <c r="AI175" s="1565"/>
      <c r="AJ175" s="1565"/>
      <c r="AK175" s="1565"/>
      <c r="AL175" s="1650">
        <v>1</v>
      </c>
      <c r="AM175" s="1565"/>
      <c r="AN175" s="1365"/>
      <c r="AO175" s="1365"/>
      <c r="AP175" s="1651">
        <v>0</v>
      </c>
      <c r="AQ175" s="1651">
        <v>0</v>
      </c>
      <c r="AR175" s="1651">
        <v>0</v>
      </c>
      <c r="AS175" s="1651">
        <v>0</v>
      </c>
      <c r="AT175" s="1594">
        <f t="shared" si="55"/>
        <v>0</v>
      </c>
      <c r="AU175" s="1651">
        <v>0</v>
      </c>
      <c r="AV175" s="1651">
        <v>0</v>
      </c>
      <c r="AW175" s="1651">
        <v>0</v>
      </c>
      <c r="AX175" s="1651">
        <v>0</v>
      </c>
      <c r="AY175" s="1698">
        <v>23</v>
      </c>
      <c r="AZ175" s="1651">
        <v>0</v>
      </c>
      <c r="BA175" s="1651">
        <v>0</v>
      </c>
      <c r="BB175" s="1651">
        <v>0</v>
      </c>
      <c r="BC175" s="1686"/>
      <c r="BD175" s="1686" t="s">
        <v>1809</v>
      </c>
      <c r="BE175" s="1687" t="s">
        <v>1809</v>
      </c>
    </row>
    <row r="176" spans="1:58" customFormat="1" ht="33.75" customHeight="1" outlineLevel="1" x14ac:dyDescent="0.25">
      <c r="A176" s="1562"/>
      <c r="B176" s="1682" t="s">
        <v>413</v>
      </c>
      <c r="C176" s="1682"/>
      <c r="D176" s="1563" t="s">
        <v>1754</v>
      </c>
      <c r="E176" s="1682"/>
      <c r="F176" s="1682"/>
      <c r="G176" s="1682"/>
      <c r="H176" s="1682"/>
      <c r="I176" s="1683"/>
      <c r="J176" s="1683"/>
      <c r="K176" s="1682"/>
      <c r="L176" s="1682"/>
      <c r="M176" s="1682"/>
      <c r="N176" s="1682"/>
      <c r="O176" s="1682"/>
      <c r="P176" s="1562">
        <v>0</v>
      </c>
      <c r="Q176" s="1562">
        <v>0</v>
      </c>
      <c r="R176" s="1562">
        <v>0</v>
      </c>
      <c r="S176" s="1562">
        <v>0</v>
      </c>
      <c r="T176" s="1594">
        <f t="shared" si="53"/>
        <v>0</v>
      </c>
      <c r="U176" s="1562">
        <v>0</v>
      </c>
      <c r="V176" s="1562">
        <v>0</v>
      </c>
      <c r="W176" s="1562">
        <v>0</v>
      </c>
      <c r="X176" s="1562">
        <v>0</v>
      </c>
      <c r="Y176" s="1562">
        <v>0</v>
      </c>
      <c r="Z176" s="1562"/>
      <c r="AA176" s="1562"/>
      <c r="AB176" s="1562"/>
      <c r="AC176" s="1565"/>
      <c r="AD176" s="1565"/>
      <c r="AE176" s="1565"/>
      <c r="AF176" s="1565"/>
      <c r="AG176" s="1541">
        <f t="shared" si="54"/>
        <v>0</v>
      </c>
      <c r="AH176" s="1565"/>
      <c r="AI176" s="1565"/>
      <c r="AJ176" s="1565"/>
      <c r="AK176" s="1565"/>
      <c r="AL176" s="1565"/>
      <c r="AM176" s="1565"/>
      <c r="AN176" s="1565"/>
      <c r="AO176" s="1565"/>
      <c r="AP176" s="1651"/>
      <c r="AQ176" s="1651"/>
      <c r="AR176" s="1651"/>
      <c r="AS176" s="1651"/>
      <c r="AT176" s="1594">
        <f t="shared" si="55"/>
        <v>0</v>
      </c>
      <c r="AU176" s="1651"/>
      <c r="AV176" s="1651"/>
      <c r="AW176" s="1651"/>
      <c r="AX176" s="1651"/>
      <c r="AY176" s="1573"/>
      <c r="AZ176" s="1651">
        <v>0</v>
      </c>
      <c r="BA176" s="1651">
        <v>0</v>
      </c>
      <c r="BB176" s="1651">
        <v>0</v>
      </c>
      <c r="BC176" s="1686"/>
      <c r="BD176" s="1686"/>
      <c r="BE176" s="797"/>
    </row>
    <row r="177" spans="1:58" ht="42" customHeight="1" outlineLevel="1" x14ac:dyDescent="0.35">
      <c r="A177" s="1692">
        <v>10</v>
      </c>
      <c r="B177" s="1693" t="s">
        <v>1846</v>
      </c>
      <c r="C177" s="1655" t="s">
        <v>931</v>
      </c>
      <c r="D177" s="1563" t="s">
        <v>1754</v>
      </c>
      <c r="E177" s="1637"/>
      <c r="F177" s="1360"/>
      <c r="G177" s="1694"/>
      <c r="H177" s="1412"/>
      <c r="I177" s="1365"/>
      <c r="J177" s="1365"/>
      <c r="K177" s="1359"/>
      <c r="L177" s="1387"/>
      <c r="M177" s="1387"/>
      <c r="N177" s="1388"/>
      <c r="O177" s="1380"/>
      <c r="P177" s="1562"/>
      <c r="Q177" s="1562"/>
      <c r="R177" s="1562"/>
      <c r="S177" s="1562"/>
      <c r="T177" s="1594">
        <f t="shared" si="53"/>
        <v>0</v>
      </c>
      <c r="U177" s="1562"/>
      <c r="V177" s="1562"/>
      <c r="W177" s="1562"/>
      <c r="X177" s="1562"/>
      <c r="Y177" s="1562"/>
      <c r="Z177" s="1562"/>
      <c r="AA177" s="1562"/>
      <c r="AB177" s="1562"/>
      <c r="AC177" s="1562"/>
      <c r="AD177" s="1562"/>
      <c r="AE177" s="1562"/>
      <c r="AF177" s="1562"/>
      <c r="AG177" s="1541">
        <f t="shared" si="54"/>
        <v>0</v>
      </c>
      <c r="AH177" s="1562"/>
      <c r="AI177" s="1562"/>
      <c r="AJ177" s="1562"/>
      <c r="AK177" s="1562"/>
      <c r="AL177" s="1562"/>
      <c r="AM177" s="1562"/>
      <c r="AN177" s="1562"/>
      <c r="AO177" s="1562"/>
      <c r="AP177" s="1562"/>
      <c r="AQ177" s="1562"/>
      <c r="AR177" s="1562"/>
      <c r="AS177" s="1562"/>
      <c r="AT177" s="1594">
        <f t="shared" si="55"/>
        <v>0</v>
      </c>
      <c r="AU177" s="1562"/>
      <c r="AV177" s="1562"/>
      <c r="AW177" s="1562"/>
      <c r="AX177" s="1562"/>
      <c r="AY177" s="1562"/>
      <c r="AZ177" s="1562"/>
      <c r="BA177" s="1562"/>
      <c r="BB177" s="1562"/>
      <c r="BC177" s="1686"/>
      <c r="BD177" s="1686" t="s">
        <v>1809</v>
      </c>
      <c r="BE177" s="1687" t="s">
        <v>1809</v>
      </c>
      <c r="BF177" s="1355"/>
    </row>
    <row r="178" spans="1:58" customFormat="1" ht="41.25" customHeight="1" outlineLevel="1" x14ac:dyDescent="0.35">
      <c r="A178" s="1679">
        <v>10.1</v>
      </c>
      <c r="B178" s="1680" t="s">
        <v>1847</v>
      </c>
      <c r="C178" s="1662" t="s">
        <v>938</v>
      </c>
      <c r="D178" s="1563" t="s">
        <v>1754</v>
      </c>
      <c r="E178" s="1637"/>
      <c r="F178" s="1360"/>
      <c r="G178" s="1412">
        <v>25</v>
      </c>
      <c r="H178" s="1412"/>
      <c r="I178" s="1422"/>
      <c r="J178" s="1422"/>
      <c r="K178" s="1366"/>
      <c r="L178" s="1365"/>
      <c r="M178" s="1365"/>
      <c r="N178" s="1369"/>
      <c r="O178" s="1365"/>
      <c r="P178" s="1651"/>
      <c r="Q178" s="1651">
        <v>0</v>
      </c>
      <c r="R178" s="1651">
        <v>0</v>
      </c>
      <c r="S178" s="1651">
        <v>0</v>
      </c>
      <c r="T178" s="1594">
        <f t="shared" si="53"/>
        <v>0</v>
      </c>
      <c r="U178" s="1651">
        <v>0</v>
      </c>
      <c r="V178" s="1651">
        <v>0</v>
      </c>
      <c r="W178" s="1651">
        <v>0</v>
      </c>
      <c r="X178" s="1651">
        <v>0</v>
      </c>
      <c r="Y178" s="1698">
        <v>25</v>
      </c>
      <c r="Z178" s="1651">
        <v>0</v>
      </c>
      <c r="AA178" s="1651">
        <v>0</v>
      </c>
      <c r="AB178" s="1562"/>
      <c r="AC178" s="1561"/>
      <c r="AD178" s="1685"/>
      <c r="AE178" s="1561"/>
      <c r="AF178" s="1565"/>
      <c r="AG178" s="1541">
        <f t="shared" si="54"/>
        <v>0</v>
      </c>
      <c r="AH178" s="1565"/>
      <c r="AI178" s="1565"/>
      <c r="AJ178" s="1565"/>
      <c r="AK178" s="1565"/>
      <c r="AL178" s="1650">
        <v>1</v>
      </c>
      <c r="AM178" s="1565"/>
      <c r="AN178" s="1365"/>
      <c r="AO178" s="1365"/>
      <c r="AP178" s="1651">
        <v>0</v>
      </c>
      <c r="AQ178" s="1651">
        <v>0</v>
      </c>
      <c r="AR178" s="1651">
        <v>0</v>
      </c>
      <c r="AS178" s="1651">
        <v>0</v>
      </c>
      <c r="AT178" s="1594">
        <f t="shared" si="55"/>
        <v>0</v>
      </c>
      <c r="AU178" s="1651">
        <v>0</v>
      </c>
      <c r="AV178" s="1651">
        <v>0</v>
      </c>
      <c r="AW178" s="1651">
        <v>0</v>
      </c>
      <c r="AX178" s="1651">
        <v>0</v>
      </c>
      <c r="AY178" s="1698">
        <v>25</v>
      </c>
      <c r="AZ178" s="1651">
        <v>0</v>
      </c>
      <c r="BA178" s="1651">
        <v>0</v>
      </c>
      <c r="BB178" s="1651">
        <v>0</v>
      </c>
      <c r="BC178" s="1686"/>
      <c r="BD178" s="1686" t="s">
        <v>1809</v>
      </c>
      <c r="BE178" s="1687" t="s">
        <v>1809</v>
      </c>
    </row>
    <row r="179" spans="1:58" customFormat="1" ht="33.75" customHeight="1" outlineLevel="1" x14ac:dyDescent="0.25">
      <c r="A179" s="1562"/>
      <c r="B179" s="1682" t="s">
        <v>413</v>
      </c>
      <c r="C179" s="1682"/>
      <c r="D179" s="1563" t="s">
        <v>1754</v>
      </c>
      <c r="E179" s="1682"/>
      <c r="F179" s="1682"/>
      <c r="G179" s="1682"/>
      <c r="H179" s="1682"/>
      <c r="I179" s="1683"/>
      <c r="J179" s="1683"/>
      <c r="K179" s="1682"/>
      <c r="L179" s="1682"/>
      <c r="M179" s="1682"/>
      <c r="N179" s="1682"/>
      <c r="O179" s="1682"/>
      <c r="P179" s="1562">
        <v>0</v>
      </c>
      <c r="Q179" s="1562">
        <v>0</v>
      </c>
      <c r="R179" s="1562">
        <v>0</v>
      </c>
      <c r="S179" s="1562">
        <v>0</v>
      </c>
      <c r="T179" s="1594">
        <f t="shared" si="53"/>
        <v>0</v>
      </c>
      <c r="U179" s="1562">
        <v>0</v>
      </c>
      <c r="V179" s="1562">
        <v>0</v>
      </c>
      <c r="W179" s="1562">
        <v>0</v>
      </c>
      <c r="X179" s="1562">
        <v>0</v>
      </c>
      <c r="Y179" s="1562">
        <v>0</v>
      </c>
      <c r="Z179" s="1562"/>
      <c r="AA179" s="1562"/>
      <c r="AB179" s="1562"/>
      <c r="AC179" s="1565"/>
      <c r="AD179" s="1565"/>
      <c r="AE179" s="1565"/>
      <c r="AF179" s="1565"/>
      <c r="AG179" s="1541">
        <f t="shared" si="54"/>
        <v>0</v>
      </c>
      <c r="AH179" s="1565"/>
      <c r="AI179" s="1565"/>
      <c r="AJ179" s="1565"/>
      <c r="AK179" s="1565"/>
      <c r="AL179" s="1565"/>
      <c r="AM179" s="1565"/>
      <c r="AN179" s="1565"/>
      <c r="AO179" s="1565"/>
      <c r="AP179" s="1651"/>
      <c r="AQ179" s="1651"/>
      <c r="AR179" s="1651"/>
      <c r="AS179" s="1651"/>
      <c r="AT179" s="1594">
        <f t="shared" si="55"/>
        <v>0</v>
      </c>
      <c r="AU179" s="1651"/>
      <c r="AV179" s="1651"/>
      <c r="AW179" s="1651"/>
      <c r="AX179" s="1651"/>
      <c r="AY179" s="1573"/>
      <c r="AZ179" s="1651">
        <v>0</v>
      </c>
      <c r="BA179" s="1651">
        <v>0</v>
      </c>
      <c r="BB179" s="1651">
        <v>0</v>
      </c>
      <c r="BC179" s="1686"/>
      <c r="BD179" s="1562"/>
      <c r="BE179" s="1562"/>
    </row>
    <row r="180" spans="1:58" ht="42" customHeight="1" outlineLevel="1" x14ac:dyDescent="0.35">
      <c r="A180" s="1692">
        <v>11</v>
      </c>
      <c r="B180" s="1693" t="s">
        <v>1848</v>
      </c>
      <c r="C180" s="1655" t="s">
        <v>931</v>
      </c>
      <c r="D180" s="1563" t="s">
        <v>1754</v>
      </c>
      <c r="E180" s="1637"/>
      <c r="F180" s="1360"/>
      <c r="G180" s="1694"/>
      <c r="H180" s="1412"/>
      <c r="I180" s="1365"/>
      <c r="J180" s="1365"/>
      <c r="K180" s="1359"/>
      <c r="L180" s="1387"/>
      <c r="M180" s="1387"/>
      <c r="N180" s="1388"/>
      <c r="O180" s="1380"/>
      <c r="P180" s="1562"/>
      <c r="Q180" s="1562"/>
      <c r="R180" s="1562"/>
      <c r="S180" s="1562"/>
      <c r="T180" s="1594">
        <f t="shared" si="53"/>
        <v>0</v>
      </c>
      <c r="U180" s="1562"/>
      <c r="V180" s="1562"/>
      <c r="W180" s="1562"/>
      <c r="X180" s="1562"/>
      <c r="Y180" s="1562"/>
      <c r="Z180" s="1562"/>
      <c r="AA180" s="1562"/>
      <c r="AB180" s="1562"/>
      <c r="AC180" s="1562"/>
      <c r="AD180" s="1562"/>
      <c r="AE180" s="1562"/>
      <c r="AF180" s="1562"/>
      <c r="AG180" s="1541">
        <f t="shared" si="54"/>
        <v>0</v>
      </c>
      <c r="AH180" s="1562"/>
      <c r="AI180" s="1562"/>
      <c r="AJ180" s="1562"/>
      <c r="AK180" s="1562"/>
      <c r="AL180" s="1562"/>
      <c r="AM180" s="1562"/>
      <c r="AN180" s="1562"/>
      <c r="AO180" s="1562"/>
      <c r="AP180" s="1562"/>
      <c r="AQ180" s="1562"/>
      <c r="AR180" s="1562"/>
      <c r="AS180" s="1562"/>
      <c r="AT180" s="1594">
        <f t="shared" si="55"/>
        <v>0</v>
      </c>
      <c r="AU180" s="1562"/>
      <c r="AV180" s="1562"/>
      <c r="AW180" s="1562"/>
      <c r="AX180" s="1562"/>
      <c r="AY180" s="1562"/>
      <c r="AZ180" s="1562"/>
      <c r="BA180" s="1562"/>
      <c r="BB180" s="1562"/>
      <c r="BC180" s="1686"/>
      <c r="BD180" s="1686" t="s">
        <v>1809</v>
      </c>
      <c r="BE180" s="1687" t="s">
        <v>1809</v>
      </c>
      <c r="BF180" s="1355"/>
    </row>
    <row r="181" spans="1:58" customFormat="1" ht="41.25" customHeight="1" outlineLevel="1" x14ac:dyDescent="0.35">
      <c r="A181" s="1679">
        <v>11.1</v>
      </c>
      <c r="B181" s="1680" t="s">
        <v>1849</v>
      </c>
      <c r="C181" s="1662" t="s">
        <v>938</v>
      </c>
      <c r="D181" s="1563" t="s">
        <v>1754</v>
      </c>
      <c r="E181" s="1637"/>
      <c r="F181" s="1360"/>
      <c r="G181" s="1412">
        <v>25</v>
      </c>
      <c r="H181" s="1412"/>
      <c r="I181" s="1422"/>
      <c r="J181" s="1422"/>
      <c r="K181" s="1366"/>
      <c r="L181" s="1365"/>
      <c r="M181" s="1365"/>
      <c r="N181" s="1369"/>
      <c r="O181" s="1365"/>
      <c r="P181" s="1651"/>
      <c r="Q181" s="1651"/>
      <c r="R181" s="1651"/>
      <c r="S181" s="1651"/>
      <c r="T181" s="1594">
        <f t="shared" si="53"/>
        <v>0</v>
      </c>
      <c r="U181" s="1651"/>
      <c r="V181" s="1651"/>
      <c r="W181" s="1651"/>
      <c r="X181" s="1651"/>
      <c r="Y181" s="1698">
        <v>25</v>
      </c>
      <c r="Z181" s="1651"/>
      <c r="AA181" s="1651"/>
      <c r="AB181" s="1562"/>
      <c r="AC181" s="1561"/>
      <c r="AD181" s="1685"/>
      <c r="AE181" s="1561"/>
      <c r="AF181" s="1565"/>
      <c r="AG181" s="1541">
        <f t="shared" si="54"/>
        <v>0</v>
      </c>
      <c r="AH181" s="1565"/>
      <c r="AI181" s="1565"/>
      <c r="AJ181" s="1565"/>
      <c r="AK181" s="1565"/>
      <c r="AL181" s="1650">
        <v>1</v>
      </c>
      <c r="AM181" s="1565"/>
      <c r="AN181" s="1365"/>
      <c r="AO181" s="1365"/>
      <c r="AP181" s="1651">
        <v>0</v>
      </c>
      <c r="AQ181" s="1651">
        <v>0</v>
      </c>
      <c r="AR181" s="1651">
        <v>0</v>
      </c>
      <c r="AS181" s="1651">
        <v>0</v>
      </c>
      <c r="AT181" s="1594">
        <f t="shared" si="55"/>
        <v>0</v>
      </c>
      <c r="AU181" s="1651">
        <v>0</v>
      </c>
      <c r="AV181" s="1651">
        <v>0</v>
      </c>
      <c r="AW181" s="1651">
        <v>0</v>
      </c>
      <c r="AX181" s="1651">
        <v>0</v>
      </c>
      <c r="AY181" s="1698">
        <v>25</v>
      </c>
      <c r="AZ181" s="1651"/>
      <c r="BA181" s="1651"/>
      <c r="BB181" s="1651"/>
      <c r="BC181" s="1686"/>
      <c r="BD181" s="1686" t="s">
        <v>1809</v>
      </c>
      <c r="BE181" s="1687" t="s">
        <v>1809</v>
      </c>
    </row>
    <row r="182" spans="1:58" customFormat="1" ht="33.75" customHeight="1" outlineLevel="1" x14ac:dyDescent="0.25">
      <c r="A182" s="1562"/>
      <c r="B182" s="1682" t="s">
        <v>413</v>
      </c>
      <c r="C182" s="1682"/>
      <c r="D182" s="1563" t="s">
        <v>1754</v>
      </c>
      <c r="E182" s="1682"/>
      <c r="F182" s="1682"/>
      <c r="G182" s="1682"/>
      <c r="H182" s="1682"/>
      <c r="I182" s="1683"/>
      <c r="J182" s="1683"/>
      <c r="K182" s="1682"/>
      <c r="L182" s="1682"/>
      <c r="M182" s="1682"/>
      <c r="N182" s="1682"/>
      <c r="O182" s="1682"/>
      <c r="P182" s="1562">
        <v>0</v>
      </c>
      <c r="Q182" s="1562">
        <v>0</v>
      </c>
      <c r="R182" s="1562">
        <v>0</v>
      </c>
      <c r="S182" s="1562">
        <v>0</v>
      </c>
      <c r="T182" s="1594">
        <f t="shared" si="53"/>
        <v>0</v>
      </c>
      <c r="U182" s="1562">
        <v>0</v>
      </c>
      <c r="V182" s="1562">
        <v>0</v>
      </c>
      <c r="W182" s="1562">
        <v>0</v>
      </c>
      <c r="X182" s="1562">
        <v>0</v>
      </c>
      <c r="Y182" s="1562">
        <v>0</v>
      </c>
      <c r="Z182" s="1562"/>
      <c r="AA182" s="1562"/>
      <c r="AB182" s="1562"/>
      <c r="AC182" s="1565"/>
      <c r="AD182" s="1565"/>
      <c r="AE182" s="1565"/>
      <c r="AF182" s="1565"/>
      <c r="AG182" s="1541">
        <f t="shared" si="54"/>
        <v>0</v>
      </c>
      <c r="AH182" s="1565"/>
      <c r="AI182" s="1565"/>
      <c r="AJ182" s="1565"/>
      <c r="AK182" s="1565"/>
      <c r="AL182" s="1565"/>
      <c r="AM182" s="1565"/>
      <c r="AN182" s="1565"/>
      <c r="AO182" s="1565"/>
      <c r="AP182" s="1651"/>
      <c r="AQ182" s="1651"/>
      <c r="AR182" s="1651"/>
      <c r="AS182" s="1651"/>
      <c r="AT182" s="1594">
        <f t="shared" si="55"/>
        <v>0</v>
      </c>
      <c r="AU182" s="1651"/>
      <c r="AV182" s="1651"/>
      <c r="AW182" s="1651"/>
      <c r="AX182" s="1651"/>
      <c r="AY182" s="1573"/>
      <c r="AZ182" s="1651">
        <v>0</v>
      </c>
      <c r="BA182" s="1651">
        <v>0</v>
      </c>
      <c r="BB182" s="1651">
        <v>0</v>
      </c>
      <c r="BC182" s="1686"/>
      <c r="BD182" s="1686"/>
      <c r="BE182" s="797"/>
    </row>
    <row r="183" spans="1:58" ht="42" customHeight="1" outlineLevel="1" x14ac:dyDescent="0.25">
      <c r="A183" s="1692">
        <v>12</v>
      </c>
      <c r="B183" s="1693" t="s">
        <v>1850</v>
      </c>
      <c r="C183" s="1655" t="s">
        <v>931</v>
      </c>
      <c r="D183" s="1563" t="s">
        <v>1754</v>
      </c>
      <c r="E183" s="1637"/>
      <c r="F183" s="1360"/>
      <c r="G183" s="1694"/>
      <c r="H183" s="1412"/>
      <c r="I183" s="1365"/>
      <c r="J183" s="1365"/>
      <c r="K183" s="1359"/>
      <c r="L183" s="1387"/>
      <c r="M183" s="1387"/>
      <c r="N183" s="1388"/>
      <c r="O183" s="1380"/>
      <c r="P183" s="1562"/>
      <c r="Q183" s="1562"/>
      <c r="R183" s="1562"/>
      <c r="S183" s="1562"/>
      <c r="T183" s="1594">
        <f t="shared" si="53"/>
        <v>0</v>
      </c>
      <c r="U183" s="1562"/>
      <c r="V183" s="1562"/>
      <c r="W183" s="1562"/>
      <c r="X183" s="1562"/>
      <c r="Y183" s="1562"/>
      <c r="Z183" s="1562"/>
      <c r="AA183" s="1562"/>
      <c r="AB183" s="1562"/>
      <c r="AC183" s="1562"/>
      <c r="AD183" s="1562"/>
      <c r="AE183" s="1562"/>
      <c r="AF183" s="1562"/>
      <c r="AG183" s="1541">
        <f t="shared" si="54"/>
        <v>0</v>
      </c>
      <c r="AH183" s="1562"/>
      <c r="AI183" s="1562"/>
      <c r="AJ183" s="1562"/>
      <c r="AK183" s="1562"/>
      <c r="AL183" s="1562"/>
      <c r="AM183" s="1562"/>
      <c r="AN183" s="1562"/>
      <c r="AO183" s="1562"/>
      <c r="AP183" s="1562"/>
      <c r="AQ183" s="1562"/>
      <c r="AR183" s="1562"/>
      <c r="AS183" s="1562"/>
      <c r="AT183" s="1594">
        <f t="shared" si="55"/>
        <v>0</v>
      </c>
      <c r="AU183" s="1562"/>
      <c r="AV183" s="1562"/>
      <c r="AW183" s="1562"/>
      <c r="AX183" s="1562"/>
      <c r="AY183" s="1562"/>
      <c r="AZ183" s="1562"/>
      <c r="BA183" s="1562"/>
      <c r="BB183" s="1562"/>
      <c r="BC183" s="1689"/>
      <c r="BD183" s="1690"/>
      <c r="BE183" s="1696"/>
      <c r="BF183" s="1355"/>
    </row>
    <row r="184" spans="1:58" customFormat="1" ht="41.25" customHeight="1" outlineLevel="1" x14ac:dyDescent="0.35">
      <c r="A184" s="1679">
        <v>12.1</v>
      </c>
      <c r="B184" s="1680" t="s">
        <v>1851</v>
      </c>
      <c r="C184" s="1662" t="s">
        <v>938</v>
      </c>
      <c r="D184" s="1563" t="s">
        <v>1754</v>
      </c>
      <c r="E184" s="1637"/>
      <c r="F184" s="1360"/>
      <c r="G184" s="1412">
        <v>25</v>
      </c>
      <c r="H184" s="1412"/>
      <c r="I184" s="1422"/>
      <c r="J184" s="1422"/>
      <c r="K184" s="1366"/>
      <c r="L184" s="1365"/>
      <c r="M184" s="1365"/>
      <c r="N184" s="1369"/>
      <c r="O184" s="1365"/>
      <c r="P184" s="1651">
        <v>0</v>
      </c>
      <c r="Q184" s="1651">
        <v>0</v>
      </c>
      <c r="R184" s="1651">
        <v>0</v>
      </c>
      <c r="S184" s="1651">
        <v>0</v>
      </c>
      <c r="T184" s="1594">
        <f t="shared" si="53"/>
        <v>0</v>
      </c>
      <c r="U184" s="1651">
        <v>0</v>
      </c>
      <c r="V184" s="1651">
        <v>0</v>
      </c>
      <c r="W184" s="1651">
        <v>0</v>
      </c>
      <c r="X184" s="1651">
        <v>0</v>
      </c>
      <c r="Y184" s="1698">
        <v>25</v>
      </c>
      <c r="Z184" s="1651">
        <v>0</v>
      </c>
      <c r="AA184" s="1651">
        <v>0</v>
      </c>
      <c r="AB184" s="1651">
        <v>0</v>
      </c>
      <c r="AC184" s="1561"/>
      <c r="AD184" s="1685"/>
      <c r="AE184" s="1561"/>
      <c r="AF184" s="1565"/>
      <c r="AG184" s="1541">
        <f t="shared" si="54"/>
        <v>0</v>
      </c>
      <c r="AH184" s="1565"/>
      <c r="AI184" s="1565"/>
      <c r="AJ184" s="1565"/>
      <c r="AK184" s="1565"/>
      <c r="AL184" s="1650">
        <v>1</v>
      </c>
      <c r="AM184" s="1651">
        <v>0</v>
      </c>
      <c r="AN184" s="1651">
        <v>0</v>
      </c>
      <c r="AO184" s="1651">
        <v>0</v>
      </c>
      <c r="AP184" s="1651">
        <v>0</v>
      </c>
      <c r="AQ184" s="1651">
        <v>0</v>
      </c>
      <c r="AR184" s="1651">
        <v>0</v>
      </c>
      <c r="AS184" s="1651">
        <v>0</v>
      </c>
      <c r="AT184" s="1594">
        <f t="shared" si="55"/>
        <v>0</v>
      </c>
      <c r="AU184" s="1651">
        <v>0</v>
      </c>
      <c r="AV184" s="1651">
        <v>0</v>
      </c>
      <c r="AW184" s="1651">
        <v>0</v>
      </c>
      <c r="AX184" s="1651">
        <v>0</v>
      </c>
      <c r="AY184" s="1698">
        <v>25</v>
      </c>
      <c r="AZ184" s="1651">
        <v>0</v>
      </c>
      <c r="BA184" s="1651">
        <v>0</v>
      </c>
      <c r="BB184" s="1651">
        <v>0</v>
      </c>
      <c r="BC184" s="1686"/>
      <c r="BD184" s="1686" t="s">
        <v>1809</v>
      </c>
      <c r="BE184" s="1687" t="s">
        <v>1809</v>
      </c>
    </row>
    <row r="185" spans="1:58" customFormat="1" ht="41.25" customHeight="1" outlineLevel="1" x14ac:dyDescent="0.35">
      <c r="A185" s="1679">
        <v>12.2</v>
      </c>
      <c r="B185" s="1680" t="s">
        <v>1852</v>
      </c>
      <c r="C185" s="1662" t="s">
        <v>938</v>
      </c>
      <c r="D185" s="1563" t="s">
        <v>1754</v>
      </c>
      <c r="E185" s="1637"/>
      <c r="F185" s="1360"/>
      <c r="G185" s="1412">
        <v>9</v>
      </c>
      <c r="H185" s="1412"/>
      <c r="I185" s="1422"/>
      <c r="J185" s="1422"/>
      <c r="K185" s="1366"/>
      <c r="L185" s="1365"/>
      <c r="M185" s="1365"/>
      <c r="N185" s="1369"/>
      <c r="O185" s="1365"/>
      <c r="P185" s="1651">
        <v>0</v>
      </c>
      <c r="Q185" s="1651">
        <v>0</v>
      </c>
      <c r="R185" s="1651">
        <v>0</v>
      </c>
      <c r="S185" s="1651">
        <v>0</v>
      </c>
      <c r="T185" s="1594">
        <f t="shared" si="53"/>
        <v>0</v>
      </c>
      <c r="U185" s="1651">
        <v>0</v>
      </c>
      <c r="V185" s="1651">
        <v>0</v>
      </c>
      <c r="W185" s="1651">
        <v>0</v>
      </c>
      <c r="X185" s="1651">
        <v>0</v>
      </c>
      <c r="Y185" s="1698">
        <v>9</v>
      </c>
      <c r="Z185" s="1651">
        <v>0</v>
      </c>
      <c r="AA185" s="1651">
        <v>0</v>
      </c>
      <c r="AB185" s="1651">
        <v>0</v>
      </c>
      <c r="AC185" s="1561"/>
      <c r="AD185" s="1685"/>
      <c r="AE185" s="1561"/>
      <c r="AF185" s="1565"/>
      <c r="AG185" s="1541">
        <f t="shared" si="54"/>
        <v>0</v>
      </c>
      <c r="AH185" s="1565"/>
      <c r="AI185" s="1565"/>
      <c r="AJ185" s="1565"/>
      <c r="AK185" s="1565"/>
      <c r="AL185" s="1650">
        <v>1</v>
      </c>
      <c r="AM185" s="1651">
        <v>0</v>
      </c>
      <c r="AN185" s="1651">
        <v>0</v>
      </c>
      <c r="AO185" s="1651">
        <v>0</v>
      </c>
      <c r="AP185" s="1651">
        <v>0</v>
      </c>
      <c r="AQ185" s="1651">
        <v>0</v>
      </c>
      <c r="AR185" s="1651">
        <v>0</v>
      </c>
      <c r="AS185" s="1651">
        <v>0</v>
      </c>
      <c r="AT185" s="1594">
        <f t="shared" si="55"/>
        <v>0</v>
      </c>
      <c r="AU185" s="1651">
        <v>0</v>
      </c>
      <c r="AV185" s="1651">
        <v>0</v>
      </c>
      <c r="AW185" s="1651">
        <v>0</v>
      </c>
      <c r="AX185" s="1651">
        <v>0</v>
      </c>
      <c r="AY185" s="1698">
        <v>9</v>
      </c>
      <c r="AZ185" s="1651">
        <v>0</v>
      </c>
      <c r="BA185" s="1651">
        <v>0</v>
      </c>
      <c r="BB185" s="1651">
        <v>0</v>
      </c>
      <c r="BC185" s="1686"/>
      <c r="BD185" s="1686" t="s">
        <v>1809</v>
      </c>
      <c r="BE185" s="1687" t="s">
        <v>1809</v>
      </c>
    </row>
    <row r="186" spans="1:58" customFormat="1" ht="33.75" customHeight="1" outlineLevel="1" x14ac:dyDescent="0.25">
      <c r="A186" s="1562"/>
      <c r="B186" s="1682" t="s">
        <v>413</v>
      </c>
      <c r="C186" s="1682"/>
      <c r="D186" s="1563" t="s">
        <v>1754</v>
      </c>
      <c r="E186" s="1682"/>
      <c r="F186" s="1682"/>
      <c r="G186" s="1682"/>
      <c r="H186" s="1682"/>
      <c r="I186" s="1683"/>
      <c r="J186" s="1683"/>
      <c r="K186" s="1682"/>
      <c r="L186" s="1682"/>
      <c r="M186" s="1682"/>
      <c r="N186" s="1682"/>
      <c r="O186" s="1682"/>
      <c r="P186" s="1562">
        <v>0</v>
      </c>
      <c r="Q186" s="1562">
        <v>0</v>
      </c>
      <c r="R186" s="1562">
        <v>0</v>
      </c>
      <c r="S186" s="1562">
        <v>0</v>
      </c>
      <c r="T186" s="1594">
        <f t="shared" si="53"/>
        <v>0</v>
      </c>
      <c r="U186" s="1562">
        <v>0</v>
      </c>
      <c r="V186" s="1562">
        <v>0</v>
      </c>
      <c r="W186" s="1562">
        <v>0</v>
      </c>
      <c r="X186" s="1562">
        <v>0</v>
      </c>
      <c r="Y186" s="1562">
        <v>0</v>
      </c>
      <c r="Z186" s="1562"/>
      <c r="AA186" s="1562"/>
      <c r="AB186" s="1562"/>
      <c r="AC186" s="1565"/>
      <c r="AD186" s="1565"/>
      <c r="AE186" s="1565"/>
      <c r="AF186" s="1565"/>
      <c r="AG186" s="1541">
        <f t="shared" si="54"/>
        <v>0</v>
      </c>
      <c r="AH186" s="1565"/>
      <c r="AI186" s="1565"/>
      <c r="AJ186" s="1565"/>
      <c r="AK186" s="1565"/>
      <c r="AL186" s="1565"/>
      <c r="AM186" s="1565"/>
      <c r="AN186" s="1565"/>
      <c r="AO186" s="1565"/>
      <c r="AP186" s="1651"/>
      <c r="AQ186" s="1651"/>
      <c r="AR186" s="1651"/>
      <c r="AS186" s="1651"/>
      <c r="AT186" s="1594">
        <f t="shared" si="55"/>
        <v>0</v>
      </c>
      <c r="AU186" s="1651"/>
      <c r="AV186" s="1651"/>
      <c r="AW186" s="1651"/>
      <c r="AX186" s="1651"/>
      <c r="AY186" s="1573"/>
      <c r="AZ186" s="1651">
        <v>0</v>
      </c>
      <c r="BA186" s="1651">
        <v>0</v>
      </c>
      <c r="BB186" s="1651">
        <v>0</v>
      </c>
      <c r="BC186" s="1686"/>
      <c r="BD186" s="1686" t="s">
        <v>1809</v>
      </c>
      <c r="BE186" s="797"/>
    </row>
    <row r="187" spans="1:58" s="1432" customFormat="1" ht="42" customHeight="1" outlineLevel="1" x14ac:dyDescent="0.35">
      <c r="A187" s="1699">
        <v>13</v>
      </c>
      <c r="B187" s="1693" t="s">
        <v>1853</v>
      </c>
      <c r="C187" s="1655" t="s">
        <v>931</v>
      </c>
      <c r="D187" s="1700" t="s">
        <v>1754</v>
      </c>
      <c r="E187" s="1701"/>
      <c r="F187" s="1424"/>
      <c r="G187" s="1694"/>
      <c r="H187" s="1425"/>
      <c r="I187" s="1426"/>
      <c r="J187" s="1426"/>
      <c r="K187" s="1427"/>
      <c r="L187" s="1428"/>
      <c r="M187" s="1428"/>
      <c r="N187" s="1429"/>
      <c r="O187" s="1430"/>
      <c r="P187" s="1689"/>
      <c r="Q187" s="1689"/>
      <c r="R187" s="1689"/>
      <c r="S187" s="1689"/>
      <c r="T187" s="1594">
        <f t="shared" si="53"/>
        <v>0</v>
      </c>
      <c r="U187" s="1689"/>
      <c r="V187" s="1689"/>
      <c r="W187" s="1689"/>
      <c r="X187" s="1689"/>
      <c r="Y187" s="1689"/>
      <c r="Z187" s="1689"/>
      <c r="AA187" s="1689"/>
      <c r="AB187" s="1689"/>
      <c r="AC187" s="1689"/>
      <c r="AD187" s="1689"/>
      <c r="AE187" s="1689"/>
      <c r="AF187" s="1689"/>
      <c r="AG187" s="1541">
        <f t="shared" si="54"/>
        <v>0</v>
      </c>
      <c r="AH187" s="1689"/>
      <c r="AI187" s="1689"/>
      <c r="AJ187" s="1689"/>
      <c r="AK187" s="1689"/>
      <c r="AL187" s="1689"/>
      <c r="AM187" s="1689"/>
      <c r="AN187" s="1689"/>
      <c r="AO187" s="1689"/>
      <c r="AP187" s="1689"/>
      <c r="AQ187" s="1689"/>
      <c r="AR187" s="1689"/>
      <c r="AS187" s="1689"/>
      <c r="AT187" s="1594">
        <f t="shared" si="55"/>
        <v>0</v>
      </c>
      <c r="AU187" s="1689"/>
      <c r="AV187" s="1689"/>
      <c r="AW187" s="1689"/>
      <c r="AX187" s="1689"/>
      <c r="AY187" s="1689"/>
      <c r="AZ187" s="1689"/>
      <c r="BA187" s="1689"/>
      <c r="BB187" s="1689"/>
      <c r="BC187" s="1686"/>
      <c r="BD187" s="1686" t="s">
        <v>1809</v>
      </c>
      <c r="BE187" s="1687" t="s">
        <v>1809</v>
      </c>
      <c r="BF187" s="1431"/>
    </row>
    <row r="188" spans="1:58" customFormat="1" ht="41.25" customHeight="1" outlineLevel="1" x14ac:dyDescent="0.35">
      <c r="A188" s="1679">
        <v>13.1</v>
      </c>
      <c r="B188" s="1680" t="s">
        <v>1854</v>
      </c>
      <c r="C188" s="1662" t="s">
        <v>938</v>
      </c>
      <c r="D188" s="1563" t="s">
        <v>1754</v>
      </c>
      <c r="E188" s="1637"/>
      <c r="F188" s="1360"/>
      <c r="G188" s="1412">
        <v>28</v>
      </c>
      <c r="H188" s="1412"/>
      <c r="I188" s="1422"/>
      <c r="J188" s="1422"/>
      <c r="K188" s="1366"/>
      <c r="L188" s="1365"/>
      <c r="M188" s="1365"/>
      <c r="N188" s="1369"/>
      <c r="O188" s="1365"/>
      <c r="P188" s="1651">
        <v>0</v>
      </c>
      <c r="Q188" s="1651">
        <v>0</v>
      </c>
      <c r="R188" s="1651">
        <v>0</v>
      </c>
      <c r="S188" s="1651">
        <v>0</v>
      </c>
      <c r="T188" s="1594">
        <f t="shared" si="53"/>
        <v>0</v>
      </c>
      <c r="U188" s="1651">
        <v>0</v>
      </c>
      <c r="V188" s="1651">
        <v>0</v>
      </c>
      <c r="W188" s="1651">
        <v>0</v>
      </c>
      <c r="X188" s="1651">
        <v>0</v>
      </c>
      <c r="Y188" s="1698">
        <v>28</v>
      </c>
      <c r="Z188" s="1651">
        <v>0</v>
      </c>
      <c r="AA188" s="1651">
        <v>0</v>
      </c>
      <c r="AB188" s="1651">
        <v>0</v>
      </c>
      <c r="AC188" s="1561"/>
      <c r="AD188" s="1685"/>
      <c r="AE188" s="1561"/>
      <c r="AF188" s="1565"/>
      <c r="AG188" s="1541">
        <f t="shared" si="54"/>
        <v>0</v>
      </c>
      <c r="AH188" s="1565"/>
      <c r="AI188" s="1565"/>
      <c r="AJ188" s="1565"/>
      <c r="AK188" s="1565"/>
      <c r="AL188" s="1650">
        <v>1</v>
      </c>
      <c r="AM188" s="1565"/>
      <c r="AN188" s="1365"/>
      <c r="AO188" s="1651">
        <v>0</v>
      </c>
      <c r="AP188" s="1651">
        <v>0</v>
      </c>
      <c r="AQ188" s="1651">
        <v>0</v>
      </c>
      <c r="AR188" s="1651">
        <v>0</v>
      </c>
      <c r="AS188" s="1651">
        <v>0</v>
      </c>
      <c r="AT188" s="1594">
        <f t="shared" si="55"/>
        <v>0</v>
      </c>
      <c r="AU188" s="1651">
        <v>0</v>
      </c>
      <c r="AV188" s="1651">
        <v>0</v>
      </c>
      <c r="AW188" s="1651">
        <v>0</v>
      </c>
      <c r="AX188" s="1651">
        <v>0</v>
      </c>
      <c r="AY188" s="1698">
        <v>28</v>
      </c>
      <c r="AZ188" s="1651">
        <v>0</v>
      </c>
      <c r="BA188" s="1651">
        <v>0</v>
      </c>
      <c r="BB188" s="1651">
        <v>0</v>
      </c>
      <c r="BC188" s="1686"/>
      <c r="BD188" s="1686" t="s">
        <v>1809</v>
      </c>
      <c r="BE188" s="1687" t="s">
        <v>1809</v>
      </c>
    </row>
    <row r="189" spans="1:58" customFormat="1" ht="33.75" customHeight="1" outlineLevel="1" x14ac:dyDescent="0.25">
      <c r="A189" s="1562"/>
      <c r="B189" s="1682" t="s">
        <v>413</v>
      </c>
      <c r="C189" s="1682"/>
      <c r="D189" s="1563" t="s">
        <v>1754</v>
      </c>
      <c r="E189" s="1682"/>
      <c r="F189" s="1682"/>
      <c r="G189" s="1682"/>
      <c r="H189" s="1682"/>
      <c r="I189" s="1683"/>
      <c r="J189" s="1683"/>
      <c r="K189" s="1682"/>
      <c r="L189" s="1682"/>
      <c r="M189" s="1682"/>
      <c r="N189" s="1682"/>
      <c r="O189" s="1682"/>
      <c r="P189" s="1562">
        <v>0</v>
      </c>
      <c r="Q189" s="1562">
        <v>0</v>
      </c>
      <c r="R189" s="1562">
        <v>0</v>
      </c>
      <c r="S189" s="1562">
        <v>0</v>
      </c>
      <c r="T189" s="1594">
        <f t="shared" si="53"/>
        <v>0</v>
      </c>
      <c r="U189" s="1562">
        <v>0</v>
      </c>
      <c r="V189" s="1562">
        <v>0</v>
      </c>
      <c r="W189" s="1562">
        <v>0</v>
      </c>
      <c r="X189" s="1562">
        <v>0</v>
      </c>
      <c r="Y189" s="1562">
        <v>0</v>
      </c>
      <c r="Z189" s="1562"/>
      <c r="AA189" s="1562"/>
      <c r="AB189" s="1562"/>
      <c r="AC189" s="1565"/>
      <c r="AD189" s="1565"/>
      <c r="AE189" s="1565"/>
      <c r="AF189" s="1565"/>
      <c r="AG189" s="1541">
        <f t="shared" si="54"/>
        <v>0</v>
      </c>
      <c r="AH189" s="1565"/>
      <c r="AI189" s="1565"/>
      <c r="AJ189" s="1565"/>
      <c r="AK189" s="1565"/>
      <c r="AL189" s="1565"/>
      <c r="AM189" s="1565"/>
      <c r="AN189" s="1565"/>
      <c r="AO189" s="1565"/>
      <c r="AP189" s="1651"/>
      <c r="AQ189" s="1651"/>
      <c r="AR189" s="1651"/>
      <c r="AS189" s="1651"/>
      <c r="AT189" s="1594">
        <f t="shared" si="55"/>
        <v>0</v>
      </c>
      <c r="AU189" s="1651"/>
      <c r="AV189" s="1651"/>
      <c r="AW189" s="1651"/>
      <c r="AX189" s="1651"/>
      <c r="AY189" s="1573"/>
      <c r="AZ189" s="1651">
        <v>0</v>
      </c>
      <c r="BA189" s="1651">
        <v>0</v>
      </c>
      <c r="BB189" s="1651">
        <v>0</v>
      </c>
      <c r="BC189" s="1686"/>
      <c r="BD189" s="1686"/>
      <c r="BE189" s="797"/>
    </row>
    <row r="190" spans="1:58" s="1432" customFormat="1" ht="42" customHeight="1" outlineLevel="1" x14ac:dyDescent="0.25">
      <c r="A190" s="1699">
        <v>14</v>
      </c>
      <c r="B190" s="1693" t="s">
        <v>1855</v>
      </c>
      <c r="C190" s="1655" t="s">
        <v>931</v>
      </c>
      <c r="D190" s="1563" t="s">
        <v>1754</v>
      </c>
      <c r="E190" s="1701"/>
      <c r="F190" s="1424"/>
      <c r="G190" s="1694"/>
      <c r="H190" s="1425"/>
      <c r="I190" s="1426"/>
      <c r="J190" s="1426"/>
      <c r="K190" s="1427"/>
      <c r="L190" s="1428"/>
      <c r="M190" s="1428"/>
      <c r="N190" s="1429"/>
      <c r="O190" s="1430"/>
      <c r="P190" s="1689"/>
      <c r="Q190" s="1689"/>
      <c r="R190" s="1689"/>
      <c r="S190" s="1689"/>
      <c r="T190" s="1594">
        <f t="shared" si="53"/>
        <v>0</v>
      </c>
      <c r="U190" s="1689"/>
      <c r="V190" s="1689"/>
      <c r="W190" s="1689"/>
      <c r="X190" s="1689"/>
      <c r="Y190" s="1689"/>
      <c r="Z190" s="1689"/>
      <c r="AA190" s="1689"/>
      <c r="AB190" s="1689"/>
      <c r="AC190" s="1689"/>
      <c r="AD190" s="1689"/>
      <c r="AE190" s="1689"/>
      <c r="AF190" s="1689"/>
      <c r="AG190" s="1541">
        <f t="shared" si="54"/>
        <v>0</v>
      </c>
      <c r="AH190" s="1689"/>
      <c r="AI190" s="1689"/>
      <c r="AJ190" s="1689"/>
      <c r="AK190" s="1689"/>
      <c r="AL190" s="1689"/>
      <c r="AM190" s="1689"/>
      <c r="AN190" s="1689"/>
      <c r="AO190" s="1689"/>
      <c r="AP190" s="1689"/>
      <c r="AQ190" s="1689"/>
      <c r="AR190" s="1689"/>
      <c r="AS190" s="1689"/>
      <c r="AT190" s="1594">
        <f t="shared" si="55"/>
        <v>0</v>
      </c>
      <c r="AU190" s="1689"/>
      <c r="AV190" s="1689"/>
      <c r="AW190" s="1689"/>
      <c r="AX190" s="1689"/>
      <c r="AY190" s="1689"/>
      <c r="AZ190" s="1689"/>
      <c r="BA190" s="1689"/>
      <c r="BB190" s="1689"/>
      <c r="BC190" s="1689"/>
      <c r="BD190" s="1690"/>
      <c r="BE190" s="1696"/>
      <c r="BF190" s="1431"/>
    </row>
    <row r="191" spans="1:58" customFormat="1" ht="41.25" customHeight="1" outlineLevel="1" x14ac:dyDescent="0.35">
      <c r="A191" s="1679">
        <v>14.1</v>
      </c>
      <c r="B191" s="1680" t="s">
        <v>1856</v>
      </c>
      <c r="C191" s="1662" t="s">
        <v>938</v>
      </c>
      <c r="D191" s="1563" t="s">
        <v>1754</v>
      </c>
      <c r="E191" s="1637"/>
      <c r="F191" s="1360"/>
      <c r="G191" s="1412">
        <v>11</v>
      </c>
      <c r="H191" s="1412"/>
      <c r="I191" s="1422"/>
      <c r="J191" s="1422"/>
      <c r="K191" s="1366"/>
      <c r="L191" s="1365"/>
      <c r="M191" s="1365"/>
      <c r="N191" s="1369"/>
      <c r="O191" s="1365"/>
      <c r="P191" s="1651">
        <v>0</v>
      </c>
      <c r="Q191" s="1651">
        <v>0</v>
      </c>
      <c r="R191" s="1651">
        <v>0</v>
      </c>
      <c r="S191" s="1651">
        <v>0</v>
      </c>
      <c r="T191" s="1594">
        <f t="shared" si="53"/>
        <v>0</v>
      </c>
      <c r="U191" s="1651">
        <v>0</v>
      </c>
      <c r="V191" s="1651">
        <v>0</v>
      </c>
      <c r="W191" s="1651">
        <v>0</v>
      </c>
      <c r="X191" s="1651">
        <v>0</v>
      </c>
      <c r="Y191" s="1698">
        <v>11</v>
      </c>
      <c r="Z191" s="1651">
        <v>0</v>
      </c>
      <c r="AA191" s="1651">
        <v>0</v>
      </c>
      <c r="AB191" s="1651">
        <v>0</v>
      </c>
      <c r="AC191" s="1561"/>
      <c r="AD191" s="1685"/>
      <c r="AE191" s="1561"/>
      <c r="AF191" s="1565"/>
      <c r="AG191" s="1541">
        <f t="shared" si="54"/>
        <v>0</v>
      </c>
      <c r="AH191" s="1565"/>
      <c r="AI191" s="1565"/>
      <c r="AJ191" s="1565"/>
      <c r="AK191" s="1565"/>
      <c r="AL191" s="1650">
        <v>1</v>
      </c>
      <c r="AM191" s="1565"/>
      <c r="AN191" s="1365"/>
      <c r="AO191" s="1365"/>
      <c r="AP191" s="1651">
        <v>0</v>
      </c>
      <c r="AQ191" s="1651">
        <v>0</v>
      </c>
      <c r="AR191" s="1651">
        <v>0</v>
      </c>
      <c r="AS191" s="1651">
        <v>0</v>
      </c>
      <c r="AT191" s="1594">
        <f t="shared" si="55"/>
        <v>0</v>
      </c>
      <c r="AU191" s="1651">
        <v>0</v>
      </c>
      <c r="AV191" s="1651">
        <v>0</v>
      </c>
      <c r="AW191" s="1651">
        <v>0</v>
      </c>
      <c r="AX191" s="1651">
        <v>0</v>
      </c>
      <c r="AY191" s="1698">
        <v>11</v>
      </c>
      <c r="AZ191" s="1651">
        <v>0</v>
      </c>
      <c r="BA191" s="1651">
        <v>0</v>
      </c>
      <c r="BB191" s="1651">
        <v>0</v>
      </c>
      <c r="BC191" s="1686"/>
      <c r="BD191" s="1686" t="s">
        <v>1809</v>
      </c>
      <c r="BE191" s="1687" t="s">
        <v>1809</v>
      </c>
    </row>
    <row r="192" spans="1:58" customFormat="1" ht="41.25" customHeight="1" outlineLevel="1" x14ac:dyDescent="0.35">
      <c r="A192" s="1679">
        <v>14.2</v>
      </c>
      <c r="B192" s="1680" t="s">
        <v>1857</v>
      </c>
      <c r="C192" s="1662" t="s">
        <v>938</v>
      </c>
      <c r="D192" s="1563" t="s">
        <v>1754</v>
      </c>
      <c r="E192" s="1637"/>
      <c r="F192" s="1360"/>
      <c r="G192" s="1412">
        <v>12</v>
      </c>
      <c r="H192" s="1412"/>
      <c r="I192" s="1422"/>
      <c r="J192" s="1422"/>
      <c r="K192" s="1366"/>
      <c r="L192" s="1365"/>
      <c r="M192" s="1365"/>
      <c r="N192" s="1369"/>
      <c r="O192" s="1365"/>
      <c r="P192" s="1651">
        <v>0</v>
      </c>
      <c r="Q192" s="1651">
        <v>0</v>
      </c>
      <c r="R192" s="1651">
        <v>0</v>
      </c>
      <c r="S192" s="1651">
        <v>0</v>
      </c>
      <c r="T192" s="1594">
        <f t="shared" si="53"/>
        <v>0</v>
      </c>
      <c r="U192" s="1651">
        <v>0</v>
      </c>
      <c r="V192" s="1651">
        <v>0</v>
      </c>
      <c r="W192" s="1651">
        <v>0</v>
      </c>
      <c r="X192" s="1651">
        <v>0</v>
      </c>
      <c r="Y192" s="1698">
        <v>12</v>
      </c>
      <c r="Z192" s="1651">
        <v>0</v>
      </c>
      <c r="AA192" s="1651">
        <v>0</v>
      </c>
      <c r="AB192" s="1651">
        <v>0</v>
      </c>
      <c r="AC192" s="1561"/>
      <c r="AD192" s="1685"/>
      <c r="AE192" s="1561"/>
      <c r="AF192" s="1565"/>
      <c r="AG192" s="1541">
        <f t="shared" si="54"/>
        <v>0</v>
      </c>
      <c r="AH192" s="1565"/>
      <c r="AI192" s="1565"/>
      <c r="AJ192" s="1565"/>
      <c r="AK192" s="1565"/>
      <c r="AL192" s="1650">
        <v>1</v>
      </c>
      <c r="AM192" s="1565"/>
      <c r="AN192" s="1365"/>
      <c r="AO192" s="1365"/>
      <c r="AP192" s="1651">
        <v>0</v>
      </c>
      <c r="AQ192" s="1651">
        <v>0</v>
      </c>
      <c r="AR192" s="1651">
        <v>0</v>
      </c>
      <c r="AS192" s="1651">
        <v>0</v>
      </c>
      <c r="AT192" s="1594">
        <f t="shared" si="55"/>
        <v>0</v>
      </c>
      <c r="AU192" s="1651">
        <v>0</v>
      </c>
      <c r="AV192" s="1651">
        <v>0</v>
      </c>
      <c r="AW192" s="1651">
        <v>0</v>
      </c>
      <c r="AX192" s="1651">
        <v>0</v>
      </c>
      <c r="AY192" s="1698">
        <v>12</v>
      </c>
      <c r="AZ192" s="1651">
        <v>0</v>
      </c>
      <c r="BA192" s="1651">
        <v>0</v>
      </c>
      <c r="BB192" s="1651">
        <v>0</v>
      </c>
      <c r="BC192" s="1686"/>
      <c r="BD192" s="1686" t="s">
        <v>1809</v>
      </c>
      <c r="BE192" s="1687" t="s">
        <v>1809</v>
      </c>
    </row>
    <row r="193" spans="1:58" customFormat="1" ht="41.25" customHeight="1" outlineLevel="1" x14ac:dyDescent="0.35">
      <c r="A193" s="1679">
        <v>14.3</v>
      </c>
      <c r="B193" s="1680" t="s">
        <v>1858</v>
      </c>
      <c r="C193" s="1662" t="s">
        <v>938</v>
      </c>
      <c r="D193" s="1563" t="s">
        <v>1754</v>
      </c>
      <c r="E193" s="1637"/>
      <c r="F193" s="1360"/>
      <c r="G193" s="1412">
        <v>11</v>
      </c>
      <c r="H193" s="1412"/>
      <c r="I193" s="1422"/>
      <c r="J193" s="1422"/>
      <c r="K193" s="1366"/>
      <c r="L193" s="1365"/>
      <c r="M193" s="1365"/>
      <c r="N193" s="1369"/>
      <c r="O193" s="1365"/>
      <c r="P193" s="1651">
        <v>0</v>
      </c>
      <c r="Q193" s="1651">
        <v>0</v>
      </c>
      <c r="R193" s="1651">
        <v>0</v>
      </c>
      <c r="S193" s="1651">
        <v>0</v>
      </c>
      <c r="T193" s="1594">
        <f t="shared" si="53"/>
        <v>0</v>
      </c>
      <c r="U193" s="1651">
        <v>0</v>
      </c>
      <c r="V193" s="1651">
        <v>0</v>
      </c>
      <c r="W193" s="1651">
        <v>0</v>
      </c>
      <c r="X193" s="1651">
        <v>0</v>
      </c>
      <c r="Y193" s="1698">
        <v>11</v>
      </c>
      <c r="Z193" s="1651">
        <v>0</v>
      </c>
      <c r="AA193" s="1651">
        <v>0</v>
      </c>
      <c r="AB193" s="1651">
        <v>0</v>
      </c>
      <c r="AC193" s="1561"/>
      <c r="AD193" s="1685"/>
      <c r="AE193" s="1561"/>
      <c r="AF193" s="1565"/>
      <c r="AG193" s="1541">
        <f t="shared" si="54"/>
        <v>0</v>
      </c>
      <c r="AH193" s="1565"/>
      <c r="AI193" s="1565"/>
      <c r="AJ193" s="1565"/>
      <c r="AK193" s="1565"/>
      <c r="AL193" s="1650">
        <v>1</v>
      </c>
      <c r="AM193" s="1565"/>
      <c r="AN193" s="1365"/>
      <c r="AO193" s="1365"/>
      <c r="AP193" s="1651">
        <v>0</v>
      </c>
      <c r="AQ193" s="1651">
        <v>0</v>
      </c>
      <c r="AR193" s="1651">
        <v>0</v>
      </c>
      <c r="AS193" s="1651">
        <v>0</v>
      </c>
      <c r="AT193" s="1594">
        <f t="shared" si="55"/>
        <v>0</v>
      </c>
      <c r="AU193" s="1651">
        <v>0</v>
      </c>
      <c r="AV193" s="1651">
        <v>0</v>
      </c>
      <c r="AW193" s="1651">
        <v>0</v>
      </c>
      <c r="AX193" s="1651">
        <v>0</v>
      </c>
      <c r="AY193" s="1698">
        <v>11</v>
      </c>
      <c r="AZ193" s="1651">
        <v>0</v>
      </c>
      <c r="BA193" s="1651">
        <v>0</v>
      </c>
      <c r="BB193" s="1651">
        <v>0</v>
      </c>
      <c r="BC193" s="1686"/>
      <c r="BD193" s="1686" t="s">
        <v>1809</v>
      </c>
      <c r="BE193" s="1687" t="s">
        <v>1809</v>
      </c>
    </row>
    <row r="194" spans="1:58" customFormat="1" ht="33.75" customHeight="1" outlineLevel="1" x14ac:dyDescent="0.25">
      <c r="A194" s="1562"/>
      <c r="B194" s="1682" t="s">
        <v>413</v>
      </c>
      <c r="C194" s="1682"/>
      <c r="D194" s="1563" t="s">
        <v>1754</v>
      </c>
      <c r="E194" s="1682"/>
      <c r="F194" s="1682"/>
      <c r="G194" s="1682"/>
      <c r="H194" s="1682"/>
      <c r="I194" s="1683"/>
      <c r="J194" s="1683"/>
      <c r="K194" s="1682"/>
      <c r="L194" s="1682"/>
      <c r="M194" s="1682"/>
      <c r="N194" s="1682"/>
      <c r="O194" s="1682"/>
      <c r="P194" s="1562">
        <v>0</v>
      </c>
      <c r="Q194" s="1562">
        <v>0</v>
      </c>
      <c r="R194" s="1562">
        <v>0</v>
      </c>
      <c r="S194" s="1562">
        <v>0</v>
      </c>
      <c r="T194" s="1594">
        <f t="shared" si="53"/>
        <v>0</v>
      </c>
      <c r="U194" s="1562">
        <v>0</v>
      </c>
      <c r="V194" s="1562">
        <v>0</v>
      </c>
      <c r="W194" s="1562">
        <v>0</v>
      </c>
      <c r="X194" s="1562">
        <v>0</v>
      </c>
      <c r="Y194" s="1562">
        <v>0</v>
      </c>
      <c r="Z194" s="1562"/>
      <c r="AA194" s="1562"/>
      <c r="AB194" s="1562"/>
      <c r="AC194" s="1565"/>
      <c r="AD194" s="1565"/>
      <c r="AE194" s="1565"/>
      <c r="AF194" s="1565"/>
      <c r="AG194" s="1541">
        <f t="shared" si="54"/>
        <v>0</v>
      </c>
      <c r="AH194" s="1565"/>
      <c r="AI194" s="1565"/>
      <c r="AJ194" s="1565"/>
      <c r="AK194" s="1565"/>
      <c r="AL194" s="1565"/>
      <c r="AM194" s="1565"/>
      <c r="AN194" s="1565"/>
      <c r="AO194" s="1565"/>
      <c r="AP194" s="1651"/>
      <c r="AQ194" s="1651"/>
      <c r="AR194" s="1651"/>
      <c r="AS194" s="1651"/>
      <c r="AT194" s="1594">
        <f t="shared" si="55"/>
        <v>0</v>
      </c>
      <c r="AU194" s="1651"/>
      <c r="AV194" s="1651"/>
      <c r="AW194" s="1651"/>
      <c r="AX194" s="1651"/>
      <c r="AY194" s="1573"/>
      <c r="AZ194" s="1651">
        <v>0</v>
      </c>
      <c r="BA194" s="1651">
        <v>0</v>
      </c>
      <c r="BB194" s="1651">
        <v>0</v>
      </c>
      <c r="BC194" s="1686"/>
      <c r="BD194" s="1686"/>
      <c r="BE194" s="797"/>
    </row>
    <row r="195" spans="1:58" s="1432" customFormat="1" ht="42" customHeight="1" outlineLevel="1" x14ac:dyDescent="0.25">
      <c r="A195" s="1699">
        <v>15</v>
      </c>
      <c r="B195" s="1693" t="s">
        <v>1859</v>
      </c>
      <c r="C195" s="1655" t="s">
        <v>931</v>
      </c>
      <c r="D195" s="1563" t="s">
        <v>1754</v>
      </c>
      <c r="E195" s="1701"/>
      <c r="F195" s="1424"/>
      <c r="G195" s="1694"/>
      <c r="H195" s="1425"/>
      <c r="I195" s="1426"/>
      <c r="J195" s="1426"/>
      <c r="K195" s="1427"/>
      <c r="L195" s="1428"/>
      <c r="M195" s="1428"/>
      <c r="N195" s="1429"/>
      <c r="O195" s="1430"/>
      <c r="P195" s="1689"/>
      <c r="Q195" s="1689"/>
      <c r="R195" s="1689"/>
      <c r="S195" s="1689"/>
      <c r="T195" s="1594">
        <f t="shared" si="53"/>
        <v>0</v>
      </c>
      <c r="U195" s="1689"/>
      <c r="V195" s="1689"/>
      <c r="W195" s="1689"/>
      <c r="X195" s="1689"/>
      <c r="Y195" s="1689"/>
      <c r="Z195" s="1689"/>
      <c r="AA195" s="1689"/>
      <c r="AB195" s="1689"/>
      <c r="AC195" s="1689"/>
      <c r="AD195" s="1689"/>
      <c r="AE195" s="1689"/>
      <c r="AF195" s="1689"/>
      <c r="AG195" s="1541">
        <f t="shared" si="54"/>
        <v>0</v>
      </c>
      <c r="AH195" s="1689"/>
      <c r="AI195" s="1689"/>
      <c r="AJ195" s="1689"/>
      <c r="AK195" s="1689"/>
      <c r="AL195" s="1689"/>
      <c r="AM195" s="1689"/>
      <c r="AN195" s="1689"/>
      <c r="AO195" s="1689"/>
      <c r="AP195" s="1689"/>
      <c r="AQ195" s="1689"/>
      <c r="AR195" s="1689"/>
      <c r="AS195" s="1689"/>
      <c r="AT195" s="1594">
        <f t="shared" si="55"/>
        <v>0</v>
      </c>
      <c r="AU195" s="1689"/>
      <c r="AV195" s="1689"/>
      <c r="AW195" s="1689"/>
      <c r="AX195" s="1689"/>
      <c r="AY195" s="1689">
        <v>0</v>
      </c>
      <c r="AZ195" s="1689"/>
      <c r="BA195" s="1689"/>
      <c r="BB195" s="1689"/>
      <c r="BC195" s="1689"/>
      <c r="BD195" s="1690"/>
      <c r="BE195" s="1689"/>
      <c r="BF195" s="1431"/>
    </row>
    <row r="196" spans="1:58" customFormat="1" ht="41.25" customHeight="1" outlineLevel="1" x14ac:dyDescent="0.35">
      <c r="A196" s="1679">
        <v>15.1</v>
      </c>
      <c r="B196" s="1680" t="s">
        <v>1860</v>
      </c>
      <c r="C196" s="1662" t="s">
        <v>938</v>
      </c>
      <c r="D196" s="1563" t="s">
        <v>1754</v>
      </c>
      <c r="E196" s="1637"/>
      <c r="F196" s="1360"/>
      <c r="G196" s="1412">
        <v>8.3699999999999992</v>
      </c>
      <c r="H196" s="1412"/>
      <c r="I196" s="1422"/>
      <c r="J196" s="1422"/>
      <c r="K196" s="1366"/>
      <c r="L196" s="1365"/>
      <c r="M196" s="1365"/>
      <c r="N196" s="1369"/>
      <c r="O196" s="1905" t="s">
        <v>1861</v>
      </c>
      <c r="P196" s="1651"/>
      <c r="Q196" s="1651"/>
      <c r="R196" s="1651"/>
      <c r="S196" s="1651"/>
      <c r="T196" s="1594">
        <f t="shared" si="53"/>
        <v>0</v>
      </c>
      <c r="U196" s="1651"/>
      <c r="V196" s="1651"/>
      <c r="W196" s="1651"/>
      <c r="X196" s="1412">
        <v>8.3699999999999992</v>
      </c>
      <c r="Y196" s="1651"/>
      <c r="Z196" s="1651"/>
      <c r="AA196" s="1651"/>
      <c r="AB196" s="1562"/>
      <c r="AC196" s="1561"/>
      <c r="AD196" s="1685"/>
      <c r="AE196" s="1561"/>
      <c r="AF196" s="1565"/>
      <c r="AG196" s="1541">
        <f t="shared" si="54"/>
        <v>0</v>
      </c>
      <c r="AH196" s="1565"/>
      <c r="AI196" s="1565"/>
      <c r="AJ196" s="1565"/>
      <c r="AK196" s="1650">
        <v>1</v>
      </c>
      <c r="AL196" s="1565"/>
      <c r="AM196" s="1565"/>
      <c r="AN196" s="1365"/>
      <c r="AO196" s="1365"/>
      <c r="AP196" s="1651"/>
      <c r="AQ196" s="1651"/>
      <c r="AR196" s="1651"/>
      <c r="AS196" s="1651"/>
      <c r="AT196" s="1594">
        <f t="shared" si="55"/>
        <v>0</v>
      </c>
      <c r="AU196" s="1651"/>
      <c r="AV196" s="1651"/>
      <c r="AW196" s="1651"/>
      <c r="AX196" s="1412">
        <v>8.3699999999999992</v>
      </c>
      <c r="AY196" s="1565"/>
      <c r="AZ196" s="1651"/>
      <c r="BA196" s="1651"/>
      <c r="BB196" s="1651"/>
      <c r="BC196" s="1686"/>
      <c r="BD196" s="1686" t="s">
        <v>1809</v>
      </c>
      <c r="BE196" s="1687" t="s">
        <v>1809</v>
      </c>
    </row>
    <row r="197" spans="1:58" customFormat="1" ht="41.25" customHeight="1" outlineLevel="1" x14ac:dyDescent="0.35">
      <c r="A197" s="1679">
        <v>15.2</v>
      </c>
      <c r="B197" s="1680" t="s">
        <v>1862</v>
      </c>
      <c r="C197" s="1662" t="s">
        <v>938</v>
      </c>
      <c r="D197" s="1563" t="s">
        <v>1754</v>
      </c>
      <c r="E197" s="1637"/>
      <c r="F197" s="1360"/>
      <c r="G197" s="1412">
        <v>0.46</v>
      </c>
      <c r="H197" s="1412"/>
      <c r="I197" s="1422"/>
      <c r="J197" s="1422"/>
      <c r="K197" s="1366"/>
      <c r="L197" s="1365"/>
      <c r="M197" s="1365"/>
      <c r="N197" s="1369"/>
      <c r="O197" s="1906"/>
      <c r="P197" s="1651"/>
      <c r="Q197" s="1651"/>
      <c r="R197" s="1651"/>
      <c r="S197" s="1651"/>
      <c r="T197" s="1594">
        <f t="shared" si="53"/>
        <v>0</v>
      </c>
      <c r="U197" s="1651"/>
      <c r="V197" s="1651"/>
      <c r="W197" s="1651"/>
      <c r="X197" s="1412">
        <v>0.46</v>
      </c>
      <c r="Y197" s="1651"/>
      <c r="Z197" s="1651"/>
      <c r="AA197" s="1651"/>
      <c r="AB197" s="1562"/>
      <c r="AC197" s="1561"/>
      <c r="AD197" s="1685"/>
      <c r="AE197" s="1561"/>
      <c r="AF197" s="1565"/>
      <c r="AG197" s="1541">
        <f t="shared" si="54"/>
        <v>0</v>
      </c>
      <c r="AH197" s="1565"/>
      <c r="AI197" s="1565"/>
      <c r="AJ197" s="1565"/>
      <c r="AK197" s="1650">
        <v>1</v>
      </c>
      <c r="AL197" s="1565"/>
      <c r="AM197" s="1565"/>
      <c r="AN197" s="1365"/>
      <c r="AO197" s="1365"/>
      <c r="AP197" s="1651"/>
      <c r="AQ197" s="1651"/>
      <c r="AR197" s="1651"/>
      <c r="AS197" s="1651"/>
      <c r="AT197" s="1594">
        <f t="shared" si="55"/>
        <v>0</v>
      </c>
      <c r="AU197" s="1651"/>
      <c r="AV197" s="1651"/>
      <c r="AW197" s="1651"/>
      <c r="AX197" s="1412">
        <v>0.46</v>
      </c>
      <c r="AY197" s="1565"/>
      <c r="AZ197" s="1651"/>
      <c r="BA197" s="1651"/>
      <c r="BB197" s="1651"/>
      <c r="BC197" s="1686"/>
      <c r="BD197" s="1686" t="s">
        <v>1809</v>
      </c>
      <c r="BE197" s="1687" t="s">
        <v>1809</v>
      </c>
    </row>
    <row r="198" spans="1:58" customFormat="1" ht="41.25" customHeight="1" outlineLevel="1" x14ac:dyDescent="0.35">
      <c r="A198" s="1679">
        <v>15.3</v>
      </c>
      <c r="B198" s="1680" t="s">
        <v>1863</v>
      </c>
      <c r="C198" s="1662" t="s">
        <v>938</v>
      </c>
      <c r="D198" s="1563" t="s">
        <v>1754</v>
      </c>
      <c r="E198" s="1637"/>
      <c r="F198" s="1360"/>
      <c r="G198" s="1412">
        <v>2.87</v>
      </c>
      <c r="H198" s="1412"/>
      <c r="I198" s="1422"/>
      <c r="J198" s="1422"/>
      <c r="K198" s="1366"/>
      <c r="L198" s="1365"/>
      <c r="M198" s="1365"/>
      <c r="N198" s="1369"/>
      <c r="O198" s="1906"/>
      <c r="P198" s="1651"/>
      <c r="Q198" s="1651"/>
      <c r="R198" s="1651"/>
      <c r="S198" s="1651"/>
      <c r="T198" s="1594">
        <f t="shared" si="53"/>
        <v>0</v>
      </c>
      <c r="U198" s="1651"/>
      <c r="V198" s="1651"/>
      <c r="W198" s="1651"/>
      <c r="X198" s="1412">
        <v>2.87</v>
      </c>
      <c r="Y198" s="1651"/>
      <c r="Z198" s="1651"/>
      <c r="AA198" s="1651"/>
      <c r="AB198" s="1562"/>
      <c r="AC198" s="1561"/>
      <c r="AD198" s="1685"/>
      <c r="AE198" s="1561"/>
      <c r="AF198" s="1565"/>
      <c r="AG198" s="1541">
        <f t="shared" si="54"/>
        <v>0</v>
      </c>
      <c r="AH198" s="1565"/>
      <c r="AI198" s="1565"/>
      <c r="AJ198" s="1565"/>
      <c r="AK198" s="1650">
        <v>1</v>
      </c>
      <c r="AL198" s="1565"/>
      <c r="AM198" s="1565"/>
      <c r="AN198" s="1365"/>
      <c r="AO198" s="1365"/>
      <c r="AP198" s="1651"/>
      <c r="AQ198" s="1651"/>
      <c r="AR198" s="1651"/>
      <c r="AS198" s="1651"/>
      <c r="AT198" s="1594">
        <f t="shared" si="55"/>
        <v>0</v>
      </c>
      <c r="AU198" s="1651"/>
      <c r="AV198" s="1651"/>
      <c r="AW198" s="1651"/>
      <c r="AX198" s="1412">
        <v>2.87</v>
      </c>
      <c r="AY198" s="1565"/>
      <c r="AZ198" s="1651"/>
      <c r="BA198" s="1651"/>
      <c r="BB198" s="1651"/>
      <c r="BC198" s="1686"/>
      <c r="BD198" s="1686" t="s">
        <v>1809</v>
      </c>
      <c r="BE198" s="1687" t="s">
        <v>1809</v>
      </c>
    </row>
    <row r="199" spans="1:58" customFormat="1" ht="41.25" customHeight="1" outlineLevel="1" x14ac:dyDescent="0.35">
      <c r="A199" s="1679">
        <v>15.4</v>
      </c>
      <c r="B199" s="1680" t="s">
        <v>1864</v>
      </c>
      <c r="C199" s="1662" t="s">
        <v>938</v>
      </c>
      <c r="D199" s="1563" t="s">
        <v>1754</v>
      </c>
      <c r="E199" s="1637"/>
      <c r="F199" s="1360"/>
      <c r="G199" s="1412">
        <v>0.78</v>
      </c>
      <c r="H199" s="1412"/>
      <c r="I199" s="1422"/>
      <c r="J199" s="1422"/>
      <c r="K199" s="1366"/>
      <c r="L199" s="1365"/>
      <c r="M199" s="1365"/>
      <c r="N199" s="1369"/>
      <c r="O199" s="1907"/>
      <c r="P199" s="1651"/>
      <c r="Q199" s="1651"/>
      <c r="R199" s="1651"/>
      <c r="S199" s="1651"/>
      <c r="T199" s="1594">
        <f t="shared" si="53"/>
        <v>0</v>
      </c>
      <c r="U199" s="1651"/>
      <c r="V199" s="1651"/>
      <c r="W199" s="1651"/>
      <c r="X199" s="1412">
        <v>0.78</v>
      </c>
      <c r="Y199" s="1651"/>
      <c r="Z199" s="1651"/>
      <c r="AA199" s="1651"/>
      <c r="AB199" s="1562"/>
      <c r="AC199" s="1561"/>
      <c r="AD199" s="1685"/>
      <c r="AE199" s="1561"/>
      <c r="AF199" s="1565"/>
      <c r="AG199" s="1541">
        <f t="shared" si="54"/>
        <v>0</v>
      </c>
      <c r="AH199" s="1565"/>
      <c r="AI199" s="1565"/>
      <c r="AJ199" s="1565"/>
      <c r="AK199" s="1650">
        <v>1</v>
      </c>
      <c r="AL199" s="1565"/>
      <c r="AM199" s="1565"/>
      <c r="AN199" s="1365"/>
      <c r="AO199" s="1365"/>
      <c r="AP199" s="1651"/>
      <c r="AQ199" s="1651"/>
      <c r="AR199" s="1651"/>
      <c r="AS199" s="1651"/>
      <c r="AT199" s="1594">
        <f t="shared" si="55"/>
        <v>0</v>
      </c>
      <c r="AU199" s="1651"/>
      <c r="AV199" s="1651"/>
      <c r="AW199" s="1651"/>
      <c r="AX199" s="1412">
        <v>0.78</v>
      </c>
      <c r="AY199" s="1565"/>
      <c r="AZ199" s="1651"/>
      <c r="BA199" s="1651"/>
      <c r="BB199" s="1651"/>
      <c r="BC199" s="1686"/>
      <c r="BD199" s="1686" t="s">
        <v>1809</v>
      </c>
      <c r="BE199" s="1687" t="s">
        <v>1809</v>
      </c>
    </row>
    <row r="200" spans="1:58" customFormat="1" ht="41.25" customHeight="1" outlineLevel="1" x14ac:dyDescent="0.35">
      <c r="A200" s="1679">
        <v>15.5</v>
      </c>
      <c r="B200" s="1680" t="s">
        <v>1865</v>
      </c>
      <c r="C200" s="1662" t="s">
        <v>938</v>
      </c>
      <c r="D200" s="1563" t="s">
        <v>1754</v>
      </c>
      <c r="E200" s="1637"/>
      <c r="F200" s="1360"/>
      <c r="G200" s="1412">
        <v>1.25</v>
      </c>
      <c r="H200" s="1412"/>
      <c r="I200" s="1422"/>
      <c r="J200" s="1422"/>
      <c r="K200" s="1366"/>
      <c r="L200" s="1365"/>
      <c r="M200" s="1365"/>
      <c r="N200" s="1369"/>
      <c r="O200" s="1383" t="s">
        <v>1866</v>
      </c>
      <c r="P200" s="1651"/>
      <c r="Q200" s="1651"/>
      <c r="R200" s="1651"/>
      <c r="S200" s="1651"/>
      <c r="T200" s="1594">
        <f t="shared" si="53"/>
        <v>0</v>
      </c>
      <c r="U200" s="1651"/>
      <c r="V200" s="1651"/>
      <c r="W200" s="1651"/>
      <c r="X200" s="1412">
        <v>1.25</v>
      </c>
      <c r="Y200" s="1651"/>
      <c r="Z200" s="1651"/>
      <c r="AA200" s="1651"/>
      <c r="AB200" s="1562"/>
      <c r="AC200" s="1561"/>
      <c r="AD200" s="1685"/>
      <c r="AE200" s="1561"/>
      <c r="AF200" s="1565"/>
      <c r="AG200" s="1541">
        <f t="shared" si="54"/>
        <v>0</v>
      </c>
      <c r="AH200" s="1565"/>
      <c r="AI200" s="1565"/>
      <c r="AJ200" s="1565"/>
      <c r="AK200" s="1650">
        <v>1</v>
      </c>
      <c r="AL200" s="1565"/>
      <c r="AM200" s="1565"/>
      <c r="AN200" s="1365"/>
      <c r="AO200" s="1365"/>
      <c r="AP200" s="1651"/>
      <c r="AQ200" s="1651"/>
      <c r="AR200" s="1651"/>
      <c r="AS200" s="1651"/>
      <c r="AT200" s="1594">
        <f t="shared" si="55"/>
        <v>0</v>
      </c>
      <c r="AU200" s="1651"/>
      <c r="AV200" s="1651"/>
      <c r="AW200" s="1651"/>
      <c r="AX200" s="1412">
        <v>1.25</v>
      </c>
      <c r="AY200" s="1565"/>
      <c r="AZ200" s="1651"/>
      <c r="BA200" s="1651"/>
      <c r="BB200" s="1651"/>
      <c r="BC200" s="1686"/>
      <c r="BD200" s="1686" t="s">
        <v>1809</v>
      </c>
      <c r="BE200" s="1687" t="s">
        <v>1809</v>
      </c>
    </row>
    <row r="201" spans="1:58" customFormat="1" ht="41.25" customHeight="1" outlineLevel="1" x14ac:dyDescent="0.35">
      <c r="A201" s="1679">
        <v>15.6</v>
      </c>
      <c r="B201" s="1680" t="s">
        <v>1867</v>
      </c>
      <c r="C201" s="1662" t="s">
        <v>938</v>
      </c>
      <c r="D201" s="1563" t="s">
        <v>1754</v>
      </c>
      <c r="E201" s="1637"/>
      <c r="F201" s="1360"/>
      <c r="G201" s="1412">
        <v>8.7899999999999991</v>
      </c>
      <c r="H201" s="1412"/>
      <c r="I201" s="1422"/>
      <c r="J201" s="1422"/>
      <c r="K201" s="1366"/>
      <c r="L201" s="1365"/>
      <c r="M201" s="1365"/>
      <c r="N201" s="1369"/>
      <c r="O201" s="1383" t="s">
        <v>1868</v>
      </c>
      <c r="P201" s="1651"/>
      <c r="Q201" s="1651"/>
      <c r="R201" s="1651"/>
      <c r="S201" s="1651"/>
      <c r="T201" s="1594">
        <f t="shared" si="53"/>
        <v>0</v>
      </c>
      <c r="U201" s="1651"/>
      <c r="V201" s="1651"/>
      <c r="W201" s="1651"/>
      <c r="X201" s="1412">
        <v>8.7899999999999991</v>
      </c>
      <c r="Y201" s="1651"/>
      <c r="Z201" s="1651"/>
      <c r="AA201" s="1651"/>
      <c r="AB201" s="1562"/>
      <c r="AC201" s="1561"/>
      <c r="AD201" s="1685"/>
      <c r="AE201" s="1561"/>
      <c r="AF201" s="1565"/>
      <c r="AG201" s="1541">
        <f t="shared" si="54"/>
        <v>0</v>
      </c>
      <c r="AH201" s="1565"/>
      <c r="AI201" s="1565"/>
      <c r="AJ201" s="1565"/>
      <c r="AK201" s="1650">
        <v>1</v>
      </c>
      <c r="AL201" s="1565"/>
      <c r="AM201" s="1565"/>
      <c r="AN201" s="1365"/>
      <c r="AO201" s="1365"/>
      <c r="AP201" s="1651"/>
      <c r="AQ201" s="1651"/>
      <c r="AR201" s="1651"/>
      <c r="AS201" s="1651"/>
      <c r="AT201" s="1594">
        <f t="shared" si="55"/>
        <v>0</v>
      </c>
      <c r="AU201" s="1651"/>
      <c r="AV201" s="1651"/>
      <c r="AW201" s="1651"/>
      <c r="AX201" s="1412">
        <v>8.7899999999999991</v>
      </c>
      <c r="AY201" s="1565"/>
      <c r="AZ201" s="1651"/>
      <c r="BA201" s="1651"/>
      <c r="BB201" s="1651"/>
      <c r="BC201" s="1686"/>
      <c r="BD201" s="1686" t="s">
        <v>1809</v>
      </c>
      <c r="BE201" s="1687" t="s">
        <v>1809</v>
      </c>
    </row>
    <row r="202" spans="1:58" customFormat="1" ht="41.25" customHeight="1" outlineLevel="1" x14ac:dyDescent="0.35">
      <c r="A202" s="1679">
        <v>15.7</v>
      </c>
      <c r="B202" s="1680" t="s">
        <v>1869</v>
      </c>
      <c r="C202" s="1662" t="s">
        <v>938</v>
      </c>
      <c r="D202" s="1563" t="s">
        <v>1754</v>
      </c>
      <c r="E202" s="1637"/>
      <c r="F202" s="1360"/>
      <c r="G202" s="1412">
        <v>2.5499999999999998</v>
      </c>
      <c r="H202" s="1412"/>
      <c r="I202" s="1422"/>
      <c r="J202" s="1422"/>
      <c r="K202" s="1366"/>
      <c r="L202" s="1365"/>
      <c r="M202" s="1365"/>
      <c r="N202" s="1369"/>
      <c r="O202" s="1383" t="s">
        <v>1870</v>
      </c>
      <c r="P202" s="1651"/>
      <c r="Q202" s="1651"/>
      <c r="R202" s="1651"/>
      <c r="S202" s="1651"/>
      <c r="T202" s="1594">
        <f t="shared" si="53"/>
        <v>0</v>
      </c>
      <c r="U202" s="1651"/>
      <c r="V202" s="1651"/>
      <c r="W202" s="1651"/>
      <c r="X202" s="1412">
        <v>2.5499999999999998</v>
      </c>
      <c r="Y202" s="1651"/>
      <c r="Z202" s="1651"/>
      <c r="AA202" s="1651"/>
      <c r="AB202" s="1562"/>
      <c r="AC202" s="1565"/>
      <c r="AD202" s="1685"/>
      <c r="AE202" s="1561"/>
      <c r="AF202" s="1565"/>
      <c r="AG202" s="1541">
        <f t="shared" si="54"/>
        <v>0</v>
      </c>
      <c r="AH202" s="1565"/>
      <c r="AI202" s="1565"/>
      <c r="AJ202" s="1565"/>
      <c r="AK202" s="1650">
        <v>1</v>
      </c>
      <c r="AL202" s="1565"/>
      <c r="AM202" s="1565"/>
      <c r="AN202" s="1365"/>
      <c r="AO202" s="1365"/>
      <c r="AP202" s="1651"/>
      <c r="AQ202" s="1651"/>
      <c r="AR202" s="1651"/>
      <c r="AS202" s="1651"/>
      <c r="AT202" s="1594">
        <f t="shared" si="55"/>
        <v>0</v>
      </c>
      <c r="AU202" s="1651"/>
      <c r="AV202" s="1651"/>
      <c r="AW202" s="1651"/>
      <c r="AX202" s="1412">
        <v>2.5499999999999998</v>
      </c>
      <c r="AY202" s="1565"/>
      <c r="AZ202" s="1651"/>
      <c r="BA202" s="1651"/>
      <c r="BB202" s="1651"/>
      <c r="BC202" s="1686"/>
      <c r="BD202" s="1686" t="s">
        <v>1809</v>
      </c>
      <c r="BE202" s="1687" t="s">
        <v>1809</v>
      </c>
    </row>
    <row r="203" spans="1:58" customFormat="1" ht="41.25" customHeight="1" outlineLevel="1" x14ac:dyDescent="0.35">
      <c r="A203" s="1679">
        <v>15.8</v>
      </c>
      <c r="B203" s="1680" t="s">
        <v>1871</v>
      </c>
      <c r="C203" s="1662" t="s">
        <v>938</v>
      </c>
      <c r="D203" s="1563" t="s">
        <v>1754</v>
      </c>
      <c r="E203" s="1637"/>
      <c r="F203" s="1360"/>
      <c r="G203" s="1412">
        <v>4.75</v>
      </c>
      <c r="H203" s="1412"/>
      <c r="I203" s="1422"/>
      <c r="J203" s="1422"/>
      <c r="K203" s="1366"/>
      <c r="L203" s="1365"/>
      <c r="M203" s="1365"/>
      <c r="N203" s="1369"/>
      <c r="O203" s="1383" t="s">
        <v>1872</v>
      </c>
      <c r="P203" s="1651"/>
      <c r="Q203" s="1651"/>
      <c r="R203" s="1651"/>
      <c r="S203" s="1651"/>
      <c r="T203" s="1594">
        <f t="shared" ref="T203:T266" si="56">SUM(P203:S203)</f>
        <v>0</v>
      </c>
      <c r="U203" s="1651"/>
      <c r="V203" s="1651"/>
      <c r="W203" s="1651"/>
      <c r="X203" s="1412">
        <v>4.75</v>
      </c>
      <c r="Y203" s="1651"/>
      <c r="Z203" s="1651"/>
      <c r="AA203" s="1651"/>
      <c r="AB203" s="1562"/>
      <c r="AC203" s="1561"/>
      <c r="AD203" s="1685"/>
      <c r="AE203" s="1561"/>
      <c r="AF203" s="1565"/>
      <c r="AG203" s="1541">
        <f t="shared" ref="AG203:AG266" si="57">SUM(AC203:AF203)</f>
        <v>0</v>
      </c>
      <c r="AH203" s="1565"/>
      <c r="AI203" s="1565"/>
      <c r="AJ203" s="1565"/>
      <c r="AK203" s="1650">
        <v>1</v>
      </c>
      <c r="AL203" s="1565"/>
      <c r="AM203" s="1565"/>
      <c r="AN203" s="1365"/>
      <c r="AO203" s="1365"/>
      <c r="AP203" s="1651"/>
      <c r="AQ203" s="1651"/>
      <c r="AR203" s="1651"/>
      <c r="AS203" s="1651"/>
      <c r="AT203" s="1594">
        <f t="shared" ref="AT203:AT266" si="58">SUM(AP203:AS203)</f>
        <v>0</v>
      </c>
      <c r="AU203" s="1651"/>
      <c r="AV203" s="1651"/>
      <c r="AW203" s="1651"/>
      <c r="AX203" s="1412">
        <v>4.75</v>
      </c>
      <c r="AY203" s="1565"/>
      <c r="AZ203" s="1651"/>
      <c r="BA203" s="1651"/>
      <c r="BB203" s="1651"/>
      <c r="BC203" s="1686"/>
      <c r="BD203" s="1686" t="s">
        <v>1809</v>
      </c>
      <c r="BE203" s="1687" t="s">
        <v>1809</v>
      </c>
    </row>
    <row r="204" spans="1:58" customFormat="1" ht="33.75" customHeight="1" outlineLevel="1" x14ac:dyDescent="0.25">
      <c r="A204" s="1562"/>
      <c r="B204" s="1682" t="s">
        <v>413</v>
      </c>
      <c r="C204" s="1682"/>
      <c r="D204" s="1563" t="s">
        <v>1754</v>
      </c>
      <c r="E204" s="1682"/>
      <c r="F204" s="1682"/>
      <c r="G204" s="1682"/>
      <c r="H204" s="1682"/>
      <c r="I204" s="1683"/>
      <c r="J204" s="1683"/>
      <c r="K204" s="1682"/>
      <c r="L204" s="1682"/>
      <c r="M204" s="1682"/>
      <c r="N204" s="1682"/>
      <c r="O204" s="1682"/>
      <c r="P204" s="1562">
        <v>0</v>
      </c>
      <c r="Q204" s="1562">
        <v>0</v>
      </c>
      <c r="R204" s="1562">
        <v>0</v>
      </c>
      <c r="S204" s="1562">
        <v>0</v>
      </c>
      <c r="T204" s="1594">
        <f t="shared" si="56"/>
        <v>0</v>
      </c>
      <c r="U204" s="1562">
        <v>0</v>
      </c>
      <c r="V204" s="1562">
        <v>0</v>
      </c>
      <c r="W204" s="1562">
        <v>0</v>
      </c>
      <c r="X204" s="1562">
        <v>0</v>
      </c>
      <c r="Y204" s="1562">
        <v>0</v>
      </c>
      <c r="Z204" s="1562"/>
      <c r="AA204" s="1562"/>
      <c r="AB204" s="1562"/>
      <c r="AC204" s="1565"/>
      <c r="AD204" s="1565"/>
      <c r="AE204" s="1565"/>
      <c r="AF204" s="1565"/>
      <c r="AG204" s="1541">
        <f t="shared" si="57"/>
        <v>0</v>
      </c>
      <c r="AH204" s="1565"/>
      <c r="AI204" s="1565"/>
      <c r="AJ204" s="1565"/>
      <c r="AK204" s="1565"/>
      <c r="AL204" s="1565"/>
      <c r="AM204" s="1565"/>
      <c r="AN204" s="1565"/>
      <c r="AO204" s="1565"/>
      <c r="AP204" s="1651"/>
      <c r="AQ204" s="1651"/>
      <c r="AR204" s="1651"/>
      <c r="AS204" s="1651"/>
      <c r="AT204" s="1594">
        <f t="shared" si="58"/>
        <v>0</v>
      </c>
      <c r="AU204" s="1651"/>
      <c r="AV204" s="1651"/>
      <c r="AW204" s="1651"/>
      <c r="AX204" s="1651"/>
      <c r="AY204" s="1651"/>
      <c r="AZ204" s="1651">
        <v>0</v>
      </c>
      <c r="BA204" s="1651">
        <v>0</v>
      </c>
      <c r="BB204" s="1651">
        <v>0</v>
      </c>
      <c r="BC204" s="1686"/>
      <c r="BD204" s="1686"/>
      <c r="BE204" s="797"/>
    </row>
    <row r="205" spans="1:58" s="1432" customFormat="1" ht="42" customHeight="1" outlineLevel="1" x14ac:dyDescent="0.25">
      <c r="A205" s="1699">
        <v>16</v>
      </c>
      <c r="B205" s="1693" t="s">
        <v>1873</v>
      </c>
      <c r="C205" s="1655" t="s">
        <v>931</v>
      </c>
      <c r="D205" s="1563"/>
      <c r="E205" s="1701"/>
      <c r="F205" s="1424"/>
      <c r="G205" s="1694"/>
      <c r="H205" s="1425"/>
      <c r="I205" s="1426"/>
      <c r="J205" s="1426"/>
      <c r="K205" s="1427"/>
      <c r="L205" s="1428"/>
      <c r="M205" s="1428"/>
      <c r="N205" s="1429"/>
      <c r="O205" s="1430"/>
      <c r="P205" s="1689"/>
      <c r="Q205" s="1689"/>
      <c r="R205" s="1689"/>
      <c r="S205" s="1689"/>
      <c r="T205" s="1594">
        <f t="shared" si="56"/>
        <v>0</v>
      </c>
      <c r="U205" s="1689"/>
      <c r="V205" s="1689"/>
      <c r="W205" s="1689"/>
      <c r="X205" s="1689"/>
      <c r="Y205" s="1689"/>
      <c r="Z205" s="1689"/>
      <c r="AA205" s="1689"/>
      <c r="AB205" s="1689"/>
      <c r="AC205" s="1689"/>
      <c r="AD205" s="1689"/>
      <c r="AE205" s="1689"/>
      <c r="AF205" s="1689"/>
      <c r="AG205" s="1541">
        <f t="shared" si="57"/>
        <v>0</v>
      </c>
      <c r="AH205" s="1689"/>
      <c r="AI205" s="1689"/>
      <c r="AJ205" s="1689"/>
      <c r="AK205" s="1689"/>
      <c r="AL205" s="1689"/>
      <c r="AM205" s="1689"/>
      <c r="AN205" s="1689"/>
      <c r="AO205" s="1689"/>
      <c r="AP205" s="1689"/>
      <c r="AQ205" s="1689"/>
      <c r="AR205" s="1689"/>
      <c r="AS205" s="1689"/>
      <c r="AT205" s="1594">
        <f t="shared" si="58"/>
        <v>0</v>
      </c>
      <c r="AU205" s="1689"/>
      <c r="AV205" s="1689"/>
      <c r="AW205" s="1689"/>
      <c r="AX205" s="1689"/>
      <c r="AY205" s="1689"/>
      <c r="AZ205" s="1689"/>
      <c r="BA205" s="1689"/>
      <c r="BB205" s="1689"/>
      <c r="BC205" s="1689"/>
      <c r="BD205" s="1690"/>
      <c r="BE205" s="1689"/>
      <c r="BF205" s="1431"/>
    </row>
    <row r="206" spans="1:58" s="1432" customFormat="1" ht="42" customHeight="1" outlineLevel="1" x14ac:dyDescent="0.35">
      <c r="A206" s="1702">
        <v>16.100000000000001</v>
      </c>
      <c r="B206" s="1703" t="s">
        <v>1874</v>
      </c>
      <c r="C206" s="1662" t="s">
        <v>938</v>
      </c>
      <c r="D206" s="1563" t="s">
        <v>1754</v>
      </c>
      <c r="E206" s="1701"/>
      <c r="F206" s="1424"/>
      <c r="G206" s="1694">
        <v>10</v>
      </c>
      <c r="H206" s="1425"/>
      <c r="I206" s="1426"/>
      <c r="J206" s="1426"/>
      <c r="K206" s="1427"/>
      <c r="L206" s="1428"/>
      <c r="M206" s="1428"/>
      <c r="N206" s="1429"/>
      <c r="O206" s="1433" t="s">
        <v>1875</v>
      </c>
      <c r="P206" s="1689"/>
      <c r="Q206" s="1689"/>
      <c r="R206" s="1689"/>
      <c r="S206" s="1689"/>
      <c r="T206" s="1594">
        <f t="shared" si="56"/>
        <v>0</v>
      </c>
      <c r="U206" s="1689"/>
      <c r="V206" s="1689"/>
      <c r="W206" s="1689"/>
      <c r="X206" s="1689"/>
      <c r="Y206" s="1412">
        <v>10</v>
      </c>
      <c r="Z206" s="1689"/>
      <c r="AA206" s="1689"/>
      <c r="AB206" s="1689"/>
      <c r="AC206" s="1689"/>
      <c r="AD206" s="1689"/>
      <c r="AE206" s="1689"/>
      <c r="AF206" s="1689"/>
      <c r="AG206" s="1541">
        <f t="shared" si="57"/>
        <v>0</v>
      </c>
      <c r="AH206" s="1689"/>
      <c r="AI206" s="1689"/>
      <c r="AJ206" s="1689"/>
      <c r="AK206" s="1689"/>
      <c r="AL206" s="1689"/>
      <c r="AM206" s="1689"/>
      <c r="AN206" s="1689"/>
      <c r="AO206" s="1689"/>
      <c r="AP206" s="1689"/>
      <c r="AQ206" s="1689"/>
      <c r="AR206" s="1689"/>
      <c r="AS206" s="1689"/>
      <c r="AT206" s="1594">
        <f t="shared" si="58"/>
        <v>0</v>
      </c>
      <c r="AU206" s="1689"/>
      <c r="AV206" s="1689"/>
      <c r="AW206" s="1689"/>
      <c r="AX206" s="1689"/>
      <c r="AY206" s="1412">
        <v>10</v>
      </c>
      <c r="AZ206" s="1689"/>
      <c r="BA206" s="1689"/>
      <c r="BB206" s="1689"/>
      <c r="BC206" s="1686"/>
      <c r="BD206" s="1686" t="s">
        <v>1809</v>
      </c>
      <c r="BE206" s="1687" t="s">
        <v>1809</v>
      </c>
      <c r="BF206" s="1431"/>
    </row>
    <row r="207" spans="1:58" s="1432" customFormat="1" ht="42" customHeight="1" outlineLevel="1" x14ac:dyDescent="0.35">
      <c r="A207" s="1702">
        <v>16.2</v>
      </c>
      <c r="B207" s="1680" t="s">
        <v>1876</v>
      </c>
      <c r="C207" s="1662" t="s">
        <v>938</v>
      </c>
      <c r="D207" s="1563" t="s">
        <v>1754</v>
      </c>
      <c r="E207" s="1701"/>
      <c r="F207" s="1424"/>
      <c r="G207" s="1694">
        <v>5</v>
      </c>
      <c r="H207" s="1425"/>
      <c r="I207" s="1426"/>
      <c r="J207" s="1426"/>
      <c r="K207" s="1427"/>
      <c r="L207" s="1428"/>
      <c r="M207" s="1428"/>
      <c r="N207" s="1429"/>
      <c r="O207" s="1433" t="s">
        <v>1877</v>
      </c>
      <c r="P207" s="1689"/>
      <c r="Q207" s="1689"/>
      <c r="R207" s="1689"/>
      <c r="S207" s="1689"/>
      <c r="T207" s="1594">
        <f t="shared" si="56"/>
        <v>0</v>
      </c>
      <c r="U207" s="1689"/>
      <c r="V207" s="1689"/>
      <c r="W207" s="1689"/>
      <c r="X207" s="1689"/>
      <c r="Y207" s="1412">
        <v>5</v>
      </c>
      <c r="Z207" s="1689"/>
      <c r="AA207" s="1689"/>
      <c r="AB207" s="1689"/>
      <c r="AC207" s="1689"/>
      <c r="AD207" s="1689"/>
      <c r="AE207" s="1689"/>
      <c r="AF207" s="1689"/>
      <c r="AG207" s="1541">
        <f t="shared" si="57"/>
        <v>0</v>
      </c>
      <c r="AH207" s="1689"/>
      <c r="AI207" s="1689"/>
      <c r="AJ207" s="1689"/>
      <c r="AK207" s="1689"/>
      <c r="AL207" s="1650">
        <v>1</v>
      </c>
      <c r="AM207" s="1689"/>
      <c r="AN207" s="1689"/>
      <c r="AO207" s="1689"/>
      <c r="AP207" s="1689"/>
      <c r="AQ207" s="1689"/>
      <c r="AR207" s="1689"/>
      <c r="AS207" s="1689"/>
      <c r="AT207" s="1594">
        <f t="shared" si="58"/>
        <v>0</v>
      </c>
      <c r="AU207" s="1689"/>
      <c r="AV207" s="1689"/>
      <c r="AW207" s="1689"/>
      <c r="AX207" s="1689"/>
      <c r="AY207" s="1412">
        <v>5</v>
      </c>
      <c r="AZ207" s="1689"/>
      <c r="BA207" s="1689"/>
      <c r="BB207" s="1689"/>
      <c r="BC207" s="1686"/>
      <c r="BD207" s="1686" t="s">
        <v>1809</v>
      </c>
      <c r="BE207" s="1687" t="s">
        <v>1809</v>
      </c>
      <c r="BF207" s="1431"/>
    </row>
    <row r="208" spans="1:58" s="1432" customFormat="1" ht="42" customHeight="1" outlineLevel="1" x14ac:dyDescent="0.35">
      <c r="A208" s="1702">
        <v>16.3</v>
      </c>
      <c r="B208" s="1680" t="s">
        <v>1878</v>
      </c>
      <c r="C208" s="1662" t="s">
        <v>938</v>
      </c>
      <c r="D208" s="1563" t="s">
        <v>1754</v>
      </c>
      <c r="E208" s="1701"/>
      <c r="F208" s="1424"/>
      <c r="G208" s="1694">
        <v>8</v>
      </c>
      <c r="H208" s="1425"/>
      <c r="I208" s="1426"/>
      <c r="J208" s="1426"/>
      <c r="K208" s="1427"/>
      <c r="L208" s="1428"/>
      <c r="M208" s="1428"/>
      <c r="N208" s="1429"/>
      <c r="O208" s="1434" t="s">
        <v>1879</v>
      </c>
      <c r="P208" s="1689"/>
      <c r="Q208" s="1689"/>
      <c r="R208" s="1689"/>
      <c r="S208" s="1689"/>
      <c r="T208" s="1594">
        <f t="shared" si="56"/>
        <v>0</v>
      </c>
      <c r="U208" s="1689"/>
      <c r="V208" s="1689"/>
      <c r="W208" s="1689"/>
      <c r="X208" s="1689"/>
      <c r="Y208" s="1412">
        <v>8</v>
      </c>
      <c r="Z208" s="1689"/>
      <c r="AA208" s="1689"/>
      <c r="AB208" s="1689"/>
      <c r="AC208" s="1689"/>
      <c r="AD208" s="1689"/>
      <c r="AE208" s="1689"/>
      <c r="AF208" s="1689"/>
      <c r="AG208" s="1541">
        <f t="shared" si="57"/>
        <v>0</v>
      </c>
      <c r="AH208" s="1689"/>
      <c r="AI208" s="1689"/>
      <c r="AJ208" s="1689"/>
      <c r="AK208" s="1689"/>
      <c r="AL208" s="1650">
        <v>1</v>
      </c>
      <c r="AM208" s="1689"/>
      <c r="AN208" s="1689"/>
      <c r="AO208" s="1689"/>
      <c r="AP208" s="1689"/>
      <c r="AQ208" s="1689"/>
      <c r="AR208" s="1689"/>
      <c r="AS208" s="1689"/>
      <c r="AT208" s="1594">
        <f t="shared" si="58"/>
        <v>0</v>
      </c>
      <c r="AU208" s="1689"/>
      <c r="AV208" s="1689"/>
      <c r="AW208" s="1689"/>
      <c r="AX208" s="1689"/>
      <c r="AY208" s="1412">
        <v>8</v>
      </c>
      <c r="AZ208" s="1689"/>
      <c r="BA208" s="1689"/>
      <c r="BB208" s="1689"/>
      <c r="BC208" s="1686"/>
      <c r="BD208" s="1686" t="s">
        <v>1809</v>
      </c>
      <c r="BE208" s="1687" t="s">
        <v>1809</v>
      </c>
      <c r="BF208" s="1431"/>
    </row>
    <row r="209" spans="1:58" s="1432" customFormat="1" ht="42" customHeight="1" outlineLevel="1" x14ac:dyDescent="0.35">
      <c r="A209" s="1702">
        <v>16.399999999999999</v>
      </c>
      <c r="B209" s="1680" t="s">
        <v>1880</v>
      </c>
      <c r="C209" s="1662" t="s">
        <v>938</v>
      </c>
      <c r="D209" s="1563" t="s">
        <v>1754</v>
      </c>
      <c r="E209" s="1701"/>
      <c r="F209" s="1424"/>
      <c r="G209" s="1694">
        <v>8</v>
      </c>
      <c r="H209" s="1425"/>
      <c r="I209" s="1426"/>
      <c r="J209" s="1426"/>
      <c r="K209" s="1427"/>
      <c r="L209" s="1428"/>
      <c r="M209" s="1428"/>
      <c r="N209" s="1429"/>
      <c r="O209" s="1433" t="s">
        <v>1881</v>
      </c>
      <c r="P209" s="1689"/>
      <c r="Q209" s="1689"/>
      <c r="R209" s="1689"/>
      <c r="S209" s="1689"/>
      <c r="T209" s="1594">
        <f t="shared" si="56"/>
        <v>0</v>
      </c>
      <c r="U209" s="1689"/>
      <c r="V209" s="1689"/>
      <c r="W209" s="1689"/>
      <c r="X209" s="1689"/>
      <c r="Y209" s="1412">
        <v>8</v>
      </c>
      <c r="Z209" s="1689"/>
      <c r="AA209" s="1689"/>
      <c r="AB209" s="1689"/>
      <c r="AC209" s="1689"/>
      <c r="AD209" s="1689"/>
      <c r="AE209" s="1689"/>
      <c r="AF209" s="1689"/>
      <c r="AG209" s="1541">
        <f t="shared" si="57"/>
        <v>0</v>
      </c>
      <c r="AH209" s="1689"/>
      <c r="AI209" s="1689"/>
      <c r="AJ209" s="1689"/>
      <c r="AK209" s="1689"/>
      <c r="AL209" s="1650">
        <v>1</v>
      </c>
      <c r="AM209" s="1689"/>
      <c r="AN209" s="1689"/>
      <c r="AO209" s="1689"/>
      <c r="AP209" s="1689"/>
      <c r="AQ209" s="1689"/>
      <c r="AR209" s="1689"/>
      <c r="AS209" s="1689"/>
      <c r="AT209" s="1594">
        <f t="shared" si="58"/>
        <v>0</v>
      </c>
      <c r="AU209" s="1689"/>
      <c r="AV209" s="1689"/>
      <c r="AW209" s="1689"/>
      <c r="AX209" s="1689"/>
      <c r="AY209" s="1412">
        <v>8</v>
      </c>
      <c r="AZ209" s="1689"/>
      <c r="BA209" s="1689"/>
      <c r="BB209" s="1689"/>
      <c r="BC209" s="1686"/>
      <c r="BD209" s="1686" t="s">
        <v>1809</v>
      </c>
      <c r="BE209" s="1687" t="s">
        <v>1809</v>
      </c>
      <c r="BF209" s="1431"/>
    </row>
    <row r="210" spans="1:58" s="1432" customFormat="1" ht="42" customHeight="1" outlineLevel="1" x14ac:dyDescent="0.35">
      <c r="A210" s="1702">
        <v>16.5</v>
      </c>
      <c r="B210" s="1680" t="s">
        <v>1882</v>
      </c>
      <c r="C210" s="1662" t="s">
        <v>938</v>
      </c>
      <c r="D210" s="1563" t="s">
        <v>1754</v>
      </c>
      <c r="E210" s="1701"/>
      <c r="F210" s="1424"/>
      <c r="G210" s="1694">
        <v>12</v>
      </c>
      <c r="H210" s="1425"/>
      <c r="I210" s="1426"/>
      <c r="J210" s="1426"/>
      <c r="K210" s="1427"/>
      <c r="L210" s="1428"/>
      <c r="M210" s="1428"/>
      <c r="N210" s="1429"/>
      <c r="O210" s="1434" t="s">
        <v>1883</v>
      </c>
      <c r="P210" s="1689"/>
      <c r="Q210" s="1689"/>
      <c r="R210" s="1689"/>
      <c r="S210" s="1689"/>
      <c r="T210" s="1594">
        <f t="shared" si="56"/>
        <v>0</v>
      </c>
      <c r="U210" s="1689"/>
      <c r="V210" s="1689"/>
      <c r="W210" s="1689"/>
      <c r="X210" s="1689"/>
      <c r="Y210" s="1412">
        <v>12</v>
      </c>
      <c r="Z210" s="1689"/>
      <c r="AA210" s="1689"/>
      <c r="AB210" s="1689"/>
      <c r="AC210" s="1689"/>
      <c r="AD210" s="1689"/>
      <c r="AE210" s="1689"/>
      <c r="AF210" s="1689"/>
      <c r="AG210" s="1541">
        <f t="shared" si="57"/>
        <v>0</v>
      </c>
      <c r="AH210" s="1689"/>
      <c r="AI210" s="1689"/>
      <c r="AJ210" s="1689"/>
      <c r="AK210" s="1689"/>
      <c r="AL210" s="1650">
        <v>1</v>
      </c>
      <c r="AM210" s="1689"/>
      <c r="AN210" s="1689"/>
      <c r="AO210" s="1689"/>
      <c r="AP210" s="1689"/>
      <c r="AQ210" s="1689"/>
      <c r="AR210" s="1689"/>
      <c r="AS210" s="1689"/>
      <c r="AT210" s="1594">
        <f t="shared" si="58"/>
        <v>0</v>
      </c>
      <c r="AU210" s="1689"/>
      <c r="AV210" s="1689"/>
      <c r="AW210" s="1689"/>
      <c r="AX210" s="1689"/>
      <c r="AY210" s="1412">
        <v>12</v>
      </c>
      <c r="AZ210" s="1689"/>
      <c r="BA210" s="1689"/>
      <c r="BB210" s="1689"/>
      <c r="BC210" s="1686"/>
      <c r="BD210" s="1686" t="s">
        <v>1809</v>
      </c>
      <c r="BE210" s="1687" t="s">
        <v>1809</v>
      </c>
      <c r="BF210" s="1431"/>
    </row>
    <row r="211" spans="1:58" s="1432" customFormat="1" ht="42" customHeight="1" outlineLevel="1" x14ac:dyDescent="0.35">
      <c r="A211" s="1702">
        <v>16.600000000000001</v>
      </c>
      <c r="B211" s="1680" t="s">
        <v>1884</v>
      </c>
      <c r="C211" s="1662" t="s">
        <v>938</v>
      </c>
      <c r="D211" s="1563" t="s">
        <v>1754</v>
      </c>
      <c r="E211" s="1701"/>
      <c r="F211" s="1424"/>
      <c r="G211" s="1694">
        <v>15</v>
      </c>
      <c r="H211" s="1425"/>
      <c r="I211" s="1426"/>
      <c r="J211" s="1426"/>
      <c r="K211" s="1427"/>
      <c r="L211" s="1428"/>
      <c r="M211" s="1428"/>
      <c r="N211" s="1429"/>
      <c r="O211" s="1434" t="s">
        <v>1885</v>
      </c>
      <c r="P211" s="1689"/>
      <c r="Q211" s="1689"/>
      <c r="R211" s="1689"/>
      <c r="S211" s="1689"/>
      <c r="T211" s="1594">
        <f t="shared" si="56"/>
        <v>0</v>
      </c>
      <c r="U211" s="1689"/>
      <c r="V211" s="1689"/>
      <c r="W211" s="1689"/>
      <c r="X211" s="1689"/>
      <c r="Y211" s="1412">
        <v>15</v>
      </c>
      <c r="Z211" s="1689"/>
      <c r="AA211" s="1689"/>
      <c r="AB211" s="1689"/>
      <c r="AC211" s="1689"/>
      <c r="AD211" s="1689"/>
      <c r="AE211" s="1689"/>
      <c r="AF211" s="1689"/>
      <c r="AG211" s="1541">
        <f t="shared" si="57"/>
        <v>0</v>
      </c>
      <c r="AH211" s="1689"/>
      <c r="AI211" s="1689"/>
      <c r="AJ211" s="1689"/>
      <c r="AK211" s="1689"/>
      <c r="AL211" s="1650">
        <v>1</v>
      </c>
      <c r="AM211" s="1689"/>
      <c r="AN211" s="1689"/>
      <c r="AO211" s="1689"/>
      <c r="AP211" s="1689"/>
      <c r="AQ211" s="1689"/>
      <c r="AR211" s="1689"/>
      <c r="AS211" s="1689"/>
      <c r="AT211" s="1594">
        <f t="shared" si="58"/>
        <v>0</v>
      </c>
      <c r="AU211" s="1689"/>
      <c r="AV211" s="1689"/>
      <c r="AW211" s="1689"/>
      <c r="AX211" s="1689"/>
      <c r="AY211" s="1412">
        <v>15</v>
      </c>
      <c r="AZ211" s="1689"/>
      <c r="BA211" s="1689"/>
      <c r="BB211" s="1689"/>
      <c r="BC211" s="1686"/>
      <c r="BD211" s="1686" t="s">
        <v>1809</v>
      </c>
      <c r="BE211" s="1687" t="s">
        <v>1809</v>
      </c>
      <c r="BF211" s="1431"/>
    </row>
    <row r="212" spans="1:58" s="1432" customFormat="1" ht="42" customHeight="1" outlineLevel="1" x14ac:dyDescent="0.35">
      <c r="A212" s="1702">
        <v>16.7</v>
      </c>
      <c r="B212" s="1680" t="s">
        <v>1886</v>
      </c>
      <c r="C212" s="1662" t="s">
        <v>938</v>
      </c>
      <c r="D212" s="1563" t="s">
        <v>1754</v>
      </c>
      <c r="E212" s="1701"/>
      <c r="F212" s="1424"/>
      <c r="G212" s="1694">
        <v>4</v>
      </c>
      <c r="H212" s="1425"/>
      <c r="I212" s="1426"/>
      <c r="J212" s="1426"/>
      <c r="K212" s="1427"/>
      <c r="L212" s="1428"/>
      <c r="M212" s="1428"/>
      <c r="N212" s="1429"/>
      <c r="O212" s="1434" t="s">
        <v>1887</v>
      </c>
      <c r="P212" s="1689"/>
      <c r="Q212" s="1689"/>
      <c r="R212" s="1689"/>
      <c r="S212" s="1689"/>
      <c r="T212" s="1594">
        <f t="shared" si="56"/>
        <v>0</v>
      </c>
      <c r="U212" s="1689"/>
      <c r="V212" s="1689"/>
      <c r="W212" s="1689"/>
      <c r="X212" s="1689"/>
      <c r="Y212" s="1412">
        <v>4</v>
      </c>
      <c r="Z212" s="1689"/>
      <c r="AA212" s="1689"/>
      <c r="AB212" s="1689"/>
      <c r="AC212" s="1689"/>
      <c r="AD212" s="1689"/>
      <c r="AE212" s="1689"/>
      <c r="AF212" s="1689"/>
      <c r="AG212" s="1541">
        <f t="shared" si="57"/>
        <v>0</v>
      </c>
      <c r="AH212" s="1689"/>
      <c r="AI212" s="1689"/>
      <c r="AJ212" s="1689"/>
      <c r="AK212" s="1689"/>
      <c r="AL212" s="1650">
        <v>1</v>
      </c>
      <c r="AM212" s="1689"/>
      <c r="AN212" s="1689"/>
      <c r="AO212" s="1689"/>
      <c r="AP212" s="1689"/>
      <c r="AQ212" s="1689"/>
      <c r="AR212" s="1689"/>
      <c r="AS212" s="1689"/>
      <c r="AT212" s="1594">
        <f t="shared" si="58"/>
        <v>0</v>
      </c>
      <c r="AU212" s="1689"/>
      <c r="AV212" s="1689"/>
      <c r="AW212" s="1689"/>
      <c r="AX212" s="1689"/>
      <c r="AY212" s="1412">
        <v>4</v>
      </c>
      <c r="AZ212" s="1689"/>
      <c r="BA212" s="1689"/>
      <c r="BB212" s="1689"/>
      <c r="BC212" s="1686"/>
      <c r="BD212" s="1686" t="s">
        <v>1809</v>
      </c>
      <c r="BE212" s="1687" t="s">
        <v>1809</v>
      </c>
      <c r="BF212" s="1431"/>
    </row>
    <row r="213" spans="1:58" s="1432" customFormat="1" ht="42" customHeight="1" outlineLevel="1" x14ac:dyDescent="0.35">
      <c r="A213" s="1702">
        <v>16.8</v>
      </c>
      <c r="B213" s="1680" t="s">
        <v>1888</v>
      </c>
      <c r="C213" s="1662" t="s">
        <v>938</v>
      </c>
      <c r="D213" s="1563" t="s">
        <v>1754</v>
      </c>
      <c r="E213" s="1701"/>
      <c r="F213" s="1424"/>
      <c r="G213" s="1694">
        <v>3.25</v>
      </c>
      <c r="H213" s="1425"/>
      <c r="I213" s="1426"/>
      <c r="J213" s="1426"/>
      <c r="K213" s="1427"/>
      <c r="L213" s="1428"/>
      <c r="M213" s="1428"/>
      <c r="N213" s="1429"/>
      <c r="O213" s="1435" t="s">
        <v>1889</v>
      </c>
      <c r="P213" s="1689"/>
      <c r="Q213" s="1689"/>
      <c r="R213" s="1689"/>
      <c r="S213" s="1689"/>
      <c r="T213" s="1594">
        <f t="shared" si="56"/>
        <v>0</v>
      </c>
      <c r="U213" s="1689"/>
      <c r="V213" s="1689"/>
      <c r="W213" s="1689"/>
      <c r="X213" s="1689"/>
      <c r="Y213" s="1412">
        <v>3.25</v>
      </c>
      <c r="Z213" s="1689"/>
      <c r="AA213" s="1689"/>
      <c r="AB213" s="1689"/>
      <c r="AC213" s="1689"/>
      <c r="AD213" s="1689"/>
      <c r="AE213" s="1689"/>
      <c r="AF213" s="1689"/>
      <c r="AG213" s="1541">
        <f t="shared" si="57"/>
        <v>0</v>
      </c>
      <c r="AH213" s="1689"/>
      <c r="AI213" s="1689"/>
      <c r="AJ213" s="1689"/>
      <c r="AK213" s="1689"/>
      <c r="AL213" s="1650">
        <v>1</v>
      </c>
      <c r="AM213" s="1689"/>
      <c r="AN213" s="1689"/>
      <c r="AO213" s="1689"/>
      <c r="AP213" s="1689"/>
      <c r="AQ213" s="1689"/>
      <c r="AR213" s="1689"/>
      <c r="AS213" s="1689"/>
      <c r="AT213" s="1594">
        <f t="shared" si="58"/>
        <v>0</v>
      </c>
      <c r="AU213" s="1689"/>
      <c r="AV213" s="1689"/>
      <c r="AW213" s="1689"/>
      <c r="AX213" s="1689"/>
      <c r="AY213" s="1412">
        <v>3.25</v>
      </c>
      <c r="AZ213" s="1689"/>
      <c r="BA213" s="1689"/>
      <c r="BB213" s="1689"/>
      <c r="BC213" s="1686"/>
      <c r="BD213" s="1686" t="s">
        <v>1809</v>
      </c>
      <c r="BE213" s="1687" t="s">
        <v>1809</v>
      </c>
      <c r="BF213" s="1431"/>
    </row>
    <row r="214" spans="1:58" customFormat="1" ht="33.75" customHeight="1" outlineLevel="1" x14ac:dyDescent="0.35">
      <c r="A214" s="1562"/>
      <c r="B214" s="1682" t="s">
        <v>413</v>
      </c>
      <c r="C214" s="1682"/>
      <c r="D214" s="1563" t="s">
        <v>1754</v>
      </c>
      <c r="E214" s="1682"/>
      <c r="F214" s="1682"/>
      <c r="G214" s="1682"/>
      <c r="H214" s="1682"/>
      <c r="I214" s="1683"/>
      <c r="J214" s="1683"/>
      <c r="K214" s="1682"/>
      <c r="L214" s="1682"/>
      <c r="M214" s="1682"/>
      <c r="N214" s="1682"/>
      <c r="O214" s="1682"/>
      <c r="P214" s="1562">
        <v>0</v>
      </c>
      <c r="Q214" s="1562">
        <v>0</v>
      </c>
      <c r="R214" s="1562">
        <v>0</v>
      </c>
      <c r="S214" s="1562">
        <v>0</v>
      </c>
      <c r="T214" s="1594">
        <f t="shared" si="56"/>
        <v>0</v>
      </c>
      <c r="U214" s="1562">
        <v>0</v>
      </c>
      <c r="V214" s="1562">
        <v>0</v>
      </c>
      <c r="W214" s="1562">
        <v>0</v>
      </c>
      <c r="X214" s="1562">
        <v>0</v>
      </c>
      <c r="Y214" s="1562">
        <v>0</v>
      </c>
      <c r="Z214" s="1562"/>
      <c r="AA214" s="1562"/>
      <c r="AB214" s="1562"/>
      <c r="AC214" s="1565"/>
      <c r="AD214" s="1565"/>
      <c r="AE214" s="1565"/>
      <c r="AF214" s="1565"/>
      <c r="AG214" s="1541">
        <f t="shared" si="57"/>
        <v>0</v>
      </c>
      <c r="AH214" s="1565"/>
      <c r="AI214" s="1565"/>
      <c r="AJ214" s="1565"/>
      <c r="AK214" s="1565"/>
      <c r="AL214" s="1565"/>
      <c r="AM214" s="1565"/>
      <c r="AN214" s="1565"/>
      <c r="AO214" s="1565"/>
      <c r="AP214" s="1651"/>
      <c r="AQ214" s="1651"/>
      <c r="AR214" s="1651"/>
      <c r="AS214" s="1651"/>
      <c r="AT214" s="1594">
        <f t="shared" si="58"/>
        <v>0</v>
      </c>
      <c r="AU214" s="1651"/>
      <c r="AV214" s="1651"/>
      <c r="AW214" s="1651"/>
      <c r="AX214" s="1651"/>
      <c r="AY214" s="1573"/>
      <c r="AZ214" s="1651">
        <v>0</v>
      </c>
      <c r="BA214" s="1651">
        <v>0</v>
      </c>
      <c r="BB214" s="1651">
        <v>0</v>
      </c>
      <c r="BC214" s="1686"/>
      <c r="BD214" s="1686" t="s">
        <v>1809</v>
      </c>
      <c r="BE214" s="1687" t="s">
        <v>1809</v>
      </c>
    </row>
    <row r="215" spans="1:58" s="1432" customFormat="1" ht="42" customHeight="1" outlineLevel="1" x14ac:dyDescent="0.25">
      <c r="A215" s="1702">
        <v>17</v>
      </c>
      <c r="B215" s="1693" t="s">
        <v>1890</v>
      </c>
      <c r="C215" s="1655" t="s">
        <v>931</v>
      </c>
      <c r="D215" s="1563" t="s">
        <v>1754</v>
      </c>
      <c r="E215" s="1701"/>
      <c r="F215" s="1424"/>
      <c r="G215" s="1694"/>
      <c r="H215" s="1425"/>
      <c r="I215" s="1426"/>
      <c r="J215" s="1426"/>
      <c r="K215" s="1427"/>
      <c r="L215" s="1428"/>
      <c r="M215" s="1428"/>
      <c r="N215" s="1429"/>
      <c r="O215" s="1430"/>
      <c r="P215" s="1689"/>
      <c r="Q215" s="1689"/>
      <c r="R215" s="1689"/>
      <c r="S215" s="1689"/>
      <c r="T215" s="1594">
        <f t="shared" si="56"/>
        <v>0</v>
      </c>
      <c r="U215" s="1689"/>
      <c r="V215" s="1689"/>
      <c r="W215" s="1689"/>
      <c r="X215" s="1689"/>
      <c r="Y215" s="1689"/>
      <c r="Z215" s="1689"/>
      <c r="AA215" s="1689"/>
      <c r="AB215" s="1689"/>
      <c r="AC215" s="1689"/>
      <c r="AD215" s="1689"/>
      <c r="AE215" s="1689"/>
      <c r="AF215" s="1689"/>
      <c r="AG215" s="1541">
        <f t="shared" si="57"/>
        <v>0</v>
      </c>
      <c r="AH215" s="1689"/>
      <c r="AI215" s="1689"/>
      <c r="AJ215" s="1689"/>
      <c r="AK215" s="1689"/>
      <c r="AL215" s="1689"/>
      <c r="AM215" s="1650">
        <v>1</v>
      </c>
      <c r="AN215" s="1689"/>
      <c r="AO215" s="1689"/>
      <c r="AP215" s="1689"/>
      <c r="AQ215" s="1689"/>
      <c r="AR215" s="1689"/>
      <c r="AS215" s="1689"/>
      <c r="AT215" s="1594">
        <f t="shared" si="58"/>
        <v>0</v>
      </c>
      <c r="AU215" s="1689"/>
      <c r="AV215" s="1689"/>
      <c r="AW215" s="1689"/>
      <c r="AX215" s="1689"/>
      <c r="AY215" s="1689"/>
      <c r="AZ215" s="1689"/>
      <c r="BA215" s="1689"/>
      <c r="BB215" s="1689"/>
      <c r="BC215" s="1689"/>
      <c r="BD215" s="1690"/>
      <c r="BE215" s="1689"/>
      <c r="BF215" s="1431"/>
    </row>
    <row r="216" spans="1:58" s="1432" customFormat="1" ht="42" customHeight="1" outlineLevel="1" x14ac:dyDescent="0.35">
      <c r="A216" s="1702">
        <v>17.100000000000001</v>
      </c>
      <c r="B216" s="1680" t="s">
        <v>1891</v>
      </c>
      <c r="C216" s="1662" t="s">
        <v>938</v>
      </c>
      <c r="D216" s="1563" t="s">
        <v>1754</v>
      </c>
      <c r="E216" s="1701"/>
      <c r="F216" s="1424"/>
      <c r="G216" s="1412">
        <v>3</v>
      </c>
      <c r="H216" s="1425"/>
      <c r="I216" s="1426"/>
      <c r="J216" s="1426"/>
      <c r="K216" s="1427"/>
      <c r="L216" s="1428"/>
      <c r="M216" s="1428"/>
      <c r="N216" s="1429"/>
      <c r="O216" s="1369" t="s">
        <v>1892</v>
      </c>
      <c r="P216" s="1689"/>
      <c r="Q216" s="1689"/>
      <c r="R216" s="1689"/>
      <c r="S216" s="1689"/>
      <c r="T216" s="1594">
        <f t="shared" si="56"/>
        <v>0</v>
      </c>
      <c r="U216" s="1689"/>
      <c r="V216" s="1689"/>
      <c r="W216" s="1689"/>
      <c r="X216" s="1689"/>
      <c r="Y216" s="1689"/>
      <c r="Z216" s="1412">
        <v>3</v>
      </c>
      <c r="AA216" s="1689"/>
      <c r="AB216" s="1689"/>
      <c r="AC216" s="1689"/>
      <c r="AD216" s="1689"/>
      <c r="AE216" s="1689"/>
      <c r="AF216" s="1689"/>
      <c r="AG216" s="1541">
        <f t="shared" si="57"/>
        <v>0</v>
      </c>
      <c r="AH216" s="1689"/>
      <c r="AI216" s="1689"/>
      <c r="AJ216" s="1689"/>
      <c r="AK216" s="1689"/>
      <c r="AL216" s="1689"/>
      <c r="AM216" s="1650">
        <v>1</v>
      </c>
      <c r="AN216" s="1689"/>
      <c r="AO216" s="1689"/>
      <c r="AP216" s="1689"/>
      <c r="AQ216" s="1689"/>
      <c r="AR216" s="1689"/>
      <c r="AS216" s="1689"/>
      <c r="AT216" s="1594">
        <f t="shared" si="58"/>
        <v>0</v>
      </c>
      <c r="AU216" s="1689"/>
      <c r="AV216" s="1689"/>
      <c r="AW216" s="1689"/>
      <c r="AX216" s="1689"/>
      <c r="AY216" s="1689"/>
      <c r="AZ216" s="1412">
        <v>3</v>
      </c>
      <c r="BA216" s="1689"/>
      <c r="BB216" s="1689"/>
      <c r="BC216" s="1686"/>
      <c r="BD216" s="1686" t="s">
        <v>1809</v>
      </c>
      <c r="BE216" s="1687" t="s">
        <v>1809</v>
      </c>
      <c r="BF216" s="1431"/>
    </row>
    <row r="217" spans="1:58" customFormat="1" ht="41.25" customHeight="1" outlineLevel="1" x14ac:dyDescent="0.35">
      <c r="A217" s="1679">
        <v>17.2</v>
      </c>
      <c r="B217" s="1680" t="s">
        <v>1878</v>
      </c>
      <c r="C217" s="1662" t="s">
        <v>938</v>
      </c>
      <c r="D217" s="1563" t="s">
        <v>1754</v>
      </c>
      <c r="E217" s="1637"/>
      <c r="F217" s="1360"/>
      <c r="G217" s="1412">
        <v>8</v>
      </c>
      <c r="H217" s="1412"/>
      <c r="I217" s="1422"/>
      <c r="J217" s="1422"/>
      <c r="K217" s="1366"/>
      <c r="L217" s="1365"/>
      <c r="M217" s="1365"/>
      <c r="N217" s="1369"/>
      <c r="O217" s="1369" t="s">
        <v>1879</v>
      </c>
      <c r="P217" s="1562"/>
      <c r="Q217" s="1562"/>
      <c r="R217" s="1562"/>
      <c r="S217" s="1562"/>
      <c r="T217" s="1594">
        <f t="shared" si="56"/>
        <v>0</v>
      </c>
      <c r="U217" s="1562"/>
      <c r="V217" s="1562"/>
      <c r="W217" s="1562"/>
      <c r="X217" s="1562"/>
      <c r="Y217" s="1562"/>
      <c r="Z217" s="1412">
        <v>8</v>
      </c>
      <c r="AA217" s="1562"/>
      <c r="AB217" s="1562"/>
      <c r="AC217" s="1561"/>
      <c r="AD217" s="1685"/>
      <c r="AE217" s="1561"/>
      <c r="AF217" s="1565"/>
      <c r="AG217" s="1541">
        <f t="shared" si="57"/>
        <v>0</v>
      </c>
      <c r="AH217" s="1565"/>
      <c r="AI217" s="1565"/>
      <c r="AJ217" s="1565"/>
      <c r="AK217" s="1565"/>
      <c r="AL217" s="1565"/>
      <c r="AM217" s="1650">
        <v>1</v>
      </c>
      <c r="AN217" s="1365"/>
      <c r="AO217" s="1365"/>
      <c r="AP217" s="1651"/>
      <c r="AQ217" s="1651"/>
      <c r="AR217" s="1651"/>
      <c r="AS217" s="1651"/>
      <c r="AT217" s="1594">
        <f t="shared" si="58"/>
        <v>0</v>
      </c>
      <c r="AU217" s="1651"/>
      <c r="AV217" s="1651"/>
      <c r="AW217" s="1651"/>
      <c r="AX217" s="1651"/>
      <c r="AY217" s="1651"/>
      <c r="AZ217" s="1412">
        <v>8</v>
      </c>
      <c r="BA217" s="1651"/>
      <c r="BB217" s="1651"/>
      <c r="BC217" s="1686"/>
      <c r="BD217" s="1686" t="s">
        <v>1809</v>
      </c>
      <c r="BE217" s="1687" t="s">
        <v>1809</v>
      </c>
    </row>
    <row r="218" spans="1:58" customFormat="1" ht="41.25" customHeight="1" outlineLevel="1" x14ac:dyDescent="0.35">
      <c r="A218" s="1702">
        <v>17.3</v>
      </c>
      <c r="B218" s="1680" t="s">
        <v>1893</v>
      </c>
      <c r="C218" s="1662" t="s">
        <v>938</v>
      </c>
      <c r="D218" s="1563" t="s">
        <v>1754</v>
      </c>
      <c r="E218" s="1637"/>
      <c r="F218" s="1360"/>
      <c r="G218" s="1412">
        <v>3</v>
      </c>
      <c r="H218" s="1412"/>
      <c r="I218" s="1422"/>
      <c r="J218" s="1422"/>
      <c r="K218" s="1366"/>
      <c r="L218" s="1365"/>
      <c r="M218" s="1365"/>
      <c r="N218" s="1369"/>
      <c r="O218" s="1369" t="s">
        <v>1894</v>
      </c>
      <c r="P218" s="1562"/>
      <c r="Q218" s="1562"/>
      <c r="R218" s="1562"/>
      <c r="S218" s="1562"/>
      <c r="T218" s="1594">
        <f t="shared" si="56"/>
        <v>0</v>
      </c>
      <c r="U218" s="1562"/>
      <c r="V218" s="1562"/>
      <c r="W218" s="1562"/>
      <c r="X218" s="1562"/>
      <c r="Y218" s="1562"/>
      <c r="Z218" s="1412">
        <v>3</v>
      </c>
      <c r="AA218" s="1562"/>
      <c r="AB218" s="1562"/>
      <c r="AC218" s="1561"/>
      <c r="AD218" s="1685"/>
      <c r="AE218" s="1561"/>
      <c r="AF218" s="1565"/>
      <c r="AG218" s="1541">
        <f t="shared" si="57"/>
        <v>0</v>
      </c>
      <c r="AH218" s="1565"/>
      <c r="AI218" s="1565"/>
      <c r="AJ218" s="1565"/>
      <c r="AK218" s="1565"/>
      <c r="AL218" s="1565"/>
      <c r="AM218" s="1650">
        <v>1</v>
      </c>
      <c r="AN218" s="1365"/>
      <c r="AO218" s="1365"/>
      <c r="AP218" s="1651"/>
      <c r="AQ218" s="1651"/>
      <c r="AR218" s="1651"/>
      <c r="AS218" s="1651"/>
      <c r="AT218" s="1594">
        <f t="shared" si="58"/>
        <v>0</v>
      </c>
      <c r="AU218" s="1651"/>
      <c r="AV218" s="1651"/>
      <c r="AW218" s="1651"/>
      <c r="AX218" s="1651"/>
      <c r="AY218" s="1651"/>
      <c r="AZ218" s="1412">
        <v>3</v>
      </c>
      <c r="BA218" s="1651"/>
      <c r="BB218" s="1651"/>
      <c r="BC218" s="1686"/>
      <c r="BD218" s="1686" t="s">
        <v>1809</v>
      </c>
      <c r="BE218" s="1687" t="s">
        <v>1809</v>
      </c>
    </row>
    <row r="219" spans="1:58" customFormat="1" ht="41.25" customHeight="1" outlineLevel="1" x14ac:dyDescent="0.35">
      <c r="A219" s="1679">
        <v>17.399999999999999</v>
      </c>
      <c r="B219" s="1680" t="s">
        <v>1895</v>
      </c>
      <c r="C219" s="1662" t="s">
        <v>938</v>
      </c>
      <c r="D219" s="1563" t="s">
        <v>1754</v>
      </c>
      <c r="E219" s="1637"/>
      <c r="F219" s="1360"/>
      <c r="G219" s="1412">
        <v>4</v>
      </c>
      <c r="H219" s="1412"/>
      <c r="I219" s="1422"/>
      <c r="J219" s="1422"/>
      <c r="K219" s="1366"/>
      <c r="L219" s="1365"/>
      <c r="M219" s="1365"/>
      <c r="N219" s="1369"/>
      <c r="O219" s="1369" t="s">
        <v>1896</v>
      </c>
      <c r="P219" s="1562"/>
      <c r="Q219" s="1562"/>
      <c r="R219" s="1562"/>
      <c r="S219" s="1562"/>
      <c r="T219" s="1594">
        <f t="shared" si="56"/>
        <v>0</v>
      </c>
      <c r="U219" s="1562"/>
      <c r="V219" s="1562"/>
      <c r="W219" s="1562"/>
      <c r="X219" s="1562"/>
      <c r="Y219" s="1562"/>
      <c r="Z219" s="1412">
        <v>4</v>
      </c>
      <c r="AA219" s="1562"/>
      <c r="AB219" s="1562"/>
      <c r="AC219" s="1561"/>
      <c r="AD219" s="1685"/>
      <c r="AE219" s="1561"/>
      <c r="AF219" s="1565"/>
      <c r="AG219" s="1541">
        <f t="shared" si="57"/>
        <v>0</v>
      </c>
      <c r="AH219" s="1565"/>
      <c r="AI219" s="1565"/>
      <c r="AJ219" s="1565"/>
      <c r="AK219" s="1565"/>
      <c r="AL219" s="1565"/>
      <c r="AM219" s="1650">
        <v>1</v>
      </c>
      <c r="AN219" s="1365"/>
      <c r="AO219" s="1365"/>
      <c r="AP219" s="1651"/>
      <c r="AQ219" s="1651"/>
      <c r="AR219" s="1651"/>
      <c r="AS219" s="1651"/>
      <c r="AT219" s="1594">
        <f t="shared" si="58"/>
        <v>0</v>
      </c>
      <c r="AU219" s="1651"/>
      <c r="AV219" s="1651"/>
      <c r="AW219" s="1651"/>
      <c r="AX219" s="1651"/>
      <c r="AY219" s="1651"/>
      <c r="AZ219" s="1412">
        <v>4</v>
      </c>
      <c r="BA219" s="1651"/>
      <c r="BB219" s="1651"/>
      <c r="BC219" s="1686"/>
      <c r="BD219" s="1686" t="s">
        <v>1809</v>
      </c>
      <c r="BE219" s="1687" t="s">
        <v>1809</v>
      </c>
    </row>
    <row r="220" spans="1:58" customFormat="1" ht="41.25" customHeight="1" outlineLevel="1" x14ac:dyDescent="0.35">
      <c r="A220" s="1702">
        <v>17.5</v>
      </c>
      <c r="B220" s="1680" t="s">
        <v>1897</v>
      </c>
      <c r="C220" s="1662" t="s">
        <v>938</v>
      </c>
      <c r="D220" s="1563" t="s">
        <v>1754</v>
      </c>
      <c r="E220" s="1637"/>
      <c r="F220" s="1360"/>
      <c r="G220" s="1412">
        <v>3</v>
      </c>
      <c r="H220" s="1412"/>
      <c r="I220" s="1422"/>
      <c r="J220" s="1422"/>
      <c r="K220" s="1366"/>
      <c r="L220" s="1365"/>
      <c r="M220" s="1365"/>
      <c r="N220" s="1369"/>
      <c r="O220" s="1369" t="s">
        <v>1898</v>
      </c>
      <c r="P220" s="1562"/>
      <c r="Q220" s="1562"/>
      <c r="R220" s="1562"/>
      <c r="S220" s="1562"/>
      <c r="T220" s="1594">
        <f t="shared" si="56"/>
        <v>0</v>
      </c>
      <c r="U220" s="1562"/>
      <c r="V220" s="1562"/>
      <c r="W220" s="1562"/>
      <c r="X220" s="1562"/>
      <c r="Y220" s="1562"/>
      <c r="Z220" s="1412">
        <v>3</v>
      </c>
      <c r="AA220" s="1562"/>
      <c r="AB220" s="1562"/>
      <c r="AC220" s="1561"/>
      <c r="AD220" s="1685"/>
      <c r="AE220" s="1561"/>
      <c r="AF220" s="1565"/>
      <c r="AG220" s="1541">
        <f t="shared" si="57"/>
        <v>0</v>
      </c>
      <c r="AH220" s="1565"/>
      <c r="AI220" s="1565"/>
      <c r="AJ220" s="1565"/>
      <c r="AK220" s="1565"/>
      <c r="AL220" s="1565"/>
      <c r="AM220" s="1650">
        <v>1</v>
      </c>
      <c r="AN220" s="1365"/>
      <c r="AO220" s="1365"/>
      <c r="AP220" s="1651"/>
      <c r="AQ220" s="1651"/>
      <c r="AR220" s="1651"/>
      <c r="AS220" s="1651"/>
      <c r="AT220" s="1594">
        <f t="shared" si="58"/>
        <v>0</v>
      </c>
      <c r="AU220" s="1651"/>
      <c r="AV220" s="1651"/>
      <c r="AW220" s="1651"/>
      <c r="AX220" s="1651"/>
      <c r="AY220" s="1651"/>
      <c r="AZ220" s="1412">
        <v>3</v>
      </c>
      <c r="BA220" s="1651"/>
      <c r="BB220" s="1651"/>
      <c r="BC220" s="1686"/>
      <c r="BD220" s="1686" t="s">
        <v>1809</v>
      </c>
      <c r="BE220" s="1687" t="s">
        <v>1809</v>
      </c>
    </row>
    <row r="221" spans="1:58" customFormat="1" ht="41.25" customHeight="1" outlineLevel="1" x14ac:dyDescent="0.35">
      <c r="A221" s="1679">
        <v>17.600000000000001</v>
      </c>
      <c r="B221" s="1680" t="s">
        <v>1899</v>
      </c>
      <c r="C221" s="1662" t="s">
        <v>938</v>
      </c>
      <c r="D221" s="1563" t="s">
        <v>1754</v>
      </c>
      <c r="E221" s="1637"/>
      <c r="F221" s="1360"/>
      <c r="G221" s="1412">
        <v>4</v>
      </c>
      <c r="H221" s="1412"/>
      <c r="I221" s="1422"/>
      <c r="J221" s="1422"/>
      <c r="K221" s="1366"/>
      <c r="L221" s="1365"/>
      <c r="M221" s="1365"/>
      <c r="N221" s="1369"/>
      <c r="O221" s="1436" t="s">
        <v>1900</v>
      </c>
      <c r="P221" s="1562"/>
      <c r="Q221" s="1562"/>
      <c r="R221" s="1562"/>
      <c r="S221" s="1562"/>
      <c r="T221" s="1594">
        <f t="shared" si="56"/>
        <v>0</v>
      </c>
      <c r="U221" s="1562"/>
      <c r="V221" s="1562"/>
      <c r="W221" s="1562"/>
      <c r="X221" s="1562"/>
      <c r="Y221" s="1562"/>
      <c r="Z221" s="1412">
        <v>4</v>
      </c>
      <c r="AA221" s="1562"/>
      <c r="AB221" s="1562"/>
      <c r="AC221" s="1561"/>
      <c r="AD221" s="1685"/>
      <c r="AE221" s="1561"/>
      <c r="AF221" s="1565"/>
      <c r="AG221" s="1541">
        <f t="shared" si="57"/>
        <v>0</v>
      </c>
      <c r="AH221" s="1565"/>
      <c r="AI221" s="1565"/>
      <c r="AJ221" s="1565"/>
      <c r="AK221" s="1565"/>
      <c r="AL221" s="1565"/>
      <c r="AM221" s="1650">
        <v>1</v>
      </c>
      <c r="AN221" s="1365"/>
      <c r="AO221" s="1365"/>
      <c r="AP221" s="1651"/>
      <c r="AQ221" s="1651"/>
      <c r="AR221" s="1651"/>
      <c r="AS221" s="1651"/>
      <c r="AT221" s="1594">
        <f t="shared" si="58"/>
        <v>0</v>
      </c>
      <c r="AU221" s="1651"/>
      <c r="AV221" s="1651"/>
      <c r="AW221" s="1651"/>
      <c r="AX221" s="1651"/>
      <c r="AY221" s="1651"/>
      <c r="AZ221" s="1412">
        <v>4</v>
      </c>
      <c r="BA221" s="1651"/>
      <c r="BB221" s="1651"/>
      <c r="BC221" s="1686"/>
      <c r="BD221" s="1686" t="s">
        <v>1809</v>
      </c>
      <c r="BE221" s="1687" t="s">
        <v>1809</v>
      </c>
    </row>
    <row r="222" spans="1:58" customFormat="1" ht="41.25" customHeight="1" outlineLevel="1" x14ac:dyDescent="0.35">
      <c r="A222" s="1702">
        <v>17.7</v>
      </c>
      <c r="B222" s="1680" t="s">
        <v>1901</v>
      </c>
      <c r="C222" s="1662" t="s">
        <v>938</v>
      </c>
      <c r="D222" s="1563" t="s">
        <v>1754</v>
      </c>
      <c r="E222" s="1637"/>
      <c r="F222" s="1360"/>
      <c r="G222" s="1412">
        <v>4</v>
      </c>
      <c r="H222" s="1412"/>
      <c r="I222" s="1422"/>
      <c r="J222" s="1422"/>
      <c r="K222" s="1366"/>
      <c r="L222" s="1365"/>
      <c r="M222" s="1365"/>
      <c r="N222" s="1369"/>
      <c r="O222" s="1435" t="s">
        <v>1889</v>
      </c>
      <c r="P222" s="1562"/>
      <c r="Q222" s="1562"/>
      <c r="R222" s="1562"/>
      <c r="S222" s="1562"/>
      <c r="T222" s="1594">
        <f t="shared" si="56"/>
        <v>0</v>
      </c>
      <c r="U222" s="1562"/>
      <c r="V222" s="1562"/>
      <c r="W222" s="1562"/>
      <c r="X222" s="1562"/>
      <c r="Y222" s="1562"/>
      <c r="Z222" s="1412">
        <v>4</v>
      </c>
      <c r="AA222" s="1562"/>
      <c r="AB222" s="1562"/>
      <c r="AC222" s="1561"/>
      <c r="AD222" s="1685"/>
      <c r="AE222" s="1561"/>
      <c r="AF222" s="1565"/>
      <c r="AG222" s="1541">
        <f t="shared" si="57"/>
        <v>0</v>
      </c>
      <c r="AH222" s="1565"/>
      <c r="AI222" s="1565"/>
      <c r="AJ222" s="1565"/>
      <c r="AK222" s="1565"/>
      <c r="AL222" s="1565"/>
      <c r="AM222" s="1650">
        <v>1</v>
      </c>
      <c r="AN222" s="1365"/>
      <c r="AO222" s="1365"/>
      <c r="AP222" s="1651"/>
      <c r="AQ222" s="1651"/>
      <c r="AR222" s="1651"/>
      <c r="AS222" s="1651"/>
      <c r="AT222" s="1594">
        <f t="shared" si="58"/>
        <v>0</v>
      </c>
      <c r="AU222" s="1651"/>
      <c r="AV222" s="1651"/>
      <c r="AW222" s="1651"/>
      <c r="AX222" s="1651"/>
      <c r="AY222" s="1651"/>
      <c r="AZ222" s="1412">
        <v>4</v>
      </c>
      <c r="BA222" s="1651"/>
      <c r="BB222" s="1651"/>
      <c r="BC222" s="1686"/>
      <c r="BD222" s="1686" t="s">
        <v>1809</v>
      </c>
      <c r="BE222" s="1687" t="s">
        <v>1809</v>
      </c>
    </row>
    <row r="223" spans="1:58" customFormat="1" ht="33.75" customHeight="1" outlineLevel="1" x14ac:dyDescent="0.25">
      <c r="A223" s="1562"/>
      <c r="B223" s="1682" t="s">
        <v>413</v>
      </c>
      <c r="C223" s="1682"/>
      <c r="D223" s="1563" t="s">
        <v>1754</v>
      </c>
      <c r="E223" s="1682"/>
      <c r="F223" s="1682"/>
      <c r="G223" s="1682"/>
      <c r="H223" s="1682"/>
      <c r="I223" s="1683"/>
      <c r="J223" s="1683"/>
      <c r="K223" s="1682"/>
      <c r="L223" s="1682"/>
      <c r="M223" s="1682"/>
      <c r="N223" s="1682"/>
      <c r="O223" s="1682"/>
      <c r="P223" s="1562">
        <v>0</v>
      </c>
      <c r="Q223" s="1562">
        <v>0</v>
      </c>
      <c r="R223" s="1562">
        <v>0</v>
      </c>
      <c r="S223" s="1562">
        <v>0</v>
      </c>
      <c r="T223" s="1594">
        <f t="shared" si="56"/>
        <v>0</v>
      </c>
      <c r="U223" s="1562">
        <v>0</v>
      </c>
      <c r="V223" s="1562">
        <v>0</v>
      </c>
      <c r="W223" s="1562">
        <v>0</v>
      </c>
      <c r="X223" s="1562">
        <v>0</v>
      </c>
      <c r="Y223" s="1562">
        <v>0</v>
      </c>
      <c r="Z223" s="1562"/>
      <c r="AA223" s="1562"/>
      <c r="AB223" s="1562"/>
      <c r="AC223" s="1565"/>
      <c r="AD223" s="1565"/>
      <c r="AE223" s="1565"/>
      <c r="AF223" s="1565"/>
      <c r="AG223" s="1541">
        <f t="shared" si="57"/>
        <v>0</v>
      </c>
      <c r="AH223" s="1565"/>
      <c r="AI223" s="1565"/>
      <c r="AJ223" s="1565"/>
      <c r="AK223" s="1565"/>
      <c r="AL223" s="1565"/>
      <c r="AM223" s="1565"/>
      <c r="AN223" s="1565"/>
      <c r="AO223" s="1565"/>
      <c r="AP223" s="1651"/>
      <c r="AQ223" s="1651"/>
      <c r="AR223" s="1651"/>
      <c r="AS223" s="1651"/>
      <c r="AT223" s="1594">
        <f t="shared" si="58"/>
        <v>0</v>
      </c>
      <c r="AU223" s="1651"/>
      <c r="AV223" s="1651"/>
      <c r="AW223" s="1651"/>
      <c r="AX223" s="1651"/>
      <c r="AY223" s="1689"/>
      <c r="AZ223" s="1651">
        <v>0</v>
      </c>
      <c r="BA223" s="1651">
        <v>0</v>
      </c>
      <c r="BB223" s="1651">
        <v>0</v>
      </c>
      <c r="BC223" s="1686"/>
      <c r="BD223" s="1686" t="s">
        <v>1809</v>
      </c>
      <c r="BE223" s="797"/>
    </row>
    <row r="224" spans="1:58" s="1432" customFormat="1" ht="42" customHeight="1" outlineLevel="1" x14ac:dyDescent="0.25">
      <c r="A224" s="1702">
        <v>18</v>
      </c>
      <c r="B224" s="1693" t="s">
        <v>1902</v>
      </c>
      <c r="C224" s="1655" t="s">
        <v>931</v>
      </c>
      <c r="D224" s="1563" t="s">
        <v>1754</v>
      </c>
      <c r="E224" s="1701"/>
      <c r="F224" s="1424"/>
      <c r="G224" s="1694"/>
      <c r="H224" s="1425"/>
      <c r="I224" s="1426"/>
      <c r="J224" s="1426"/>
      <c r="K224" s="1427"/>
      <c r="L224" s="1428"/>
      <c r="M224" s="1428"/>
      <c r="N224" s="1429"/>
      <c r="O224" s="1430"/>
      <c r="P224" s="1689"/>
      <c r="Q224" s="1689"/>
      <c r="R224" s="1689"/>
      <c r="S224" s="1689"/>
      <c r="T224" s="1594">
        <f t="shared" si="56"/>
        <v>0</v>
      </c>
      <c r="U224" s="1689"/>
      <c r="V224" s="1689"/>
      <c r="W224" s="1689"/>
      <c r="X224" s="1689"/>
      <c r="Y224" s="1689"/>
      <c r="Z224" s="1689"/>
      <c r="AA224" s="1689"/>
      <c r="AB224" s="1689"/>
      <c r="AC224" s="1689"/>
      <c r="AD224" s="1689"/>
      <c r="AE224" s="1689"/>
      <c r="AF224" s="1689"/>
      <c r="AG224" s="1541">
        <f t="shared" si="57"/>
        <v>0</v>
      </c>
      <c r="AH224" s="1689"/>
      <c r="AI224" s="1689"/>
      <c r="AJ224" s="1689"/>
      <c r="AK224" s="1689"/>
      <c r="AL224" s="1689"/>
      <c r="AM224" s="1650"/>
      <c r="AN224" s="1689"/>
      <c r="AO224" s="1689"/>
      <c r="AP224" s="1689"/>
      <c r="AQ224" s="1689"/>
      <c r="AR224" s="1689"/>
      <c r="AS224" s="1689"/>
      <c r="AT224" s="1594">
        <f t="shared" si="58"/>
        <v>0</v>
      </c>
      <c r="AU224" s="1689"/>
      <c r="AV224" s="1689"/>
      <c r="AW224" s="1689"/>
      <c r="AX224" s="1689"/>
      <c r="AY224" s="1689"/>
      <c r="AZ224" s="1689"/>
      <c r="BA224" s="1689"/>
      <c r="BB224" s="1689"/>
      <c r="BC224" s="1689"/>
      <c r="BD224" s="1690"/>
      <c r="BE224" s="1689"/>
      <c r="BF224" s="1431"/>
    </row>
    <row r="225" spans="1:58" customFormat="1" ht="41.25" customHeight="1" outlineLevel="1" x14ac:dyDescent="0.35">
      <c r="A225" s="1679">
        <v>18.100000000000001</v>
      </c>
      <c r="B225" s="1680" t="s">
        <v>1903</v>
      </c>
      <c r="C225" s="1662" t="s">
        <v>938</v>
      </c>
      <c r="D225" s="1563" t="s">
        <v>1754</v>
      </c>
      <c r="E225" s="1637"/>
      <c r="F225" s="1360"/>
      <c r="G225" s="1412">
        <v>5</v>
      </c>
      <c r="H225" s="1412"/>
      <c r="I225" s="1422"/>
      <c r="J225" s="1422"/>
      <c r="K225" s="1366"/>
      <c r="L225" s="1365"/>
      <c r="M225" s="1365"/>
      <c r="N225" s="1369"/>
      <c r="O225" s="1912" t="s">
        <v>1904</v>
      </c>
      <c r="P225" s="1562"/>
      <c r="Q225" s="1562"/>
      <c r="R225" s="1562"/>
      <c r="S225" s="1562"/>
      <c r="T225" s="1594">
        <f t="shared" si="56"/>
        <v>0</v>
      </c>
      <c r="U225" s="1562"/>
      <c r="V225" s="1562"/>
      <c r="W225" s="1562"/>
      <c r="X225" s="1562"/>
      <c r="Y225" s="1562"/>
      <c r="Z225" s="1562"/>
      <c r="AA225" s="1412">
        <v>5</v>
      </c>
      <c r="AB225" s="1562"/>
      <c r="AC225" s="1561"/>
      <c r="AD225" s="1685"/>
      <c r="AE225" s="1561"/>
      <c r="AF225" s="1565"/>
      <c r="AG225" s="1541">
        <f t="shared" si="57"/>
        <v>0</v>
      </c>
      <c r="AH225" s="1565"/>
      <c r="AI225" s="1565"/>
      <c r="AJ225" s="1565"/>
      <c r="AK225" s="1565"/>
      <c r="AL225" s="1565"/>
      <c r="AM225" s="1565"/>
      <c r="AN225" s="1650">
        <v>1</v>
      </c>
      <c r="AO225" s="1365"/>
      <c r="AP225" s="1651"/>
      <c r="AQ225" s="1651"/>
      <c r="AR225" s="1651"/>
      <c r="AS225" s="1651"/>
      <c r="AT225" s="1594">
        <f t="shared" si="58"/>
        <v>0</v>
      </c>
      <c r="AU225" s="1651"/>
      <c r="AV225" s="1651"/>
      <c r="AW225" s="1651"/>
      <c r="AX225" s="1651"/>
      <c r="AY225" s="1651"/>
      <c r="AZ225" s="1651"/>
      <c r="BA225" s="1412">
        <v>5</v>
      </c>
      <c r="BB225" s="1651"/>
      <c r="BC225" s="1686"/>
      <c r="BD225" s="1686" t="s">
        <v>1809</v>
      </c>
      <c r="BE225" s="1687" t="s">
        <v>1809</v>
      </c>
    </row>
    <row r="226" spans="1:58" customFormat="1" ht="41.25" customHeight="1" outlineLevel="1" x14ac:dyDescent="0.35">
      <c r="A226" s="1679">
        <v>18.2</v>
      </c>
      <c r="B226" s="1680" t="s">
        <v>1905</v>
      </c>
      <c r="C226" s="1662" t="s">
        <v>938</v>
      </c>
      <c r="D226" s="1563" t="s">
        <v>1754</v>
      </c>
      <c r="E226" s="1637"/>
      <c r="F226" s="1360"/>
      <c r="G226" s="1412">
        <v>4.5</v>
      </c>
      <c r="H226" s="1412"/>
      <c r="I226" s="1422"/>
      <c r="J226" s="1422"/>
      <c r="K226" s="1366"/>
      <c r="L226" s="1365"/>
      <c r="M226" s="1365"/>
      <c r="N226" s="1369"/>
      <c r="O226" s="1913"/>
      <c r="P226" s="1562"/>
      <c r="Q226" s="1562"/>
      <c r="R226" s="1562"/>
      <c r="S226" s="1562"/>
      <c r="T226" s="1594">
        <f t="shared" si="56"/>
        <v>0</v>
      </c>
      <c r="U226" s="1562"/>
      <c r="V226" s="1562"/>
      <c r="W226" s="1562"/>
      <c r="X226" s="1562"/>
      <c r="Y226" s="1562"/>
      <c r="Z226" s="1562"/>
      <c r="AA226" s="1412">
        <v>4.5</v>
      </c>
      <c r="AB226" s="1562"/>
      <c r="AC226" s="1561"/>
      <c r="AD226" s="1685"/>
      <c r="AE226" s="1561"/>
      <c r="AF226" s="1565"/>
      <c r="AG226" s="1541">
        <f t="shared" si="57"/>
        <v>0</v>
      </c>
      <c r="AH226" s="1565"/>
      <c r="AI226" s="1565"/>
      <c r="AJ226" s="1565"/>
      <c r="AK226" s="1565"/>
      <c r="AL226" s="1565"/>
      <c r="AM226" s="1565"/>
      <c r="AN226" s="1650">
        <v>1</v>
      </c>
      <c r="AO226" s="1365"/>
      <c r="AP226" s="1651"/>
      <c r="AQ226" s="1651"/>
      <c r="AR226" s="1651"/>
      <c r="AS226" s="1651"/>
      <c r="AT226" s="1594">
        <f t="shared" si="58"/>
        <v>0</v>
      </c>
      <c r="AU226" s="1651"/>
      <c r="AV226" s="1651"/>
      <c r="AW226" s="1651"/>
      <c r="AX226" s="1651"/>
      <c r="AY226" s="1651"/>
      <c r="AZ226" s="1651"/>
      <c r="BA226" s="1412">
        <v>4.5</v>
      </c>
      <c r="BB226" s="1651"/>
      <c r="BC226" s="1686"/>
      <c r="BD226" s="1686" t="s">
        <v>1809</v>
      </c>
      <c r="BE226" s="1687" t="s">
        <v>1809</v>
      </c>
    </row>
    <row r="227" spans="1:58" customFormat="1" ht="41.25" customHeight="1" outlineLevel="1" x14ac:dyDescent="0.35">
      <c r="A227" s="1679">
        <v>18.3</v>
      </c>
      <c r="B227" s="1680" t="s">
        <v>1906</v>
      </c>
      <c r="C227" s="1662" t="s">
        <v>938</v>
      </c>
      <c r="D227" s="1563" t="s">
        <v>1754</v>
      </c>
      <c r="E227" s="1637"/>
      <c r="F227" s="1360"/>
      <c r="G227" s="1412">
        <v>3</v>
      </c>
      <c r="H227" s="1412"/>
      <c r="I227" s="1422"/>
      <c r="J227" s="1422"/>
      <c r="K227" s="1366"/>
      <c r="L227" s="1365"/>
      <c r="M227" s="1365"/>
      <c r="N227" s="1369"/>
      <c r="O227" s="1913"/>
      <c r="P227" s="1562"/>
      <c r="Q227" s="1562"/>
      <c r="R227" s="1562"/>
      <c r="S227" s="1562"/>
      <c r="T227" s="1594">
        <f t="shared" si="56"/>
        <v>0</v>
      </c>
      <c r="U227" s="1562"/>
      <c r="V227" s="1562"/>
      <c r="W227" s="1562"/>
      <c r="X227" s="1562"/>
      <c r="Y227" s="1562"/>
      <c r="Z227" s="1562"/>
      <c r="AA227" s="1412">
        <v>3</v>
      </c>
      <c r="AB227" s="1562"/>
      <c r="AC227" s="1561"/>
      <c r="AD227" s="1685"/>
      <c r="AE227" s="1561"/>
      <c r="AF227" s="1565"/>
      <c r="AG227" s="1541">
        <f t="shared" si="57"/>
        <v>0</v>
      </c>
      <c r="AH227" s="1565"/>
      <c r="AI227" s="1565"/>
      <c r="AJ227" s="1565"/>
      <c r="AK227" s="1565"/>
      <c r="AL227" s="1565"/>
      <c r="AM227" s="1565"/>
      <c r="AN227" s="1650">
        <v>1</v>
      </c>
      <c r="AO227" s="1365"/>
      <c r="AP227" s="1651"/>
      <c r="AQ227" s="1651"/>
      <c r="AR227" s="1651"/>
      <c r="AS227" s="1651"/>
      <c r="AT227" s="1594">
        <f t="shared" si="58"/>
        <v>0</v>
      </c>
      <c r="AU227" s="1651"/>
      <c r="AV227" s="1651"/>
      <c r="AW227" s="1651"/>
      <c r="AX227" s="1651"/>
      <c r="AY227" s="1651"/>
      <c r="AZ227" s="1651"/>
      <c r="BA227" s="1412">
        <v>3</v>
      </c>
      <c r="BB227" s="1651"/>
      <c r="BC227" s="1686"/>
      <c r="BD227" s="1686" t="s">
        <v>1809</v>
      </c>
      <c r="BE227" s="1687" t="s">
        <v>1809</v>
      </c>
    </row>
    <row r="228" spans="1:58" customFormat="1" ht="41.25" customHeight="1" outlineLevel="1" x14ac:dyDescent="0.35">
      <c r="A228" s="1679">
        <v>18.399999999999999</v>
      </c>
      <c r="B228" s="1680" t="s">
        <v>1907</v>
      </c>
      <c r="C228" s="1662" t="s">
        <v>938</v>
      </c>
      <c r="D228" s="1563" t="s">
        <v>1754</v>
      </c>
      <c r="E228" s="1637"/>
      <c r="F228" s="1360"/>
      <c r="G228" s="1412">
        <v>8</v>
      </c>
      <c r="H228" s="1412"/>
      <c r="I228" s="1422"/>
      <c r="J228" s="1422"/>
      <c r="K228" s="1366"/>
      <c r="L228" s="1365"/>
      <c r="M228" s="1365"/>
      <c r="N228" s="1369"/>
      <c r="O228" s="1914"/>
      <c r="P228" s="1562"/>
      <c r="Q228" s="1562"/>
      <c r="R228" s="1562"/>
      <c r="S228" s="1562"/>
      <c r="T228" s="1594">
        <f t="shared" si="56"/>
        <v>0</v>
      </c>
      <c r="U228" s="1562"/>
      <c r="V228" s="1562"/>
      <c r="W228" s="1562"/>
      <c r="X228" s="1562"/>
      <c r="Y228" s="1562"/>
      <c r="Z228" s="1562"/>
      <c r="AA228" s="1412">
        <v>8</v>
      </c>
      <c r="AB228" s="1562"/>
      <c r="AC228" s="1561"/>
      <c r="AD228" s="1685"/>
      <c r="AE228" s="1561"/>
      <c r="AF228" s="1565"/>
      <c r="AG228" s="1541">
        <f t="shared" si="57"/>
        <v>0</v>
      </c>
      <c r="AH228" s="1565"/>
      <c r="AI228" s="1565"/>
      <c r="AJ228" s="1565"/>
      <c r="AK228" s="1565"/>
      <c r="AL228" s="1565"/>
      <c r="AM228" s="1565"/>
      <c r="AN228" s="1650">
        <v>1</v>
      </c>
      <c r="AO228" s="1365"/>
      <c r="AP228" s="1651"/>
      <c r="AQ228" s="1651"/>
      <c r="AR228" s="1651"/>
      <c r="AS228" s="1651"/>
      <c r="AT228" s="1594">
        <f t="shared" si="58"/>
        <v>0</v>
      </c>
      <c r="AU228" s="1651"/>
      <c r="AV228" s="1651"/>
      <c r="AW228" s="1651"/>
      <c r="AX228" s="1651"/>
      <c r="AY228" s="1651"/>
      <c r="AZ228" s="1651"/>
      <c r="BA228" s="1412">
        <v>8</v>
      </c>
      <c r="BB228" s="1651"/>
      <c r="BC228" s="1686"/>
      <c r="BD228" s="1686" t="s">
        <v>1809</v>
      </c>
      <c r="BE228" s="1687" t="s">
        <v>1809</v>
      </c>
    </row>
    <row r="229" spans="1:58" customFormat="1" ht="33.75" customHeight="1" outlineLevel="1" x14ac:dyDescent="0.35">
      <c r="A229" s="1562"/>
      <c r="B229" s="1682" t="s">
        <v>413</v>
      </c>
      <c r="C229" s="1682"/>
      <c r="D229" s="1563" t="s">
        <v>1754</v>
      </c>
      <c r="E229" s="1682"/>
      <c r="F229" s="1682"/>
      <c r="G229" s="1682"/>
      <c r="H229" s="1682"/>
      <c r="I229" s="1683"/>
      <c r="J229" s="1683"/>
      <c r="K229" s="1682"/>
      <c r="L229" s="1682"/>
      <c r="M229" s="1682"/>
      <c r="N229" s="1682"/>
      <c r="O229" s="1682"/>
      <c r="P229" s="1562">
        <v>0</v>
      </c>
      <c r="Q229" s="1562">
        <v>0</v>
      </c>
      <c r="R229" s="1562">
        <v>0</v>
      </c>
      <c r="S229" s="1562">
        <v>0</v>
      </c>
      <c r="T229" s="1594">
        <f t="shared" si="56"/>
        <v>0</v>
      </c>
      <c r="U229" s="1562">
        <v>0</v>
      </c>
      <c r="V229" s="1562">
        <v>0</v>
      </c>
      <c r="W229" s="1562">
        <v>0</v>
      </c>
      <c r="X229" s="1562">
        <v>0</v>
      </c>
      <c r="Y229" s="1562">
        <v>0</v>
      </c>
      <c r="Z229" s="1562"/>
      <c r="AA229" s="1562"/>
      <c r="AB229" s="1562"/>
      <c r="AC229" s="1565"/>
      <c r="AD229" s="1565"/>
      <c r="AE229" s="1565"/>
      <c r="AF229" s="1565"/>
      <c r="AG229" s="1541">
        <f t="shared" si="57"/>
        <v>0</v>
      </c>
      <c r="AH229" s="1565"/>
      <c r="AI229" s="1565"/>
      <c r="AJ229" s="1565"/>
      <c r="AK229" s="1565"/>
      <c r="AL229" s="1565"/>
      <c r="AM229" s="1565"/>
      <c r="AN229" s="1565"/>
      <c r="AO229" s="1565"/>
      <c r="AP229" s="1651"/>
      <c r="AQ229" s="1651"/>
      <c r="AR229" s="1651"/>
      <c r="AS229" s="1651"/>
      <c r="AT229" s="1594">
        <f t="shared" si="58"/>
        <v>0</v>
      </c>
      <c r="AU229" s="1651"/>
      <c r="AV229" s="1651"/>
      <c r="AW229" s="1651"/>
      <c r="AX229" s="1651"/>
      <c r="AY229" s="1651"/>
      <c r="AZ229" s="1651">
        <v>0</v>
      </c>
      <c r="BA229" s="1651">
        <v>0</v>
      </c>
      <c r="BB229" s="1651">
        <v>0</v>
      </c>
      <c r="BC229" s="1686"/>
      <c r="BD229" s="1686" t="s">
        <v>1809</v>
      </c>
      <c r="BE229" s="1687" t="s">
        <v>1809</v>
      </c>
    </row>
    <row r="230" spans="1:58" s="1432" customFormat="1" ht="42" customHeight="1" outlineLevel="1" x14ac:dyDescent="0.25">
      <c r="A230" s="1702">
        <v>19</v>
      </c>
      <c r="B230" s="1693" t="s">
        <v>1908</v>
      </c>
      <c r="C230" s="1655" t="s">
        <v>931</v>
      </c>
      <c r="D230" s="1563" t="s">
        <v>1754</v>
      </c>
      <c r="E230" s="1701"/>
      <c r="F230" s="1424"/>
      <c r="G230" s="1694"/>
      <c r="H230" s="1425"/>
      <c r="I230" s="1426"/>
      <c r="J230" s="1426"/>
      <c r="K230" s="1427"/>
      <c r="L230" s="1428"/>
      <c r="M230" s="1428"/>
      <c r="N230" s="1429"/>
      <c r="O230" s="1430"/>
      <c r="P230" s="1689"/>
      <c r="Q230" s="1689"/>
      <c r="R230" s="1689"/>
      <c r="S230" s="1689"/>
      <c r="T230" s="1594">
        <f t="shared" si="56"/>
        <v>0</v>
      </c>
      <c r="U230" s="1689"/>
      <c r="V230" s="1689"/>
      <c r="W230" s="1689"/>
      <c r="X230" s="1689"/>
      <c r="Y230" s="1689"/>
      <c r="Z230" s="1689"/>
      <c r="AA230" s="1689"/>
      <c r="AB230" s="1689"/>
      <c r="AC230" s="1689"/>
      <c r="AD230" s="1689"/>
      <c r="AE230" s="1689"/>
      <c r="AF230" s="1689"/>
      <c r="AG230" s="1541">
        <f t="shared" si="57"/>
        <v>0</v>
      </c>
      <c r="AH230" s="1689"/>
      <c r="AI230" s="1689"/>
      <c r="AJ230" s="1689"/>
      <c r="AK230" s="1689"/>
      <c r="AL230" s="1689"/>
      <c r="AM230" s="1689"/>
      <c r="AN230" s="1689"/>
      <c r="AO230" s="1689"/>
      <c r="AP230" s="1689"/>
      <c r="AQ230" s="1689"/>
      <c r="AR230" s="1689"/>
      <c r="AS230" s="1689"/>
      <c r="AT230" s="1594">
        <f t="shared" si="58"/>
        <v>0</v>
      </c>
      <c r="AU230" s="1689"/>
      <c r="AV230" s="1689"/>
      <c r="AW230" s="1689"/>
      <c r="AX230" s="1689"/>
      <c r="AY230" s="1689"/>
      <c r="AZ230" s="1689"/>
      <c r="BA230" s="1689"/>
      <c r="BB230" s="1689"/>
      <c r="BC230" s="1689"/>
      <c r="BD230" s="1690"/>
      <c r="BE230" s="1689"/>
      <c r="BF230" s="1431"/>
    </row>
    <row r="231" spans="1:58" customFormat="1" ht="41.25" customHeight="1" outlineLevel="1" x14ac:dyDescent="0.35">
      <c r="A231" s="1679">
        <v>19.100000000000001</v>
      </c>
      <c r="B231" s="1680" t="s">
        <v>1909</v>
      </c>
      <c r="C231" s="1662" t="s">
        <v>938</v>
      </c>
      <c r="D231" s="1563" t="s">
        <v>1754</v>
      </c>
      <c r="E231" s="1637"/>
      <c r="F231" s="1360"/>
      <c r="G231" s="1412">
        <v>5</v>
      </c>
      <c r="H231" s="1412"/>
      <c r="I231" s="1422"/>
      <c r="J231" s="1422"/>
      <c r="K231" s="1366"/>
      <c r="L231" s="1365"/>
      <c r="M231" s="1365"/>
      <c r="N231" s="1369"/>
      <c r="O231" s="1912" t="s">
        <v>1910</v>
      </c>
      <c r="P231" s="1562"/>
      <c r="Q231" s="1562"/>
      <c r="R231" s="1562"/>
      <c r="S231" s="1562"/>
      <c r="T231" s="1594">
        <f t="shared" si="56"/>
        <v>0</v>
      </c>
      <c r="U231" s="1562"/>
      <c r="V231" s="1562"/>
      <c r="W231" s="1562"/>
      <c r="X231" s="1562"/>
      <c r="Y231" s="1562"/>
      <c r="Z231" s="1562"/>
      <c r="AA231" s="1562"/>
      <c r="AB231" s="1412">
        <v>5</v>
      </c>
      <c r="AC231" s="1561"/>
      <c r="AD231" s="1685"/>
      <c r="AE231" s="1561"/>
      <c r="AF231" s="1565"/>
      <c r="AG231" s="1541">
        <f t="shared" si="57"/>
        <v>0</v>
      </c>
      <c r="AH231" s="1565"/>
      <c r="AI231" s="1565"/>
      <c r="AJ231" s="1565"/>
      <c r="AK231" s="1565"/>
      <c r="AL231" s="1565"/>
      <c r="AM231" s="1565"/>
      <c r="AN231" s="1365"/>
      <c r="AO231" s="1650">
        <v>1</v>
      </c>
      <c r="AP231" s="1651"/>
      <c r="AQ231" s="1651"/>
      <c r="AR231" s="1651"/>
      <c r="AS231" s="1651"/>
      <c r="AT231" s="1594">
        <f t="shared" si="58"/>
        <v>0</v>
      </c>
      <c r="AU231" s="1651"/>
      <c r="AV231" s="1651"/>
      <c r="AW231" s="1651"/>
      <c r="AX231" s="1651"/>
      <c r="AY231" s="1651"/>
      <c r="AZ231" s="1651"/>
      <c r="BA231" s="1651"/>
      <c r="BB231" s="1412">
        <v>5</v>
      </c>
      <c r="BC231" s="1686"/>
      <c r="BD231" s="1686" t="s">
        <v>1809</v>
      </c>
      <c r="BE231" s="1687" t="s">
        <v>1809</v>
      </c>
    </row>
    <row r="232" spans="1:58" customFormat="1" ht="41.25" customHeight="1" outlineLevel="1" x14ac:dyDescent="0.35">
      <c r="A232" s="1679">
        <v>19.2</v>
      </c>
      <c r="B232" s="1680" t="s">
        <v>1911</v>
      </c>
      <c r="C232" s="1662" t="s">
        <v>938</v>
      </c>
      <c r="D232" s="1563" t="s">
        <v>1754</v>
      </c>
      <c r="E232" s="1637"/>
      <c r="F232" s="1360"/>
      <c r="G232" s="1412">
        <v>10</v>
      </c>
      <c r="H232" s="1412"/>
      <c r="I232" s="1422"/>
      <c r="J232" s="1422"/>
      <c r="K232" s="1366"/>
      <c r="L232" s="1365"/>
      <c r="M232" s="1365"/>
      <c r="N232" s="1369"/>
      <c r="O232" s="1913"/>
      <c r="P232" s="1562"/>
      <c r="Q232" s="1562"/>
      <c r="R232" s="1562"/>
      <c r="S232" s="1562"/>
      <c r="T232" s="1594">
        <f t="shared" si="56"/>
        <v>0</v>
      </c>
      <c r="U232" s="1562"/>
      <c r="V232" s="1562"/>
      <c r="W232" s="1562"/>
      <c r="X232" s="1562"/>
      <c r="Y232" s="1562"/>
      <c r="Z232" s="1562"/>
      <c r="AA232" s="1562"/>
      <c r="AB232" s="1412">
        <v>10</v>
      </c>
      <c r="AC232" s="1561"/>
      <c r="AD232" s="1685"/>
      <c r="AE232" s="1561"/>
      <c r="AF232" s="1565"/>
      <c r="AG232" s="1541">
        <f t="shared" si="57"/>
        <v>0</v>
      </c>
      <c r="AH232" s="1565"/>
      <c r="AI232" s="1565"/>
      <c r="AJ232" s="1565"/>
      <c r="AK232" s="1565"/>
      <c r="AL232" s="1565"/>
      <c r="AM232" s="1565"/>
      <c r="AN232" s="1365"/>
      <c r="AO232" s="1650">
        <v>1</v>
      </c>
      <c r="AP232" s="1651"/>
      <c r="AQ232" s="1651"/>
      <c r="AR232" s="1651"/>
      <c r="AS232" s="1651"/>
      <c r="AT232" s="1594">
        <f t="shared" si="58"/>
        <v>0</v>
      </c>
      <c r="AU232" s="1651"/>
      <c r="AV232" s="1651"/>
      <c r="AW232" s="1651"/>
      <c r="AX232" s="1651"/>
      <c r="AY232" s="1651"/>
      <c r="AZ232" s="1651"/>
      <c r="BA232" s="1651"/>
      <c r="BB232" s="1412">
        <v>10</v>
      </c>
      <c r="BC232" s="1686"/>
      <c r="BD232" s="1686" t="s">
        <v>1809</v>
      </c>
      <c r="BE232" s="1687" t="s">
        <v>1809</v>
      </c>
    </row>
    <row r="233" spans="1:58" customFormat="1" ht="41.25" customHeight="1" outlineLevel="1" x14ac:dyDescent="0.35">
      <c r="A233" s="1679">
        <v>19.3</v>
      </c>
      <c r="B233" s="1680" t="s">
        <v>1912</v>
      </c>
      <c r="C233" s="1662" t="s">
        <v>938</v>
      </c>
      <c r="D233" s="1563" t="s">
        <v>1754</v>
      </c>
      <c r="E233" s="1637"/>
      <c r="F233" s="1360"/>
      <c r="G233" s="1412">
        <v>15</v>
      </c>
      <c r="H233" s="1412"/>
      <c r="I233" s="1422"/>
      <c r="J233" s="1422"/>
      <c r="K233" s="1366"/>
      <c r="L233" s="1365"/>
      <c r="M233" s="1365"/>
      <c r="N233" s="1369"/>
      <c r="O233" s="1913"/>
      <c r="P233" s="1562"/>
      <c r="Q233" s="1562"/>
      <c r="R233" s="1562"/>
      <c r="S233" s="1562"/>
      <c r="T233" s="1594">
        <f t="shared" si="56"/>
        <v>0</v>
      </c>
      <c r="U233" s="1562"/>
      <c r="V233" s="1562"/>
      <c r="W233" s="1562"/>
      <c r="X233" s="1562"/>
      <c r="Y233" s="1562"/>
      <c r="Z233" s="1562"/>
      <c r="AA233" s="1562"/>
      <c r="AB233" s="1412">
        <v>15</v>
      </c>
      <c r="AC233" s="1561"/>
      <c r="AD233" s="1685"/>
      <c r="AE233" s="1561"/>
      <c r="AF233" s="1565"/>
      <c r="AG233" s="1541">
        <f t="shared" si="57"/>
        <v>0</v>
      </c>
      <c r="AH233" s="1565"/>
      <c r="AI233" s="1565"/>
      <c r="AJ233" s="1565"/>
      <c r="AK233" s="1565"/>
      <c r="AL233" s="1565"/>
      <c r="AM233" s="1565"/>
      <c r="AN233" s="1365"/>
      <c r="AO233" s="1650">
        <v>1</v>
      </c>
      <c r="AP233" s="1651"/>
      <c r="AQ233" s="1651"/>
      <c r="AR233" s="1651"/>
      <c r="AS233" s="1651"/>
      <c r="AT233" s="1594">
        <f t="shared" si="58"/>
        <v>0</v>
      </c>
      <c r="AU233" s="1651"/>
      <c r="AV233" s="1651"/>
      <c r="AW233" s="1651"/>
      <c r="AX233" s="1651"/>
      <c r="AY233" s="1651"/>
      <c r="AZ233" s="1651"/>
      <c r="BA233" s="1651"/>
      <c r="BB233" s="1412">
        <v>15</v>
      </c>
      <c r="BC233" s="1686"/>
      <c r="BD233" s="1686" t="s">
        <v>1809</v>
      </c>
      <c r="BE233" s="1687" t="s">
        <v>1809</v>
      </c>
    </row>
    <row r="234" spans="1:58" customFormat="1" ht="41.25" customHeight="1" outlineLevel="1" x14ac:dyDescent="0.35">
      <c r="A234" s="1679">
        <v>19.399999999999999</v>
      </c>
      <c r="B234" s="1680" t="s">
        <v>1913</v>
      </c>
      <c r="C234" s="1662" t="s">
        <v>938</v>
      </c>
      <c r="D234" s="1563" t="s">
        <v>1754</v>
      </c>
      <c r="E234" s="1637"/>
      <c r="F234" s="1360"/>
      <c r="G234" s="1412">
        <v>12</v>
      </c>
      <c r="H234" s="1412"/>
      <c r="I234" s="1422"/>
      <c r="J234" s="1422"/>
      <c r="K234" s="1366"/>
      <c r="L234" s="1365"/>
      <c r="M234" s="1365"/>
      <c r="N234" s="1369"/>
      <c r="O234" s="1914"/>
      <c r="P234" s="1562"/>
      <c r="Q234" s="1562"/>
      <c r="R234" s="1562"/>
      <c r="S234" s="1562"/>
      <c r="T234" s="1594">
        <f t="shared" si="56"/>
        <v>0</v>
      </c>
      <c r="U234" s="1562"/>
      <c r="V234" s="1562"/>
      <c r="W234" s="1562"/>
      <c r="X234" s="1562"/>
      <c r="Y234" s="1562"/>
      <c r="Z234" s="1562"/>
      <c r="AA234" s="1562"/>
      <c r="AB234" s="1412">
        <v>12</v>
      </c>
      <c r="AC234" s="1561"/>
      <c r="AD234" s="1685"/>
      <c r="AE234" s="1561"/>
      <c r="AF234" s="1565"/>
      <c r="AG234" s="1541">
        <f t="shared" si="57"/>
        <v>0</v>
      </c>
      <c r="AH234" s="1565"/>
      <c r="AI234" s="1565"/>
      <c r="AJ234" s="1565"/>
      <c r="AK234" s="1565"/>
      <c r="AL234" s="1565"/>
      <c r="AM234" s="1565"/>
      <c r="AN234" s="1365"/>
      <c r="AO234" s="1650">
        <v>1</v>
      </c>
      <c r="AP234" s="1651"/>
      <c r="AQ234" s="1651"/>
      <c r="AR234" s="1651"/>
      <c r="AS234" s="1651"/>
      <c r="AT234" s="1594">
        <f t="shared" si="58"/>
        <v>0</v>
      </c>
      <c r="AU234" s="1651"/>
      <c r="AV234" s="1651"/>
      <c r="AW234" s="1651"/>
      <c r="AX234" s="1651"/>
      <c r="AY234" s="1651"/>
      <c r="AZ234" s="1651"/>
      <c r="BA234" s="1651"/>
      <c r="BB234" s="1412">
        <v>12</v>
      </c>
      <c r="BC234" s="1686"/>
      <c r="BD234" s="1686" t="s">
        <v>1809</v>
      </c>
      <c r="BE234" s="1687" t="s">
        <v>1809</v>
      </c>
    </row>
    <row r="235" spans="1:58" customFormat="1" ht="33.75" customHeight="1" outlineLevel="1" x14ac:dyDescent="0.35">
      <c r="A235" s="1562"/>
      <c r="B235" s="1682" t="s">
        <v>413</v>
      </c>
      <c r="C235" s="1682"/>
      <c r="D235" s="1563" t="s">
        <v>1754</v>
      </c>
      <c r="E235" s="1682"/>
      <c r="F235" s="1682"/>
      <c r="G235" s="1682"/>
      <c r="H235" s="1682"/>
      <c r="I235" s="1683"/>
      <c r="J235" s="1683"/>
      <c r="K235" s="1682"/>
      <c r="L235" s="1682"/>
      <c r="M235" s="1682"/>
      <c r="N235" s="1682"/>
      <c r="O235" s="1682"/>
      <c r="P235" s="1562">
        <v>0</v>
      </c>
      <c r="Q235" s="1562">
        <v>0</v>
      </c>
      <c r="R235" s="1562">
        <v>0</v>
      </c>
      <c r="S235" s="1562">
        <v>0</v>
      </c>
      <c r="T235" s="1594">
        <f t="shared" si="56"/>
        <v>0</v>
      </c>
      <c r="U235" s="1562">
        <v>0</v>
      </c>
      <c r="V235" s="1562">
        <v>0</v>
      </c>
      <c r="W235" s="1562">
        <v>0</v>
      </c>
      <c r="X235" s="1562">
        <v>0</v>
      </c>
      <c r="Y235" s="1562">
        <v>0</v>
      </c>
      <c r="Z235" s="1562"/>
      <c r="AA235" s="1562"/>
      <c r="AB235" s="1562"/>
      <c r="AC235" s="1565"/>
      <c r="AD235" s="1565"/>
      <c r="AE235" s="1565"/>
      <c r="AF235" s="1565"/>
      <c r="AG235" s="1541">
        <f t="shared" si="57"/>
        <v>0</v>
      </c>
      <c r="AH235" s="1565"/>
      <c r="AI235" s="1565"/>
      <c r="AJ235" s="1565"/>
      <c r="AK235" s="1565"/>
      <c r="AL235" s="1565"/>
      <c r="AM235" s="1565"/>
      <c r="AN235" s="1565"/>
      <c r="AO235" s="1565"/>
      <c r="AP235" s="1651"/>
      <c r="AQ235" s="1651"/>
      <c r="AR235" s="1651"/>
      <c r="AS235" s="1651"/>
      <c r="AT235" s="1594">
        <f t="shared" si="58"/>
        <v>0</v>
      </c>
      <c r="AU235" s="1651"/>
      <c r="AV235" s="1651"/>
      <c r="AW235" s="1651"/>
      <c r="AX235" s="1651"/>
      <c r="AY235" s="1651"/>
      <c r="AZ235" s="1651">
        <v>0</v>
      </c>
      <c r="BA235" s="1651">
        <v>0</v>
      </c>
      <c r="BB235" s="1651">
        <v>0</v>
      </c>
      <c r="BC235" s="1686"/>
      <c r="BD235" s="1686"/>
      <c r="BE235" s="1687"/>
    </row>
    <row r="236" spans="1:58" s="1432" customFormat="1" ht="42" customHeight="1" outlineLevel="1" x14ac:dyDescent="0.25">
      <c r="A236" s="1702">
        <v>20</v>
      </c>
      <c r="B236" s="1693" t="s">
        <v>1914</v>
      </c>
      <c r="C236" s="1655" t="s">
        <v>931</v>
      </c>
      <c r="D236" s="1563" t="s">
        <v>1754</v>
      </c>
      <c r="E236" s="1701"/>
      <c r="F236" s="1424"/>
      <c r="G236" s="1694"/>
      <c r="H236" s="1425"/>
      <c r="I236" s="1426"/>
      <c r="J236" s="1426"/>
      <c r="K236" s="1427"/>
      <c r="L236" s="1428"/>
      <c r="M236" s="1428"/>
      <c r="N236" s="1429"/>
      <c r="O236" s="1430"/>
      <c r="P236" s="1689"/>
      <c r="Q236" s="1689"/>
      <c r="R236" s="1689"/>
      <c r="S236" s="1689"/>
      <c r="T236" s="1594">
        <f t="shared" si="56"/>
        <v>0</v>
      </c>
      <c r="U236" s="1689"/>
      <c r="V236" s="1689"/>
      <c r="W236" s="1689"/>
      <c r="X236" s="1689"/>
      <c r="Y236" s="1689"/>
      <c r="Z236" s="1689"/>
      <c r="AA236" s="1689"/>
      <c r="AB236" s="1689"/>
      <c r="AC236" s="1689"/>
      <c r="AD236" s="1689"/>
      <c r="AE236" s="1689"/>
      <c r="AF236" s="1689"/>
      <c r="AG236" s="1541">
        <f t="shared" si="57"/>
        <v>0</v>
      </c>
      <c r="AH236" s="1689"/>
      <c r="AI236" s="1689"/>
      <c r="AJ236" s="1689"/>
      <c r="AK236" s="1689"/>
      <c r="AL236" s="1689"/>
      <c r="AM236" s="1689"/>
      <c r="AN236" s="1689"/>
      <c r="AO236" s="1689"/>
      <c r="AP236" s="1689"/>
      <c r="AQ236" s="1689"/>
      <c r="AR236" s="1689"/>
      <c r="AS236" s="1689"/>
      <c r="AT236" s="1594">
        <f t="shared" si="58"/>
        <v>0</v>
      </c>
      <c r="AU236" s="1689"/>
      <c r="AV236" s="1689"/>
      <c r="AW236" s="1689"/>
      <c r="AX236" s="1689"/>
      <c r="AY236" s="1689"/>
      <c r="AZ236" s="1689"/>
      <c r="BA236" s="1689"/>
      <c r="BB236" s="1689"/>
      <c r="BC236" s="1689"/>
      <c r="BD236" s="1690" t="s">
        <v>1809</v>
      </c>
      <c r="BE236" s="1695" t="s">
        <v>1809</v>
      </c>
      <c r="BF236" s="1431"/>
    </row>
    <row r="237" spans="1:58" customFormat="1" ht="41.25" customHeight="1" outlineLevel="1" x14ac:dyDescent="0.35">
      <c r="A237" s="1679">
        <v>20.100000000000001</v>
      </c>
      <c r="B237" s="1680" t="s">
        <v>1914</v>
      </c>
      <c r="C237" s="1662" t="s">
        <v>938</v>
      </c>
      <c r="D237" s="1563" t="s">
        <v>1754</v>
      </c>
      <c r="E237" s="1637"/>
      <c r="F237" s="1360"/>
      <c r="G237" s="1412">
        <v>22</v>
      </c>
      <c r="H237" s="1412"/>
      <c r="I237" s="1422"/>
      <c r="J237" s="1422"/>
      <c r="K237" s="1366"/>
      <c r="L237" s="1365"/>
      <c r="M237" s="1365"/>
      <c r="N237" s="1369"/>
      <c r="O237" s="1383" t="s">
        <v>1604</v>
      </c>
      <c r="P237" s="1562"/>
      <c r="Q237" s="1562"/>
      <c r="R237" s="1562"/>
      <c r="S237" s="1562"/>
      <c r="T237" s="1594">
        <f t="shared" si="56"/>
        <v>0</v>
      </c>
      <c r="U237" s="1562"/>
      <c r="V237" s="1562"/>
      <c r="W237" s="1562"/>
      <c r="X237" s="1562"/>
      <c r="Y237" s="1562"/>
      <c r="Z237" s="1562"/>
      <c r="AA237" s="1573">
        <v>25</v>
      </c>
      <c r="AB237" s="1562"/>
      <c r="AC237" s="1561"/>
      <c r="AD237" s="1685"/>
      <c r="AE237" s="1561"/>
      <c r="AF237" s="1565"/>
      <c r="AG237" s="1541">
        <f t="shared" si="57"/>
        <v>0</v>
      </c>
      <c r="AH237" s="1565"/>
      <c r="AI237" s="1565"/>
      <c r="AJ237" s="1565"/>
      <c r="AK237" s="1565"/>
      <c r="AL237" s="1565"/>
      <c r="AM237" s="1565"/>
      <c r="AN237" s="1650">
        <v>1</v>
      </c>
      <c r="AO237" s="1365"/>
      <c r="AP237" s="1651"/>
      <c r="AQ237" s="1651"/>
      <c r="AR237" s="1651"/>
      <c r="AS237" s="1651"/>
      <c r="AT237" s="1594">
        <f t="shared" si="58"/>
        <v>0</v>
      </c>
      <c r="AU237" s="1651"/>
      <c r="AV237" s="1651"/>
      <c r="AW237" s="1651"/>
      <c r="AX237" s="1651"/>
      <c r="AY237" s="1651"/>
      <c r="AZ237" s="1651"/>
      <c r="BA237" s="1649">
        <v>25</v>
      </c>
      <c r="BB237" s="1651"/>
      <c r="BC237" s="1686"/>
      <c r="BD237" s="1686" t="s">
        <v>1809</v>
      </c>
      <c r="BE237" s="1687" t="s">
        <v>1809</v>
      </c>
    </row>
    <row r="238" spans="1:58" customFormat="1" ht="33.75" customHeight="1" outlineLevel="1" x14ac:dyDescent="0.25">
      <c r="A238" s="1562"/>
      <c r="B238" s="1682" t="s">
        <v>413</v>
      </c>
      <c r="C238" s="1682"/>
      <c r="D238" s="1563" t="s">
        <v>1754</v>
      </c>
      <c r="E238" s="1682"/>
      <c r="F238" s="1682"/>
      <c r="G238" s="1682"/>
      <c r="H238" s="1682"/>
      <c r="I238" s="1683"/>
      <c r="J238" s="1683"/>
      <c r="K238" s="1682"/>
      <c r="L238" s="1682"/>
      <c r="M238" s="1682"/>
      <c r="N238" s="1682"/>
      <c r="O238" s="1682"/>
      <c r="P238" s="1562">
        <v>0</v>
      </c>
      <c r="Q238" s="1562">
        <v>0</v>
      </c>
      <c r="R238" s="1562">
        <v>0</v>
      </c>
      <c r="S238" s="1562">
        <v>0</v>
      </c>
      <c r="T238" s="1594">
        <f t="shared" si="56"/>
        <v>0</v>
      </c>
      <c r="U238" s="1562">
        <v>0</v>
      </c>
      <c r="V238" s="1562">
        <v>0</v>
      </c>
      <c r="W238" s="1562">
        <v>0</v>
      </c>
      <c r="X238" s="1562">
        <v>0</v>
      </c>
      <c r="Y238" s="1562">
        <v>0</v>
      </c>
      <c r="Z238" s="1562"/>
      <c r="AA238" s="1562"/>
      <c r="AB238" s="1562"/>
      <c r="AC238" s="1565"/>
      <c r="AD238" s="1565"/>
      <c r="AE238" s="1565"/>
      <c r="AF238" s="1565"/>
      <c r="AG238" s="1541">
        <f t="shared" si="57"/>
        <v>0</v>
      </c>
      <c r="AH238" s="1565"/>
      <c r="AI238" s="1565"/>
      <c r="AJ238" s="1565"/>
      <c r="AK238" s="1565"/>
      <c r="AL238" s="1565"/>
      <c r="AM238" s="1565"/>
      <c r="AN238" s="1565"/>
      <c r="AO238" s="1565"/>
      <c r="AP238" s="1651"/>
      <c r="AQ238" s="1651"/>
      <c r="AR238" s="1651"/>
      <c r="AS238" s="1651"/>
      <c r="AT238" s="1594">
        <f t="shared" si="58"/>
        <v>0</v>
      </c>
      <c r="AU238" s="1651"/>
      <c r="AV238" s="1651"/>
      <c r="AW238" s="1651"/>
      <c r="AX238" s="1651"/>
      <c r="AY238" s="1651"/>
      <c r="AZ238" s="1651">
        <v>0</v>
      </c>
      <c r="BA238" s="1651">
        <v>0</v>
      </c>
      <c r="BB238" s="1651">
        <v>0</v>
      </c>
      <c r="BC238" s="1686"/>
      <c r="BD238" s="1686"/>
      <c r="BE238" s="797"/>
    </row>
    <row r="239" spans="1:58" s="1432" customFormat="1" ht="42" customHeight="1" outlineLevel="1" x14ac:dyDescent="0.25">
      <c r="A239" s="1702">
        <v>21</v>
      </c>
      <c r="B239" s="1693" t="s">
        <v>1915</v>
      </c>
      <c r="C239" s="1655" t="s">
        <v>931</v>
      </c>
      <c r="D239" s="1563" t="s">
        <v>1754</v>
      </c>
      <c r="E239" s="1701"/>
      <c r="F239" s="1424"/>
      <c r="G239" s="1694"/>
      <c r="H239" s="1425"/>
      <c r="I239" s="1426"/>
      <c r="J239" s="1426"/>
      <c r="K239" s="1427"/>
      <c r="L239" s="1428"/>
      <c r="M239" s="1428"/>
      <c r="N239" s="1429"/>
      <c r="O239" s="1430"/>
      <c r="P239" s="1689"/>
      <c r="Q239" s="1689"/>
      <c r="R239" s="1689"/>
      <c r="S239" s="1689"/>
      <c r="T239" s="1594">
        <f t="shared" si="56"/>
        <v>0</v>
      </c>
      <c r="U239" s="1689"/>
      <c r="V239" s="1689"/>
      <c r="W239" s="1689"/>
      <c r="X239" s="1689"/>
      <c r="Y239" s="1689"/>
      <c r="Z239" s="1689"/>
      <c r="AA239" s="1689"/>
      <c r="AB239" s="1689"/>
      <c r="AC239" s="1689"/>
      <c r="AD239" s="1689"/>
      <c r="AE239" s="1689"/>
      <c r="AF239" s="1689"/>
      <c r="AG239" s="1541">
        <f t="shared" si="57"/>
        <v>0</v>
      </c>
      <c r="AH239" s="1689"/>
      <c r="AI239" s="1689"/>
      <c r="AJ239" s="1689"/>
      <c r="AK239" s="1689"/>
      <c r="AL239" s="1689"/>
      <c r="AM239" s="1689"/>
      <c r="AN239" s="1689"/>
      <c r="AO239" s="1689"/>
      <c r="AP239" s="1689"/>
      <c r="AQ239" s="1689"/>
      <c r="AR239" s="1689"/>
      <c r="AS239" s="1689"/>
      <c r="AT239" s="1594">
        <f t="shared" si="58"/>
        <v>0</v>
      </c>
      <c r="AU239" s="1689"/>
      <c r="AV239" s="1689"/>
      <c r="AW239" s="1689"/>
      <c r="AX239" s="1689"/>
      <c r="AY239" s="1689"/>
      <c r="AZ239" s="1689"/>
      <c r="BA239" s="1689"/>
      <c r="BB239" s="1689"/>
      <c r="BC239" s="1689"/>
      <c r="BD239" s="1690" t="s">
        <v>1809</v>
      </c>
      <c r="BE239" s="1695" t="s">
        <v>1809</v>
      </c>
      <c r="BF239" s="1431"/>
    </row>
    <row r="240" spans="1:58" customFormat="1" ht="41.25" customHeight="1" outlineLevel="1" x14ac:dyDescent="0.35">
      <c r="A240" s="1679">
        <v>21.1</v>
      </c>
      <c r="B240" s="1680" t="s">
        <v>1916</v>
      </c>
      <c r="C240" s="1662" t="s">
        <v>938</v>
      </c>
      <c r="D240" s="1563" t="s">
        <v>1754</v>
      </c>
      <c r="E240" s="1637"/>
      <c r="F240" s="1360"/>
      <c r="G240" s="1412">
        <v>10</v>
      </c>
      <c r="H240" s="1412"/>
      <c r="I240" s="1422"/>
      <c r="J240" s="1422"/>
      <c r="K240" s="1366"/>
      <c r="L240" s="1365"/>
      <c r="M240" s="1365"/>
      <c r="N240" s="1369"/>
      <c r="O240" s="1365"/>
      <c r="P240" s="1562"/>
      <c r="Q240" s="1562"/>
      <c r="R240" s="1562"/>
      <c r="S240" s="1562"/>
      <c r="T240" s="1594">
        <f t="shared" si="56"/>
        <v>0</v>
      </c>
      <c r="U240" s="1562"/>
      <c r="V240" s="1562"/>
      <c r="W240" s="1562"/>
      <c r="X240" s="1412">
        <v>0</v>
      </c>
      <c r="Y240" s="1573">
        <v>10</v>
      </c>
      <c r="Z240" s="1562"/>
      <c r="AA240" s="1562"/>
      <c r="AB240" s="1562"/>
      <c r="AC240" s="1561"/>
      <c r="AD240" s="1685"/>
      <c r="AE240" s="1561"/>
      <c r="AF240" s="1565"/>
      <c r="AG240" s="1541">
        <f t="shared" si="57"/>
        <v>0</v>
      </c>
      <c r="AH240" s="1565"/>
      <c r="AI240" s="1565"/>
      <c r="AJ240" s="1565"/>
      <c r="AK240" s="1565"/>
      <c r="AL240" s="1650">
        <v>1</v>
      </c>
      <c r="AM240" s="1565"/>
      <c r="AN240" s="1365"/>
      <c r="AO240" s="1365"/>
      <c r="AP240" s="1651"/>
      <c r="AQ240" s="1651"/>
      <c r="AR240" s="1651"/>
      <c r="AS240" s="1651"/>
      <c r="AT240" s="1594">
        <f t="shared" si="58"/>
        <v>0</v>
      </c>
      <c r="AU240" s="1651"/>
      <c r="AV240" s="1651"/>
      <c r="AW240" s="1651"/>
      <c r="AX240" s="1651">
        <v>0</v>
      </c>
      <c r="AY240" s="1573">
        <v>10</v>
      </c>
      <c r="AZ240" s="1651"/>
      <c r="BA240" s="1651"/>
      <c r="BB240" s="1651"/>
      <c r="BC240" s="1686"/>
      <c r="BD240" s="1686" t="s">
        <v>1809</v>
      </c>
      <c r="BE240" s="1687" t="s">
        <v>1809</v>
      </c>
    </row>
    <row r="241" spans="1:58" customFormat="1" ht="41.25" customHeight="1" outlineLevel="1" x14ac:dyDescent="0.35">
      <c r="A241" s="1679">
        <v>21.2</v>
      </c>
      <c r="B241" s="1680" t="s">
        <v>1917</v>
      </c>
      <c r="C241" s="1662" t="s">
        <v>938</v>
      </c>
      <c r="D241" s="1563" t="s">
        <v>1754</v>
      </c>
      <c r="E241" s="1637"/>
      <c r="F241" s="1360"/>
      <c r="G241" s="1412">
        <v>5</v>
      </c>
      <c r="H241" s="1412"/>
      <c r="I241" s="1422"/>
      <c r="J241" s="1422"/>
      <c r="K241" s="1366"/>
      <c r="L241" s="1365"/>
      <c r="M241" s="1365"/>
      <c r="N241" s="1369"/>
      <c r="O241" s="1365"/>
      <c r="P241" s="1562"/>
      <c r="Q241" s="1562"/>
      <c r="R241" s="1562"/>
      <c r="S241" s="1562"/>
      <c r="T241" s="1594">
        <f t="shared" si="56"/>
        <v>0</v>
      </c>
      <c r="U241" s="1562"/>
      <c r="V241" s="1562"/>
      <c r="W241" s="1562"/>
      <c r="X241" s="1412">
        <v>5</v>
      </c>
      <c r="Y241" s="1562"/>
      <c r="Z241" s="1562"/>
      <c r="AA241" s="1562"/>
      <c r="AB241" s="1562"/>
      <c r="AC241" s="1561"/>
      <c r="AD241" s="1685"/>
      <c r="AE241" s="1561"/>
      <c r="AF241" s="1565"/>
      <c r="AG241" s="1541">
        <f t="shared" si="57"/>
        <v>0</v>
      </c>
      <c r="AH241" s="1565"/>
      <c r="AI241" s="1565"/>
      <c r="AJ241" s="1565"/>
      <c r="AK241" s="1650">
        <v>1</v>
      </c>
      <c r="AL241" s="1565"/>
      <c r="AM241" s="1565"/>
      <c r="AN241" s="1365"/>
      <c r="AO241" s="1365"/>
      <c r="AP241" s="1651"/>
      <c r="AQ241" s="1651"/>
      <c r="AR241" s="1651"/>
      <c r="AS241" s="1651"/>
      <c r="AT241" s="1594">
        <f t="shared" si="58"/>
        <v>0</v>
      </c>
      <c r="AU241" s="1651"/>
      <c r="AV241" s="1651"/>
      <c r="AW241" s="1651"/>
      <c r="AX241" s="1412">
        <v>5</v>
      </c>
      <c r="AY241" s="1562"/>
      <c r="AZ241" s="1651"/>
      <c r="BA241" s="1651"/>
      <c r="BB241" s="1651"/>
      <c r="BC241" s="1686"/>
      <c r="BD241" s="1686" t="s">
        <v>1809</v>
      </c>
      <c r="BE241" s="1687" t="s">
        <v>1809</v>
      </c>
    </row>
    <row r="242" spans="1:58" customFormat="1" ht="41.25" customHeight="1" outlineLevel="1" x14ac:dyDescent="0.35">
      <c r="A242" s="1679">
        <v>21.3</v>
      </c>
      <c r="B242" s="1680" t="s">
        <v>1918</v>
      </c>
      <c r="C242" s="1662" t="s">
        <v>938</v>
      </c>
      <c r="D242" s="1563" t="s">
        <v>1754</v>
      </c>
      <c r="E242" s="1637"/>
      <c r="F242" s="1360"/>
      <c r="G242" s="1412">
        <v>10</v>
      </c>
      <c r="H242" s="1412"/>
      <c r="I242" s="1422"/>
      <c r="J242" s="1422"/>
      <c r="K242" s="1366"/>
      <c r="L242" s="1365"/>
      <c r="M242" s="1365"/>
      <c r="N242" s="1369"/>
      <c r="O242" s="1365"/>
      <c r="P242" s="1562"/>
      <c r="Q242" s="1562"/>
      <c r="R242" s="1562"/>
      <c r="S242" s="1562"/>
      <c r="T242" s="1594">
        <f t="shared" si="56"/>
        <v>0</v>
      </c>
      <c r="U242" s="1562"/>
      <c r="V242" s="1562"/>
      <c r="W242" s="1562"/>
      <c r="X242" s="1412">
        <v>10</v>
      </c>
      <c r="Y242" s="1562"/>
      <c r="Z242" s="1562"/>
      <c r="AA242" s="1562"/>
      <c r="AB242" s="1562"/>
      <c r="AC242" s="1561"/>
      <c r="AD242" s="1685"/>
      <c r="AE242" s="1561"/>
      <c r="AF242" s="1565"/>
      <c r="AG242" s="1541">
        <f t="shared" si="57"/>
        <v>0</v>
      </c>
      <c r="AH242" s="1565"/>
      <c r="AI242" s="1565"/>
      <c r="AJ242" s="1565"/>
      <c r="AK242" s="1650">
        <v>1</v>
      </c>
      <c r="AL242" s="1565"/>
      <c r="AM242" s="1565"/>
      <c r="AN242" s="1365"/>
      <c r="AO242" s="1365"/>
      <c r="AP242" s="1651"/>
      <c r="AQ242" s="1651"/>
      <c r="AR242" s="1651"/>
      <c r="AS242" s="1651"/>
      <c r="AT242" s="1594">
        <f t="shared" si="58"/>
        <v>0</v>
      </c>
      <c r="AU242" s="1651"/>
      <c r="AV242" s="1651"/>
      <c r="AW242" s="1651"/>
      <c r="AX242" s="1412">
        <v>10</v>
      </c>
      <c r="AY242" s="1562"/>
      <c r="AZ242" s="1651"/>
      <c r="BA242" s="1651"/>
      <c r="BB242" s="1651"/>
      <c r="BC242" s="1686"/>
      <c r="BD242" s="1686" t="s">
        <v>1809</v>
      </c>
      <c r="BE242" s="1687" t="s">
        <v>1809</v>
      </c>
    </row>
    <row r="243" spans="1:58" customFormat="1" ht="41.25" customHeight="1" outlineLevel="1" x14ac:dyDescent="0.35">
      <c r="A243" s="1679">
        <v>21.4</v>
      </c>
      <c r="B243" s="1680" t="s">
        <v>1919</v>
      </c>
      <c r="C243" s="1662" t="s">
        <v>938</v>
      </c>
      <c r="D243" s="1563" t="s">
        <v>1754</v>
      </c>
      <c r="E243" s="1637"/>
      <c r="F243" s="1360"/>
      <c r="G243" s="1412">
        <v>3</v>
      </c>
      <c r="H243" s="1412"/>
      <c r="I243" s="1422"/>
      <c r="J243" s="1422"/>
      <c r="K243" s="1366"/>
      <c r="L243" s="1365"/>
      <c r="M243" s="1365"/>
      <c r="N243" s="1369"/>
      <c r="O243" s="1365"/>
      <c r="P243" s="1562"/>
      <c r="Q243" s="1562"/>
      <c r="R243" s="1562"/>
      <c r="S243" s="1562"/>
      <c r="T243" s="1594">
        <f t="shared" si="56"/>
        <v>0</v>
      </c>
      <c r="U243" s="1562"/>
      <c r="V243" s="1562"/>
      <c r="W243" s="1562"/>
      <c r="X243" s="1412">
        <v>3</v>
      </c>
      <c r="Y243" s="1562"/>
      <c r="Z243" s="1562"/>
      <c r="AA243" s="1562"/>
      <c r="AB243" s="1562"/>
      <c r="AC243" s="1561"/>
      <c r="AD243" s="1685"/>
      <c r="AE243" s="1561"/>
      <c r="AF243" s="1565"/>
      <c r="AG243" s="1541">
        <f t="shared" si="57"/>
        <v>0</v>
      </c>
      <c r="AH243" s="1565"/>
      <c r="AI243" s="1565"/>
      <c r="AJ243" s="1565"/>
      <c r="AK243" s="1650">
        <v>1</v>
      </c>
      <c r="AL243" s="1565"/>
      <c r="AM243" s="1565"/>
      <c r="AN243" s="1365"/>
      <c r="AO243" s="1365"/>
      <c r="AP243" s="1651"/>
      <c r="AQ243" s="1651"/>
      <c r="AR243" s="1651"/>
      <c r="AS243" s="1651"/>
      <c r="AT243" s="1594">
        <f t="shared" si="58"/>
        <v>0</v>
      </c>
      <c r="AU243" s="1651"/>
      <c r="AV243" s="1651"/>
      <c r="AW243" s="1651"/>
      <c r="AX243" s="1412">
        <v>3</v>
      </c>
      <c r="AY243" s="1562"/>
      <c r="AZ243" s="1651"/>
      <c r="BA243" s="1651"/>
      <c r="BB243" s="1651"/>
      <c r="BC243" s="1686"/>
      <c r="BD243" s="1686" t="s">
        <v>1809</v>
      </c>
      <c r="BE243" s="1687" t="s">
        <v>1809</v>
      </c>
    </row>
    <row r="244" spans="1:58" customFormat="1" ht="41.25" customHeight="1" outlineLevel="1" x14ac:dyDescent="0.35">
      <c r="A244" s="1679">
        <v>21.5</v>
      </c>
      <c r="B244" s="1680" t="s">
        <v>1920</v>
      </c>
      <c r="C244" s="1662" t="s">
        <v>938</v>
      </c>
      <c r="D244" s="1563" t="s">
        <v>1754</v>
      </c>
      <c r="E244" s="1637"/>
      <c r="F244" s="1360"/>
      <c r="G244" s="1412">
        <v>10</v>
      </c>
      <c r="H244" s="1412"/>
      <c r="I244" s="1422"/>
      <c r="J244" s="1422"/>
      <c r="K244" s="1366"/>
      <c r="L244" s="1365"/>
      <c r="M244" s="1365"/>
      <c r="N244" s="1369"/>
      <c r="O244" s="1365"/>
      <c r="P244" s="1562"/>
      <c r="Q244" s="1562"/>
      <c r="R244" s="1562"/>
      <c r="S244" s="1562"/>
      <c r="T244" s="1594">
        <f t="shared" si="56"/>
        <v>0</v>
      </c>
      <c r="U244" s="1562"/>
      <c r="V244" s="1562"/>
      <c r="W244" s="1562"/>
      <c r="X244" s="1412">
        <v>0</v>
      </c>
      <c r="Y244" s="1573">
        <v>10</v>
      </c>
      <c r="Z244" s="1562"/>
      <c r="AA244" s="1562"/>
      <c r="AB244" s="1562"/>
      <c r="AC244" s="1561"/>
      <c r="AD244" s="1685"/>
      <c r="AE244" s="1561"/>
      <c r="AF244" s="1565"/>
      <c r="AG244" s="1541">
        <f t="shared" si="57"/>
        <v>0</v>
      </c>
      <c r="AH244" s="1565"/>
      <c r="AI244" s="1565"/>
      <c r="AJ244" s="1565"/>
      <c r="AK244" s="1565"/>
      <c r="AL244" s="1650">
        <v>1</v>
      </c>
      <c r="AM244" s="1565"/>
      <c r="AN244" s="1365"/>
      <c r="AO244" s="1365"/>
      <c r="AP244" s="1651"/>
      <c r="AQ244" s="1651"/>
      <c r="AR244" s="1651"/>
      <c r="AS244" s="1651"/>
      <c r="AT244" s="1594">
        <f t="shared" si="58"/>
        <v>0</v>
      </c>
      <c r="AU244" s="1651"/>
      <c r="AV244" s="1651"/>
      <c r="AW244" s="1651"/>
      <c r="AX244" s="1651">
        <v>0</v>
      </c>
      <c r="AY244" s="1573">
        <v>10</v>
      </c>
      <c r="AZ244" s="1651"/>
      <c r="BA244" s="1651"/>
      <c r="BB244" s="1651"/>
      <c r="BC244" s="1686"/>
      <c r="BD244" s="1686" t="s">
        <v>1809</v>
      </c>
      <c r="BE244" s="1687" t="s">
        <v>1809</v>
      </c>
    </row>
    <row r="245" spans="1:58" customFormat="1" ht="33.75" customHeight="1" outlineLevel="1" x14ac:dyDescent="0.35">
      <c r="A245" s="1562"/>
      <c r="B245" s="1682" t="s">
        <v>413</v>
      </c>
      <c r="C245" s="1682"/>
      <c r="D245" s="1563" t="s">
        <v>1754</v>
      </c>
      <c r="E245" s="1682"/>
      <c r="F245" s="1682"/>
      <c r="G245" s="1682"/>
      <c r="H245" s="1682"/>
      <c r="I245" s="1683"/>
      <c r="J245" s="1683"/>
      <c r="K245" s="1682"/>
      <c r="L245" s="1682"/>
      <c r="M245" s="1682"/>
      <c r="N245" s="1682"/>
      <c r="O245" s="1682"/>
      <c r="P245" s="1562">
        <v>0</v>
      </c>
      <c r="Q245" s="1562">
        <v>0</v>
      </c>
      <c r="R245" s="1562">
        <v>0</v>
      </c>
      <c r="S245" s="1562">
        <v>0</v>
      </c>
      <c r="T245" s="1594">
        <f t="shared" si="56"/>
        <v>0</v>
      </c>
      <c r="U245" s="1562">
        <v>0</v>
      </c>
      <c r="V245" s="1562">
        <v>0</v>
      </c>
      <c r="W245" s="1562">
        <v>0</v>
      </c>
      <c r="X245" s="1562">
        <v>0</v>
      </c>
      <c r="Y245" s="1562">
        <v>0</v>
      </c>
      <c r="Z245" s="1562"/>
      <c r="AA245" s="1562"/>
      <c r="AB245" s="1562"/>
      <c r="AC245" s="1565"/>
      <c r="AD245" s="1565"/>
      <c r="AE245" s="1565"/>
      <c r="AF245" s="1565"/>
      <c r="AG245" s="1541">
        <f t="shared" si="57"/>
        <v>0</v>
      </c>
      <c r="AH245" s="1565"/>
      <c r="AI245" s="1565"/>
      <c r="AJ245" s="1565"/>
      <c r="AK245" s="1565"/>
      <c r="AL245" s="1565"/>
      <c r="AM245" s="1565"/>
      <c r="AN245" s="1565"/>
      <c r="AO245" s="1565"/>
      <c r="AP245" s="1651"/>
      <c r="AQ245" s="1651"/>
      <c r="AR245" s="1651"/>
      <c r="AS245" s="1651"/>
      <c r="AT245" s="1594">
        <f t="shared" si="58"/>
        <v>0</v>
      </c>
      <c r="AU245" s="1651"/>
      <c r="AV245" s="1651"/>
      <c r="AW245" s="1651"/>
      <c r="AX245" s="1651"/>
      <c r="AY245" s="1651"/>
      <c r="AZ245" s="1651">
        <v>0</v>
      </c>
      <c r="BA245" s="1651">
        <v>0</v>
      </c>
      <c r="BB245" s="1651">
        <v>0</v>
      </c>
      <c r="BC245" s="1686"/>
      <c r="BD245" s="1686" t="s">
        <v>1809</v>
      </c>
      <c r="BE245" s="1687" t="s">
        <v>1809</v>
      </c>
    </row>
    <row r="246" spans="1:58" s="1432" customFormat="1" ht="42" customHeight="1" outlineLevel="1" x14ac:dyDescent="0.25">
      <c r="A246" s="1702">
        <v>22</v>
      </c>
      <c r="B246" s="1693" t="s">
        <v>1921</v>
      </c>
      <c r="C246" s="1662" t="s">
        <v>938</v>
      </c>
      <c r="D246" s="1563" t="s">
        <v>1754</v>
      </c>
      <c r="E246" s="1701"/>
      <c r="F246" s="1424"/>
      <c r="G246" s="1694"/>
      <c r="H246" s="1425"/>
      <c r="I246" s="1426"/>
      <c r="J246" s="1426"/>
      <c r="K246" s="1427"/>
      <c r="L246" s="1428"/>
      <c r="M246" s="1428"/>
      <c r="N246" s="1429"/>
      <c r="O246" s="1430"/>
      <c r="P246" s="1689"/>
      <c r="Q246" s="1689"/>
      <c r="R246" s="1689"/>
      <c r="S246" s="1689"/>
      <c r="T246" s="1594">
        <f t="shared" si="56"/>
        <v>0</v>
      </c>
      <c r="U246" s="1689"/>
      <c r="V246" s="1689"/>
      <c r="W246" s="1689"/>
      <c r="X246" s="1689"/>
      <c r="Y246" s="1689"/>
      <c r="Z246" s="1689"/>
      <c r="AA246" s="1689"/>
      <c r="AB246" s="1689"/>
      <c r="AC246" s="1689"/>
      <c r="AD246" s="1689"/>
      <c r="AE246" s="1689"/>
      <c r="AF246" s="1689"/>
      <c r="AG246" s="1541">
        <f t="shared" si="57"/>
        <v>0</v>
      </c>
      <c r="AH246" s="1689"/>
      <c r="AI246" s="1689"/>
      <c r="AJ246" s="1689"/>
      <c r="AK246" s="1689"/>
      <c r="AL246" s="1689"/>
      <c r="AM246" s="1689"/>
      <c r="AN246" s="1689"/>
      <c r="AO246" s="1689"/>
      <c r="AP246" s="1689"/>
      <c r="AQ246" s="1689"/>
      <c r="AR246" s="1689"/>
      <c r="AS246" s="1689"/>
      <c r="AT246" s="1594">
        <f t="shared" si="58"/>
        <v>0</v>
      </c>
      <c r="AU246" s="1689"/>
      <c r="AV246" s="1689"/>
      <c r="AW246" s="1689"/>
      <c r="AX246" s="1689"/>
      <c r="AY246" s="1689"/>
      <c r="AZ246" s="1689"/>
      <c r="BA246" s="1689"/>
      <c r="BB246" s="1689"/>
      <c r="BC246" s="1689"/>
      <c r="BD246" s="1690" t="s">
        <v>1809</v>
      </c>
      <c r="BE246" s="1695" t="s">
        <v>1809</v>
      </c>
      <c r="BF246" s="1431"/>
    </row>
    <row r="247" spans="1:58" customFormat="1" ht="41.25" customHeight="1" outlineLevel="1" x14ac:dyDescent="0.35">
      <c r="A247" s="1679">
        <v>22.1</v>
      </c>
      <c r="B247" s="1680" t="s">
        <v>1921</v>
      </c>
      <c r="C247" s="1662" t="s">
        <v>938</v>
      </c>
      <c r="D247" s="1563" t="s">
        <v>1754</v>
      </c>
      <c r="E247" s="1637"/>
      <c r="F247" s="1360"/>
      <c r="G247" s="1412">
        <v>25</v>
      </c>
      <c r="H247" s="1412"/>
      <c r="I247" s="1422"/>
      <c r="J247" s="1422"/>
      <c r="K247" s="1366"/>
      <c r="L247" s="1365"/>
      <c r="M247" s="1365"/>
      <c r="N247" s="1369"/>
      <c r="O247" s="1365"/>
      <c r="P247" s="1562"/>
      <c r="Q247" s="1562"/>
      <c r="R247" s="1562"/>
      <c r="S247" s="1562"/>
      <c r="T247" s="1594">
        <f t="shared" si="56"/>
        <v>0</v>
      </c>
      <c r="U247" s="1562"/>
      <c r="V247" s="1562"/>
      <c r="W247" s="1562"/>
      <c r="X247" s="1573">
        <v>25</v>
      </c>
      <c r="Y247" s="1562"/>
      <c r="Z247" s="1562"/>
      <c r="AA247" s="1562"/>
      <c r="AB247" s="1562"/>
      <c r="AC247" s="1561"/>
      <c r="AD247" s="1685"/>
      <c r="AE247" s="1561"/>
      <c r="AF247" s="1565"/>
      <c r="AG247" s="1541">
        <f t="shared" si="57"/>
        <v>0</v>
      </c>
      <c r="AH247" s="1565"/>
      <c r="AI247" s="1565"/>
      <c r="AJ247" s="1565"/>
      <c r="AK247" s="1650">
        <v>1</v>
      </c>
      <c r="AL247" s="1565"/>
      <c r="AM247" s="1565"/>
      <c r="AN247" s="1365"/>
      <c r="AO247" s="1365"/>
      <c r="AP247" s="1651"/>
      <c r="AQ247" s="1651"/>
      <c r="AR247" s="1651"/>
      <c r="AS247" s="1651"/>
      <c r="AT247" s="1594">
        <f t="shared" si="58"/>
        <v>0</v>
      </c>
      <c r="AU247" s="1651"/>
      <c r="AV247" s="1651"/>
      <c r="AW247" s="1651"/>
      <c r="AX247" s="1649">
        <v>25</v>
      </c>
      <c r="AY247" s="1651"/>
      <c r="AZ247" s="1651"/>
      <c r="BA247" s="1651"/>
      <c r="BB247" s="1651"/>
      <c r="BC247" s="1686"/>
      <c r="BD247" s="1686" t="s">
        <v>1809</v>
      </c>
      <c r="BE247" s="1687" t="s">
        <v>1809</v>
      </c>
    </row>
    <row r="248" spans="1:58" customFormat="1" ht="33.75" customHeight="1" outlineLevel="1" x14ac:dyDescent="0.35">
      <c r="A248" s="1562"/>
      <c r="B248" s="1682" t="s">
        <v>413</v>
      </c>
      <c r="C248" s="1682"/>
      <c r="D248" s="1563" t="s">
        <v>1754</v>
      </c>
      <c r="E248" s="1682"/>
      <c r="F248" s="1682"/>
      <c r="G248" s="1682"/>
      <c r="H248" s="1682"/>
      <c r="I248" s="1683"/>
      <c r="J248" s="1683"/>
      <c r="K248" s="1682"/>
      <c r="L248" s="1682"/>
      <c r="M248" s="1682"/>
      <c r="N248" s="1682"/>
      <c r="O248" s="1682"/>
      <c r="P248" s="1562">
        <v>0</v>
      </c>
      <c r="Q248" s="1562">
        <v>0</v>
      </c>
      <c r="R248" s="1562">
        <v>0</v>
      </c>
      <c r="S248" s="1562">
        <v>0</v>
      </c>
      <c r="T248" s="1594">
        <f t="shared" si="56"/>
        <v>0</v>
      </c>
      <c r="U248" s="1562">
        <v>0</v>
      </c>
      <c r="V248" s="1562">
        <v>0</v>
      </c>
      <c r="W248" s="1562">
        <v>0</v>
      </c>
      <c r="X248" s="1562">
        <v>0</v>
      </c>
      <c r="Y248" s="1562">
        <v>0</v>
      </c>
      <c r="Z248" s="1562"/>
      <c r="AA248" s="1562"/>
      <c r="AB248" s="1562"/>
      <c r="AC248" s="1565"/>
      <c r="AD248" s="1565"/>
      <c r="AE248" s="1565"/>
      <c r="AF248" s="1565"/>
      <c r="AG248" s="1541">
        <f t="shared" si="57"/>
        <v>0</v>
      </c>
      <c r="AH248" s="1565"/>
      <c r="AI248" s="1565"/>
      <c r="AJ248" s="1565"/>
      <c r="AK248" s="1565"/>
      <c r="AL248" s="1565"/>
      <c r="AM248" s="1565"/>
      <c r="AN248" s="1565"/>
      <c r="AO248" s="1565"/>
      <c r="AP248" s="1651"/>
      <c r="AQ248" s="1651"/>
      <c r="AR248" s="1651"/>
      <c r="AS248" s="1651"/>
      <c r="AT248" s="1594">
        <f t="shared" si="58"/>
        <v>0</v>
      </c>
      <c r="AU248" s="1651"/>
      <c r="AV248" s="1651"/>
      <c r="AW248" s="1651"/>
      <c r="AX248" s="1651"/>
      <c r="AY248" s="1651"/>
      <c r="AZ248" s="1651">
        <v>0</v>
      </c>
      <c r="BA248" s="1651">
        <v>0</v>
      </c>
      <c r="BB248" s="1651">
        <v>0</v>
      </c>
      <c r="BC248" s="1686"/>
      <c r="BD248" s="1686" t="s">
        <v>1809</v>
      </c>
      <c r="BE248" s="1687" t="s">
        <v>1809</v>
      </c>
    </row>
    <row r="249" spans="1:58" s="1432" customFormat="1" ht="77.5" outlineLevel="1" x14ac:dyDescent="0.25">
      <c r="A249" s="1702">
        <v>23</v>
      </c>
      <c r="B249" s="1693" t="s">
        <v>1922</v>
      </c>
      <c r="C249" s="1655" t="s">
        <v>931</v>
      </c>
      <c r="D249" s="1563" t="s">
        <v>1754</v>
      </c>
      <c r="E249" s="1701"/>
      <c r="F249" s="1424"/>
      <c r="G249" s="1694"/>
      <c r="H249" s="1425"/>
      <c r="I249" s="1426"/>
      <c r="J249" s="1426"/>
      <c r="K249" s="1427"/>
      <c r="L249" s="1428"/>
      <c r="M249" s="1428"/>
      <c r="N249" s="1429"/>
      <c r="O249" s="1430"/>
      <c r="P249" s="1689"/>
      <c r="Q249" s="1689"/>
      <c r="R249" s="1689"/>
      <c r="S249" s="1689"/>
      <c r="T249" s="1594">
        <f t="shared" si="56"/>
        <v>0</v>
      </c>
      <c r="U249" s="1689"/>
      <c r="V249" s="1689"/>
      <c r="W249" s="1689"/>
      <c r="X249" s="1689"/>
      <c r="Y249" s="1689"/>
      <c r="Z249" s="1689"/>
      <c r="AA249" s="1689"/>
      <c r="AB249" s="1689"/>
      <c r="AC249" s="1689"/>
      <c r="AD249" s="1689"/>
      <c r="AE249" s="1689"/>
      <c r="AF249" s="1689"/>
      <c r="AG249" s="1541">
        <f t="shared" si="57"/>
        <v>0</v>
      </c>
      <c r="AH249" s="1689"/>
      <c r="AI249" s="1689"/>
      <c r="AJ249" s="1689"/>
      <c r="AK249" s="1689"/>
      <c r="AL249" s="1689"/>
      <c r="AM249" s="1689"/>
      <c r="AN249" s="1689"/>
      <c r="AO249" s="1689"/>
      <c r="AP249" s="1689"/>
      <c r="AQ249" s="1689"/>
      <c r="AR249" s="1689"/>
      <c r="AS249" s="1689"/>
      <c r="AT249" s="1594">
        <f t="shared" si="58"/>
        <v>0</v>
      </c>
      <c r="AU249" s="1689"/>
      <c r="AV249" s="1689"/>
      <c r="AW249" s="1689"/>
      <c r="AX249" s="1689"/>
      <c r="AY249" s="1689"/>
      <c r="AZ249" s="1689"/>
      <c r="BA249" s="1689"/>
      <c r="BB249" s="1689"/>
      <c r="BC249" s="1689"/>
      <c r="BD249" s="1690" t="s">
        <v>1809</v>
      </c>
      <c r="BE249" s="1695" t="s">
        <v>1809</v>
      </c>
      <c r="BF249" s="1431"/>
    </row>
    <row r="250" spans="1:58" customFormat="1" ht="41.25" customHeight="1" outlineLevel="1" x14ac:dyDescent="0.35">
      <c r="A250" s="1679">
        <v>23.1</v>
      </c>
      <c r="B250" s="1680" t="s">
        <v>1923</v>
      </c>
      <c r="C250" s="1662" t="s">
        <v>938</v>
      </c>
      <c r="D250" s="1563" t="s">
        <v>1754</v>
      </c>
      <c r="E250" s="1637"/>
      <c r="F250" s="1360"/>
      <c r="G250" s="1412">
        <v>2</v>
      </c>
      <c r="H250" s="1412"/>
      <c r="I250" s="1422"/>
      <c r="J250" s="1422"/>
      <c r="K250" s="1366"/>
      <c r="L250" s="1365"/>
      <c r="M250" s="1365"/>
      <c r="N250" s="1369"/>
      <c r="O250" s="1383" t="s">
        <v>1924</v>
      </c>
      <c r="P250" s="1562"/>
      <c r="Q250" s="1562"/>
      <c r="R250" s="1562"/>
      <c r="S250" s="1562"/>
      <c r="T250" s="1594">
        <f t="shared" si="56"/>
        <v>0</v>
      </c>
      <c r="U250" s="1562"/>
      <c r="V250" s="1562"/>
      <c r="W250" s="1562"/>
      <c r="X250" s="1562"/>
      <c r="Y250" s="1562"/>
      <c r="Z250" s="1573">
        <v>2</v>
      </c>
      <c r="AA250" s="1562"/>
      <c r="AB250" s="1562"/>
      <c r="AC250" s="1561"/>
      <c r="AD250" s="1685"/>
      <c r="AE250" s="1561"/>
      <c r="AF250" s="1565"/>
      <c r="AG250" s="1541">
        <f t="shared" si="57"/>
        <v>0</v>
      </c>
      <c r="AH250" s="1565"/>
      <c r="AI250" s="1565"/>
      <c r="AJ250" s="1565"/>
      <c r="AK250" s="1565"/>
      <c r="AL250" s="1565"/>
      <c r="AM250" s="1650">
        <v>1</v>
      </c>
      <c r="AN250" s="1365"/>
      <c r="AO250" s="1365"/>
      <c r="AP250" s="1651"/>
      <c r="AQ250" s="1651"/>
      <c r="AR250" s="1651"/>
      <c r="AS250" s="1651"/>
      <c r="AT250" s="1594">
        <f t="shared" si="58"/>
        <v>0</v>
      </c>
      <c r="AU250" s="1651"/>
      <c r="AV250" s="1651"/>
      <c r="AW250" s="1651"/>
      <c r="AX250" s="1689"/>
      <c r="AY250" s="1689"/>
      <c r="AZ250" s="1573">
        <v>2</v>
      </c>
      <c r="BA250" s="1651"/>
      <c r="BB250" s="1651"/>
      <c r="BC250" s="1686"/>
      <c r="BD250" s="1686" t="s">
        <v>1809</v>
      </c>
      <c r="BE250" s="1687" t="s">
        <v>1809</v>
      </c>
    </row>
    <row r="251" spans="1:58" customFormat="1" ht="41.25" customHeight="1" outlineLevel="1" x14ac:dyDescent="0.35">
      <c r="A251" s="1679">
        <v>23.2</v>
      </c>
      <c r="B251" s="1680" t="s">
        <v>1925</v>
      </c>
      <c r="C251" s="1662" t="s">
        <v>938</v>
      </c>
      <c r="D251" s="1563" t="s">
        <v>1754</v>
      </c>
      <c r="E251" s="1637"/>
      <c r="F251" s="1360"/>
      <c r="G251" s="1412">
        <v>3</v>
      </c>
      <c r="H251" s="1412"/>
      <c r="I251" s="1422"/>
      <c r="J251" s="1422"/>
      <c r="K251" s="1366"/>
      <c r="L251" s="1365"/>
      <c r="M251" s="1365"/>
      <c r="N251" s="1369"/>
      <c r="O251" s="1383" t="s">
        <v>1926</v>
      </c>
      <c r="P251" s="1562"/>
      <c r="Q251" s="1562"/>
      <c r="R251" s="1562"/>
      <c r="S251" s="1562"/>
      <c r="T251" s="1594">
        <f t="shared" si="56"/>
        <v>0</v>
      </c>
      <c r="U251" s="1562"/>
      <c r="V251" s="1562"/>
      <c r="W251" s="1562"/>
      <c r="X251" s="1573">
        <v>3</v>
      </c>
      <c r="Y251" s="1562"/>
      <c r="Z251" s="1562"/>
      <c r="AA251" s="1562"/>
      <c r="AB251" s="1562"/>
      <c r="AC251" s="1561"/>
      <c r="AD251" s="1685"/>
      <c r="AE251" s="1561"/>
      <c r="AF251" s="1565"/>
      <c r="AG251" s="1541">
        <f t="shared" si="57"/>
        <v>0</v>
      </c>
      <c r="AH251" s="1565"/>
      <c r="AI251" s="1565"/>
      <c r="AJ251" s="1565"/>
      <c r="AK251" s="1650">
        <v>1</v>
      </c>
      <c r="AL251" s="1565"/>
      <c r="AM251" s="1565"/>
      <c r="AN251" s="1365"/>
      <c r="AO251" s="1365"/>
      <c r="AP251" s="1651"/>
      <c r="AQ251" s="1651"/>
      <c r="AR251" s="1651"/>
      <c r="AS251" s="1651"/>
      <c r="AT251" s="1594">
        <f t="shared" si="58"/>
        <v>0</v>
      </c>
      <c r="AU251" s="1651"/>
      <c r="AV251" s="1651"/>
      <c r="AW251" s="1651"/>
      <c r="AX251" s="1573">
        <v>3</v>
      </c>
      <c r="AY251" s="1689"/>
      <c r="AZ251" s="1689"/>
      <c r="BA251" s="1651"/>
      <c r="BB251" s="1651"/>
      <c r="BC251" s="1686"/>
      <c r="BD251" s="1686" t="s">
        <v>1809</v>
      </c>
      <c r="BE251" s="1687" t="s">
        <v>1809</v>
      </c>
    </row>
    <row r="252" spans="1:58" customFormat="1" ht="41.25" customHeight="1" outlineLevel="1" x14ac:dyDescent="0.35">
      <c r="A252" s="1679">
        <v>23.3</v>
      </c>
      <c r="B252" s="1680" t="s">
        <v>1927</v>
      </c>
      <c r="C252" s="1662" t="s">
        <v>938</v>
      </c>
      <c r="D252" s="1563" t="s">
        <v>1754</v>
      </c>
      <c r="E252" s="1637"/>
      <c r="F252" s="1360"/>
      <c r="G252" s="1412">
        <v>1</v>
      </c>
      <c r="H252" s="1412"/>
      <c r="I252" s="1422"/>
      <c r="J252" s="1422"/>
      <c r="K252" s="1366"/>
      <c r="L252" s="1365"/>
      <c r="M252" s="1365"/>
      <c r="N252" s="1369"/>
      <c r="O252" s="1383" t="s">
        <v>1928</v>
      </c>
      <c r="P252" s="1562"/>
      <c r="Q252" s="1562"/>
      <c r="R252" s="1562"/>
      <c r="S252" s="1562"/>
      <c r="T252" s="1594">
        <f t="shared" si="56"/>
        <v>0</v>
      </c>
      <c r="U252" s="1562"/>
      <c r="V252" s="1562"/>
      <c r="W252" s="1562"/>
      <c r="X252" s="1573">
        <v>1</v>
      </c>
      <c r="Y252" s="1562"/>
      <c r="Z252" s="1562"/>
      <c r="AA252" s="1562"/>
      <c r="AB252" s="1562"/>
      <c r="AC252" s="1561"/>
      <c r="AD252" s="1685"/>
      <c r="AE252" s="1561"/>
      <c r="AF252" s="1565"/>
      <c r="AG252" s="1541">
        <f t="shared" si="57"/>
        <v>0</v>
      </c>
      <c r="AH252" s="1565"/>
      <c r="AI252" s="1565"/>
      <c r="AJ252" s="1565"/>
      <c r="AK252" s="1650">
        <v>1</v>
      </c>
      <c r="AL252" s="1565"/>
      <c r="AM252" s="1565"/>
      <c r="AN252" s="1365"/>
      <c r="AO252" s="1365"/>
      <c r="AP252" s="1651"/>
      <c r="AQ252" s="1651"/>
      <c r="AR252" s="1651"/>
      <c r="AS252" s="1651"/>
      <c r="AT252" s="1594">
        <f t="shared" si="58"/>
        <v>0</v>
      </c>
      <c r="AU252" s="1651"/>
      <c r="AV252" s="1651"/>
      <c r="AW252" s="1651"/>
      <c r="AX252" s="1573">
        <v>1</v>
      </c>
      <c r="AY252" s="1689"/>
      <c r="AZ252" s="1689"/>
      <c r="BA252" s="1651"/>
      <c r="BB252" s="1651"/>
      <c r="BC252" s="1686"/>
      <c r="BD252" s="1686" t="s">
        <v>1809</v>
      </c>
      <c r="BE252" s="1687" t="s">
        <v>1809</v>
      </c>
    </row>
    <row r="253" spans="1:58" customFormat="1" ht="41.25" customHeight="1" outlineLevel="1" x14ac:dyDescent="0.35">
      <c r="A253" s="1679">
        <v>23.4</v>
      </c>
      <c r="B253" s="1680" t="s">
        <v>1929</v>
      </c>
      <c r="C253" s="1662" t="s">
        <v>938</v>
      </c>
      <c r="D253" s="1563" t="s">
        <v>1754</v>
      </c>
      <c r="E253" s="1637"/>
      <c r="F253" s="1360"/>
      <c r="G253" s="1412">
        <v>3</v>
      </c>
      <c r="H253" s="1412"/>
      <c r="I253" s="1422"/>
      <c r="J253" s="1422"/>
      <c r="K253" s="1366"/>
      <c r="L253" s="1365"/>
      <c r="M253" s="1365"/>
      <c r="N253" s="1369"/>
      <c r="O253" s="1383" t="s">
        <v>1930</v>
      </c>
      <c r="P253" s="1562"/>
      <c r="Q253" s="1562"/>
      <c r="R253" s="1562"/>
      <c r="S253" s="1562"/>
      <c r="T253" s="1594">
        <f t="shared" si="56"/>
        <v>0</v>
      </c>
      <c r="U253" s="1562"/>
      <c r="V253" s="1562"/>
      <c r="W253" s="1562"/>
      <c r="X253" s="1562"/>
      <c r="Y253" s="1573">
        <v>3</v>
      </c>
      <c r="Z253" s="1562"/>
      <c r="AA253" s="1562"/>
      <c r="AB253" s="1562"/>
      <c r="AC253" s="1561"/>
      <c r="AD253" s="1685"/>
      <c r="AE253" s="1561"/>
      <c r="AF253" s="1565"/>
      <c r="AG253" s="1541">
        <f t="shared" si="57"/>
        <v>0</v>
      </c>
      <c r="AH253" s="1565"/>
      <c r="AI253" s="1565"/>
      <c r="AJ253" s="1565"/>
      <c r="AK253" s="1565"/>
      <c r="AL253" s="1650">
        <v>1</v>
      </c>
      <c r="AM253" s="1565"/>
      <c r="AN253" s="1365"/>
      <c r="AO253" s="1365"/>
      <c r="AP253" s="1651"/>
      <c r="AQ253" s="1651"/>
      <c r="AR253" s="1651"/>
      <c r="AS253" s="1651"/>
      <c r="AT253" s="1594">
        <f t="shared" si="58"/>
        <v>0</v>
      </c>
      <c r="AU253" s="1651"/>
      <c r="AV253" s="1651"/>
      <c r="AW253" s="1651"/>
      <c r="AX253" s="1689"/>
      <c r="AY253" s="1573">
        <v>3</v>
      </c>
      <c r="AZ253" s="1689"/>
      <c r="BA253" s="1651"/>
      <c r="BB253" s="1651"/>
      <c r="BC253" s="1686"/>
      <c r="BD253" s="1686" t="s">
        <v>1809</v>
      </c>
      <c r="BE253" s="1687" t="s">
        <v>1809</v>
      </c>
    </row>
    <row r="254" spans="1:58" customFormat="1" ht="41.25" customHeight="1" outlineLevel="1" x14ac:dyDescent="0.35">
      <c r="A254" s="1679">
        <v>23.5</v>
      </c>
      <c r="B254" s="1680" t="s">
        <v>1931</v>
      </c>
      <c r="C254" s="1662" t="s">
        <v>938</v>
      </c>
      <c r="D254" s="1563" t="s">
        <v>1754</v>
      </c>
      <c r="E254" s="1637"/>
      <c r="F254" s="1360"/>
      <c r="G254" s="1412">
        <v>2</v>
      </c>
      <c r="H254" s="1412"/>
      <c r="I254" s="1422"/>
      <c r="J254" s="1422"/>
      <c r="K254" s="1366"/>
      <c r="L254" s="1365"/>
      <c r="M254" s="1365"/>
      <c r="N254" s="1369"/>
      <c r="O254" s="1383" t="s">
        <v>1932</v>
      </c>
      <c r="P254" s="1562"/>
      <c r="Q254" s="1562"/>
      <c r="R254" s="1562"/>
      <c r="S254" s="1562"/>
      <c r="T254" s="1594">
        <f t="shared" si="56"/>
        <v>0</v>
      </c>
      <c r="U254" s="1562"/>
      <c r="V254" s="1562"/>
      <c r="W254" s="1562"/>
      <c r="X254" s="1562"/>
      <c r="Y254" s="1573">
        <v>2</v>
      </c>
      <c r="Z254" s="1562"/>
      <c r="AA254" s="1562"/>
      <c r="AB254" s="1562"/>
      <c r="AC254" s="1561"/>
      <c r="AD254" s="1685"/>
      <c r="AE254" s="1561"/>
      <c r="AF254" s="1565"/>
      <c r="AG254" s="1541">
        <f t="shared" si="57"/>
        <v>0</v>
      </c>
      <c r="AH254" s="1565"/>
      <c r="AI254" s="1565"/>
      <c r="AJ254" s="1565"/>
      <c r="AK254" s="1565"/>
      <c r="AL254" s="1650">
        <v>1</v>
      </c>
      <c r="AM254" s="1565"/>
      <c r="AN254" s="1365"/>
      <c r="AO254" s="1365"/>
      <c r="AP254" s="1651"/>
      <c r="AQ254" s="1651"/>
      <c r="AR254" s="1651"/>
      <c r="AS254" s="1651"/>
      <c r="AT254" s="1594">
        <f t="shared" si="58"/>
        <v>0</v>
      </c>
      <c r="AU254" s="1651"/>
      <c r="AV254" s="1651"/>
      <c r="AW254" s="1651"/>
      <c r="AX254" s="1689"/>
      <c r="AY254" s="1573">
        <v>2</v>
      </c>
      <c r="AZ254" s="1689"/>
      <c r="BA254" s="1651"/>
      <c r="BB254" s="1651"/>
      <c r="BC254" s="1686"/>
      <c r="BD254" s="1686" t="s">
        <v>1809</v>
      </c>
      <c r="BE254" s="1687" t="s">
        <v>1809</v>
      </c>
    </row>
    <row r="255" spans="1:58" customFormat="1" ht="41.25" customHeight="1" outlineLevel="1" x14ac:dyDescent="0.35">
      <c r="A255" s="1679">
        <v>23.6</v>
      </c>
      <c r="B255" s="1680" t="s">
        <v>1933</v>
      </c>
      <c r="C255" s="1662" t="s">
        <v>938</v>
      </c>
      <c r="D255" s="1563" t="s">
        <v>1754</v>
      </c>
      <c r="E255" s="1637"/>
      <c r="F255" s="1360"/>
      <c r="G255" s="1412">
        <v>4</v>
      </c>
      <c r="H255" s="1412"/>
      <c r="I255" s="1422"/>
      <c r="J255" s="1422"/>
      <c r="K255" s="1366"/>
      <c r="L255" s="1365"/>
      <c r="M255" s="1365"/>
      <c r="N255" s="1369"/>
      <c r="O255" s="1383" t="s">
        <v>1934</v>
      </c>
      <c r="P255" s="1562"/>
      <c r="Q255" s="1562"/>
      <c r="R255" s="1562"/>
      <c r="S255" s="1562"/>
      <c r="T255" s="1594">
        <f t="shared" si="56"/>
        <v>0</v>
      </c>
      <c r="U255" s="1562"/>
      <c r="V255" s="1562"/>
      <c r="W255" s="1562"/>
      <c r="X255" s="1562"/>
      <c r="Y255" s="1573">
        <v>4</v>
      </c>
      <c r="Z255" s="1562"/>
      <c r="AA255" s="1562"/>
      <c r="AB255" s="1562"/>
      <c r="AC255" s="1561"/>
      <c r="AD255" s="1685"/>
      <c r="AE255" s="1561"/>
      <c r="AF255" s="1565"/>
      <c r="AG255" s="1541">
        <f t="shared" si="57"/>
        <v>0</v>
      </c>
      <c r="AH255" s="1565"/>
      <c r="AI255" s="1565"/>
      <c r="AJ255" s="1565"/>
      <c r="AK255" s="1565"/>
      <c r="AL255" s="1650">
        <v>1</v>
      </c>
      <c r="AM255" s="1565"/>
      <c r="AN255" s="1365"/>
      <c r="AO255" s="1365"/>
      <c r="AP255" s="1651"/>
      <c r="AQ255" s="1651"/>
      <c r="AR255" s="1651"/>
      <c r="AS255" s="1651"/>
      <c r="AT255" s="1594">
        <f t="shared" si="58"/>
        <v>0</v>
      </c>
      <c r="AU255" s="1651"/>
      <c r="AV255" s="1651"/>
      <c r="AW255" s="1651"/>
      <c r="AX255" s="1689"/>
      <c r="AY255" s="1573">
        <v>4</v>
      </c>
      <c r="AZ255" s="1689"/>
      <c r="BA255" s="1651"/>
      <c r="BB255" s="1651"/>
      <c r="BC255" s="1686"/>
      <c r="BD255" s="1686" t="s">
        <v>1809</v>
      </c>
      <c r="BE255" s="1687" t="s">
        <v>1809</v>
      </c>
    </row>
    <row r="256" spans="1:58" customFormat="1" ht="41.25" customHeight="1" outlineLevel="1" x14ac:dyDescent="0.35">
      <c r="A256" s="1679">
        <v>23.7</v>
      </c>
      <c r="B256" s="1680" t="s">
        <v>1935</v>
      </c>
      <c r="C256" s="1662" t="s">
        <v>938</v>
      </c>
      <c r="D256" s="1563" t="s">
        <v>1754</v>
      </c>
      <c r="E256" s="1637"/>
      <c r="F256" s="1360"/>
      <c r="G256" s="1412">
        <v>1</v>
      </c>
      <c r="H256" s="1412"/>
      <c r="I256" s="1422"/>
      <c r="J256" s="1422"/>
      <c r="K256" s="1366"/>
      <c r="L256" s="1365"/>
      <c r="M256" s="1365"/>
      <c r="N256" s="1369"/>
      <c r="O256" s="1383" t="s">
        <v>1936</v>
      </c>
      <c r="P256" s="1562"/>
      <c r="Q256" s="1562"/>
      <c r="R256" s="1562"/>
      <c r="S256" s="1562"/>
      <c r="T256" s="1594">
        <f t="shared" si="56"/>
        <v>0</v>
      </c>
      <c r="U256" s="1562"/>
      <c r="V256" s="1562"/>
      <c r="W256" s="1562"/>
      <c r="X256" s="1562"/>
      <c r="Y256" s="1573">
        <v>1</v>
      </c>
      <c r="Z256" s="1562"/>
      <c r="AA256" s="1562"/>
      <c r="AB256" s="1562"/>
      <c r="AC256" s="1561"/>
      <c r="AD256" s="1685"/>
      <c r="AE256" s="1561"/>
      <c r="AF256" s="1565"/>
      <c r="AG256" s="1541">
        <f t="shared" si="57"/>
        <v>0</v>
      </c>
      <c r="AH256" s="1565"/>
      <c r="AI256" s="1565"/>
      <c r="AJ256" s="1565"/>
      <c r="AK256" s="1565"/>
      <c r="AL256" s="1650">
        <v>1</v>
      </c>
      <c r="AM256" s="1565"/>
      <c r="AN256" s="1365"/>
      <c r="AO256" s="1365"/>
      <c r="AP256" s="1651"/>
      <c r="AQ256" s="1651"/>
      <c r="AR256" s="1651"/>
      <c r="AS256" s="1651"/>
      <c r="AT256" s="1594">
        <f t="shared" si="58"/>
        <v>0</v>
      </c>
      <c r="AU256" s="1651"/>
      <c r="AV256" s="1651"/>
      <c r="AW256" s="1651"/>
      <c r="AX256" s="1689"/>
      <c r="AY256" s="1573">
        <v>1</v>
      </c>
      <c r="AZ256" s="1689"/>
      <c r="BA256" s="1651"/>
      <c r="BB256" s="1651"/>
      <c r="BC256" s="1686"/>
      <c r="BD256" s="1686" t="s">
        <v>1809</v>
      </c>
      <c r="BE256" s="1687" t="s">
        <v>1809</v>
      </c>
    </row>
    <row r="257" spans="1:58" customFormat="1" ht="41.25" customHeight="1" outlineLevel="1" x14ac:dyDescent="0.35">
      <c r="A257" s="1679">
        <v>23.8</v>
      </c>
      <c r="B257" s="1680" t="s">
        <v>1937</v>
      </c>
      <c r="C257" s="1662" t="s">
        <v>938</v>
      </c>
      <c r="D257" s="1563" t="s">
        <v>1754</v>
      </c>
      <c r="E257" s="1637"/>
      <c r="F257" s="1360"/>
      <c r="G257" s="1412">
        <v>1.5</v>
      </c>
      <c r="H257" s="1412"/>
      <c r="I257" s="1422"/>
      <c r="J257" s="1422"/>
      <c r="K257" s="1366"/>
      <c r="L257" s="1365"/>
      <c r="M257" s="1365"/>
      <c r="N257" s="1369"/>
      <c r="O257" s="1383" t="s">
        <v>1938</v>
      </c>
      <c r="P257" s="1562"/>
      <c r="Q257" s="1562"/>
      <c r="R257" s="1562"/>
      <c r="S257" s="1562"/>
      <c r="T257" s="1594">
        <f t="shared" si="56"/>
        <v>0</v>
      </c>
      <c r="U257" s="1562"/>
      <c r="V257" s="1562"/>
      <c r="W257" s="1562"/>
      <c r="X257" s="1562"/>
      <c r="Y257" s="1573">
        <v>1.5</v>
      </c>
      <c r="Z257" s="1562"/>
      <c r="AA257" s="1562"/>
      <c r="AB257" s="1562"/>
      <c r="AC257" s="1561"/>
      <c r="AD257" s="1685"/>
      <c r="AE257" s="1561"/>
      <c r="AF257" s="1565"/>
      <c r="AG257" s="1541">
        <f t="shared" si="57"/>
        <v>0</v>
      </c>
      <c r="AH257" s="1565"/>
      <c r="AI257" s="1565"/>
      <c r="AJ257" s="1565"/>
      <c r="AK257" s="1565"/>
      <c r="AL257" s="1650">
        <v>1</v>
      </c>
      <c r="AM257" s="1565"/>
      <c r="AN257" s="1365"/>
      <c r="AO257" s="1365"/>
      <c r="AP257" s="1651"/>
      <c r="AQ257" s="1651"/>
      <c r="AR257" s="1651"/>
      <c r="AS257" s="1651"/>
      <c r="AT257" s="1594">
        <f t="shared" si="58"/>
        <v>0</v>
      </c>
      <c r="AU257" s="1651"/>
      <c r="AV257" s="1651"/>
      <c r="AW257" s="1651"/>
      <c r="AX257" s="1689"/>
      <c r="AY257" s="1573">
        <v>1.5</v>
      </c>
      <c r="AZ257" s="1689"/>
      <c r="BA257" s="1651"/>
      <c r="BB257" s="1651"/>
      <c r="BC257" s="1686"/>
      <c r="BD257" s="1686" t="s">
        <v>1809</v>
      </c>
      <c r="BE257" s="1687" t="s">
        <v>1809</v>
      </c>
    </row>
    <row r="258" spans="1:58" customFormat="1" ht="33.75" customHeight="1" outlineLevel="1" x14ac:dyDescent="0.25">
      <c r="A258" s="1562"/>
      <c r="B258" s="1682" t="s">
        <v>413</v>
      </c>
      <c r="C258" s="1682"/>
      <c r="D258" s="1563" t="s">
        <v>1754</v>
      </c>
      <c r="E258" s="1682"/>
      <c r="F258" s="1682"/>
      <c r="G258" s="1682"/>
      <c r="H258" s="1682"/>
      <c r="I258" s="1683"/>
      <c r="J258" s="1683"/>
      <c r="K258" s="1682"/>
      <c r="L258" s="1682"/>
      <c r="M258" s="1682"/>
      <c r="N258" s="1682"/>
      <c r="O258" s="1682"/>
      <c r="P258" s="1562">
        <v>0</v>
      </c>
      <c r="Q258" s="1562">
        <v>0</v>
      </c>
      <c r="R258" s="1562">
        <v>0</v>
      </c>
      <c r="S258" s="1562">
        <v>0</v>
      </c>
      <c r="T258" s="1594">
        <f t="shared" si="56"/>
        <v>0</v>
      </c>
      <c r="U258" s="1562">
        <v>0</v>
      </c>
      <c r="V258" s="1562">
        <v>0</v>
      </c>
      <c r="W258" s="1562">
        <v>0</v>
      </c>
      <c r="X258" s="1562">
        <v>0</v>
      </c>
      <c r="Y258" s="1562">
        <v>0</v>
      </c>
      <c r="Z258" s="1562"/>
      <c r="AA258" s="1562"/>
      <c r="AB258" s="1562"/>
      <c r="AC258" s="1565"/>
      <c r="AD258" s="1565"/>
      <c r="AE258" s="1565"/>
      <c r="AF258" s="1565"/>
      <c r="AG258" s="1541">
        <f t="shared" si="57"/>
        <v>0</v>
      </c>
      <c r="AH258" s="1565"/>
      <c r="AI258" s="1565"/>
      <c r="AJ258" s="1565"/>
      <c r="AK258" s="1565"/>
      <c r="AL258" s="1565"/>
      <c r="AM258" s="1565"/>
      <c r="AN258" s="1565"/>
      <c r="AO258" s="1565"/>
      <c r="AP258" s="1651"/>
      <c r="AQ258" s="1651"/>
      <c r="AR258" s="1651"/>
      <c r="AS258" s="1651"/>
      <c r="AT258" s="1594">
        <f t="shared" si="58"/>
        <v>0</v>
      </c>
      <c r="AU258" s="1651"/>
      <c r="AV258" s="1651"/>
      <c r="AW258" s="1651"/>
      <c r="AX258" s="1651"/>
      <c r="AY258" s="1689"/>
      <c r="AZ258" s="1651">
        <v>0</v>
      </c>
      <c r="BA258" s="1651">
        <v>0</v>
      </c>
      <c r="BB258" s="1651">
        <v>0</v>
      </c>
      <c r="BC258" s="1686"/>
      <c r="BD258" s="1686" t="s">
        <v>1809</v>
      </c>
      <c r="BE258" s="797"/>
    </row>
    <row r="259" spans="1:58" s="1432" customFormat="1" ht="46.5" outlineLevel="1" x14ac:dyDescent="0.25">
      <c r="A259" s="1702">
        <v>24</v>
      </c>
      <c r="B259" s="1693" t="s">
        <v>1939</v>
      </c>
      <c r="C259" s="1655" t="s">
        <v>931</v>
      </c>
      <c r="D259" s="1563" t="s">
        <v>1754</v>
      </c>
      <c r="E259" s="1701"/>
      <c r="F259" s="1424"/>
      <c r="G259" s="1694"/>
      <c r="H259" s="1425"/>
      <c r="I259" s="1426"/>
      <c r="J259" s="1426"/>
      <c r="K259" s="1427"/>
      <c r="L259" s="1428"/>
      <c r="M259" s="1428"/>
      <c r="N259" s="1429"/>
      <c r="O259" s="1430"/>
      <c r="P259" s="1689"/>
      <c r="Q259" s="1689"/>
      <c r="R259" s="1689"/>
      <c r="S259" s="1689"/>
      <c r="T259" s="1594">
        <f t="shared" si="56"/>
        <v>0</v>
      </c>
      <c r="U259" s="1689"/>
      <c r="V259" s="1689"/>
      <c r="W259" s="1689"/>
      <c r="X259" s="1689"/>
      <c r="Y259" s="1689"/>
      <c r="Z259" s="1689"/>
      <c r="AA259" s="1689"/>
      <c r="AB259" s="1689"/>
      <c r="AC259" s="1689"/>
      <c r="AD259" s="1689"/>
      <c r="AE259" s="1689"/>
      <c r="AF259" s="1689"/>
      <c r="AG259" s="1541">
        <f t="shared" si="57"/>
        <v>0</v>
      </c>
      <c r="AH259" s="1689"/>
      <c r="AI259" s="1689"/>
      <c r="AJ259" s="1689"/>
      <c r="AK259" s="1689"/>
      <c r="AL259" s="1689"/>
      <c r="AM259" s="1689"/>
      <c r="AN259" s="1689"/>
      <c r="AO259" s="1689"/>
      <c r="AP259" s="1689"/>
      <c r="AQ259" s="1689"/>
      <c r="AR259" s="1689"/>
      <c r="AS259" s="1689"/>
      <c r="AT259" s="1594">
        <f t="shared" si="58"/>
        <v>0</v>
      </c>
      <c r="AU259" s="1689"/>
      <c r="AV259" s="1689"/>
      <c r="AW259" s="1689"/>
      <c r="AX259" s="1689"/>
      <c r="AY259" s="1689"/>
      <c r="AZ259" s="1689"/>
      <c r="BA259" s="1689"/>
      <c r="BB259" s="1689"/>
      <c r="BC259" s="1689"/>
      <c r="BD259" s="1690" t="s">
        <v>1809</v>
      </c>
      <c r="BE259" s="1695" t="s">
        <v>1809</v>
      </c>
      <c r="BF259" s="1431"/>
    </row>
    <row r="260" spans="1:58" customFormat="1" ht="41.25" customHeight="1" outlineLevel="1" x14ac:dyDescent="0.35">
      <c r="A260" s="1679">
        <v>24.1</v>
      </c>
      <c r="B260" s="1680" t="s">
        <v>1940</v>
      </c>
      <c r="C260" s="1662" t="s">
        <v>938</v>
      </c>
      <c r="D260" s="1563" t="s">
        <v>1754</v>
      </c>
      <c r="E260" s="1637"/>
      <c r="F260" s="1360"/>
      <c r="G260" s="1412">
        <v>1.5</v>
      </c>
      <c r="H260" s="1412"/>
      <c r="I260" s="1422"/>
      <c r="J260" s="1422"/>
      <c r="K260" s="1366"/>
      <c r="L260" s="1365"/>
      <c r="M260" s="1365"/>
      <c r="N260" s="1369"/>
      <c r="O260" s="1383" t="s">
        <v>1941</v>
      </c>
      <c r="P260" s="1562"/>
      <c r="Q260" s="1562"/>
      <c r="R260" s="1562"/>
      <c r="S260" s="1562"/>
      <c r="T260" s="1594">
        <f t="shared" si="56"/>
        <v>0</v>
      </c>
      <c r="U260" s="1562"/>
      <c r="V260" s="1562"/>
      <c r="W260" s="1562"/>
      <c r="X260" s="1562"/>
      <c r="Y260" s="1562"/>
      <c r="Z260" s="1562"/>
      <c r="AA260" s="1573">
        <v>1.5</v>
      </c>
      <c r="AB260" s="1562"/>
      <c r="AC260" s="1561"/>
      <c r="AD260" s="1685"/>
      <c r="AE260" s="1561"/>
      <c r="AF260" s="1565"/>
      <c r="AG260" s="1541">
        <f t="shared" si="57"/>
        <v>0</v>
      </c>
      <c r="AH260" s="1565"/>
      <c r="AI260" s="1565"/>
      <c r="AJ260" s="1565"/>
      <c r="AK260" s="1565"/>
      <c r="AL260" s="1565"/>
      <c r="AM260" s="1565"/>
      <c r="AN260" s="1650">
        <v>1</v>
      </c>
      <c r="AO260" s="1365"/>
      <c r="AP260" s="1651"/>
      <c r="AQ260" s="1651"/>
      <c r="AR260" s="1651"/>
      <c r="AS260" s="1651"/>
      <c r="AT260" s="1594">
        <f t="shared" si="58"/>
        <v>0</v>
      </c>
      <c r="AU260" s="1651"/>
      <c r="AV260" s="1651"/>
      <c r="AW260" s="1651"/>
      <c r="AX260" s="1651"/>
      <c r="AY260" s="1651"/>
      <c r="AZ260" s="1562"/>
      <c r="BA260" s="1573">
        <v>1.5</v>
      </c>
      <c r="BB260" s="1562"/>
      <c r="BC260" s="1686"/>
      <c r="BD260" s="1686" t="s">
        <v>1809</v>
      </c>
      <c r="BE260" s="1687" t="s">
        <v>1809</v>
      </c>
    </row>
    <row r="261" spans="1:58" customFormat="1" ht="41.25" customHeight="1" outlineLevel="1" x14ac:dyDescent="0.35">
      <c r="A261" s="1679">
        <v>24.2</v>
      </c>
      <c r="B261" s="1680" t="s">
        <v>1942</v>
      </c>
      <c r="C261" s="1662" t="s">
        <v>938</v>
      </c>
      <c r="D261" s="1563" t="s">
        <v>1754</v>
      </c>
      <c r="E261" s="1637"/>
      <c r="F261" s="1360"/>
      <c r="G261" s="1412">
        <v>5</v>
      </c>
      <c r="H261" s="1412"/>
      <c r="I261" s="1422"/>
      <c r="J261" s="1422"/>
      <c r="K261" s="1366"/>
      <c r="L261" s="1365"/>
      <c r="M261" s="1365"/>
      <c r="N261" s="1369"/>
      <c r="O261" s="1383" t="s">
        <v>1943</v>
      </c>
      <c r="P261" s="1562"/>
      <c r="Q261" s="1562"/>
      <c r="R261" s="1562"/>
      <c r="S261" s="1562"/>
      <c r="T261" s="1594">
        <f t="shared" si="56"/>
        <v>0</v>
      </c>
      <c r="U261" s="1562"/>
      <c r="V261" s="1562"/>
      <c r="W261" s="1562"/>
      <c r="X261" s="1562"/>
      <c r="Y261" s="1562"/>
      <c r="Z261" s="1573">
        <v>5</v>
      </c>
      <c r="AA261" s="1562"/>
      <c r="AB261" s="1562"/>
      <c r="AC261" s="1561"/>
      <c r="AD261" s="1685"/>
      <c r="AE261" s="1561"/>
      <c r="AF261" s="1565"/>
      <c r="AG261" s="1541">
        <f t="shared" si="57"/>
        <v>0</v>
      </c>
      <c r="AH261" s="1565"/>
      <c r="AI261" s="1565"/>
      <c r="AJ261" s="1565"/>
      <c r="AK261" s="1565"/>
      <c r="AL261" s="1565"/>
      <c r="AM261" s="1650">
        <v>1</v>
      </c>
      <c r="AN261" s="1365"/>
      <c r="AO261" s="1365"/>
      <c r="AP261" s="1651"/>
      <c r="AQ261" s="1651"/>
      <c r="AR261" s="1651"/>
      <c r="AS261" s="1651"/>
      <c r="AT261" s="1594">
        <f t="shared" si="58"/>
        <v>0</v>
      </c>
      <c r="AU261" s="1651"/>
      <c r="AV261" s="1651"/>
      <c r="AW261" s="1651"/>
      <c r="AX261" s="1651"/>
      <c r="AY261" s="1651"/>
      <c r="AZ261" s="1573">
        <v>5</v>
      </c>
      <c r="BA261" s="1562"/>
      <c r="BB261" s="1562"/>
      <c r="BC261" s="1686"/>
      <c r="BD261" s="1686" t="s">
        <v>1809</v>
      </c>
      <c r="BE261" s="1687" t="s">
        <v>1809</v>
      </c>
    </row>
    <row r="262" spans="1:58" customFormat="1" ht="41.25" customHeight="1" outlineLevel="1" x14ac:dyDescent="0.35">
      <c r="A262" s="1679">
        <v>24.3</v>
      </c>
      <c r="B262" s="1680" t="s">
        <v>1944</v>
      </c>
      <c r="C262" s="1662" t="s">
        <v>938</v>
      </c>
      <c r="D262" s="1563" t="s">
        <v>1754</v>
      </c>
      <c r="E262" s="1637"/>
      <c r="F262" s="1360"/>
      <c r="G262" s="1412">
        <v>2</v>
      </c>
      <c r="H262" s="1412"/>
      <c r="I262" s="1422"/>
      <c r="J262" s="1422"/>
      <c r="K262" s="1366"/>
      <c r="L262" s="1365"/>
      <c r="M262" s="1365"/>
      <c r="N262" s="1369"/>
      <c r="O262" s="1383" t="s">
        <v>1941</v>
      </c>
      <c r="P262" s="1562"/>
      <c r="Q262" s="1562"/>
      <c r="R262" s="1562"/>
      <c r="S262" s="1562"/>
      <c r="T262" s="1594">
        <f t="shared" si="56"/>
        <v>0</v>
      </c>
      <c r="U262" s="1562"/>
      <c r="V262" s="1562"/>
      <c r="W262" s="1562"/>
      <c r="X262" s="1562"/>
      <c r="Y262" s="1562"/>
      <c r="Z262" s="1562"/>
      <c r="AA262" s="1573">
        <v>2</v>
      </c>
      <c r="AB262" s="1562"/>
      <c r="AC262" s="1561"/>
      <c r="AD262" s="1685"/>
      <c r="AE262" s="1561"/>
      <c r="AF262" s="1565"/>
      <c r="AG262" s="1541">
        <f t="shared" si="57"/>
        <v>0</v>
      </c>
      <c r="AH262" s="1565"/>
      <c r="AI262" s="1565"/>
      <c r="AJ262" s="1565"/>
      <c r="AK262" s="1565"/>
      <c r="AL262" s="1565"/>
      <c r="AM262" s="1565"/>
      <c r="AN262" s="1650">
        <v>1</v>
      </c>
      <c r="AO262" s="1365"/>
      <c r="AP262" s="1651"/>
      <c r="AQ262" s="1651"/>
      <c r="AR262" s="1651"/>
      <c r="AS262" s="1651"/>
      <c r="AT262" s="1594">
        <f t="shared" si="58"/>
        <v>0</v>
      </c>
      <c r="AU262" s="1651"/>
      <c r="AV262" s="1651"/>
      <c r="AW262" s="1651"/>
      <c r="AX262" s="1651"/>
      <c r="AY262" s="1651"/>
      <c r="AZ262" s="1562"/>
      <c r="BA262" s="1573">
        <v>2</v>
      </c>
      <c r="BB262" s="1562"/>
      <c r="BC262" s="1686"/>
      <c r="BD262" s="1686" t="s">
        <v>1809</v>
      </c>
      <c r="BE262" s="1687" t="s">
        <v>1809</v>
      </c>
    </row>
    <row r="263" spans="1:58" customFormat="1" ht="41.25" customHeight="1" outlineLevel="1" x14ac:dyDescent="0.35">
      <c r="A263" s="1679">
        <v>24.4</v>
      </c>
      <c r="B263" s="1680" t="s">
        <v>1945</v>
      </c>
      <c r="C263" s="1662" t="s">
        <v>938</v>
      </c>
      <c r="D263" s="1563" t="s">
        <v>1754</v>
      </c>
      <c r="E263" s="1637"/>
      <c r="F263" s="1360"/>
      <c r="G263" s="1412">
        <v>3</v>
      </c>
      <c r="H263" s="1412"/>
      <c r="I263" s="1422"/>
      <c r="J263" s="1422"/>
      <c r="K263" s="1366"/>
      <c r="L263" s="1365"/>
      <c r="M263" s="1365"/>
      <c r="N263" s="1369"/>
      <c r="O263" s="1383" t="s">
        <v>1941</v>
      </c>
      <c r="P263" s="1562"/>
      <c r="Q263" s="1562"/>
      <c r="R263" s="1562"/>
      <c r="S263" s="1562"/>
      <c r="T263" s="1594">
        <f t="shared" si="56"/>
        <v>0</v>
      </c>
      <c r="U263" s="1562"/>
      <c r="V263" s="1562"/>
      <c r="W263" s="1562"/>
      <c r="X263" s="1562"/>
      <c r="Y263" s="1562"/>
      <c r="Z263" s="1573">
        <v>3</v>
      </c>
      <c r="AA263" s="1562"/>
      <c r="AB263" s="1562"/>
      <c r="AC263" s="1561"/>
      <c r="AD263" s="1685"/>
      <c r="AE263" s="1561"/>
      <c r="AF263" s="1565"/>
      <c r="AG263" s="1541">
        <f t="shared" si="57"/>
        <v>0</v>
      </c>
      <c r="AH263" s="1565"/>
      <c r="AI263" s="1565"/>
      <c r="AJ263" s="1565"/>
      <c r="AK263" s="1565"/>
      <c r="AL263" s="1565"/>
      <c r="AM263" s="1650">
        <v>1</v>
      </c>
      <c r="AN263" s="1365"/>
      <c r="AO263" s="1365"/>
      <c r="AP263" s="1651"/>
      <c r="AQ263" s="1651"/>
      <c r="AR263" s="1651"/>
      <c r="AS263" s="1651"/>
      <c r="AT263" s="1594">
        <f t="shared" si="58"/>
        <v>0</v>
      </c>
      <c r="AU263" s="1651"/>
      <c r="AV263" s="1651"/>
      <c r="AW263" s="1651"/>
      <c r="AX263" s="1651"/>
      <c r="AY263" s="1651"/>
      <c r="AZ263" s="1573">
        <v>3</v>
      </c>
      <c r="BA263" s="1562"/>
      <c r="BB263" s="1562"/>
      <c r="BC263" s="1686"/>
      <c r="BD263" s="1686" t="s">
        <v>1809</v>
      </c>
      <c r="BE263" s="1687" t="s">
        <v>1809</v>
      </c>
    </row>
    <row r="264" spans="1:58" customFormat="1" ht="41.25" customHeight="1" outlineLevel="1" x14ac:dyDescent="0.35">
      <c r="A264" s="1679">
        <v>24.5</v>
      </c>
      <c r="B264" s="1680" t="s">
        <v>1946</v>
      </c>
      <c r="C264" s="1662" t="s">
        <v>938</v>
      </c>
      <c r="D264" s="1563" t="s">
        <v>1754</v>
      </c>
      <c r="E264" s="1637"/>
      <c r="F264" s="1360"/>
      <c r="G264" s="1412">
        <v>2</v>
      </c>
      <c r="H264" s="1412"/>
      <c r="I264" s="1422"/>
      <c r="J264" s="1422"/>
      <c r="K264" s="1366"/>
      <c r="L264" s="1365"/>
      <c r="M264" s="1365"/>
      <c r="N264" s="1369"/>
      <c r="O264" s="1383" t="s">
        <v>1947</v>
      </c>
      <c r="P264" s="1562"/>
      <c r="Q264" s="1562"/>
      <c r="R264" s="1562"/>
      <c r="S264" s="1562"/>
      <c r="T264" s="1594">
        <f t="shared" si="56"/>
        <v>0</v>
      </c>
      <c r="U264" s="1562"/>
      <c r="V264" s="1562"/>
      <c r="W264" s="1562"/>
      <c r="X264" s="1562"/>
      <c r="Y264" s="1562"/>
      <c r="Z264" s="1562"/>
      <c r="AA264" s="1573">
        <v>2</v>
      </c>
      <c r="AB264" s="1562"/>
      <c r="AC264" s="1561"/>
      <c r="AD264" s="1685"/>
      <c r="AE264" s="1561"/>
      <c r="AF264" s="1565"/>
      <c r="AG264" s="1541">
        <f t="shared" si="57"/>
        <v>0</v>
      </c>
      <c r="AH264" s="1565"/>
      <c r="AI264" s="1565"/>
      <c r="AJ264" s="1565"/>
      <c r="AK264" s="1565"/>
      <c r="AL264" s="1565"/>
      <c r="AM264" s="1565"/>
      <c r="AN264" s="1650">
        <v>1</v>
      </c>
      <c r="AO264" s="1365"/>
      <c r="AP264" s="1651"/>
      <c r="AQ264" s="1651"/>
      <c r="AR264" s="1651"/>
      <c r="AS264" s="1651"/>
      <c r="AT264" s="1594">
        <f t="shared" si="58"/>
        <v>0</v>
      </c>
      <c r="AU264" s="1651"/>
      <c r="AV264" s="1651"/>
      <c r="AW264" s="1651"/>
      <c r="AX264" s="1651"/>
      <c r="AY264" s="1651"/>
      <c r="AZ264" s="1562"/>
      <c r="BA264" s="1573">
        <v>2</v>
      </c>
      <c r="BB264" s="1562"/>
      <c r="BC264" s="1686"/>
      <c r="BD264" s="1686" t="s">
        <v>1809</v>
      </c>
      <c r="BE264" s="1687" t="s">
        <v>1809</v>
      </c>
    </row>
    <row r="265" spans="1:58" customFormat="1" ht="41.25" customHeight="1" outlineLevel="1" x14ac:dyDescent="0.35">
      <c r="A265" s="1679">
        <v>24.6</v>
      </c>
      <c r="B265" s="1680" t="s">
        <v>1948</v>
      </c>
      <c r="C265" s="1662" t="s">
        <v>938</v>
      </c>
      <c r="D265" s="1563" t="s">
        <v>1754</v>
      </c>
      <c r="E265" s="1637"/>
      <c r="F265" s="1360"/>
      <c r="G265" s="1412">
        <v>2</v>
      </c>
      <c r="H265" s="1412"/>
      <c r="I265" s="1422"/>
      <c r="J265" s="1422"/>
      <c r="K265" s="1366"/>
      <c r="L265" s="1365"/>
      <c r="M265" s="1365"/>
      <c r="N265" s="1369"/>
      <c r="O265" s="1383" t="s">
        <v>1949</v>
      </c>
      <c r="P265" s="1562"/>
      <c r="Q265" s="1562"/>
      <c r="R265" s="1562"/>
      <c r="S265" s="1562"/>
      <c r="T265" s="1594">
        <f t="shared" si="56"/>
        <v>0</v>
      </c>
      <c r="U265" s="1562"/>
      <c r="V265" s="1562"/>
      <c r="W265" s="1562"/>
      <c r="X265" s="1562"/>
      <c r="Y265" s="1562"/>
      <c r="Z265" s="1562"/>
      <c r="AA265" s="1562"/>
      <c r="AB265" s="1573">
        <v>2</v>
      </c>
      <c r="AC265" s="1561"/>
      <c r="AD265" s="1685"/>
      <c r="AE265" s="1561"/>
      <c r="AF265" s="1565"/>
      <c r="AG265" s="1541">
        <f t="shared" si="57"/>
        <v>0</v>
      </c>
      <c r="AH265" s="1565"/>
      <c r="AI265" s="1565"/>
      <c r="AJ265" s="1565"/>
      <c r="AK265" s="1565"/>
      <c r="AL265" s="1565"/>
      <c r="AM265" s="1565"/>
      <c r="AN265" s="1365"/>
      <c r="AO265" s="1650">
        <v>1</v>
      </c>
      <c r="AP265" s="1651"/>
      <c r="AQ265" s="1651"/>
      <c r="AR265" s="1651"/>
      <c r="AS265" s="1651"/>
      <c r="AT265" s="1594">
        <f t="shared" si="58"/>
        <v>0</v>
      </c>
      <c r="AU265" s="1651"/>
      <c r="AV265" s="1651"/>
      <c r="AW265" s="1651"/>
      <c r="AX265" s="1651"/>
      <c r="AY265" s="1651"/>
      <c r="AZ265" s="1562"/>
      <c r="BA265" s="1562"/>
      <c r="BB265" s="1573">
        <v>2</v>
      </c>
      <c r="BC265" s="1686"/>
      <c r="BD265" s="1686" t="s">
        <v>1809</v>
      </c>
      <c r="BE265" s="1687" t="s">
        <v>1809</v>
      </c>
    </row>
    <row r="266" spans="1:58" customFormat="1" ht="41.25" customHeight="1" outlineLevel="1" x14ac:dyDescent="0.35">
      <c r="A266" s="1679">
        <v>24.7</v>
      </c>
      <c r="B266" s="1680" t="s">
        <v>1950</v>
      </c>
      <c r="C266" s="1662" t="s">
        <v>938</v>
      </c>
      <c r="D266" s="1563" t="s">
        <v>1754</v>
      </c>
      <c r="E266" s="1637"/>
      <c r="F266" s="1360"/>
      <c r="G266" s="1412">
        <v>2</v>
      </c>
      <c r="H266" s="1412"/>
      <c r="I266" s="1422"/>
      <c r="J266" s="1422"/>
      <c r="K266" s="1366"/>
      <c r="L266" s="1365"/>
      <c r="M266" s="1365"/>
      <c r="N266" s="1369"/>
      <c r="O266" s="1383" t="s">
        <v>1951</v>
      </c>
      <c r="P266" s="1562"/>
      <c r="Q266" s="1562"/>
      <c r="R266" s="1562"/>
      <c r="S266" s="1562"/>
      <c r="T266" s="1594">
        <f t="shared" si="56"/>
        <v>0</v>
      </c>
      <c r="U266" s="1562"/>
      <c r="V266" s="1562"/>
      <c r="W266" s="1562"/>
      <c r="X266" s="1562"/>
      <c r="Y266" s="1562"/>
      <c r="Z266" s="1562"/>
      <c r="AA266" s="1562"/>
      <c r="AB266" s="1573">
        <v>2</v>
      </c>
      <c r="AC266" s="1561"/>
      <c r="AD266" s="1685"/>
      <c r="AE266" s="1561"/>
      <c r="AF266" s="1565"/>
      <c r="AG266" s="1541">
        <f t="shared" si="57"/>
        <v>0</v>
      </c>
      <c r="AH266" s="1565"/>
      <c r="AI266" s="1565"/>
      <c r="AJ266" s="1565"/>
      <c r="AK266" s="1565"/>
      <c r="AL266" s="1565"/>
      <c r="AM266" s="1565"/>
      <c r="AN266" s="1365"/>
      <c r="AO266" s="1650">
        <v>1</v>
      </c>
      <c r="AP266" s="1651"/>
      <c r="AQ266" s="1651"/>
      <c r="AR266" s="1651"/>
      <c r="AS266" s="1651"/>
      <c r="AT266" s="1594">
        <f t="shared" si="58"/>
        <v>0</v>
      </c>
      <c r="AU266" s="1651"/>
      <c r="AV266" s="1651"/>
      <c r="AW266" s="1651"/>
      <c r="AX266" s="1651"/>
      <c r="AY266" s="1651"/>
      <c r="AZ266" s="1562"/>
      <c r="BA266" s="1562"/>
      <c r="BB266" s="1573">
        <v>2</v>
      </c>
      <c r="BC266" s="1686"/>
      <c r="BD266" s="1686" t="s">
        <v>1809</v>
      </c>
      <c r="BE266" s="1687" t="s">
        <v>1809</v>
      </c>
    </row>
    <row r="267" spans="1:58" customFormat="1" ht="33.75" customHeight="1" outlineLevel="1" x14ac:dyDescent="0.35">
      <c r="A267" s="1562"/>
      <c r="B267" s="1682" t="s">
        <v>413</v>
      </c>
      <c r="C267" s="1682"/>
      <c r="D267" s="1563" t="s">
        <v>1754</v>
      </c>
      <c r="E267" s="1682"/>
      <c r="F267" s="1682"/>
      <c r="G267" s="1682"/>
      <c r="H267" s="1682"/>
      <c r="I267" s="1683"/>
      <c r="J267" s="1683"/>
      <c r="K267" s="1682"/>
      <c r="L267" s="1682"/>
      <c r="M267" s="1682"/>
      <c r="N267" s="1682"/>
      <c r="O267" s="1682"/>
      <c r="P267" s="1562">
        <v>0</v>
      </c>
      <c r="Q267" s="1562">
        <v>0</v>
      </c>
      <c r="R267" s="1562">
        <v>0</v>
      </c>
      <c r="S267" s="1562">
        <v>0</v>
      </c>
      <c r="T267" s="1594">
        <f t="shared" ref="T267:T330" si="59">SUM(P267:S267)</f>
        <v>0</v>
      </c>
      <c r="U267" s="1562">
        <v>0</v>
      </c>
      <c r="V267" s="1562">
        <v>0</v>
      </c>
      <c r="W267" s="1562">
        <v>0</v>
      </c>
      <c r="X267" s="1562">
        <v>0</v>
      </c>
      <c r="Y267" s="1562">
        <v>0</v>
      </c>
      <c r="Z267" s="1562"/>
      <c r="AA267" s="1562"/>
      <c r="AB267" s="1562"/>
      <c r="AC267" s="1565"/>
      <c r="AD267" s="1565"/>
      <c r="AE267" s="1565"/>
      <c r="AF267" s="1565"/>
      <c r="AG267" s="1541">
        <f t="shared" ref="AG267:AG330" si="60">SUM(AC267:AF267)</f>
        <v>0</v>
      </c>
      <c r="AH267" s="1565"/>
      <c r="AI267" s="1565"/>
      <c r="AJ267" s="1565"/>
      <c r="AK267" s="1565"/>
      <c r="AL267" s="1565"/>
      <c r="AM267" s="1565"/>
      <c r="AN267" s="1565"/>
      <c r="AO267" s="1565"/>
      <c r="AP267" s="1651"/>
      <c r="AQ267" s="1651"/>
      <c r="AR267" s="1651"/>
      <c r="AS267" s="1651"/>
      <c r="AT267" s="1594">
        <f t="shared" ref="AT267:AT330" si="61">SUM(AP267:AS267)</f>
        <v>0</v>
      </c>
      <c r="AU267" s="1651"/>
      <c r="AV267" s="1651"/>
      <c r="AW267" s="1651"/>
      <c r="AX267" s="1651"/>
      <c r="AY267" s="1689"/>
      <c r="AZ267" s="1651">
        <v>0</v>
      </c>
      <c r="BA267" s="1651">
        <v>0</v>
      </c>
      <c r="BB267" s="1651">
        <v>0</v>
      </c>
      <c r="BC267" s="1686"/>
      <c r="BD267" s="1686" t="s">
        <v>1809</v>
      </c>
      <c r="BE267" s="1687" t="s">
        <v>1809</v>
      </c>
    </row>
    <row r="268" spans="1:58" s="1432" customFormat="1" ht="108.5" outlineLevel="1" x14ac:dyDescent="0.25">
      <c r="A268" s="1702">
        <v>25</v>
      </c>
      <c r="B268" s="1693" t="s">
        <v>1952</v>
      </c>
      <c r="C268" s="1655" t="s">
        <v>931</v>
      </c>
      <c r="D268" s="1563" t="s">
        <v>1754</v>
      </c>
      <c r="E268" s="1701"/>
      <c r="F268" s="1424"/>
      <c r="G268" s="1694"/>
      <c r="H268" s="1425"/>
      <c r="I268" s="1426"/>
      <c r="J268" s="1426"/>
      <c r="K268" s="1427"/>
      <c r="L268" s="1428"/>
      <c r="M268" s="1428"/>
      <c r="N268" s="1429"/>
      <c r="O268" s="1430"/>
      <c r="P268" s="1689"/>
      <c r="Q268" s="1689"/>
      <c r="R268" s="1689"/>
      <c r="S268" s="1689"/>
      <c r="T268" s="1594">
        <f t="shared" si="59"/>
        <v>0</v>
      </c>
      <c r="U268" s="1689"/>
      <c r="V268" s="1689"/>
      <c r="W268" s="1689"/>
      <c r="X268" s="1689"/>
      <c r="Y268" s="1689"/>
      <c r="Z268" s="1689"/>
      <c r="AA268" s="1689"/>
      <c r="AB268" s="1689"/>
      <c r="AC268" s="1689"/>
      <c r="AD268" s="1689"/>
      <c r="AE268" s="1689"/>
      <c r="AF268" s="1689"/>
      <c r="AG268" s="1541">
        <f t="shared" si="60"/>
        <v>0</v>
      </c>
      <c r="AH268" s="1689"/>
      <c r="AI268" s="1689"/>
      <c r="AJ268" s="1689"/>
      <c r="AK268" s="1689"/>
      <c r="AL268" s="1689"/>
      <c r="AM268" s="1689"/>
      <c r="AN268" s="1689"/>
      <c r="AO268" s="1689"/>
      <c r="AP268" s="1689"/>
      <c r="AQ268" s="1689"/>
      <c r="AR268" s="1689"/>
      <c r="AS268" s="1689"/>
      <c r="AT268" s="1594">
        <f t="shared" si="61"/>
        <v>0</v>
      </c>
      <c r="AU268" s="1689"/>
      <c r="AV268" s="1689"/>
      <c r="AW268" s="1689"/>
      <c r="AX268" s="1689"/>
      <c r="AY268" s="1689"/>
      <c r="AZ268" s="1689"/>
      <c r="BA268" s="1689"/>
      <c r="BB268" s="1689"/>
      <c r="BC268" s="1689"/>
      <c r="BD268" s="1690" t="s">
        <v>1809</v>
      </c>
      <c r="BE268" s="1695" t="s">
        <v>1809</v>
      </c>
      <c r="BF268" s="1431"/>
    </row>
    <row r="269" spans="1:58" customFormat="1" ht="41.25" customHeight="1" outlineLevel="1" x14ac:dyDescent="0.35">
      <c r="A269" s="1679">
        <v>25.1</v>
      </c>
      <c r="B269" s="1680" t="s">
        <v>1953</v>
      </c>
      <c r="C269" s="1662" t="s">
        <v>938</v>
      </c>
      <c r="D269" s="1563" t="s">
        <v>1754</v>
      </c>
      <c r="E269" s="1637"/>
      <c r="F269" s="1360"/>
      <c r="G269" s="1412">
        <v>17</v>
      </c>
      <c r="H269" s="1412"/>
      <c r="I269" s="1422"/>
      <c r="J269" s="1422"/>
      <c r="K269" s="1366"/>
      <c r="L269" s="1365"/>
      <c r="M269" s="1365"/>
      <c r="N269" s="1369"/>
      <c r="O269" s="1383" t="s">
        <v>1954</v>
      </c>
      <c r="P269" s="1562"/>
      <c r="Q269" s="1562"/>
      <c r="R269" s="1562"/>
      <c r="S269" s="1562"/>
      <c r="T269" s="1594">
        <f t="shared" si="59"/>
        <v>0</v>
      </c>
      <c r="U269" s="1562"/>
      <c r="V269" s="1562"/>
      <c r="W269" s="1562"/>
      <c r="X269" s="1412">
        <v>17</v>
      </c>
      <c r="Y269" s="1562"/>
      <c r="Z269" s="1562"/>
      <c r="AA269" s="1562"/>
      <c r="AB269" s="1562"/>
      <c r="AC269" s="1561"/>
      <c r="AD269" s="1685"/>
      <c r="AE269" s="1561"/>
      <c r="AF269" s="1565"/>
      <c r="AG269" s="1541">
        <f t="shared" si="60"/>
        <v>0</v>
      </c>
      <c r="AH269" s="1565"/>
      <c r="AI269" s="1565"/>
      <c r="AJ269" s="1565"/>
      <c r="AK269" s="1650">
        <v>1</v>
      </c>
      <c r="AL269" s="1565"/>
      <c r="AM269" s="1565"/>
      <c r="AN269" s="1365"/>
      <c r="AO269" s="1365"/>
      <c r="AP269" s="1651"/>
      <c r="AQ269" s="1651"/>
      <c r="AR269" s="1651"/>
      <c r="AS269" s="1651"/>
      <c r="AT269" s="1594">
        <f t="shared" si="61"/>
        <v>0</v>
      </c>
      <c r="AU269" s="1651"/>
      <c r="AV269" s="1651"/>
      <c r="AW269" s="1651"/>
      <c r="AX269" s="1412">
        <v>17</v>
      </c>
      <c r="AY269" s="1651"/>
      <c r="AZ269" s="1562"/>
      <c r="BA269" s="1562"/>
      <c r="BB269" s="1689"/>
      <c r="BC269" s="1686"/>
      <c r="BD269" s="1686" t="s">
        <v>1809</v>
      </c>
      <c r="BE269" s="1687" t="s">
        <v>1809</v>
      </c>
    </row>
    <row r="270" spans="1:58" customFormat="1" ht="41.25" customHeight="1" outlineLevel="1" x14ac:dyDescent="0.35">
      <c r="A270" s="1679">
        <v>25.2</v>
      </c>
      <c r="B270" s="1680" t="s">
        <v>1955</v>
      </c>
      <c r="C270" s="1662" t="s">
        <v>938</v>
      </c>
      <c r="D270" s="1563" t="s">
        <v>1754</v>
      </c>
      <c r="E270" s="1637"/>
      <c r="F270" s="1360"/>
      <c r="G270" s="1412">
        <v>10</v>
      </c>
      <c r="H270" s="1412"/>
      <c r="I270" s="1422"/>
      <c r="J270" s="1422"/>
      <c r="K270" s="1366"/>
      <c r="L270" s="1365"/>
      <c r="M270" s="1365"/>
      <c r="N270" s="1369"/>
      <c r="O270" s="1383" t="s">
        <v>1956</v>
      </c>
      <c r="P270" s="1562"/>
      <c r="Q270" s="1562"/>
      <c r="R270" s="1562"/>
      <c r="S270" s="1562"/>
      <c r="T270" s="1594">
        <f t="shared" si="59"/>
        <v>0</v>
      </c>
      <c r="U270" s="1562"/>
      <c r="V270" s="1562"/>
      <c r="W270" s="1562"/>
      <c r="X270" s="1412">
        <v>10</v>
      </c>
      <c r="Y270" s="1562"/>
      <c r="Z270" s="1562"/>
      <c r="AA270" s="1562"/>
      <c r="AB270" s="1561"/>
      <c r="AC270" s="1561"/>
      <c r="AD270" s="1685"/>
      <c r="AE270" s="1561"/>
      <c r="AF270" s="1565"/>
      <c r="AG270" s="1541">
        <f t="shared" si="60"/>
        <v>0</v>
      </c>
      <c r="AH270" s="1565"/>
      <c r="AI270" s="1565"/>
      <c r="AJ270" s="1565"/>
      <c r="AK270" s="1650">
        <v>1</v>
      </c>
      <c r="AL270" s="1565"/>
      <c r="AM270" s="1565"/>
      <c r="AN270" s="1365"/>
      <c r="AO270" s="1365"/>
      <c r="AP270" s="1651"/>
      <c r="AQ270" s="1651"/>
      <c r="AR270" s="1651"/>
      <c r="AS270" s="1651"/>
      <c r="AT270" s="1594">
        <f t="shared" si="61"/>
        <v>0</v>
      </c>
      <c r="AU270" s="1651"/>
      <c r="AV270" s="1651"/>
      <c r="AW270" s="1651"/>
      <c r="AX270" s="1412">
        <v>10</v>
      </c>
      <c r="AY270" s="1651"/>
      <c r="AZ270" s="1562"/>
      <c r="BA270" s="1562"/>
      <c r="BB270" s="1689"/>
      <c r="BC270" s="1686"/>
      <c r="BD270" s="1686" t="s">
        <v>1809</v>
      </c>
      <c r="BE270" s="1687" t="s">
        <v>1809</v>
      </c>
    </row>
    <row r="271" spans="1:58" customFormat="1" ht="41.25" customHeight="1" outlineLevel="1" x14ac:dyDescent="0.35">
      <c r="A271" s="1679">
        <v>25.3</v>
      </c>
      <c r="B271" s="1680" t="s">
        <v>1957</v>
      </c>
      <c r="C271" s="1662" t="s">
        <v>938</v>
      </c>
      <c r="D271" s="1563" t="s">
        <v>1754</v>
      </c>
      <c r="E271" s="1637"/>
      <c r="F271" s="1360"/>
      <c r="G271" s="1412">
        <v>7</v>
      </c>
      <c r="H271" s="1412"/>
      <c r="I271" s="1422"/>
      <c r="J271" s="1422"/>
      <c r="K271" s="1366"/>
      <c r="L271" s="1365"/>
      <c r="M271" s="1365"/>
      <c r="N271" s="1369"/>
      <c r="O271" s="1365"/>
      <c r="P271" s="1562"/>
      <c r="Q271" s="1562"/>
      <c r="R271" s="1562"/>
      <c r="S271" s="1562"/>
      <c r="T271" s="1594">
        <f t="shared" si="59"/>
        <v>0</v>
      </c>
      <c r="U271" s="1562"/>
      <c r="V271" s="1562"/>
      <c r="W271" s="1562"/>
      <c r="X271" s="1412">
        <v>7</v>
      </c>
      <c r="Y271" s="1562"/>
      <c r="Z271" s="1562"/>
      <c r="AA271" s="1562"/>
      <c r="AB271" s="1561"/>
      <c r="AC271" s="1561"/>
      <c r="AD271" s="1685"/>
      <c r="AE271" s="1561"/>
      <c r="AF271" s="1565"/>
      <c r="AG271" s="1541">
        <f t="shared" si="60"/>
        <v>0</v>
      </c>
      <c r="AH271" s="1565"/>
      <c r="AI271" s="1565"/>
      <c r="AJ271" s="1565"/>
      <c r="AK271" s="1650">
        <v>1</v>
      </c>
      <c r="AL271" s="1565"/>
      <c r="AM271" s="1565"/>
      <c r="AN271" s="1365"/>
      <c r="AO271" s="1365"/>
      <c r="AP271" s="1651"/>
      <c r="AQ271" s="1651"/>
      <c r="AR271" s="1651"/>
      <c r="AS271" s="1651"/>
      <c r="AT271" s="1594">
        <f t="shared" si="61"/>
        <v>0</v>
      </c>
      <c r="AU271" s="1651"/>
      <c r="AV271" s="1651"/>
      <c r="AW271" s="1651"/>
      <c r="AX271" s="1412">
        <v>7</v>
      </c>
      <c r="AY271" s="1651"/>
      <c r="AZ271" s="1562"/>
      <c r="BA271" s="1562"/>
      <c r="BB271" s="1689"/>
      <c r="BC271" s="1686"/>
      <c r="BD271" s="1686" t="s">
        <v>1809</v>
      </c>
      <c r="BE271" s="1687" t="s">
        <v>1809</v>
      </c>
    </row>
    <row r="272" spans="1:58" customFormat="1" ht="33.75" customHeight="1" outlineLevel="1" x14ac:dyDescent="0.25">
      <c r="A272" s="1562"/>
      <c r="B272" s="1682" t="s">
        <v>413</v>
      </c>
      <c r="C272" s="1682"/>
      <c r="D272" s="1563" t="s">
        <v>1754</v>
      </c>
      <c r="E272" s="1682"/>
      <c r="F272" s="1682"/>
      <c r="G272" s="1682"/>
      <c r="H272" s="1682"/>
      <c r="I272" s="1683"/>
      <c r="J272" s="1683"/>
      <c r="K272" s="1682"/>
      <c r="L272" s="1682"/>
      <c r="M272" s="1682"/>
      <c r="N272" s="1682"/>
      <c r="O272" s="1682"/>
      <c r="P272" s="1562">
        <v>0</v>
      </c>
      <c r="Q272" s="1562">
        <v>0</v>
      </c>
      <c r="R272" s="1562">
        <v>0</v>
      </c>
      <c r="S272" s="1562">
        <v>0</v>
      </c>
      <c r="T272" s="1594">
        <f t="shared" si="59"/>
        <v>0</v>
      </c>
      <c r="U272" s="1562">
        <v>0</v>
      </c>
      <c r="V272" s="1562">
        <v>0</v>
      </c>
      <c r="W272" s="1562">
        <v>0</v>
      </c>
      <c r="X272" s="1562">
        <v>0</v>
      </c>
      <c r="Y272" s="1562">
        <v>0</v>
      </c>
      <c r="Z272" s="1562"/>
      <c r="AA272" s="1562"/>
      <c r="AB272" s="1562"/>
      <c r="AC272" s="1565"/>
      <c r="AD272" s="1565"/>
      <c r="AE272" s="1565"/>
      <c r="AF272" s="1565"/>
      <c r="AG272" s="1541">
        <f t="shared" si="60"/>
        <v>0</v>
      </c>
      <c r="AH272" s="1565"/>
      <c r="AI272" s="1565"/>
      <c r="AJ272" s="1565"/>
      <c r="AK272" s="1565"/>
      <c r="AL272" s="1565"/>
      <c r="AM272" s="1565"/>
      <c r="AN272" s="1565"/>
      <c r="AO272" s="1565"/>
      <c r="AP272" s="1651"/>
      <c r="AQ272" s="1651"/>
      <c r="AR272" s="1651"/>
      <c r="AS272" s="1651"/>
      <c r="AT272" s="1594">
        <f t="shared" si="61"/>
        <v>0</v>
      </c>
      <c r="AU272" s="1651"/>
      <c r="AV272" s="1651"/>
      <c r="AW272" s="1651"/>
      <c r="AX272" s="1651"/>
      <c r="AY272" s="1689"/>
      <c r="AZ272" s="1651">
        <v>0</v>
      </c>
      <c r="BA272" s="1651">
        <v>0</v>
      </c>
      <c r="BB272" s="1651">
        <v>0</v>
      </c>
      <c r="BC272" s="1689"/>
      <c r="BD272" s="1689" t="s">
        <v>1809</v>
      </c>
      <c r="BE272" s="1695" t="s">
        <v>1809</v>
      </c>
    </row>
    <row r="273" spans="1:58" s="1432" customFormat="1" ht="46.5" outlineLevel="1" x14ac:dyDescent="0.35">
      <c r="A273" s="1702">
        <v>26</v>
      </c>
      <c r="B273" s="1693" t="s">
        <v>1958</v>
      </c>
      <c r="C273" s="1655" t="s">
        <v>931</v>
      </c>
      <c r="D273" s="1563" t="s">
        <v>1754</v>
      </c>
      <c r="E273" s="1701"/>
      <c r="F273" s="1424"/>
      <c r="G273" s="1694"/>
      <c r="H273" s="1425"/>
      <c r="I273" s="1426"/>
      <c r="J273" s="1426"/>
      <c r="K273" s="1427"/>
      <c r="L273" s="1428"/>
      <c r="M273" s="1428"/>
      <c r="N273" s="1429"/>
      <c r="O273" s="1430"/>
      <c r="P273" s="1689"/>
      <c r="Q273" s="1689"/>
      <c r="R273" s="1689"/>
      <c r="S273" s="1689"/>
      <c r="T273" s="1594">
        <f t="shared" si="59"/>
        <v>0</v>
      </c>
      <c r="U273" s="1689"/>
      <c r="V273" s="1689"/>
      <c r="W273" s="1689"/>
      <c r="X273" s="1689"/>
      <c r="Y273" s="1689"/>
      <c r="Z273" s="1689"/>
      <c r="AA273" s="1689"/>
      <c r="AB273" s="1689"/>
      <c r="AC273" s="1689"/>
      <c r="AD273" s="1689"/>
      <c r="AE273" s="1689"/>
      <c r="AF273" s="1689"/>
      <c r="AG273" s="1541">
        <f t="shared" si="60"/>
        <v>0</v>
      </c>
      <c r="AH273" s="1689"/>
      <c r="AI273" s="1689"/>
      <c r="AJ273" s="1689"/>
      <c r="AK273" s="1689"/>
      <c r="AL273" s="1689"/>
      <c r="AM273" s="1689"/>
      <c r="AN273" s="1689"/>
      <c r="AO273" s="1689"/>
      <c r="AP273" s="1689"/>
      <c r="AQ273" s="1689"/>
      <c r="AR273" s="1689"/>
      <c r="AS273" s="1689"/>
      <c r="AT273" s="1594">
        <f t="shared" si="61"/>
        <v>0</v>
      </c>
      <c r="AU273" s="1689"/>
      <c r="AV273" s="1689"/>
      <c r="AW273" s="1689"/>
      <c r="AX273" s="1689"/>
      <c r="AY273" s="1689"/>
      <c r="AZ273" s="1689"/>
      <c r="BA273" s="1689"/>
      <c r="BB273" s="1689"/>
      <c r="BC273" s="1686"/>
      <c r="BD273" s="1686" t="s">
        <v>1809</v>
      </c>
      <c r="BE273" s="1687" t="s">
        <v>1809</v>
      </c>
      <c r="BF273" s="1431"/>
    </row>
    <row r="274" spans="1:58" customFormat="1" ht="41.25" customHeight="1" outlineLevel="1" x14ac:dyDescent="0.35">
      <c r="A274" s="1679">
        <v>26.1</v>
      </c>
      <c r="B274" s="1680" t="s">
        <v>1959</v>
      </c>
      <c r="C274" s="1662" t="s">
        <v>938</v>
      </c>
      <c r="D274" s="1563" t="s">
        <v>1754</v>
      </c>
      <c r="E274" s="1637"/>
      <c r="F274" s="1360"/>
      <c r="G274" s="1412">
        <v>1.24</v>
      </c>
      <c r="H274" s="1412"/>
      <c r="I274" s="1422"/>
      <c r="J274" s="1422"/>
      <c r="K274" s="1366"/>
      <c r="L274" s="1365"/>
      <c r="M274" s="1365"/>
      <c r="N274" s="1369"/>
      <c r="O274" s="1383" t="s">
        <v>1960</v>
      </c>
      <c r="P274" s="1562"/>
      <c r="Q274" s="1562"/>
      <c r="R274" s="1562"/>
      <c r="S274" s="1562"/>
      <c r="T274" s="1594">
        <f t="shared" si="59"/>
        <v>0</v>
      </c>
      <c r="U274" s="1562"/>
      <c r="V274" s="1562"/>
      <c r="W274" s="1562"/>
      <c r="X274" s="1412">
        <v>1.24</v>
      </c>
      <c r="Y274" s="1562"/>
      <c r="Z274" s="1562"/>
      <c r="AA274" s="1562"/>
      <c r="AB274" s="1561"/>
      <c r="AC274" s="1561"/>
      <c r="AD274" s="1685"/>
      <c r="AE274" s="1561"/>
      <c r="AF274" s="1565"/>
      <c r="AG274" s="1541">
        <f t="shared" si="60"/>
        <v>0</v>
      </c>
      <c r="AH274" s="1565"/>
      <c r="AI274" s="1565"/>
      <c r="AJ274" s="1565"/>
      <c r="AK274" s="1650">
        <v>1</v>
      </c>
      <c r="AL274" s="1565"/>
      <c r="AM274" s="1565"/>
      <c r="AN274" s="1365"/>
      <c r="AO274" s="1365"/>
      <c r="AP274" s="1651"/>
      <c r="AQ274" s="1651"/>
      <c r="AR274" s="1651"/>
      <c r="AS274" s="1651"/>
      <c r="AT274" s="1594">
        <f t="shared" si="61"/>
        <v>0</v>
      </c>
      <c r="AU274" s="1651"/>
      <c r="AV274" s="1651"/>
      <c r="AW274" s="1651"/>
      <c r="AX274" s="1412">
        <v>1.24</v>
      </c>
      <c r="AY274" s="1651"/>
      <c r="AZ274" s="1562"/>
      <c r="BA274" s="1562"/>
      <c r="BB274" s="1689"/>
      <c r="BC274" s="1686"/>
      <c r="BD274" s="1686" t="s">
        <v>1809</v>
      </c>
      <c r="BE274" s="1687" t="s">
        <v>1809</v>
      </c>
    </row>
    <row r="275" spans="1:58" customFormat="1" ht="41.25" customHeight="1" outlineLevel="1" x14ac:dyDescent="0.35">
      <c r="A275" s="1679">
        <v>26.2</v>
      </c>
      <c r="B275" s="1680" t="s">
        <v>1961</v>
      </c>
      <c r="C275" s="1662" t="s">
        <v>938</v>
      </c>
      <c r="D275" s="1563" t="s">
        <v>1754</v>
      </c>
      <c r="E275" s="1637"/>
      <c r="F275" s="1360"/>
      <c r="G275" s="1412">
        <v>1.17</v>
      </c>
      <c r="H275" s="1412"/>
      <c r="I275" s="1422"/>
      <c r="J275" s="1422"/>
      <c r="K275" s="1366"/>
      <c r="L275" s="1365"/>
      <c r="M275" s="1365"/>
      <c r="N275" s="1369"/>
      <c r="O275" s="1383" t="s">
        <v>1960</v>
      </c>
      <c r="P275" s="1562"/>
      <c r="Q275" s="1562"/>
      <c r="R275" s="1562"/>
      <c r="S275" s="1562"/>
      <c r="T275" s="1594">
        <f t="shared" si="59"/>
        <v>0</v>
      </c>
      <c r="U275" s="1562"/>
      <c r="V275" s="1562"/>
      <c r="W275" s="1562"/>
      <c r="X275" s="1412">
        <v>1.17</v>
      </c>
      <c r="Y275" s="1562"/>
      <c r="Z275" s="1562"/>
      <c r="AA275" s="1562"/>
      <c r="AB275" s="1561"/>
      <c r="AC275" s="1561"/>
      <c r="AD275" s="1685"/>
      <c r="AE275" s="1561"/>
      <c r="AF275" s="1565"/>
      <c r="AG275" s="1541">
        <f t="shared" si="60"/>
        <v>0</v>
      </c>
      <c r="AH275" s="1565"/>
      <c r="AI275" s="1565"/>
      <c r="AJ275" s="1565"/>
      <c r="AK275" s="1650">
        <v>1</v>
      </c>
      <c r="AL275" s="1565"/>
      <c r="AM275" s="1565"/>
      <c r="AN275" s="1365"/>
      <c r="AO275" s="1365"/>
      <c r="AP275" s="1651"/>
      <c r="AQ275" s="1651"/>
      <c r="AR275" s="1651"/>
      <c r="AS275" s="1651"/>
      <c r="AT275" s="1594">
        <f t="shared" si="61"/>
        <v>0</v>
      </c>
      <c r="AU275" s="1651"/>
      <c r="AV275" s="1651"/>
      <c r="AW275" s="1651"/>
      <c r="AX275" s="1412">
        <v>1.17</v>
      </c>
      <c r="AY275" s="1651"/>
      <c r="AZ275" s="1562"/>
      <c r="BA275" s="1562"/>
      <c r="BB275" s="1689"/>
      <c r="BC275" s="1686"/>
      <c r="BD275" s="1686" t="s">
        <v>1809</v>
      </c>
      <c r="BE275" s="1687" t="s">
        <v>1809</v>
      </c>
    </row>
    <row r="276" spans="1:58" customFormat="1" ht="41.25" customHeight="1" outlineLevel="1" x14ac:dyDescent="0.35">
      <c r="A276" s="1679">
        <v>26.3</v>
      </c>
      <c r="B276" s="1680" t="s">
        <v>1962</v>
      </c>
      <c r="C276" s="1662" t="s">
        <v>938</v>
      </c>
      <c r="D276" s="1563" t="s">
        <v>1754</v>
      </c>
      <c r="E276" s="1637"/>
      <c r="F276" s="1360"/>
      <c r="G276" s="1412">
        <v>5.98</v>
      </c>
      <c r="H276" s="1412"/>
      <c r="I276" s="1422"/>
      <c r="J276" s="1422"/>
      <c r="K276" s="1366"/>
      <c r="L276" s="1365"/>
      <c r="M276" s="1365"/>
      <c r="N276" s="1369"/>
      <c r="O276" s="1383" t="s">
        <v>1960</v>
      </c>
      <c r="P276" s="1562"/>
      <c r="Q276" s="1562"/>
      <c r="R276" s="1562"/>
      <c r="S276" s="1562"/>
      <c r="T276" s="1594">
        <f t="shared" si="59"/>
        <v>0</v>
      </c>
      <c r="U276" s="1562"/>
      <c r="V276" s="1562"/>
      <c r="W276" s="1562"/>
      <c r="X276" s="1412">
        <v>5.98</v>
      </c>
      <c r="Y276" s="1562"/>
      <c r="Z276" s="1562"/>
      <c r="AA276" s="1562"/>
      <c r="AB276" s="1561"/>
      <c r="AC276" s="1561"/>
      <c r="AD276" s="1685"/>
      <c r="AE276" s="1561"/>
      <c r="AF276" s="1565"/>
      <c r="AG276" s="1541">
        <f t="shared" si="60"/>
        <v>0</v>
      </c>
      <c r="AH276" s="1565"/>
      <c r="AI276" s="1565"/>
      <c r="AJ276" s="1565"/>
      <c r="AK276" s="1650">
        <v>1</v>
      </c>
      <c r="AL276" s="1565"/>
      <c r="AM276" s="1565"/>
      <c r="AN276" s="1365"/>
      <c r="AO276" s="1365"/>
      <c r="AP276" s="1651"/>
      <c r="AQ276" s="1651"/>
      <c r="AR276" s="1651"/>
      <c r="AS276" s="1651"/>
      <c r="AT276" s="1594">
        <f t="shared" si="61"/>
        <v>0</v>
      </c>
      <c r="AU276" s="1651"/>
      <c r="AV276" s="1651"/>
      <c r="AW276" s="1651"/>
      <c r="AX276" s="1412">
        <v>5.98</v>
      </c>
      <c r="AY276" s="1651"/>
      <c r="AZ276" s="1562"/>
      <c r="BA276" s="1562"/>
      <c r="BB276" s="1689"/>
      <c r="BC276" s="1686"/>
      <c r="BD276" s="1686" t="s">
        <v>1809</v>
      </c>
      <c r="BE276" s="1687" t="s">
        <v>1809</v>
      </c>
    </row>
    <row r="277" spans="1:58" customFormat="1" ht="41.25" customHeight="1" outlineLevel="1" x14ac:dyDescent="0.35">
      <c r="A277" s="1679">
        <v>26.4</v>
      </c>
      <c r="B277" s="1680" t="s">
        <v>1963</v>
      </c>
      <c r="C277" s="1662" t="s">
        <v>938</v>
      </c>
      <c r="D277" s="1563" t="s">
        <v>1754</v>
      </c>
      <c r="E277" s="1637"/>
      <c r="F277" s="1360"/>
      <c r="G277" s="1412">
        <v>3.98</v>
      </c>
      <c r="H277" s="1412"/>
      <c r="I277" s="1422"/>
      <c r="J277" s="1422"/>
      <c r="K277" s="1366"/>
      <c r="L277" s="1365"/>
      <c r="M277" s="1365"/>
      <c r="N277" s="1369"/>
      <c r="O277" s="1383" t="s">
        <v>1960</v>
      </c>
      <c r="P277" s="1562"/>
      <c r="Q277" s="1562"/>
      <c r="R277" s="1562"/>
      <c r="S277" s="1562"/>
      <c r="T277" s="1594">
        <f t="shared" si="59"/>
        <v>0</v>
      </c>
      <c r="U277" s="1562"/>
      <c r="V277" s="1562"/>
      <c r="W277" s="1562"/>
      <c r="X277" s="1412">
        <v>3.98</v>
      </c>
      <c r="Y277" s="1562"/>
      <c r="Z277" s="1562"/>
      <c r="AA277" s="1562"/>
      <c r="AB277" s="1561"/>
      <c r="AC277" s="1561"/>
      <c r="AD277" s="1685"/>
      <c r="AE277" s="1561"/>
      <c r="AF277" s="1565"/>
      <c r="AG277" s="1541">
        <f t="shared" si="60"/>
        <v>0</v>
      </c>
      <c r="AH277" s="1565"/>
      <c r="AI277" s="1565"/>
      <c r="AJ277" s="1565"/>
      <c r="AK277" s="1650">
        <v>1</v>
      </c>
      <c r="AL277" s="1565"/>
      <c r="AM277" s="1565"/>
      <c r="AN277" s="1365"/>
      <c r="AO277" s="1365"/>
      <c r="AP277" s="1651"/>
      <c r="AQ277" s="1651"/>
      <c r="AR277" s="1651"/>
      <c r="AS277" s="1651"/>
      <c r="AT277" s="1594">
        <f t="shared" si="61"/>
        <v>0</v>
      </c>
      <c r="AU277" s="1651"/>
      <c r="AV277" s="1651"/>
      <c r="AW277" s="1651"/>
      <c r="AX277" s="1412">
        <v>3.98</v>
      </c>
      <c r="AY277" s="1651"/>
      <c r="AZ277" s="1562"/>
      <c r="BA277" s="1562"/>
      <c r="BB277" s="1689"/>
      <c r="BC277" s="1686"/>
      <c r="BD277" s="1686" t="s">
        <v>1809</v>
      </c>
      <c r="BE277" s="1687" t="s">
        <v>1809</v>
      </c>
    </row>
    <row r="278" spans="1:58" customFormat="1" ht="41.25" customHeight="1" outlineLevel="1" x14ac:dyDescent="0.35">
      <c r="A278" s="1679">
        <v>26.5</v>
      </c>
      <c r="B278" s="1680" t="s">
        <v>1964</v>
      </c>
      <c r="C278" s="1662" t="s">
        <v>938</v>
      </c>
      <c r="D278" s="1563" t="s">
        <v>1754</v>
      </c>
      <c r="E278" s="1637"/>
      <c r="F278" s="1360"/>
      <c r="G278" s="1412">
        <v>6.61</v>
      </c>
      <c r="H278" s="1412"/>
      <c r="I278" s="1422"/>
      <c r="J278" s="1422"/>
      <c r="K278" s="1366"/>
      <c r="L278" s="1365"/>
      <c r="M278" s="1365"/>
      <c r="N278" s="1369"/>
      <c r="O278" s="1383" t="s">
        <v>1960</v>
      </c>
      <c r="P278" s="1562"/>
      <c r="Q278" s="1562"/>
      <c r="R278" s="1562"/>
      <c r="S278" s="1562"/>
      <c r="T278" s="1594">
        <f t="shared" si="59"/>
        <v>0</v>
      </c>
      <c r="U278" s="1562"/>
      <c r="V278" s="1562"/>
      <c r="W278" s="1562"/>
      <c r="X278" s="1412">
        <v>6.61</v>
      </c>
      <c r="Y278" s="1562"/>
      <c r="Z278" s="1562"/>
      <c r="AA278" s="1562"/>
      <c r="AB278" s="1561"/>
      <c r="AC278" s="1561"/>
      <c r="AD278" s="1685"/>
      <c r="AE278" s="1561"/>
      <c r="AF278" s="1565"/>
      <c r="AG278" s="1541">
        <f t="shared" si="60"/>
        <v>0</v>
      </c>
      <c r="AH278" s="1565"/>
      <c r="AI278" s="1565"/>
      <c r="AJ278" s="1565"/>
      <c r="AK278" s="1650">
        <v>1</v>
      </c>
      <c r="AL278" s="1565"/>
      <c r="AM278" s="1565"/>
      <c r="AN278" s="1365"/>
      <c r="AO278" s="1365"/>
      <c r="AP278" s="1651"/>
      <c r="AQ278" s="1651"/>
      <c r="AR278" s="1651"/>
      <c r="AS278" s="1651"/>
      <c r="AT278" s="1594">
        <f t="shared" si="61"/>
        <v>0</v>
      </c>
      <c r="AU278" s="1651"/>
      <c r="AV278" s="1651"/>
      <c r="AW278" s="1651"/>
      <c r="AX278" s="1412">
        <v>6.61</v>
      </c>
      <c r="AY278" s="1651"/>
      <c r="AZ278" s="1562"/>
      <c r="BA278" s="1562"/>
      <c r="BB278" s="1689"/>
      <c r="BC278" s="1686"/>
      <c r="BD278" s="1686" t="s">
        <v>1809</v>
      </c>
      <c r="BE278" s="1687" t="s">
        <v>1809</v>
      </c>
    </row>
    <row r="279" spans="1:58" customFormat="1" ht="41.25" customHeight="1" outlineLevel="1" x14ac:dyDescent="0.35">
      <c r="A279" s="1679">
        <v>26.6</v>
      </c>
      <c r="B279" s="1680" t="s">
        <v>1965</v>
      </c>
      <c r="C279" s="1662" t="s">
        <v>938</v>
      </c>
      <c r="D279" s="1563" t="s">
        <v>1754</v>
      </c>
      <c r="E279" s="1637"/>
      <c r="F279" s="1360"/>
      <c r="G279" s="1412">
        <v>1.41</v>
      </c>
      <c r="H279" s="1412"/>
      <c r="I279" s="1422"/>
      <c r="J279" s="1422"/>
      <c r="K279" s="1366"/>
      <c r="L279" s="1365"/>
      <c r="M279" s="1365"/>
      <c r="N279" s="1369"/>
      <c r="O279" s="1383" t="s">
        <v>1960</v>
      </c>
      <c r="P279" s="1562"/>
      <c r="Q279" s="1562"/>
      <c r="R279" s="1562"/>
      <c r="S279" s="1562"/>
      <c r="T279" s="1594">
        <f t="shared" si="59"/>
        <v>0</v>
      </c>
      <c r="U279" s="1562"/>
      <c r="V279" s="1562"/>
      <c r="W279" s="1562"/>
      <c r="X279" s="1412">
        <v>1.41</v>
      </c>
      <c r="Y279" s="1562"/>
      <c r="Z279" s="1562"/>
      <c r="AA279" s="1562"/>
      <c r="AB279" s="1561"/>
      <c r="AC279" s="1561"/>
      <c r="AD279" s="1685"/>
      <c r="AE279" s="1561"/>
      <c r="AF279" s="1565"/>
      <c r="AG279" s="1541">
        <f t="shared" si="60"/>
        <v>0</v>
      </c>
      <c r="AH279" s="1565"/>
      <c r="AI279" s="1565"/>
      <c r="AJ279" s="1565"/>
      <c r="AK279" s="1650">
        <v>1</v>
      </c>
      <c r="AL279" s="1565"/>
      <c r="AM279" s="1565"/>
      <c r="AN279" s="1365"/>
      <c r="AO279" s="1365"/>
      <c r="AP279" s="1651"/>
      <c r="AQ279" s="1651"/>
      <c r="AR279" s="1651"/>
      <c r="AS279" s="1651"/>
      <c r="AT279" s="1594">
        <f t="shared" si="61"/>
        <v>0</v>
      </c>
      <c r="AU279" s="1651"/>
      <c r="AV279" s="1651"/>
      <c r="AW279" s="1651"/>
      <c r="AX279" s="1412">
        <v>1.41</v>
      </c>
      <c r="AY279" s="1651"/>
      <c r="AZ279" s="1562"/>
      <c r="BA279" s="1562"/>
      <c r="BB279" s="1689"/>
      <c r="BC279" s="1686"/>
      <c r="BD279" s="1686" t="s">
        <v>1809</v>
      </c>
      <c r="BE279" s="1687" t="s">
        <v>1809</v>
      </c>
    </row>
    <row r="280" spans="1:58" customFormat="1" ht="41.25" customHeight="1" outlineLevel="1" x14ac:dyDescent="0.35">
      <c r="A280" s="1679">
        <v>26.7</v>
      </c>
      <c r="B280" s="1680" t="s">
        <v>1966</v>
      </c>
      <c r="C280" s="1662" t="s">
        <v>938</v>
      </c>
      <c r="D280" s="1563" t="s">
        <v>1754</v>
      </c>
      <c r="E280" s="1637"/>
      <c r="F280" s="1360"/>
      <c r="G280" s="1412">
        <v>0.65</v>
      </c>
      <c r="H280" s="1412"/>
      <c r="I280" s="1422"/>
      <c r="J280" s="1422"/>
      <c r="K280" s="1366"/>
      <c r="L280" s="1365"/>
      <c r="M280" s="1365"/>
      <c r="N280" s="1369"/>
      <c r="O280" s="1383" t="s">
        <v>1960</v>
      </c>
      <c r="P280" s="1562"/>
      <c r="Q280" s="1562"/>
      <c r="R280" s="1562"/>
      <c r="S280" s="1562"/>
      <c r="T280" s="1594">
        <f t="shared" si="59"/>
        <v>0</v>
      </c>
      <c r="U280" s="1562"/>
      <c r="V280" s="1562"/>
      <c r="W280" s="1562"/>
      <c r="X280" s="1412">
        <v>0.65</v>
      </c>
      <c r="Y280" s="1562"/>
      <c r="Z280" s="1562"/>
      <c r="AA280" s="1562"/>
      <c r="AB280" s="1561"/>
      <c r="AC280" s="1561"/>
      <c r="AD280" s="1685"/>
      <c r="AE280" s="1561"/>
      <c r="AF280" s="1565"/>
      <c r="AG280" s="1541">
        <f t="shared" si="60"/>
        <v>0</v>
      </c>
      <c r="AH280" s="1565"/>
      <c r="AI280" s="1565"/>
      <c r="AJ280" s="1565"/>
      <c r="AK280" s="1650">
        <v>1</v>
      </c>
      <c r="AL280" s="1565"/>
      <c r="AM280" s="1565"/>
      <c r="AN280" s="1365"/>
      <c r="AO280" s="1365"/>
      <c r="AP280" s="1651"/>
      <c r="AQ280" s="1651"/>
      <c r="AR280" s="1651"/>
      <c r="AS280" s="1651"/>
      <c r="AT280" s="1594">
        <f t="shared" si="61"/>
        <v>0</v>
      </c>
      <c r="AU280" s="1651"/>
      <c r="AV280" s="1651"/>
      <c r="AW280" s="1651"/>
      <c r="AX280" s="1412">
        <v>0.65</v>
      </c>
      <c r="AY280" s="1651"/>
      <c r="AZ280" s="1562"/>
      <c r="BA280" s="1562"/>
      <c r="BB280" s="1689"/>
      <c r="BC280" s="1686"/>
      <c r="BD280" s="1686" t="s">
        <v>1809</v>
      </c>
      <c r="BE280" s="1687" t="s">
        <v>1809</v>
      </c>
    </row>
    <row r="281" spans="1:58" customFormat="1" ht="41.25" customHeight="1" outlineLevel="1" x14ac:dyDescent="0.35">
      <c r="A281" s="1679">
        <v>26.8</v>
      </c>
      <c r="B281" s="1680" t="s">
        <v>1967</v>
      </c>
      <c r="C281" s="1662" t="s">
        <v>938</v>
      </c>
      <c r="D281" s="1563" t="s">
        <v>1754</v>
      </c>
      <c r="E281" s="1637"/>
      <c r="F281" s="1360"/>
      <c r="G281" s="1412">
        <v>0.73</v>
      </c>
      <c r="H281" s="1412"/>
      <c r="I281" s="1422"/>
      <c r="J281" s="1422"/>
      <c r="K281" s="1366"/>
      <c r="L281" s="1365"/>
      <c r="M281" s="1365"/>
      <c r="N281" s="1369"/>
      <c r="O281" s="1383" t="s">
        <v>1960</v>
      </c>
      <c r="P281" s="1562"/>
      <c r="Q281" s="1562"/>
      <c r="R281" s="1562"/>
      <c r="S281" s="1562"/>
      <c r="T281" s="1594">
        <f t="shared" si="59"/>
        <v>0</v>
      </c>
      <c r="U281" s="1562"/>
      <c r="V281" s="1562"/>
      <c r="W281" s="1562"/>
      <c r="X281" s="1412">
        <v>0.73</v>
      </c>
      <c r="Y281" s="1562"/>
      <c r="Z281" s="1562"/>
      <c r="AA281" s="1562"/>
      <c r="AB281" s="1561"/>
      <c r="AC281" s="1561"/>
      <c r="AD281" s="1685"/>
      <c r="AE281" s="1561"/>
      <c r="AF281" s="1565"/>
      <c r="AG281" s="1541">
        <f t="shared" si="60"/>
        <v>0</v>
      </c>
      <c r="AH281" s="1565"/>
      <c r="AI281" s="1565"/>
      <c r="AJ281" s="1565"/>
      <c r="AK281" s="1650">
        <v>1</v>
      </c>
      <c r="AL281" s="1565"/>
      <c r="AM281" s="1565"/>
      <c r="AN281" s="1365"/>
      <c r="AO281" s="1365"/>
      <c r="AP281" s="1651"/>
      <c r="AQ281" s="1651"/>
      <c r="AR281" s="1651"/>
      <c r="AS281" s="1651"/>
      <c r="AT281" s="1594">
        <f t="shared" si="61"/>
        <v>0</v>
      </c>
      <c r="AU281" s="1651"/>
      <c r="AV281" s="1651"/>
      <c r="AW281" s="1651"/>
      <c r="AX281" s="1412">
        <v>0.73</v>
      </c>
      <c r="AY281" s="1651"/>
      <c r="AZ281" s="1562"/>
      <c r="BA281" s="1562"/>
      <c r="BB281" s="1689"/>
      <c r="BC281" s="1686"/>
      <c r="BD281" s="1686" t="s">
        <v>1809</v>
      </c>
      <c r="BE281" s="1687" t="s">
        <v>1809</v>
      </c>
    </row>
    <row r="282" spans="1:58" customFormat="1" ht="41.25" customHeight="1" outlineLevel="1" x14ac:dyDescent="0.35">
      <c r="A282" s="1679">
        <v>26.9</v>
      </c>
      <c r="B282" s="1680" t="s">
        <v>1968</v>
      </c>
      <c r="C282" s="1662" t="s">
        <v>938</v>
      </c>
      <c r="D282" s="1563" t="s">
        <v>1754</v>
      </c>
      <c r="E282" s="1637"/>
      <c r="F282" s="1360"/>
      <c r="G282" s="1412">
        <v>2.92</v>
      </c>
      <c r="H282" s="1412"/>
      <c r="I282" s="1422"/>
      <c r="J282" s="1422"/>
      <c r="K282" s="1366"/>
      <c r="L282" s="1365"/>
      <c r="M282" s="1365"/>
      <c r="N282" s="1369"/>
      <c r="O282" s="1383" t="s">
        <v>1960</v>
      </c>
      <c r="P282" s="1562"/>
      <c r="Q282" s="1562"/>
      <c r="R282" s="1562"/>
      <c r="S282" s="1562"/>
      <c r="T282" s="1594">
        <f t="shared" si="59"/>
        <v>0</v>
      </c>
      <c r="U282" s="1562"/>
      <c r="V282" s="1562"/>
      <c r="W282" s="1562"/>
      <c r="X282" s="1412">
        <v>2.92</v>
      </c>
      <c r="Y282" s="1562"/>
      <c r="Z282" s="1562"/>
      <c r="AA282" s="1562"/>
      <c r="AB282" s="1561"/>
      <c r="AC282" s="1561"/>
      <c r="AD282" s="1685"/>
      <c r="AE282" s="1561"/>
      <c r="AF282" s="1565"/>
      <c r="AG282" s="1541">
        <f t="shared" si="60"/>
        <v>0</v>
      </c>
      <c r="AH282" s="1565"/>
      <c r="AI282" s="1565"/>
      <c r="AJ282" s="1565"/>
      <c r="AK282" s="1650">
        <v>1</v>
      </c>
      <c r="AL282" s="1565"/>
      <c r="AM282" s="1565"/>
      <c r="AN282" s="1365"/>
      <c r="AO282" s="1365"/>
      <c r="AP282" s="1651"/>
      <c r="AQ282" s="1651"/>
      <c r="AR282" s="1651"/>
      <c r="AS282" s="1651"/>
      <c r="AT282" s="1594">
        <f t="shared" si="61"/>
        <v>0</v>
      </c>
      <c r="AU282" s="1651"/>
      <c r="AV282" s="1651"/>
      <c r="AW282" s="1651"/>
      <c r="AX282" s="1412">
        <v>2.92</v>
      </c>
      <c r="AY282" s="1651"/>
      <c r="AZ282" s="1562"/>
      <c r="BA282" s="1562"/>
      <c r="BB282" s="1689"/>
      <c r="BC282" s="1686"/>
      <c r="BD282" s="1686" t="s">
        <v>1809</v>
      </c>
      <c r="BE282" s="1687" t="s">
        <v>1809</v>
      </c>
    </row>
    <row r="283" spans="1:58" customFormat="1" ht="41.25" customHeight="1" outlineLevel="1" x14ac:dyDescent="0.35">
      <c r="A283" s="1679">
        <v>26.1</v>
      </c>
      <c r="B283" s="1680" t="s">
        <v>1969</v>
      </c>
      <c r="C283" s="1662" t="s">
        <v>938</v>
      </c>
      <c r="D283" s="1563" t="s">
        <v>1754</v>
      </c>
      <c r="E283" s="1637"/>
      <c r="F283" s="1360"/>
      <c r="G283" s="1412">
        <v>2.6</v>
      </c>
      <c r="H283" s="1412"/>
      <c r="I283" s="1422"/>
      <c r="J283" s="1422"/>
      <c r="K283" s="1366"/>
      <c r="L283" s="1365"/>
      <c r="M283" s="1365"/>
      <c r="N283" s="1369"/>
      <c r="O283" s="1383" t="s">
        <v>1960</v>
      </c>
      <c r="P283" s="1562"/>
      <c r="Q283" s="1562"/>
      <c r="R283" s="1562"/>
      <c r="S283" s="1562"/>
      <c r="T283" s="1594">
        <f t="shared" si="59"/>
        <v>0</v>
      </c>
      <c r="U283" s="1562"/>
      <c r="V283" s="1562"/>
      <c r="W283" s="1562"/>
      <c r="X283" s="1412">
        <v>2.6</v>
      </c>
      <c r="Y283" s="1562"/>
      <c r="Z283" s="1562"/>
      <c r="AA283" s="1562"/>
      <c r="AB283" s="1561"/>
      <c r="AC283" s="1561"/>
      <c r="AD283" s="1685"/>
      <c r="AE283" s="1561"/>
      <c r="AF283" s="1565"/>
      <c r="AG283" s="1541">
        <f t="shared" si="60"/>
        <v>0</v>
      </c>
      <c r="AH283" s="1565"/>
      <c r="AI283" s="1565"/>
      <c r="AJ283" s="1565"/>
      <c r="AK283" s="1650">
        <v>1</v>
      </c>
      <c r="AL283" s="1565"/>
      <c r="AM283" s="1565"/>
      <c r="AN283" s="1365"/>
      <c r="AO283" s="1365"/>
      <c r="AP283" s="1651"/>
      <c r="AQ283" s="1651"/>
      <c r="AR283" s="1651"/>
      <c r="AS283" s="1651"/>
      <c r="AT283" s="1594">
        <f t="shared" si="61"/>
        <v>0</v>
      </c>
      <c r="AU283" s="1651"/>
      <c r="AV283" s="1651"/>
      <c r="AW283" s="1651"/>
      <c r="AX283" s="1412">
        <v>2.6</v>
      </c>
      <c r="AY283" s="1651"/>
      <c r="AZ283" s="1562"/>
      <c r="BA283" s="1562"/>
      <c r="BB283" s="1689"/>
      <c r="BC283" s="1686"/>
      <c r="BD283" s="1686" t="s">
        <v>1809</v>
      </c>
      <c r="BE283" s="1687" t="s">
        <v>1809</v>
      </c>
    </row>
    <row r="284" spans="1:58" customFormat="1" ht="41.25" customHeight="1" outlineLevel="1" x14ac:dyDescent="0.35">
      <c r="A284" s="1679">
        <v>26.11</v>
      </c>
      <c r="B284" s="1680" t="s">
        <v>1970</v>
      </c>
      <c r="C284" s="1662" t="s">
        <v>938</v>
      </c>
      <c r="D284" s="1563" t="s">
        <v>1754</v>
      </c>
      <c r="E284" s="1637"/>
      <c r="F284" s="1360"/>
      <c r="G284" s="1412">
        <v>3</v>
      </c>
      <c r="H284" s="1412"/>
      <c r="I284" s="1422"/>
      <c r="J284" s="1422"/>
      <c r="K284" s="1366"/>
      <c r="L284" s="1365"/>
      <c r="M284" s="1365"/>
      <c r="N284" s="1369"/>
      <c r="O284" s="1383" t="s">
        <v>1960</v>
      </c>
      <c r="P284" s="1562"/>
      <c r="Q284" s="1562"/>
      <c r="R284" s="1562"/>
      <c r="S284" s="1562"/>
      <c r="T284" s="1594">
        <f t="shared" si="59"/>
        <v>0</v>
      </c>
      <c r="U284" s="1562"/>
      <c r="V284" s="1562"/>
      <c r="W284" s="1562"/>
      <c r="X284" s="1573">
        <v>3</v>
      </c>
      <c r="Y284" s="1562"/>
      <c r="Z284" s="1562"/>
      <c r="AA284" s="1562"/>
      <c r="AB284" s="1561"/>
      <c r="AC284" s="1561"/>
      <c r="AD284" s="1685"/>
      <c r="AE284" s="1561"/>
      <c r="AF284" s="1565"/>
      <c r="AG284" s="1541">
        <f t="shared" si="60"/>
        <v>0</v>
      </c>
      <c r="AH284" s="1565"/>
      <c r="AI284" s="1565"/>
      <c r="AJ284" s="1565"/>
      <c r="AK284" s="1650">
        <v>1</v>
      </c>
      <c r="AL284" s="1565"/>
      <c r="AM284" s="1565"/>
      <c r="AN284" s="1365"/>
      <c r="AO284" s="1365"/>
      <c r="AP284" s="1651"/>
      <c r="AQ284" s="1651"/>
      <c r="AR284" s="1651"/>
      <c r="AS284" s="1651"/>
      <c r="AT284" s="1594">
        <f t="shared" si="61"/>
        <v>0</v>
      </c>
      <c r="AU284" s="1651"/>
      <c r="AV284" s="1651"/>
      <c r="AW284" s="1651"/>
      <c r="AX284" s="1573">
        <v>3</v>
      </c>
      <c r="AY284" s="1651"/>
      <c r="AZ284" s="1562"/>
      <c r="BA284" s="1562"/>
      <c r="BB284" s="1689"/>
      <c r="BC284" s="1686"/>
      <c r="BD284" s="1686" t="s">
        <v>1809</v>
      </c>
      <c r="BE284" s="1687" t="s">
        <v>1809</v>
      </c>
    </row>
    <row r="285" spans="1:58" customFormat="1" ht="33.75" customHeight="1" outlineLevel="1" x14ac:dyDescent="0.35">
      <c r="A285" s="1562"/>
      <c r="B285" s="1682" t="s">
        <v>413</v>
      </c>
      <c r="C285" s="1682"/>
      <c r="D285" s="1563" t="s">
        <v>1754</v>
      </c>
      <c r="E285" s="1682"/>
      <c r="F285" s="1682"/>
      <c r="G285" s="1682"/>
      <c r="H285" s="1682"/>
      <c r="I285" s="1683"/>
      <c r="J285" s="1683"/>
      <c r="K285" s="1682"/>
      <c r="L285" s="1682"/>
      <c r="M285" s="1682"/>
      <c r="N285" s="1682"/>
      <c r="O285" s="1682"/>
      <c r="P285" s="1562">
        <v>0</v>
      </c>
      <c r="Q285" s="1562">
        <v>0</v>
      </c>
      <c r="R285" s="1562">
        <v>0</v>
      </c>
      <c r="S285" s="1562">
        <v>0</v>
      </c>
      <c r="T285" s="1594">
        <f t="shared" si="59"/>
        <v>0</v>
      </c>
      <c r="U285" s="1562">
        <v>0</v>
      </c>
      <c r="V285" s="1562">
        <v>0</v>
      </c>
      <c r="W285" s="1562">
        <v>0</v>
      </c>
      <c r="X285" s="1562">
        <v>0</v>
      </c>
      <c r="Y285" s="1562">
        <v>0</v>
      </c>
      <c r="Z285" s="1562"/>
      <c r="AA285" s="1562"/>
      <c r="AB285" s="1562"/>
      <c r="AC285" s="1565"/>
      <c r="AD285" s="1565"/>
      <c r="AE285" s="1565"/>
      <c r="AF285" s="1565"/>
      <c r="AG285" s="1541">
        <f t="shared" si="60"/>
        <v>0</v>
      </c>
      <c r="AH285" s="1565"/>
      <c r="AI285" s="1565"/>
      <c r="AJ285" s="1565"/>
      <c r="AK285" s="1565"/>
      <c r="AL285" s="1565"/>
      <c r="AM285" s="1565"/>
      <c r="AN285" s="1565"/>
      <c r="AO285" s="1565"/>
      <c r="AP285" s="1651"/>
      <c r="AQ285" s="1651"/>
      <c r="AR285" s="1651"/>
      <c r="AS285" s="1651"/>
      <c r="AT285" s="1594">
        <f t="shared" si="61"/>
        <v>0</v>
      </c>
      <c r="AU285" s="1651"/>
      <c r="AV285" s="1651"/>
      <c r="AW285" s="1651"/>
      <c r="AX285" s="1651"/>
      <c r="AY285" s="1689"/>
      <c r="AZ285" s="1651">
        <v>0</v>
      </c>
      <c r="BA285" s="1651">
        <v>0</v>
      </c>
      <c r="BB285" s="1651">
        <v>0</v>
      </c>
      <c r="BC285" s="1686"/>
      <c r="BD285" s="1686" t="s">
        <v>1809</v>
      </c>
      <c r="BE285" s="1687" t="s">
        <v>1809</v>
      </c>
    </row>
    <row r="286" spans="1:58" s="1432" customFormat="1" ht="46.5" outlineLevel="1" x14ac:dyDescent="0.25">
      <c r="A286" s="1702">
        <v>27</v>
      </c>
      <c r="B286" s="1693" t="s">
        <v>1958</v>
      </c>
      <c r="C286" s="1655" t="s">
        <v>931</v>
      </c>
      <c r="D286" s="1563" t="s">
        <v>1754</v>
      </c>
      <c r="E286" s="1701"/>
      <c r="F286" s="1424"/>
      <c r="G286" s="1694"/>
      <c r="H286" s="1425"/>
      <c r="I286" s="1426"/>
      <c r="J286" s="1426"/>
      <c r="K286" s="1427"/>
      <c r="L286" s="1428"/>
      <c r="M286" s="1428"/>
      <c r="N286" s="1429"/>
      <c r="O286" s="1430"/>
      <c r="P286" s="1689"/>
      <c r="Q286" s="1689"/>
      <c r="R286" s="1689"/>
      <c r="S286" s="1689"/>
      <c r="T286" s="1594">
        <f t="shared" si="59"/>
        <v>0</v>
      </c>
      <c r="U286" s="1689"/>
      <c r="V286" s="1689"/>
      <c r="W286" s="1689"/>
      <c r="X286" s="1689"/>
      <c r="Y286" s="1689"/>
      <c r="Z286" s="1689"/>
      <c r="AA286" s="1689"/>
      <c r="AB286" s="1689"/>
      <c r="AC286" s="1689"/>
      <c r="AD286" s="1689"/>
      <c r="AE286" s="1689"/>
      <c r="AF286" s="1689"/>
      <c r="AG286" s="1541">
        <f t="shared" si="60"/>
        <v>0</v>
      </c>
      <c r="AH286" s="1689"/>
      <c r="AI286" s="1689"/>
      <c r="AJ286" s="1689"/>
      <c r="AK286" s="1689"/>
      <c r="AL286" s="1689"/>
      <c r="AM286" s="1689"/>
      <c r="AN286" s="1689"/>
      <c r="AO286" s="1689"/>
      <c r="AP286" s="1689"/>
      <c r="AQ286" s="1689"/>
      <c r="AR286" s="1689"/>
      <c r="AS286" s="1689"/>
      <c r="AT286" s="1594">
        <f t="shared" si="61"/>
        <v>0</v>
      </c>
      <c r="AU286" s="1689"/>
      <c r="AV286" s="1689"/>
      <c r="AW286" s="1689"/>
      <c r="AX286" s="1689"/>
      <c r="AY286" s="1689"/>
      <c r="AZ286" s="1689"/>
      <c r="BA286" s="1689"/>
      <c r="BB286" s="1689"/>
      <c r="BC286" s="1689"/>
      <c r="BD286" s="1689" t="s">
        <v>1809</v>
      </c>
      <c r="BE286" s="1695" t="s">
        <v>1809</v>
      </c>
      <c r="BF286" s="1431"/>
    </row>
    <row r="287" spans="1:58" customFormat="1" ht="41.25" customHeight="1" outlineLevel="1" x14ac:dyDescent="0.35">
      <c r="A287" s="1679">
        <v>27.1</v>
      </c>
      <c r="B287" s="1680" t="s">
        <v>1971</v>
      </c>
      <c r="C287" s="1662" t="s">
        <v>938</v>
      </c>
      <c r="D287" s="1563" t="s">
        <v>1754</v>
      </c>
      <c r="E287" s="1637"/>
      <c r="F287" s="1360"/>
      <c r="G287" s="1412">
        <v>5.98</v>
      </c>
      <c r="H287" s="1412"/>
      <c r="I287" s="1422"/>
      <c r="J287" s="1422"/>
      <c r="K287" s="1366"/>
      <c r="L287" s="1365"/>
      <c r="M287" s="1365"/>
      <c r="N287" s="1369"/>
      <c r="O287" s="1383" t="s">
        <v>1960</v>
      </c>
      <c r="P287" s="1562"/>
      <c r="Q287" s="1562"/>
      <c r="R287" s="1562"/>
      <c r="S287" s="1562"/>
      <c r="T287" s="1594">
        <f t="shared" si="59"/>
        <v>0</v>
      </c>
      <c r="U287" s="1562"/>
      <c r="V287" s="1562"/>
      <c r="W287" s="1562"/>
      <c r="X287" s="1562"/>
      <c r="Y287" s="1412">
        <v>5.98</v>
      </c>
      <c r="Z287" s="1562"/>
      <c r="AA287" s="1562"/>
      <c r="AB287" s="1561"/>
      <c r="AC287" s="1561"/>
      <c r="AD287" s="1685"/>
      <c r="AE287" s="1561"/>
      <c r="AF287" s="1565"/>
      <c r="AG287" s="1541">
        <f t="shared" si="60"/>
        <v>0</v>
      </c>
      <c r="AH287" s="1565"/>
      <c r="AI287" s="1565"/>
      <c r="AJ287" s="1565"/>
      <c r="AK287" s="1565"/>
      <c r="AL287" s="1650">
        <v>1</v>
      </c>
      <c r="AM287" s="1565"/>
      <c r="AN287" s="1365"/>
      <c r="AO287" s="1365"/>
      <c r="AP287" s="1651"/>
      <c r="AQ287" s="1651"/>
      <c r="AR287" s="1651"/>
      <c r="AS287" s="1651"/>
      <c r="AT287" s="1594">
        <f t="shared" si="61"/>
        <v>0</v>
      </c>
      <c r="AU287" s="1651"/>
      <c r="AV287" s="1651"/>
      <c r="AW287" s="1651"/>
      <c r="AX287" s="1651"/>
      <c r="AY287" s="1412">
        <v>5.98</v>
      </c>
      <c r="AZ287" s="1562"/>
      <c r="BA287" s="1562"/>
      <c r="BB287" s="1689"/>
      <c r="BC287" s="1686"/>
      <c r="BD287" s="1686" t="s">
        <v>1809</v>
      </c>
      <c r="BE287" s="1687" t="s">
        <v>1809</v>
      </c>
    </row>
    <row r="288" spans="1:58" customFormat="1" ht="41.25" customHeight="1" outlineLevel="1" x14ac:dyDescent="0.35">
      <c r="A288" s="1679">
        <v>27.2</v>
      </c>
      <c r="B288" s="1680" t="s">
        <v>1972</v>
      </c>
      <c r="C288" s="1662" t="s">
        <v>938</v>
      </c>
      <c r="D288" s="1563" t="s">
        <v>1754</v>
      </c>
      <c r="E288" s="1637"/>
      <c r="F288" s="1360"/>
      <c r="G288" s="1412">
        <v>3.98</v>
      </c>
      <c r="H288" s="1412"/>
      <c r="I288" s="1422"/>
      <c r="J288" s="1422"/>
      <c r="K288" s="1366"/>
      <c r="L288" s="1365"/>
      <c r="M288" s="1365"/>
      <c r="N288" s="1369"/>
      <c r="O288" s="1383" t="s">
        <v>1960</v>
      </c>
      <c r="P288" s="1562"/>
      <c r="Q288" s="1562"/>
      <c r="R288" s="1562"/>
      <c r="S288" s="1562"/>
      <c r="T288" s="1594">
        <f t="shared" si="59"/>
        <v>0</v>
      </c>
      <c r="U288" s="1562"/>
      <c r="V288" s="1562"/>
      <c r="W288" s="1562"/>
      <c r="X288" s="1562"/>
      <c r="Y288" s="1412">
        <v>3.98</v>
      </c>
      <c r="Z288" s="1562"/>
      <c r="AA288" s="1562"/>
      <c r="AB288" s="1561"/>
      <c r="AC288" s="1561"/>
      <c r="AD288" s="1685"/>
      <c r="AE288" s="1561"/>
      <c r="AF288" s="1565"/>
      <c r="AG288" s="1541">
        <f t="shared" si="60"/>
        <v>0</v>
      </c>
      <c r="AH288" s="1565"/>
      <c r="AI288" s="1565"/>
      <c r="AJ288" s="1565"/>
      <c r="AK288" s="1565"/>
      <c r="AL288" s="1650">
        <v>1</v>
      </c>
      <c r="AM288" s="1565"/>
      <c r="AN288" s="1365"/>
      <c r="AO288" s="1365"/>
      <c r="AP288" s="1651"/>
      <c r="AQ288" s="1651"/>
      <c r="AR288" s="1651"/>
      <c r="AS288" s="1651"/>
      <c r="AT288" s="1594">
        <f t="shared" si="61"/>
        <v>0</v>
      </c>
      <c r="AU288" s="1651"/>
      <c r="AV288" s="1651"/>
      <c r="AW288" s="1651"/>
      <c r="AX288" s="1651"/>
      <c r="AY288" s="1412">
        <v>3.98</v>
      </c>
      <c r="AZ288" s="1562"/>
      <c r="BA288" s="1562"/>
      <c r="BB288" s="1689"/>
      <c r="BC288" s="1686"/>
      <c r="BD288" s="1686" t="s">
        <v>1809</v>
      </c>
      <c r="BE288" s="1687" t="s">
        <v>1809</v>
      </c>
    </row>
    <row r="289" spans="1:58" customFormat="1" ht="41.25" customHeight="1" outlineLevel="1" x14ac:dyDescent="0.35">
      <c r="A289" s="1679">
        <v>27.3</v>
      </c>
      <c r="B289" s="1680" t="s">
        <v>1973</v>
      </c>
      <c r="C289" s="1662" t="s">
        <v>938</v>
      </c>
      <c r="D289" s="1563" t="s">
        <v>1754</v>
      </c>
      <c r="E289" s="1637"/>
      <c r="F289" s="1360"/>
      <c r="G289" s="1412">
        <v>1.24</v>
      </c>
      <c r="H289" s="1412"/>
      <c r="I289" s="1422"/>
      <c r="J289" s="1422"/>
      <c r="K289" s="1366"/>
      <c r="L289" s="1365"/>
      <c r="M289" s="1365"/>
      <c r="N289" s="1369"/>
      <c r="O289" s="1383" t="s">
        <v>1960</v>
      </c>
      <c r="P289" s="1562"/>
      <c r="Q289" s="1562"/>
      <c r="R289" s="1562"/>
      <c r="S289" s="1562"/>
      <c r="T289" s="1594">
        <f t="shared" si="59"/>
        <v>0</v>
      </c>
      <c r="U289" s="1562"/>
      <c r="V289" s="1562"/>
      <c r="W289" s="1562"/>
      <c r="X289" s="1562"/>
      <c r="Y289" s="1412">
        <v>1.24</v>
      </c>
      <c r="Z289" s="1562"/>
      <c r="AA289" s="1562"/>
      <c r="AB289" s="1561"/>
      <c r="AC289" s="1561"/>
      <c r="AD289" s="1685"/>
      <c r="AE289" s="1561"/>
      <c r="AF289" s="1565"/>
      <c r="AG289" s="1541">
        <f t="shared" si="60"/>
        <v>0</v>
      </c>
      <c r="AH289" s="1565"/>
      <c r="AI289" s="1565"/>
      <c r="AJ289" s="1565"/>
      <c r="AK289" s="1565"/>
      <c r="AL289" s="1650">
        <v>1</v>
      </c>
      <c r="AM289" s="1565"/>
      <c r="AN289" s="1365"/>
      <c r="AO289" s="1365"/>
      <c r="AP289" s="1651"/>
      <c r="AQ289" s="1651"/>
      <c r="AR289" s="1651"/>
      <c r="AS289" s="1651"/>
      <c r="AT289" s="1594">
        <f t="shared" si="61"/>
        <v>0</v>
      </c>
      <c r="AU289" s="1651"/>
      <c r="AV289" s="1651"/>
      <c r="AW289" s="1651"/>
      <c r="AX289" s="1651"/>
      <c r="AY289" s="1412">
        <v>1.24</v>
      </c>
      <c r="AZ289" s="1562"/>
      <c r="BA289" s="1562"/>
      <c r="BB289" s="1689"/>
      <c r="BC289" s="1686"/>
      <c r="BD289" s="1686" t="s">
        <v>1809</v>
      </c>
      <c r="BE289" s="1687" t="s">
        <v>1809</v>
      </c>
    </row>
    <row r="290" spans="1:58" customFormat="1" ht="41.25" customHeight="1" outlineLevel="1" x14ac:dyDescent="0.35">
      <c r="A290" s="1679">
        <v>27.4</v>
      </c>
      <c r="B290" s="1680" t="s">
        <v>1974</v>
      </c>
      <c r="C290" s="1662" t="s">
        <v>938</v>
      </c>
      <c r="D290" s="1563" t="s">
        <v>1754</v>
      </c>
      <c r="E290" s="1637"/>
      <c r="F290" s="1360"/>
      <c r="G290" s="1412">
        <v>1.17</v>
      </c>
      <c r="H290" s="1412"/>
      <c r="I290" s="1422"/>
      <c r="J290" s="1422"/>
      <c r="K290" s="1366"/>
      <c r="L290" s="1365"/>
      <c r="M290" s="1365"/>
      <c r="N290" s="1369"/>
      <c r="O290" s="1383" t="s">
        <v>1960</v>
      </c>
      <c r="P290" s="1562"/>
      <c r="Q290" s="1562"/>
      <c r="R290" s="1562"/>
      <c r="S290" s="1562"/>
      <c r="T290" s="1594">
        <f t="shared" si="59"/>
        <v>0</v>
      </c>
      <c r="U290" s="1562"/>
      <c r="V290" s="1562"/>
      <c r="W290" s="1562"/>
      <c r="X290" s="1562"/>
      <c r="Y290" s="1412">
        <v>1.17</v>
      </c>
      <c r="Z290" s="1562"/>
      <c r="AA290" s="1562"/>
      <c r="AB290" s="1561"/>
      <c r="AC290" s="1561"/>
      <c r="AD290" s="1685"/>
      <c r="AE290" s="1561"/>
      <c r="AF290" s="1565"/>
      <c r="AG290" s="1541">
        <f t="shared" si="60"/>
        <v>0</v>
      </c>
      <c r="AH290" s="1565"/>
      <c r="AI290" s="1565"/>
      <c r="AJ290" s="1565"/>
      <c r="AK290" s="1565"/>
      <c r="AL290" s="1650">
        <v>1</v>
      </c>
      <c r="AM290" s="1565"/>
      <c r="AN290" s="1365"/>
      <c r="AO290" s="1365"/>
      <c r="AP290" s="1651"/>
      <c r="AQ290" s="1651"/>
      <c r="AR290" s="1651"/>
      <c r="AS290" s="1651"/>
      <c r="AT290" s="1594">
        <f t="shared" si="61"/>
        <v>0</v>
      </c>
      <c r="AU290" s="1651"/>
      <c r="AV290" s="1651"/>
      <c r="AW290" s="1651"/>
      <c r="AX290" s="1651"/>
      <c r="AY290" s="1412">
        <v>1.17</v>
      </c>
      <c r="AZ290" s="1562"/>
      <c r="BA290" s="1562"/>
      <c r="BB290" s="1689"/>
      <c r="BC290" s="1686"/>
      <c r="BD290" s="1686" t="s">
        <v>1809</v>
      </c>
      <c r="BE290" s="1687" t="s">
        <v>1809</v>
      </c>
    </row>
    <row r="291" spans="1:58" customFormat="1" ht="41.25" customHeight="1" outlineLevel="1" x14ac:dyDescent="0.35">
      <c r="A291" s="1679">
        <v>27.5</v>
      </c>
      <c r="B291" s="1680" t="s">
        <v>1975</v>
      </c>
      <c r="C291" s="1662" t="s">
        <v>938</v>
      </c>
      <c r="D291" s="1563" t="s">
        <v>1754</v>
      </c>
      <c r="E291" s="1637"/>
      <c r="F291" s="1360"/>
      <c r="G291" s="1412">
        <v>1.41</v>
      </c>
      <c r="H291" s="1412"/>
      <c r="I291" s="1422"/>
      <c r="J291" s="1422"/>
      <c r="K291" s="1366"/>
      <c r="L291" s="1365"/>
      <c r="M291" s="1365"/>
      <c r="N291" s="1369"/>
      <c r="O291" s="1383" t="s">
        <v>1960</v>
      </c>
      <c r="P291" s="1562"/>
      <c r="Q291" s="1562"/>
      <c r="R291" s="1562"/>
      <c r="S291" s="1562"/>
      <c r="T291" s="1594">
        <f t="shared" si="59"/>
        <v>0</v>
      </c>
      <c r="U291" s="1562"/>
      <c r="V291" s="1562"/>
      <c r="W291" s="1562"/>
      <c r="X291" s="1562"/>
      <c r="Y291" s="1412">
        <v>1.41</v>
      </c>
      <c r="Z291" s="1562"/>
      <c r="AA291" s="1562"/>
      <c r="AB291" s="1561"/>
      <c r="AC291" s="1561"/>
      <c r="AD291" s="1685"/>
      <c r="AE291" s="1561"/>
      <c r="AF291" s="1565"/>
      <c r="AG291" s="1541">
        <f t="shared" si="60"/>
        <v>0</v>
      </c>
      <c r="AH291" s="1565"/>
      <c r="AI291" s="1565"/>
      <c r="AJ291" s="1565"/>
      <c r="AK291" s="1565"/>
      <c r="AL291" s="1650">
        <v>1</v>
      </c>
      <c r="AM291" s="1565"/>
      <c r="AN291" s="1365"/>
      <c r="AO291" s="1365"/>
      <c r="AP291" s="1651"/>
      <c r="AQ291" s="1651"/>
      <c r="AR291" s="1651"/>
      <c r="AS291" s="1651"/>
      <c r="AT291" s="1594">
        <f t="shared" si="61"/>
        <v>0</v>
      </c>
      <c r="AU291" s="1651"/>
      <c r="AV291" s="1651"/>
      <c r="AW291" s="1651"/>
      <c r="AX291" s="1651"/>
      <c r="AY291" s="1412">
        <v>1.41</v>
      </c>
      <c r="AZ291" s="1562"/>
      <c r="BA291" s="1562"/>
      <c r="BB291" s="1689"/>
      <c r="BC291" s="1686"/>
      <c r="BD291" s="1686" t="s">
        <v>1809</v>
      </c>
      <c r="BE291" s="1687" t="s">
        <v>1809</v>
      </c>
    </row>
    <row r="292" spans="1:58" customFormat="1" ht="41.25" customHeight="1" outlineLevel="1" x14ac:dyDescent="0.35">
      <c r="A292" s="1679">
        <v>27.6</v>
      </c>
      <c r="B292" s="1680" t="s">
        <v>1976</v>
      </c>
      <c r="C292" s="1662" t="s">
        <v>938</v>
      </c>
      <c r="D292" s="1563" t="s">
        <v>1754</v>
      </c>
      <c r="E292" s="1637"/>
      <c r="F292" s="1360"/>
      <c r="G292" s="1412">
        <v>1</v>
      </c>
      <c r="H292" s="1412"/>
      <c r="I292" s="1422"/>
      <c r="J292" s="1422"/>
      <c r="K292" s="1366"/>
      <c r="L292" s="1365"/>
      <c r="M292" s="1365"/>
      <c r="N292" s="1369"/>
      <c r="O292" s="1383" t="s">
        <v>1960</v>
      </c>
      <c r="P292" s="1562"/>
      <c r="Q292" s="1562"/>
      <c r="R292" s="1562"/>
      <c r="S292" s="1562"/>
      <c r="T292" s="1594">
        <f t="shared" si="59"/>
        <v>0</v>
      </c>
      <c r="U292" s="1562"/>
      <c r="V292" s="1562"/>
      <c r="W292" s="1562"/>
      <c r="X292" s="1562"/>
      <c r="Y292" s="1412">
        <v>1</v>
      </c>
      <c r="Z292" s="1562"/>
      <c r="AA292" s="1562"/>
      <c r="AB292" s="1561"/>
      <c r="AC292" s="1561"/>
      <c r="AD292" s="1685"/>
      <c r="AE292" s="1561"/>
      <c r="AF292" s="1565"/>
      <c r="AG292" s="1541">
        <f t="shared" si="60"/>
        <v>0</v>
      </c>
      <c r="AH292" s="1565"/>
      <c r="AI292" s="1565"/>
      <c r="AJ292" s="1565"/>
      <c r="AK292" s="1565"/>
      <c r="AL292" s="1650">
        <v>1</v>
      </c>
      <c r="AM292" s="1565"/>
      <c r="AN292" s="1365"/>
      <c r="AO292" s="1365"/>
      <c r="AP292" s="1651"/>
      <c r="AQ292" s="1651"/>
      <c r="AR292" s="1651"/>
      <c r="AS292" s="1651"/>
      <c r="AT292" s="1594">
        <f t="shared" si="61"/>
        <v>0</v>
      </c>
      <c r="AU292" s="1651"/>
      <c r="AV292" s="1651"/>
      <c r="AW292" s="1651"/>
      <c r="AX292" s="1651"/>
      <c r="AY292" s="1412">
        <v>1</v>
      </c>
      <c r="AZ292" s="1562"/>
      <c r="BA292" s="1562"/>
      <c r="BB292" s="1689"/>
      <c r="BC292" s="1686"/>
      <c r="BD292" s="1686" t="s">
        <v>1809</v>
      </c>
      <c r="BE292" s="1687" t="s">
        <v>1809</v>
      </c>
    </row>
    <row r="293" spans="1:58" customFormat="1" ht="41.25" customHeight="1" outlineLevel="1" x14ac:dyDescent="0.35">
      <c r="A293" s="1679">
        <v>27.7</v>
      </c>
      <c r="B293" s="1680" t="s">
        <v>1977</v>
      </c>
      <c r="C293" s="1662" t="s">
        <v>938</v>
      </c>
      <c r="D293" s="1563" t="s">
        <v>1754</v>
      </c>
      <c r="E293" s="1637"/>
      <c r="F293" s="1360"/>
      <c r="G293" s="1412">
        <v>2.6</v>
      </c>
      <c r="H293" s="1412"/>
      <c r="I293" s="1422"/>
      <c r="J293" s="1422"/>
      <c r="K293" s="1366"/>
      <c r="L293" s="1365"/>
      <c r="M293" s="1365"/>
      <c r="N293" s="1369"/>
      <c r="O293" s="1383" t="s">
        <v>1960</v>
      </c>
      <c r="P293" s="1562"/>
      <c r="Q293" s="1562"/>
      <c r="R293" s="1562"/>
      <c r="S293" s="1562"/>
      <c r="T293" s="1594">
        <f t="shared" si="59"/>
        <v>0</v>
      </c>
      <c r="U293" s="1562"/>
      <c r="V293" s="1562"/>
      <c r="W293" s="1562"/>
      <c r="X293" s="1562"/>
      <c r="Y293" s="1412">
        <v>2.6</v>
      </c>
      <c r="Z293" s="1562"/>
      <c r="AA293" s="1562"/>
      <c r="AB293" s="1561"/>
      <c r="AC293" s="1561"/>
      <c r="AD293" s="1685"/>
      <c r="AE293" s="1561"/>
      <c r="AF293" s="1565"/>
      <c r="AG293" s="1541">
        <f t="shared" si="60"/>
        <v>0</v>
      </c>
      <c r="AH293" s="1565"/>
      <c r="AI293" s="1565"/>
      <c r="AJ293" s="1565"/>
      <c r="AK293" s="1565"/>
      <c r="AL293" s="1650">
        <v>1</v>
      </c>
      <c r="AM293" s="1565"/>
      <c r="AN293" s="1365"/>
      <c r="AO293" s="1365"/>
      <c r="AP293" s="1651"/>
      <c r="AQ293" s="1651"/>
      <c r="AR293" s="1651"/>
      <c r="AS293" s="1651"/>
      <c r="AT293" s="1594">
        <f t="shared" si="61"/>
        <v>0</v>
      </c>
      <c r="AU293" s="1651"/>
      <c r="AV293" s="1651"/>
      <c r="AW293" s="1651"/>
      <c r="AX293" s="1651"/>
      <c r="AY293" s="1412">
        <v>2.6</v>
      </c>
      <c r="AZ293" s="1562"/>
      <c r="BA293" s="1562"/>
      <c r="BB293" s="1689"/>
      <c r="BC293" s="1686"/>
      <c r="BD293" s="1686" t="s">
        <v>1809</v>
      </c>
      <c r="BE293" s="1687" t="s">
        <v>1809</v>
      </c>
    </row>
    <row r="294" spans="1:58" customFormat="1" ht="41.25" customHeight="1" outlineLevel="1" x14ac:dyDescent="0.35">
      <c r="A294" s="1679">
        <v>27.8</v>
      </c>
      <c r="B294" s="1680" t="s">
        <v>1978</v>
      </c>
      <c r="C294" s="1662" t="s">
        <v>938</v>
      </c>
      <c r="D294" s="1563" t="s">
        <v>1754</v>
      </c>
      <c r="E294" s="1637"/>
      <c r="F294" s="1360"/>
      <c r="G294" s="1412">
        <v>3.5</v>
      </c>
      <c r="H294" s="1412"/>
      <c r="I294" s="1422"/>
      <c r="J294" s="1422"/>
      <c r="K294" s="1366"/>
      <c r="L294" s="1365"/>
      <c r="M294" s="1365"/>
      <c r="N294" s="1369"/>
      <c r="O294" s="1383" t="s">
        <v>1960</v>
      </c>
      <c r="P294" s="1562"/>
      <c r="Q294" s="1562"/>
      <c r="R294" s="1562"/>
      <c r="S294" s="1562"/>
      <c r="T294" s="1594">
        <f t="shared" si="59"/>
        <v>0</v>
      </c>
      <c r="U294" s="1562"/>
      <c r="V294" s="1562"/>
      <c r="W294" s="1562"/>
      <c r="X294" s="1562"/>
      <c r="Y294" s="1412">
        <v>3.5</v>
      </c>
      <c r="Z294" s="1562"/>
      <c r="AA294" s="1562"/>
      <c r="AB294" s="1561"/>
      <c r="AC294" s="1561"/>
      <c r="AD294" s="1685"/>
      <c r="AE294" s="1561"/>
      <c r="AF294" s="1565"/>
      <c r="AG294" s="1541">
        <f t="shared" si="60"/>
        <v>0</v>
      </c>
      <c r="AH294" s="1565"/>
      <c r="AI294" s="1565"/>
      <c r="AJ294" s="1565"/>
      <c r="AK294" s="1565"/>
      <c r="AL294" s="1650">
        <v>1</v>
      </c>
      <c r="AM294" s="1565"/>
      <c r="AN294" s="1365"/>
      <c r="AO294" s="1365"/>
      <c r="AP294" s="1651"/>
      <c r="AQ294" s="1651"/>
      <c r="AR294" s="1651"/>
      <c r="AS294" s="1651"/>
      <c r="AT294" s="1594">
        <f t="shared" si="61"/>
        <v>0</v>
      </c>
      <c r="AU294" s="1651"/>
      <c r="AV294" s="1651"/>
      <c r="AW294" s="1651"/>
      <c r="AX294" s="1651"/>
      <c r="AY294" s="1412">
        <v>3.5</v>
      </c>
      <c r="AZ294" s="1562"/>
      <c r="BA294" s="1562"/>
      <c r="BB294" s="1689"/>
      <c r="BC294" s="1686"/>
      <c r="BD294" s="1686" t="s">
        <v>1809</v>
      </c>
      <c r="BE294" s="1687" t="s">
        <v>1809</v>
      </c>
    </row>
    <row r="295" spans="1:58" customFormat="1" ht="41.25" customHeight="1" outlineLevel="1" x14ac:dyDescent="0.35">
      <c r="A295" s="1679">
        <v>27.9</v>
      </c>
      <c r="B295" s="1680" t="s">
        <v>1979</v>
      </c>
      <c r="C295" s="1662" t="s">
        <v>938</v>
      </c>
      <c r="D295" s="1563" t="s">
        <v>1754</v>
      </c>
      <c r="E295" s="1637"/>
      <c r="F295" s="1360"/>
      <c r="G295" s="1412">
        <v>0.5</v>
      </c>
      <c r="H295" s="1412"/>
      <c r="I295" s="1422"/>
      <c r="J295" s="1422"/>
      <c r="K295" s="1366"/>
      <c r="L295" s="1365"/>
      <c r="M295" s="1365"/>
      <c r="N295" s="1369"/>
      <c r="O295" s="1383" t="s">
        <v>1960</v>
      </c>
      <c r="P295" s="1562"/>
      <c r="Q295" s="1562"/>
      <c r="R295" s="1562"/>
      <c r="S295" s="1562"/>
      <c r="T295" s="1594">
        <f t="shared" si="59"/>
        <v>0</v>
      </c>
      <c r="U295" s="1562"/>
      <c r="V295" s="1562"/>
      <c r="W295" s="1562"/>
      <c r="X295" s="1562"/>
      <c r="Y295" s="1412">
        <v>0.5</v>
      </c>
      <c r="Z295" s="1562"/>
      <c r="AA295" s="1562"/>
      <c r="AB295" s="1561"/>
      <c r="AC295" s="1561"/>
      <c r="AD295" s="1685"/>
      <c r="AE295" s="1561"/>
      <c r="AF295" s="1565"/>
      <c r="AG295" s="1541">
        <f t="shared" si="60"/>
        <v>0</v>
      </c>
      <c r="AH295" s="1565"/>
      <c r="AI295" s="1565"/>
      <c r="AJ295" s="1565"/>
      <c r="AK295" s="1565"/>
      <c r="AL295" s="1650">
        <v>1</v>
      </c>
      <c r="AM295" s="1565"/>
      <c r="AN295" s="1365"/>
      <c r="AO295" s="1365"/>
      <c r="AP295" s="1651"/>
      <c r="AQ295" s="1651"/>
      <c r="AR295" s="1651"/>
      <c r="AS295" s="1651"/>
      <c r="AT295" s="1594">
        <f t="shared" si="61"/>
        <v>0</v>
      </c>
      <c r="AU295" s="1651"/>
      <c r="AV295" s="1651"/>
      <c r="AW295" s="1651"/>
      <c r="AX295" s="1651"/>
      <c r="AY295" s="1412">
        <v>0.5</v>
      </c>
      <c r="AZ295" s="1562"/>
      <c r="BA295" s="1562"/>
      <c r="BB295" s="1689"/>
      <c r="BC295" s="1686"/>
      <c r="BD295" s="1686" t="s">
        <v>1809</v>
      </c>
      <c r="BE295" s="1687" t="s">
        <v>1809</v>
      </c>
    </row>
    <row r="296" spans="1:58" customFormat="1" ht="41.25" customHeight="1" outlineLevel="1" x14ac:dyDescent="0.35">
      <c r="A296" s="1679">
        <v>27.1</v>
      </c>
      <c r="B296" s="1680" t="s">
        <v>1980</v>
      </c>
      <c r="C296" s="1662" t="s">
        <v>938</v>
      </c>
      <c r="D296" s="1563" t="s">
        <v>1754</v>
      </c>
      <c r="E296" s="1637"/>
      <c r="F296" s="1360"/>
      <c r="G296" s="1412">
        <v>1.89</v>
      </c>
      <c r="H296" s="1412"/>
      <c r="I296" s="1422"/>
      <c r="J296" s="1422"/>
      <c r="K296" s="1366"/>
      <c r="L296" s="1365"/>
      <c r="M296" s="1365"/>
      <c r="N296" s="1369"/>
      <c r="O296" s="1383" t="s">
        <v>1960</v>
      </c>
      <c r="P296" s="1562"/>
      <c r="Q296" s="1562"/>
      <c r="R296" s="1562"/>
      <c r="S296" s="1562"/>
      <c r="T296" s="1594">
        <f t="shared" si="59"/>
        <v>0</v>
      </c>
      <c r="U296" s="1562"/>
      <c r="V296" s="1562"/>
      <c r="W296" s="1562"/>
      <c r="X296" s="1562"/>
      <c r="Y296" s="1412">
        <v>1.89</v>
      </c>
      <c r="Z296" s="1562"/>
      <c r="AA296" s="1562"/>
      <c r="AB296" s="1561"/>
      <c r="AC296" s="1561"/>
      <c r="AD296" s="1685"/>
      <c r="AE296" s="1561"/>
      <c r="AF296" s="1565"/>
      <c r="AG296" s="1541">
        <f t="shared" si="60"/>
        <v>0</v>
      </c>
      <c r="AH296" s="1565"/>
      <c r="AI296" s="1565"/>
      <c r="AJ296" s="1565"/>
      <c r="AK296" s="1565"/>
      <c r="AL296" s="1650">
        <v>1</v>
      </c>
      <c r="AM296" s="1565"/>
      <c r="AN296" s="1365"/>
      <c r="AO296" s="1365"/>
      <c r="AP296" s="1651"/>
      <c r="AQ296" s="1651"/>
      <c r="AR296" s="1651"/>
      <c r="AS296" s="1651"/>
      <c r="AT296" s="1594">
        <f t="shared" si="61"/>
        <v>0</v>
      </c>
      <c r="AU296" s="1651"/>
      <c r="AV296" s="1651"/>
      <c r="AW296" s="1651"/>
      <c r="AX296" s="1651"/>
      <c r="AY296" s="1412">
        <v>1.89</v>
      </c>
      <c r="AZ296" s="1562"/>
      <c r="BA296" s="1562"/>
      <c r="BB296" s="1689"/>
      <c r="BC296" s="1686"/>
      <c r="BD296" s="1686" t="s">
        <v>1809</v>
      </c>
      <c r="BE296" s="1687" t="s">
        <v>1809</v>
      </c>
    </row>
    <row r="297" spans="1:58" customFormat="1" ht="41.25" customHeight="1" outlineLevel="1" x14ac:dyDescent="0.35">
      <c r="A297" s="1679">
        <v>27.11</v>
      </c>
      <c r="B297" s="1680" t="s">
        <v>1981</v>
      </c>
      <c r="C297" s="1662" t="s">
        <v>938</v>
      </c>
      <c r="D297" s="1563" t="s">
        <v>1754</v>
      </c>
      <c r="E297" s="1637"/>
      <c r="F297" s="1360"/>
      <c r="G297" s="1412">
        <v>2.5</v>
      </c>
      <c r="H297" s="1412"/>
      <c r="I297" s="1422"/>
      <c r="J297" s="1422"/>
      <c r="K297" s="1366"/>
      <c r="L297" s="1365"/>
      <c r="M297" s="1365"/>
      <c r="N297" s="1369"/>
      <c r="O297" s="1383" t="s">
        <v>1960</v>
      </c>
      <c r="P297" s="1562"/>
      <c r="Q297" s="1562"/>
      <c r="R297" s="1562"/>
      <c r="S297" s="1562"/>
      <c r="T297" s="1594">
        <f t="shared" si="59"/>
        <v>0</v>
      </c>
      <c r="U297" s="1562"/>
      <c r="V297" s="1562"/>
      <c r="W297" s="1562"/>
      <c r="X297" s="1562"/>
      <c r="Y297" s="1412">
        <v>2.5</v>
      </c>
      <c r="Z297" s="1562"/>
      <c r="AA297" s="1562"/>
      <c r="AB297" s="1561"/>
      <c r="AC297" s="1561"/>
      <c r="AD297" s="1685"/>
      <c r="AE297" s="1561"/>
      <c r="AF297" s="1565"/>
      <c r="AG297" s="1541">
        <f t="shared" si="60"/>
        <v>0</v>
      </c>
      <c r="AH297" s="1565"/>
      <c r="AI297" s="1565"/>
      <c r="AJ297" s="1565"/>
      <c r="AK297" s="1565"/>
      <c r="AL297" s="1650">
        <v>1</v>
      </c>
      <c r="AM297" s="1565"/>
      <c r="AN297" s="1365"/>
      <c r="AO297" s="1365"/>
      <c r="AP297" s="1651"/>
      <c r="AQ297" s="1651"/>
      <c r="AR297" s="1651"/>
      <c r="AS297" s="1651"/>
      <c r="AT297" s="1594">
        <f t="shared" si="61"/>
        <v>0</v>
      </c>
      <c r="AU297" s="1651"/>
      <c r="AV297" s="1651"/>
      <c r="AW297" s="1651"/>
      <c r="AX297" s="1651"/>
      <c r="AY297" s="1412">
        <v>2.5</v>
      </c>
      <c r="AZ297" s="1562"/>
      <c r="BA297" s="1562"/>
      <c r="BB297" s="1689"/>
      <c r="BC297" s="1686"/>
      <c r="BD297" s="1686" t="s">
        <v>1809</v>
      </c>
      <c r="BE297" s="1687" t="s">
        <v>1809</v>
      </c>
    </row>
    <row r="298" spans="1:58" customFormat="1" ht="33.75" customHeight="1" outlineLevel="1" x14ac:dyDescent="0.25">
      <c r="A298" s="1562"/>
      <c r="B298" s="1682" t="s">
        <v>413</v>
      </c>
      <c r="C298" s="1682"/>
      <c r="D298" s="1563" t="s">
        <v>1754</v>
      </c>
      <c r="E298" s="1682"/>
      <c r="F298" s="1682"/>
      <c r="G298" s="1682"/>
      <c r="H298" s="1682"/>
      <c r="I298" s="1683"/>
      <c r="J298" s="1683"/>
      <c r="K298" s="1682"/>
      <c r="L298" s="1682"/>
      <c r="M298" s="1682"/>
      <c r="N298" s="1682"/>
      <c r="O298" s="1682"/>
      <c r="P298" s="1562">
        <v>0</v>
      </c>
      <c r="Q298" s="1562">
        <v>0</v>
      </c>
      <c r="R298" s="1562">
        <v>0</v>
      </c>
      <c r="S298" s="1562">
        <v>0</v>
      </c>
      <c r="T298" s="1594">
        <f t="shared" si="59"/>
        <v>0</v>
      </c>
      <c r="U298" s="1562">
        <v>0</v>
      </c>
      <c r="V298" s="1562">
        <v>0</v>
      </c>
      <c r="W298" s="1562">
        <v>0</v>
      </c>
      <c r="X298" s="1562">
        <v>0</v>
      </c>
      <c r="Y298" s="1562">
        <v>0</v>
      </c>
      <c r="Z298" s="1562"/>
      <c r="AA298" s="1562"/>
      <c r="AB298" s="1562"/>
      <c r="AC298" s="1565"/>
      <c r="AD298" s="1565"/>
      <c r="AE298" s="1565"/>
      <c r="AF298" s="1565"/>
      <c r="AG298" s="1541">
        <f t="shared" si="60"/>
        <v>0</v>
      </c>
      <c r="AH298" s="1565"/>
      <c r="AI298" s="1565"/>
      <c r="AJ298" s="1565"/>
      <c r="AK298" s="1565"/>
      <c r="AL298" s="1565"/>
      <c r="AM298" s="1565"/>
      <c r="AN298" s="1565"/>
      <c r="AO298" s="1565"/>
      <c r="AP298" s="1651"/>
      <c r="AQ298" s="1651"/>
      <c r="AR298" s="1651"/>
      <c r="AS298" s="1651"/>
      <c r="AT298" s="1594">
        <f t="shared" si="61"/>
        <v>0</v>
      </c>
      <c r="AU298" s="1651"/>
      <c r="AV298" s="1651"/>
      <c r="AW298" s="1651"/>
      <c r="AX298" s="1651"/>
      <c r="AY298" s="1689"/>
      <c r="AZ298" s="1651">
        <v>0</v>
      </c>
      <c r="BA298" s="1651">
        <v>0</v>
      </c>
      <c r="BB298" s="1651">
        <v>0</v>
      </c>
      <c r="BC298" s="1689"/>
      <c r="BD298" s="1690" t="s">
        <v>1809</v>
      </c>
      <c r="BE298" s="1695" t="s">
        <v>1809</v>
      </c>
    </row>
    <row r="299" spans="1:58" s="1432" customFormat="1" ht="46.5" outlineLevel="1" x14ac:dyDescent="0.35">
      <c r="A299" s="1679">
        <v>28</v>
      </c>
      <c r="B299" s="1693" t="s">
        <v>1958</v>
      </c>
      <c r="C299" s="1655" t="s">
        <v>931</v>
      </c>
      <c r="D299" s="1563" t="s">
        <v>1754</v>
      </c>
      <c r="E299" s="1701"/>
      <c r="F299" s="1424"/>
      <c r="G299" s="1694"/>
      <c r="H299" s="1425"/>
      <c r="I299" s="1426"/>
      <c r="J299" s="1426"/>
      <c r="K299" s="1427"/>
      <c r="L299" s="1428"/>
      <c r="M299" s="1428"/>
      <c r="N299" s="1429"/>
      <c r="O299" s="1430"/>
      <c r="P299" s="1689"/>
      <c r="Q299" s="1689"/>
      <c r="R299" s="1689"/>
      <c r="S299" s="1689"/>
      <c r="T299" s="1594">
        <f t="shared" si="59"/>
        <v>0</v>
      </c>
      <c r="U299" s="1689"/>
      <c r="V299" s="1689"/>
      <c r="W299" s="1689"/>
      <c r="X299" s="1689"/>
      <c r="Y299" s="1689"/>
      <c r="Z299" s="1689"/>
      <c r="AA299" s="1689"/>
      <c r="AB299" s="1689"/>
      <c r="AC299" s="1689"/>
      <c r="AD299" s="1689"/>
      <c r="AE299" s="1689"/>
      <c r="AF299" s="1689"/>
      <c r="AG299" s="1541">
        <f t="shared" si="60"/>
        <v>0</v>
      </c>
      <c r="AH299" s="1689"/>
      <c r="AI299" s="1689"/>
      <c r="AJ299" s="1689"/>
      <c r="AK299" s="1689"/>
      <c r="AL299" s="1689"/>
      <c r="AM299" s="1689"/>
      <c r="AN299" s="1689"/>
      <c r="AO299" s="1689"/>
      <c r="AP299" s="1689"/>
      <c r="AQ299" s="1689"/>
      <c r="AR299" s="1689"/>
      <c r="AS299" s="1689"/>
      <c r="AT299" s="1594">
        <f t="shared" si="61"/>
        <v>0</v>
      </c>
      <c r="AU299" s="1689"/>
      <c r="AV299" s="1689"/>
      <c r="AW299" s="1689"/>
      <c r="AX299" s="1689"/>
      <c r="AY299" s="1689"/>
      <c r="AZ299" s="1689"/>
      <c r="BA299" s="1689"/>
      <c r="BB299" s="1689"/>
      <c r="BC299" s="1686"/>
      <c r="BD299" s="1686" t="s">
        <v>1809</v>
      </c>
      <c r="BE299" s="1687" t="s">
        <v>1809</v>
      </c>
      <c r="BF299" s="1431"/>
    </row>
    <row r="300" spans="1:58" customFormat="1" ht="41.25" customHeight="1" outlineLevel="1" x14ac:dyDescent="0.35">
      <c r="A300" s="1679">
        <v>28.1</v>
      </c>
      <c r="B300" s="1680" t="s">
        <v>1982</v>
      </c>
      <c r="C300" s="1662" t="s">
        <v>938</v>
      </c>
      <c r="D300" s="1563" t="s">
        <v>1754</v>
      </c>
      <c r="E300" s="1637"/>
      <c r="F300" s="1360"/>
      <c r="G300" s="1412">
        <v>13.32</v>
      </c>
      <c r="H300" s="1412"/>
      <c r="I300" s="1422"/>
      <c r="J300" s="1422"/>
      <c r="K300" s="1366"/>
      <c r="L300" s="1365"/>
      <c r="M300" s="1365"/>
      <c r="N300" s="1369"/>
      <c r="O300" s="1383" t="s">
        <v>1960</v>
      </c>
      <c r="P300" s="1562"/>
      <c r="Q300" s="1562"/>
      <c r="R300" s="1562"/>
      <c r="S300" s="1562"/>
      <c r="T300" s="1594">
        <f t="shared" si="59"/>
        <v>0</v>
      </c>
      <c r="U300" s="1562"/>
      <c r="V300" s="1562"/>
      <c r="W300" s="1562"/>
      <c r="X300" s="1562"/>
      <c r="Y300" s="1562"/>
      <c r="Z300" s="1412">
        <v>13.32</v>
      </c>
      <c r="AA300" s="1562"/>
      <c r="AB300" s="1561"/>
      <c r="AC300" s="1561"/>
      <c r="AD300" s="1685"/>
      <c r="AE300" s="1561"/>
      <c r="AF300" s="1565"/>
      <c r="AG300" s="1541">
        <f t="shared" si="60"/>
        <v>0</v>
      </c>
      <c r="AH300" s="1565"/>
      <c r="AI300" s="1565"/>
      <c r="AJ300" s="1565"/>
      <c r="AK300" s="1565"/>
      <c r="AL300" s="1565"/>
      <c r="AM300" s="1650">
        <v>1</v>
      </c>
      <c r="AN300" s="1365"/>
      <c r="AO300" s="1365"/>
      <c r="AP300" s="1651"/>
      <c r="AQ300" s="1651"/>
      <c r="AR300" s="1651"/>
      <c r="AS300" s="1651"/>
      <c r="AT300" s="1594">
        <f t="shared" si="61"/>
        <v>0</v>
      </c>
      <c r="AU300" s="1651"/>
      <c r="AV300" s="1651"/>
      <c r="AW300" s="1651"/>
      <c r="AX300" s="1651"/>
      <c r="AY300" s="1651"/>
      <c r="AZ300" s="1412">
        <v>13.32</v>
      </c>
      <c r="BA300" s="1562"/>
      <c r="BB300" s="1689"/>
      <c r="BC300" s="1686"/>
      <c r="BD300" s="1686" t="s">
        <v>1809</v>
      </c>
      <c r="BE300" s="1687" t="s">
        <v>1809</v>
      </c>
    </row>
    <row r="301" spans="1:58" customFormat="1" ht="41.25" customHeight="1" outlineLevel="1" x14ac:dyDescent="0.35">
      <c r="A301" s="1679">
        <v>28.2</v>
      </c>
      <c r="B301" s="1680" t="s">
        <v>1983</v>
      </c>
      <c r="C301" s="1662" t="s">
        <v>938</v>
      </c>
      <c r="D301" s="1563" t="s">
        <v>1754</v>
      </c>
      <c r="E301" s="1637"/>
      <c r="F301" s="1360"/>
      <c r="G301" s="1412">
        <v>1.17</v>
      </c>
      <c r="H301" s="1412"/>
      <c r="I301" s="1422"/>
      <c r="J301" s="1422"/>
      <c r="K301" s="1366"/>
      <c r="L301" s="1365"/>
      <c r="M301" s="1365"/>
      <c r="N301" s="1369"/>
      <c r="O301" s="1383" t="s">
        <v>1960</v>
      </c>
      <c r="P301" s="1562"/>
      <c r="Q301" s="1562"/>
      <c r="R301" s="1562"/>
      <c r="S301" s="1562"/>
      <c r="T301" s="1594">
        <f t="shared" si="59"/>
        <v>0</v>
      </c>
      <c r="U301" s="1562"/>
      <c r="V301" s="1562"/>
      <c r="W301" s="1562"/>
      <c r="X301" s="1562"/>
      <c r="Y301" s="1562"/>
      <c r="Z301" s="1412">
        <v>1.17</v>
      </c>
      <c r="AA301" s="1562"/>
      <c r="AB301" s="1561"/>
      <c r="AC301" s="1561"/>
      <c r="AD301" s="1685"/>
      <c r="AE301" s="1561"/>
      <c r="AF301" s="1565"/>
      <c r="AG301" s="1541">
        <f t="shared" si="60"/>
        <v>0</v>
      </c>
      <c r="AH301" s="1565"/>
      <c r="AI301" s="1565"/>
      <c r="AJ301" s="1565"/>
      <c r="AK301" s="1565"/>
      <c r="AL301" s="1565"/>
      <c r="AM301" s="1650">
        <v>1</v>
      </c>
      <c r="AN301" s="1365"/>
      <c r="AO301" s="1365"/>
      <c r="AP301" s="1651"/>
      <c r="AQ301" s="1651"/>
      <c r="AR301" s="1651"/>
      <c r="AS301" s="1651"/>
      <c r="AT301" s="1594">
        <f t="shared" si="61"/>
        <v>0</v>
      </c>
      <c r="AU301" s="1651"/>
      <c r="AV301" s="1651"/>
      <c r="AW301" s="1651"/>
      <c r="AX301" s="1651"/>
      <c r="AY301" s="1651"/>
      <c r="AZ301" s="1412">
        <v>1.17</v>
      </c>
      <c r="BA301" s="1562"/>
      <c r="BB301" s="1689"/>
      <c r="BC301" s="1686"/>
      <c r="BD301" s="1686" t="s">
        <v>1809</v>
      </c>
      <c r="BE301" s="1687" t="s">
        <v>1809</v>
      </c>
    </row>
    <row r="302" spans="1:58" customFormat="1" ht="41.25" customHeight="1" outlineLevel="1" x14ac:dyDescent="0.35">
      <c r="A302" s="1679">
        <v>28.3</v>
      </c>
      <c r="B302" s="1680" t="s">
        <v>1984</v>
      </c>
      <c r="C302" s="1662" t="s">
        <v>938</v>
      </c>
      <c r="D302" s="1563" t="s">
        <v>1754</v>
      </c>
      <c r="E302" s="1637"/>
      <c r="F302" s="1360"/>
      <c r="G302" s="1412">
        <v>2.08</v>
      </c>
      <c r="H302" s="1412"/>
      <c r="I302" s="1422"/>
      <c r="J302" s="1422"/>
      <c r="K302" s="1366"/>
      <c r="L302" s="1365"/>
      <c r="M302" s="1365"/>
      <c r="N302" s="1369"/>
      <c r="O302" s="1383" t="s">
        <v>1960</v>
      </c>
      <c r="P302" s="1562"/>
      <c r="Q302" s="1562"/>
      <c r="R302" s="1562"/>
      <c r="S302" s="1562"/>
      <c r="T302" s="1594">
        <f t="shared" si="59"/>
        <v>0</v>
      </c>
      <c r="U302" s="1562"/>
      <c r="V302" s="1562"/>
      <c r="W302" s="1562"/>
      <c r="X302" s="1562"/>
      <c r="Y302" s="1562"/>
      <c r="Z302" s="1412">
        <v>2.08</v>
      </c>
      <c r="AA302" s="1562"/>
      <c r="AB302" s="1561"/>
      <c r="AC302" s="1561"/>
      <c r="AD302" s="1685"/>
      <c r="AE302" s="1561"/>
      <c r="AF302" s="1565"/>
      <c r="AG302" s="1541">
        <f t="shared" si="60"/>
        <v>0</v>
      </c>
      <c r="AH302" s="1565"/>
      <c r="AI302" s="1565"/>
      <c r="AJ302" s="1565"/>
      <c r="AK302" s="1565"/>
      <c r="AL302" s="1565"/>
      <c r="AM302" s="1650">
        <v>1</v>
      </c>
      <c r="AN302" s="1365"/>
      <c r="AO302" s="1365"/>
      <c r="AP302" s="1651"/>
      <c r="AQ302" s="1651"/>
      <c r="AR302" s="1651"/>
      <c r="AS302" s="1651"/>
      <c r="AT302" s="1594">
        <f t="shared" si="61"/>
        <v>0</v>
      </c>
      <c r="AU302" s="1651"/>
      <c r="AV302" s="1651"/>
      <c r="AW302" s="1651"/>
      <c r="AX302" s="1651"/>
      <c r="AY302" s="1651"/>
      <c r="AZ302" s="1412">
        <v>2.08</v>
      </c>
      <c r="BA302" s="1562"/>
      <c r="BB302" s="1689"/>
      <c r="BC302" s="1686"/>
      <c r="BD302" s="1686" t="s">
        <v>1809</v>
      </c>
      <c r="BE302" s="1687" t="s">
        <v>1809</v>
      </c>
    </row>
    <row r="303" spans="1:58" customFormat="1" ht="41.25" customHeight="1" outlineLevel="1" x14ac:dyDescent="0.35">
      <c r="A303" s="1679">
        <v>28.4</v>
      </c>
      <c r="B303" s="1680" t="s">
        <v>1985</v>
      </c>
      <c r="C303" s="1662" t="s">
        <v>938</v>
      </c>
      <c r="D303" s="1563" t="s">
        <v>1754</v>
      </c>
      <c r="E303" s="1637"/>
      <c r="F303" s="1360"/>
      <c r="G303" s="1412">
        <v>0.42</v>
      </c>
      <c r="H303" s="1412"/>
      <c r="I303" s="1422"/>
      <c r="J303" s="1422"/>
      <c r="K303" s="1366"/>
      <c r="L303" s="1365"/>
      <c r="M303" s="1365"/>
      <c r="N303" s="1369"/>
      <c r="O303" s="1383" t="s">
        <v>1960</v>
      </c>
      <c r="P303" s="1562"/>
      <c r="Q303" s="1562"/>
      <c r="R303" s="1562"/>
      <c r="S303" s="1562"/>
      <c r="T303" s="1594">
        <f t="shared" si="59"/>
        <v>0</v>
      </c>
      <c r="U303" s="1562"/>
      <c r="V303" s="1562"/>
      <c r="W303" s="1562"/>
      <c r="X303" s="1562"/>
      <c r="Y303" s="1562"/>
      <c r="Z303" s="1412">
        <v>0.42</v>
      </c>
      <c r="AA303" s="1562"/>
      <c r="AB303" s="1561"/>
      <c r="AC303" s="1561"/>
      <c r="AD303" s="1685"/>
      <c r="AE303" s="1561"/>
      <c r="AF303" s="1565"/>
      <c r="AG303" s="1541">
        <f t="shared" si="60"/>
        <v>0</v>
      </c>
      <c r="AH303" s="1565"/>
      <c r="AI303" s="1565"/>
      <c r="AJ303" s="1565"/>
      <c r="AK303" s="1565"/>
      <c r="AL303" s="1565"/>
      <c r="AM303" s="1650">
        <v>1</v>
      </c>
      <c r="AN303" s="1365"/>
      <c r="AO303" s="1365"/>
      <c r="AP303" s="1651"/>
      <c r="AQ303" s="1651"/>
      <c r="AR303" s="1651"/>
      <c r="AS303" s="1651"/>
      <c r="AT303" s="1594">
        <f t="shared" si="61"/>
        <v>0</v>
      </c>
      <c r="AU303" s="1651"/>
      <c r="AV303" s="1651"/>
      <c r="AW303" s="1651"/>
      <c r="AX303" s="1651"/>
      <c r="AY303" s="1651"/>
      <c r="AZ303" s="1412">
        <v>0.42</v>
      </c>
      <c r="BA303" s="1562"/>
      <c r="BB303" s="1689"/>
      <c r="BC303" s="1686"/>
      <c r="BD303" s="1686" t="s">
        <v>1809</v>
      </c>
      <c r="BE303" s="1687" t="s">
        <v>1809</v>
      </c>
    </row>
    <row r="304" spans="1:58" customFormat="1" ht="41.25" customHeight="1" outlineLevel="1" x14ac:dyDescent="0.35">
      <c r="A304" s="1679">
        <v>28.5</v>
      </c>
      <c r="B304" s="1680" t="s">
        <v>1986</v>
      </c>
      <c r="C304" s="1662" t="s">
        <v>938</v>
      </c>
      <c r="D304" s="1563" t="s">
        <v>1754</v>
      </c>
      <c r="E304" s="1637"/>
      <c r="F304" s="1360"/>
      <c r="G304" s="1412">
        <v>0.34</v>
      </c>
      <c r="H304" s="1412"/>
      <c r="I304" s="1422"/>
      <c r="J304" s="1422"/>
      <c r="K304" s="1366"/>
      <c r="L304" s="1365"/>
      <c r="M304" s="1365"/>
      <c r="N304" s="1369"/>
      <c r="O304" s="1383" t="s">
        <v>1960</v>
      </c>
      <c r="P304" s="1562"/>
      <c r="Q304" s="1562"/>
      <c r="R304" s="1562"/>
      <c r="S304" s="1562"/>
      <c r="T304" s="1594">
        <f t="shared" si="59"/>
        <v>0</v>
      </c>
      <c r="U304" s="1562"/>
      <c r="V304" s="1562"/>
      <c r="W304" s="1562"/>
      <c r="X304" s="1562"/>
      <c r="Y304" s="1562"/>
      <c r="Z304" s="1412">
        <v>0.34</v>
      </c>
      <c r="AA304" s="1562"/>
      <c r="AB304" s="1561"/>
      <c r="AC304" s="1561"/>
      <c r="AD304" s="1685"/>
      <c r="AE304" s="1561"/>
      <c r="AF304" s="1565"/>
      <c r="AG304" s="1541">
        <f t="shared" si="60"/>
        <v>0</v>
      </c>
      <c r="AH304" s="1565"/>
      <c r="AI304" s="1565"/>
      <c r="AJ304" s="1565"/>
      <c r="AK304" s="1565"/>
      <c r="AL304" s="1565"/>
      <c r="AM304" s="1650">
        <v>1</v>
      </c>
      <c r="AN304" s="1365"/>
      <c r="AO304" s="1365"/>
      <c r="AP304" s="1651"/>
      <c r="AQ304" s="1651"/>
      <c r="AR304" s="1651"/>
      <c r="AS304" s="1651"/>
      <c r="AT304" s="1594">
        <f t="shared" si="61"/>
        <v>0</v>
      </c>
      <c r="AU304" s="1651"/>
      <c r="AV304" s="1651"/>
      <c r="AW304" s="1651"/>
      <c r="AX304" s="1651"/>
      <c r="AY304" s="1651"/>
      <c r="AZ304" s="1412">
        <v>0.34</v>
      </c>
      <c r="BA304" s="1562"/>
      <c r="BB304" s="1689"/>
      <c r="BC304" s="1686"/>
      <c r="BD304" s="1686" t="s">
        <v>1809</v>
      </c>
      <c r="BE304" s="1687" t="s">
        <v>1809</v>
      </c>
    </row>
    <row r="305" spans="1:58" customFormat="1" ht="41.25" customHeight="1" outlineLevel="1" x14ac:dyDescent="0.35">
      <c r="A305" s="1679">
        <v>28.6</v>
      </c>
      <c r="B305" s="1680" t="s">
        <v>1987</v>
      </c>
      <c r="C305" s="1662" t="s">
        <v>938</v>
      </c>
      <c r="D305" s="1563" t="s">
        <v>1754</v>
      </c>
      <c r="E305" s="1637"/>
      <c r="F305" s="1360"/>
      <c r="G305" s="1412">
        <v>1.41</v>
      </c>
      <c r="H305" s="1412"/>
      <c r="I305" s="1422"/>
      <c r="J305" s="1422"/>
      <c r="K305" s="1366"/>
      <c r="L305" s="1365"/>
      <c r="M305" s="1365"/>
      <c r="N305" s="1369"/>
      <c r="O305" s="1383" t="s">
        <v>1960</v>
      </c>
      <c r="P305" s="1562"/>
      <c r="Q305" s="1562"/>
      <c r="R305" s="1562"/>
      <c r="S305" s="1562"/>
      <c r="T305" s="1594">
        <f t="shared" si="59"/>
        <v>0</v>
      </c>
      <c r="U305" s="1562"/>
      <c r="V305" s="1562"/>
      <c r="W305" s="1562"/>
      <c r="X305" s="1562"/>
      <c r="Y305" s="1562"/>
      <c r="Z305" s="1412">
        <v>1.41</v>
      </c>
      <c r="AA305" s="1562"/>
      <c r="AB305" s="1561"/>
      <c r="AC305" s="1561"/>
      <c r="AD305" s="1685"/>
      <c r="AE305" s="1561"/>
      <c r="AF305" s="1565"/>
      <c r="AG305" s="1541">
        <f t="shared" si="60"/>
        <v>0</v>
      </c>
      <c r="AH305" s="1565"/>
      <c r="AI305" s="1565"/>
      <c r="AJ305" s="1565"/>
      <c r="AK305" s="1565"/>
      <c r="AL305" s="1565"/>
      <c r="AM305" s="1650">
        <v>1</v>
      </c>
      <c r="AN305" s="1365"/>
      <c r="AO305" s="1365"/>
      <c r="AP305" s="1651"/>
      <c r="AQ305" s="1651"/>
      <c r="AR305" s="1651"/>
      <c r="AS305" s="1651"/>
      <c r="AT305" s="1594">
        <f t="shared" si="61"/>
        <v>0</v>
      </c>
      <c r="AU305" s="1651"/>
      <c r="AV305" s="1651"/>
      <c r="AW305" s="1651"/>
      <c r="AX305" s="1651"/>
      <c r="AY305" s="1651"/>
      <c r="AZ305" s="1412">
        <v>1.41</v>
      </c>
      <c r="BA305" s="1562"/>
      <c r="BB305" s="1689"/>
      <c r="BC305" s="1686"/>
      <c r="BD305" s="1686" t="s">
        <v>1809</v>
      </c>
      <c r="BE305" s="1687" t="s">
        <v>1809</v>
      </c>
    </row>
    <row r="306" spans="1:58" customFormat="1" ht="33.75" customHeight="1" outlineLevel="1" x14ac:dyDescent="0.35">
      <c r="A306" s="1562"/>
      <c r="B306" s="1682" t="s">
        <v>413</v>
      </c>
      <c r="C306" s="1682"/>
      <c r="D306" s="1563" t="s">
        <v>1754</v>
      </c>
      <c r="E306" s="1682"/>
      <c r="F306" s="1682"/>
      <c r="G306" s="1682"/>
      <c r="H306" s="1682"/>
      <c r="I306" s="1683"/>
      <c r="J306" s="1683"/>
      <c r="K306" s="1682"/>
      <c r="L306" s="1682"/>
      <c r="M306" s="1682"/>
      <c r="N306" s="1682"/>
      <c r="O306" s="1682"/>
      <c r="P306" s="1562">
        <v>0</v>
      </c>
      <c r="Q306" s="1562">
        <v>0</v>
      </c>
      <c r="R306" s="1562">
        <v>0</v>
      </c>
      <c r="S306" s="1562">
        <v>0</v>
      </c>
      <c r="T306" s="1594">
        <f t="shared" si="59"/>
        <v>0</v>
      </c>
      <c r="U306" s="1562">
        <v>0</v>
      </c>
      <c r="V306" s="1562">
        <v>0</v>
      </c>
      <c r="W306" s="1562">
        <v>0</v>
      </c>
      <c r="X306" s="1562">
        <v>0</v>
      </c>
      <c r="Y306" s="1562">
        <v>0</v>
      </c>
      <c r="Z306" s="1562"/>
      <c r="AA306" s="1562"/>
      <c r="AB306" s="1562"/>
      <c r="AC306" s="1565"/>
      <c r="AD306" s="1565"/>
      <c r="AE306" s="1565"/>
      <c r="AF306" s="1565"/>
      <c r="AG306" s="1541">
        <f t="shared" si="60"/>
        <v>0</v>
      </c>
      <c r="AH306" s="1565"/>
      <c r="AI306" s="1565"/>
      <c r="AJ306" s="1565"/>
      <c r="AK306" s="1565"/>
      <c r="AL306" s="1565"/>
      <c r="AM306" s="1565"/>
      <c r="AN306" s="1565"/>
      <c r="AO306" s="1565"/>
      <c r="AP306" s="1651"/>
      <c r="AQ306" s="1651"/>
      <c r="AR306" s="1651"/>
      <c r="AS306" s="1651"/>
      <c r="AT306" s="1594">
        <f t="shared" si="61"/>
        <v>0</v>
      </c>
      <c r="AU306" s="1651"/>
      <c r="AV306" s="1651"/>
      <c r="AW306" s="1651"/>
      <c r="AX306" s="1651"/>
      <c r="AY306" s="1689"/>
      <c r="AZ306" s="1651">
        <v>0</v>
      </c>
      <c r="BA306" s="1651">
        <v>0</v>
      </c>
      <c r="BB306" s="1651">
        <v>0</v>
      </c>
      <c r="BC306" s="1686"/>
      <c r="BD306" s="1686" t="s">
        <v>1809</v>
      </c>
      <c r="BE306" s="1687" t="s">
        <v>1809</v>
      </c>
    </row>
    <row r="307" spans="1:58" s="1432" customFormat="1" ht="51" customHeight="1" outlineLevel="1" x14ac:dyDescent="0.25">
      <c r="A307" s="1679">
        <v>29</v>
      </c>
      <c r="B307" s="1693" t="s">
        <v>1958</v>
      </c>
      <c r="C307" s="1655" t="s">
        <v>931</v>
      </c>
      <c r="D307" s="1563" t="s">
        <v>1754</v>
      </c>
      <c r="E307" s="1701"/>
      <c r="F307" s="1424"/>
      <c r="G307" s="1694"/>
      <c r="H307" s="1425"/>
      <c r="I307" s="1426"/>
      <c r="J307" s="1426"/>
      <c r="K307" s="1427"/>
      <c r="L307" s="1428"/>
      <c r="M307" s="1428"/>
      <c r="N307" s="1429"/>
      <c r="O307" s="1430"/>
      <c r="P307" s="1689"/>
      <c r="Q307" s="1689"/>
      <c r="R307" s="1689"/>
      <c r="S307" s="1689"/>
      <c r="T307" s="1594">
        <f t="shared" si="59"/>
        <v>0</v>
      </c>
      <c r="U307" s="1689"/>
      <c r="V307" s="1689"/>
      <c r="W307" s="1689"/>
      <c r="X307" s="1689"/>
      <c r="Y307" s="1689"/>
      <c r="Z307" s="1689"/>
      <c r="AA307" s="1689"/>
      <c r="AB307" s="1689"/>
      <c r="AC307" s="1689"/>
      <c r="AD307" s="1689"/>
      <c r="AE307" s="1689"/>
      <c r="AF307" s="1689"/>
      <c r="AG307" s="1541">
        <f t="shared" si="60"/>
        <v>0</v>
      </c>
      <c r="AH307" s="1689"/>
      <c r="AI307" s="1689"/>
      <c r="AJ307" s="1689"/>
      <c r="AK307" s="1689"/>
      <c r="AL307" s="1689"/>
      <c r="AM307" s="1689"/>
      <c r="AN307" s="1689"/>
      <c r="AO307" s="1689"/>
      <c r="AP307" s="1689"/>
      <c r="AQ307" s="1689"/>
      <c r="AR307" s="1689"/>
      <c r="AS307" s="1689"/>
      <c r="AT307" s="1594">
        <f t="shared" si="61"/>
        <v>0</v>
      </c>
      <c r="AU307" s="1689"/>
      <c r="AV307" s="1689"/>
      <c r="AW307" s="1689"/>
      <c r="AX307" s="1689"/>
      <c r="AY307" s="1689"/>
      <c r="AZ307" s="1689"/>
      <c r="BA307" s="1689"/>
      <c r="BB307" s="1689"/>
      <c r="BC307" s="1689"/>
      <c r="BD307" s="1690" t="s">
        <v>1809</v>
      </c>
      <c r="BE307" s="1695" t="s">
        <v>1809</v>
      </c>
      <c r="BF307" s="1431"/>
    </row>
    <row r="308" spans="1:58" customFormat="1" ht="41.25" customHeight="1" outlineLevel="1" x14ac:dyDescent="0.35">
      <c r="A308" s="1679">
        <v>29.1</v>
      </c>
      <c r="B308" s="1680" t="s">
        <v>1964</v>
      </c>
      <c r="C308" s="1662" t="s">
        <v>938</v>
      </c>
      <c r="D308" s="1563" t="s">
        <v>1754</v>
      </c>
      <c r="E308" s="1637"/>
      <c r="F308" s="1360"/>
      <c r="G308" s="1412">
        <v>6.61</v>
      </c>
      <c r="H308" s="1412"/>
      <c r="I308" s="1422"/>
      <c r="J308" s="1422"/>
      <c r="K308" s="1366"/>
      <c r="L308" s="1365"/>
      <c r="M308" s="1365"/>
      <c r="N308" s="1369"/>
      <c r="O308" s="1383" t="s">
        <v>1960</v>
      </c>
      <c r="P308" s="1562"/>
      <c r="Q308" s="1562"/>
      <c r="R308" s="1562"/>
      <c r="S308" s="1562"/>
      <c r="T308" s="1594">
        <f t="shared" si="59"/>
        <v>0</v>
      </c>
      <c r="U308" s="1562"/>
      <c r="V308" s="1562"/>
      <c r="W308" s="1562"/>
      <c r="X308" s="1562"/>
      <c r="Y308" s="1562"/>
      <c r="Z308" s="1562"/>
      <c r="AA308" s="1412">
        <v>6.61</v>
      </c>
      <c r="AB308" s="1561"/>
      <c r="AC308" s="1561"/>
      <c r="AD308" s="1685"/>
      <c r="AE308" s="1561"/>
      <c r="AF308" s="1565"/>
      <c r="AG308" s="1541">
        <f t="shared" si="60"/>
        <v>0</v>
      </c>
      <c r="AH308" s="1565"/>
      <c r="AI308" s="1565"/>
      <c r="AJ308" s="1565"/>
      <c r="AK308" s="1565"/>
      <c r="AL308" s="1565"/>
      <c r="AM308" s="1565"/>
      <c r="AN308" s="1650">
        <v>1</v>
      </c>
      <c r="AO308" s="1365"/>
      <c r="AP308" s="1651"/>
      <c r="AQ308" s="1651"/>
      <c r="AR308" s="1651"/>
      <c r="AS308" s="1651"/>
      <c r="AT308" s="1594">
        <f t="shared" si="61"/>
        <v>0</v>
      </c>
      <c r="AU308" s="1651"/>
      <c r="AV308" s="1651"/>
      <c r="AW308" s="1651"/>
      <c r="AX308" s="1651"/>
      <c r="AY308" s="1651"/>
      <c r="AZ308" s="1562"/>
      <c r="BA308" s="1412">
        <v>6.61</v>
      </c>
      <c r="BB308" s="1689"/>
      <c r="BC308" s="1686"/>
      <c r="BD308" s="1686" t="s">
        <v>1809</v>
      </c>
      <c r="BE308" s="1687" t="s">
        <v>1809</v>
      </c>
    </row>
    <row r="309" spans="1:58" customFormat="1" ht="41.25" customHeight="1" outlineLevel="1" x14ac:dyDescent="0.35">
      <c r="A309" s="1679">
        <v>29.2</v>
      </c>
      <c r="B309" s="1680" t="s">
        <v>1988</v>
      </c>
      <c r="C309" s="1662" t="s">
        <v>938</v>
      </c>
      <c r="D309" s="1563" t="s">
        <v>1754</v>
      </c>
      <c r="E309" s="1637"/>
      <c r="F309" s="1360"/>
      <c r="G309" s="1412">
        <v>3.5</v>
      </c>
      <c r="H309" s="1412"/>
      <c r="I309" s="1422"/>
      <c r="J309" s="1422"/>
      <c r="K309" s="1366"/>
      <c r="L309" s="1365"/>
      <c r="M309" s="1365"/>
      <c r="N309" s="1369"/>
      <c r="O309" s="1383" t="s">
        <v>1960</v>
      </c>
      <c r="P309" s="1562"/>
      <c r="Q309" s="1562"/>
      <c r="R309" s="1562"/>
      <c r="S309" s="1562"/>
      <c r="T309" s="1594">
        <f t="shared" si="59"/>
        <v>0</v>
      </c>
      <c r="U309" s="1562"/>
      <c r="V309" s="1562"/>
      <c r="W309" s="1562"/>
      <c r="X309" s="1562"/>
      <c r="Y309" s="1562"/>
      <c r="Z309" s="1562"/>
      <c r="AA309" s="1412">
        <v>3.5</v>
      </c>
      <c r="AB309" s="1561"/>
      <c r="AC309" s="1561"/>
      <c r="AD309" s="1685"/>
      <c r="AE309" s="1561"/>
      <c r="AF309" s="1565"/>
      <c r="AG309" s="1541">
        <f t="shared" si="60"/>
        <v>0</v>
      </c>
      <c r="AH309" s="1565"/>
      <c r="AI309" s="1565"/>
      <c r="AJ309" s="1565"/>
      <c r="AK309" s="1565"/>
      <c r="AL309" s="1565"/>
      <c r="AM309" s="1565"/>
      <c r="AN309" s="1650">
        <v>1</v>
      </c>
      <c r="AO309" s="1365"/>
      <c r="AP309" s="1651"/>
      <c r="AQ309" s="1651"/>
      <c r="AR309" s="1651"/>
      <c r="AS309" s="1651"/>
      <c r="AT309" s="1594">
        <f t="shared" si="61"/>
        <v>0</v>
      </c>
      <c r="AU309" s="1651"/>
      <c r="AV309" s="1651"/>
      <c r="AW309" s="1651"/>
      <c r="AX309" s="1651"/>
      <c r="AY309" s="1651"/>
      <c r="AZ309" s="1562"/>
      <c r="BA309" s="1412">
        <v>3.5</v>
      </c>
      <c r="BB309" s="1689"/>
      <c r="BC309" s="1686"/>
      <c r="BD309" s="1686" t="s">
        <v>1809</v>
      </c>
      <c r="BE309" s="1687" t="s">
        <v>1809</v>
      </c>
    </row>
    <row r="310" spans="1:58" customFormat="1" ht="41.25" customHeight="1" outlineLevel="1" x14ac:dyDescent="0.35">
      <c r="A310" s="1679">
        <v>29.3</v>
      </c>
      <c r="B310" s="1680" t="s">
        <v>1989</v>
      </c>
      <c r="C310" s="1662" t="s">
        <v>938</v>
      </c>
      <c r="D310" s="1563" t="s">
        <v>1754</v>
      </c>
      <c r="E310" s="1637"/>
      <c r="F310" s="1360"/>
      <c r="G310" s="1412">
        <v>1.41</v>
      </c>
      <c r="H310" s="1412"/>
      <c r="I310" s="1422"/>
      <c r="J310" s="1422"/>
      <c r="K310" s="1366"/>
      <c r="L310" s="1365"/>
      <c r="M310" s="1365"/>
      <c r="N310" s="1369"/>
      <c r="O310" s="1383" t="s">
        <v>1960</v>
      </c>
      <c r="P310" s="1562"/>
      <c r="Q310" s="1562"/>
      <c r="R310" s="1562"/>
      <c r="S310" s="1562"/>
      <c r="T310" s="1594">
        <f t="shared" si="59"/>
        <v>0</v>
      </c>
      <c r="U310" s="1562"/>
      <c r="V310" s="1562"/>
      <c r="W310" s="1562"/>
      <c r="X310" s="1562"/>
      <c r="Y310" s="1562"/>
      <c r="Z310" s="1562"/>
      <c r="AA310" s="1412">
        <v>1.41</v>
      </c>
      <c r="AB310" s="1561"/>
      <c r="AC310" s="1561"/>
      <c r="AD310" s="1685"/>
      <c r="AE310" s="1561"/>
      <c r="AF310" s="1565"/>
      <c r="AG310" s="1541">
        <f t="shared" si="60"/>
        <v>0</v>
      </c>
      <c r="AH310" s="1565"/>
      <c r="AI310" s="1565"/>
      <c r="AJ310" s="1565"/>
      <c r="AK310" s="1565"/>
      <c r="AL310" s="1565"/>
      <c r="AM310" s="1565"/>
      <c r="AN310" s="1650">
        <v>1</v>
      </c>
      <c r="AO310" s="1365"/>
      <c r="AP310" s="1651"/>
      <c r="AQ310" s="1651"/>
      <c r="AR310" s="1651"/>
      <c r="AS310" s="1651"/>
      <c r="AT310" s="1594">
        <f t="shared" si="61"/>
        <v>0</v>
      </c>
      <c r="AU310" s="1651"/>
      <c r="AV310" s="1651"/>
      <c r="AW310" s="1651"/>
      <c r="AX310" s="1651"/>
      <c r="AY310" s="1651"/>
      <c r="AZ310" s="1562"/>
      <c r="BA310" s="1412">
        <v>1.41</v>
      </c>
      <c r="BB310" s="1689"/>
      <c r="BC310" s="1686"/>
      <c r="BD310" s="1686" t="s">
        <v>1809</v>
      </c>
      <c r="BE310" s="1687" t="s">
        <v>1809</v>
      </c>
    </row>
    <row r="311" spans="1:58" customFormat="1" ht="33.75" customHeight="1" outlineLevel="1" x14ac:dyDescent="0.25">
      <c r="A311" s="1562"/>
      <c r="B311" s="1682" t="s">
        <v>413</v>
      </c>
      <c r="C311" s="1682"/>
      <c r="D311" s="1563" t="s">
        <v>1754</v>
      </c>
      <c r="E311" s="1682"/>
      <c r="F311" s="1682"/>
      <c r="G311" s="1682"/>
      <c r="H311" s="1682"/>
      <c r="I311" s="1683"/>
      <c r="J311" s="1683"/>
      <c r="K311" s="1682"/>
      <c r="L311" s="1682"/>
      <c r="M311" s="1682"/>
      <c r="N311" s="1682"/>
      <c r="O311" s="1682"/>
      <c r="P311" s="1562">
        <v>0</v>
      </c>
      <c r="Q311" s="1562">
        <v>0</v>
      </c>
      <c r="R311" s="1562">
        <v>0</v>
      </c>
      <c r="S311" s="1562">
        <v>0</v>
      </c>
      <c r="T311" s="1594">
        <f t="shared" si="59"/>
        <v>0</v>
      </c>
      <c r="U311" s="1562">
        <v>0</v>
      </c>
      <c r="V311" s="1562">
        <v>0</v>
      </c>
      <c r="W311" s="1562">
        <v>0</v>
      </c>
      <c r="X311" s="1562">
        <v>0</v>
      </c>
      <c r="Y311" s="1562">
        <v>0</v>
      </c>
      <c r="Z311" s="1562"/>
      <c r="AA311" s="1562"/>
      <c r="AB311" s="1562"/>
      <c r="AC311" s="1565"/>
      <c r="AD311" s="1565"/>
      <c r="AE311" s="1565"/>
      <c r="AF311" s="1565"/>
      <c r="AG311" s="1541">
        <f t="shared" si="60"/>
        <v>0</v>
      </c>
      <c r="AH311" s="1565"/>
      <c r="AI311" s="1565"/>
      <c r="AJ311" s="1565"/>
      <c r="AK311" s="1565"/>
      <c r="AL311" s="1565"/>
      <c r="AM311" s="1565"/>
      <c r="AN311" s="1565"/>
      <c r="AO311" s="1565"/>
      <c r="AP311" s="1651"/>
      <c r="AQ311" s="1651"/>
      <c r="AR311" s="1651"/>
      <c r="AS311" s="1651"/>
      <c r="AT311" s="1594">
        <f t="shared" si="61"/>
        <v>0</v>
      </c>
      <c r="AU311" s="1651"/>
      <c r="AV311" s="1651"/>
      <c r="AW311" s="1651"/>
      <c r="AX311" s="1651"/>
      <c r="AY311" s="1689"/>
      <c r="AZ311" s="1651">
        <v>0</v>
      </c>
      <c r="BA311" s="1651">
        <v>0</v>
      </c>
      <c r="BB311" s="1651">
        <v>0</v>
      </c>
      <c r="BC311" s="1689"/>
      <c r="BD311" s="1690"/>
      <c r="BE311" s="1695"/>
    </row>
    <row r="312" spans="1:58" s="1432" customFormat="1" ht="51" customHeight="1" outlineLevel="1" x14ac:dyDescent="0.35">
      <c r="A312" s="1679">
        <v>30</v>
      </c>
      <c r="B312" s="1693" t="s">
        <v>1958</v>
      </c>
      <c r="C312" s="1662" t="s">
        <v>938</v>
      </c>
      <c r="D312" s="1563" t="s">
        <v>1754</v>
      </c>
      <c r="E312" s="1701"/>
      <c r="F312" s="1424"/>
      <c r="G312" s="1694"/>
      <c r="H312" s="1425"/>
      <c r="I312" s="1426"/>
      <c r="J312" s="1426"/>
      <c r="K312" s="1427"/>
      <c r="L312" s="1428"/>
      <c r="M312" s="1428"/>
      <c r="N312" s="1429"/>
      <c r="O312" s="1430"/>
      <c r="P312" s="1689"/>
      <c r="Q312" s="1689"/>
      <c r="R312" s="1689"/>
      <c r="S312" s="1689"/>
      <c r="T312" s="1594">
        <f t="shared" si="59"/>
        <v>0</v>
      </c>
      <c r="U312" s="1689"/>
      <c r="V312" s="1689"/>
      <c r="W312" s="1689"/>
      <c r="X312" s="1689"/>
      <c r="Y312" s="1689"/>
      <c r="Z312" s="1689"/>
      <c r="AA312" s="1689"/>
      <c r="AB312" s="1689"/>
      <c r="AC312" s="1689"/>
      <c r="AD312" s="1689"/>
      <c r="AE312" s="1689"/>
      <c r="AF312" s="1689"/>
      <c r="AG312" s="1541">
        <f t="shared" si="60"/>
        <v>0</v>
      </c>
      <c r="AH312" s="1689"/>
      <c r="AI312" s="1689"/>
      <c r="AJ312" s="1689"/>
      <c r="AK312" s="1689"/>
      <c r="AL312" s="1689"/>
      <c r="AM312" s="1689"/>
      <c r="AN312" s="1689"/>
      <c r="AO312" s="1650">
        <v>1</v>
      </c>
      <c r="AP312" s="1689"/>
      <c r="AQ312" s="1689"/>
      <c r="AR312" s="1689"/>
      <c r="AS312" s="1689"/>
      <c r="AT312" s="1594">
        <f t="shared" si="61"/>
        <v>0</v>
      </c>
      <c r="AU312" s="1689"/>
      <c r="AV312" s="1689"/>
      <c r="AW312" s="1689"/>
      <c r="AX312" s="1689"/>
      <c r="AY312" s="1689"/>
      <c r="AZ312" s="1689"/>
      <c r="BA312" s="1689"/>
      <c r="BB312" s="1689"/>
      <c r="BC312" s="1686"/>
      <c r="BD312" s="1704" t="s">
        <v>1809</v>
      </c>
      <c r="BE312" s="1705" t="s">
        <v>1809</v>
      </c>
      <c r="BF312" s="1431"/>
    </row>
    <row r="313" spans="1:58" customFormat="1" ht="41.25" customHeight="1" outlineLevel="1" x14ac:dyDescent="0.35">
      <c r="A313" s="1679">
        <v>30.1</v>
      </c>
      <c r="B313" s="1680" t="s">
        <v>1990</v>
      </c>
      <c r="C313" s="1662" t="s">
        <v>938</v>
      </c>
      <c r="D313" s="1563" t="s">
        <v>1754</v>
      </c>
      <c r="E313" s="1637"/>
      <c r="F313" s="1360"/>
      <c r="G313" s="1412">
        <v>1.41</v>
      </c>
      <c r="H313" s="1412"/>
      <c r="I313" s="1422"/>
      <c r="J313" s="1422"/>
      <c r="K313" s="1366"/>
      <c r="L313" s="1365"/>
      <c r="M313" s="1365"/>
      <c r="N313" s="1369"/>
      <c r="O313" s="1383" t="s">
        <v>1960</v>
      </c>
      <c r="P313" s="1562"/>
      <c r="Q313" s="1562"/>
      <c r="R313" s="1562"/>
      <c r="S313" s="1562"/>
      <c r="T313" s="1594">
        <f t="shared" si="59"/>
        <v>0</v>
      </c>
      <c r="U313" s="1562"/>
      <c r="V313" s="1562"/>
      <c r="W313" s="1562"/>
      <c r="X313" s="1562"/>
      <c r="Y313" s="1562"/>
      <c r="Z313" s="1562"/>
      <c r="AA313" s="1562"/>
      <c r="AB313" s="1412">
        <v>1.41</v>
      </c>
      <c r="AC313" s="1561"/>
      <c r="AD313" s="1685"/>
      <c r="AE313" s="1561"/>
      <c r="AF313" s="1565"/>
      <c r="AG313" s="1541">
        <f t="shared" si="60"/>
        <v>0</v>
      </c>
      <c r="AH313" s="1565"/>
      <c r="AI313" s="1565"/>
      <c r="AJ313" s="1565"/>
      <c r="AK313" s="1565"/>
      <c r="AL313" s="1565"/>
      <c r="AM313" s="1565"/>
      <c r="AN313" s="1365"/>
      <c r="AO313" s="1650">
        <v>1</v>
      </c>
      <c r="AP313" s="1651"/>
      <c r="AQ313" s="1651"/>
      <c r="AR313" s="1651"/>
      <c r="AS313" s="1651"/>
      <c r="AT313" s="1594">
        <f t="shared" si="61"/>
        <v>0</v>
      </c>
      <c r="AU313" s="1651"/>
      <c r="AV313" s="1651"/>
      <c r="AW313" s="1651"/>
      <c r="AX313" s="1651"/>
      <c r="AY313" s="1651"/>
      <c r="AZ313" s="1562"/>
      <c r="BA313" s="1562"/>
      <c r="BB313" s="1412">
        <v>1.41</v>
      </c>
      <c r="BC313" s="1686"/>
      <c r="BD313" s="1686" t="s">
        <v>1809</v>
      </c>
      <c r="BE313" s="1687" t="s">
        <v>1809</v>
      </c>
    </row>
    <row r="314" spans="1:58" customFormat="1" ht="41.25" customHeight="1" outlineLevel="1" x14ac:dyDescent="0.35">
      <c r="A314" s="1679">
        <v>30.2</v>
      </c>
      <c r="B314" s="1680" t="s">
        <v>1991</v>
      </c>
      <c r="C314" s="1662" t="s">
        <v>938</v>
      </c>
      <c r="D314" s="1563" t="s">
        <v>1754</v>
      </c>
      <c r="E314" s="1637"/>
      <c r="F314" s="1360"/>
      <c r="G314" s="1412">
        <v>1.17</v>
      </c>
      <c r="H314" s="1412"/>
      <c r="I314" s="1422"/>
      <c r="J314" s="1422"/>
      <c r="K314" s="1366"/>
      <c r="L314" s="1365"/>
      <c r="M314" s="1365"/>
      <c r="N314" s="1369"/>
      <c r="O314" s="1383" t="s">
        <v>1960</v>
      </c>
      <c r="P314" s="1562"/>
      <c r="Q314" s="1562"/>
      <c r="R314" s="1562"/>
      <c r="S314" s="1562"/>
      <c r="T314" s="1594">
        <f t="shared" si="59"/>
        <v>0</v>
      </c>
      <c r="U314" s="1562"/>
      <c r="V314" s="1562"/>
      <c r="W314" s="1562"/>
      <c r="X314" s="1562"/>
      <c r="Y314" s="1562"/>
      <c r="Z314" s="1562"/>
      <c r="AA314" s="1562"/>
      <c r="AB314" s="1412">
        <v>1.17</v>
      </c>
      <c r="AC314" s="1561"/>
      <c r="AD314" s="1685"/>
      <c r="AE314" s="1561"/>
      <c r="AF314" s="1565"/>
      <c r="AG314" s="1541">
        <f t="shared" si="60"/>
        <v>0</v>
      </c>
      <c r="AH314" s="1565"/>
      <c r="AI314" s="1565"/>
      <c r="AJ314" s="1565"/>
      <c r="AK314" s="1565"/>
      <c r="AL314" s="1565"/>
      <c r="AM314" s="1565"/>
      <c r="AN314" s="1365"/>
      <c r="AO314" s="1650">
        <v>1</v>
      </c>
      <c r="AP314" s="1651"/>
      <c r="AQ314" s="1651"/>
      <c r="AR314" s="1651"/>
      <c r="AS314" s="1651"/>
      <c r="AT314" s="1594">
        <f t="shared" si="61"/>
        <v>0</v>
      </c>
      <c r="AU314" s="1651"/>
      <c r="AV314" s="1651"/>
      <c r="AW314" s="1651"/>
      <c r="AX314" s="1651"/>
      <c r="AY314" s="1651"/>
      <c r="AZ314" s="1562"/>
      <c r="BA314" s="1562"/>
      <c r="BB314" s="1412">
        <v>1.17</v>
      </c>
      <c r="BC314" s="1686"/>
      <c r="BD314" s="1686" t="s">
        <v>1809</v>
      </c>
      <c r="BE314" s="1687" t="s">
        <v>1809</v>
      </c>
    </row>
    <row r="315" spans="1:58" customFormat="1" ht="41.25" customHeight="1" outlineLevel="1" x14ac:dyDescent="0.35">
      <c r="A315" s="1679">
        <v>30.3</v>
      </c>
      <c r="B315" s="1680" t="s">
        <v>1992</v>
      </c>
      <c r="C315" s="1662" t="s">
        <v>938</v>
      </c>
      <c r="D315" s="1563" t="s">
        <v>1754</v>
      </c>
      <c r="E315" s="1637"/>
      <c r="F315" s="1360"/>
      <c r="G315" s="1412">
        <v>2.08</v>
      </c>
      <c r="H315" s="1412"/>
      <c r="I315" s="1422"/>
      <c r="J315" s="1422"/>
      <c r="K315" s="1366"/>
      <c r="L315" s="1365"/>
      <c r="M315" s="1365"/>
      <c r="N315" s="1369"/>
      <c r="O315" s="1383" t="s">
        <v>1960</v>
      </c>
      <c r="P315" s="1562"/>
      <c r="Q315" s="1562"/>
      <c r="R315" s="1562"/>
      <c r="S315" s="1562"/>
      <c r="T315" s="1594">
        <f t="shared" si="59"/>
        <v>0</v>
      </c>
      <c r="U315" s="1562"/>
      <c r="V315" s="1562"/>
      <c r="W315" s="1562"/>
      <c r="X315" s="1562"/>
      <c r="Y315" s="1562"/>
      <c r="Z315" s="1562"/>
      <c r="AA315" s="1562"/>
      <c r="AB315" s="1412">
        <v>2.08</v>
      </c>
      <c r="AC315" s="1561"/>
      <c r="AD315" s="1685"/>
      <c r="AE315" s="1561"/>
      <c r="AF315" s="1565"/>
      <c r="AG315" s="1541">
        <f t="shared" si="60"/>
        <v>0</v>
      </c>
      <c r="AH315" s="1565"/>
      <c r="AI315" s="1565"/>
      <c r="AJ315" s="1565"/>
      <c r="AK315" s="1565"/>
      <c r="AL315" s="1565"/>
      <c r="AM315" s="1565"/>
      <c r="AN315" s="1365"/>
      <c r="AO315" s="1650">
        <v>1</v>
      </c>
      <c r="AP315" s="1651"/>
      <c r="AQ315" s="1651"/>
      <c r="AR315" s="1651"/>
      <c r="AS315" s="1651"/>
      <c r="AT315" s="1594">
        <f t="shared" si="61"/>
        <v>0</v>
      </c>
      <c r="AU315" s="1651"/>
      <c r="AV315" s="1651"/>
      <c r="AW315" s="1651"/>
      <c r="AX315" s="1651"/>
      <c r="AY315" s="1651"/>
      <c r="AZ315" s="1562"/>
      <c r="BA315" s="1562"/>
      <c r="BB315" s="1412">
        <v>2.08</v>
      </c>
      <c r="BC315" s="1686"/>
      <c r="BD315" s="1686" t="s">
        <v>1809</v>
      </c>
      <c r="BE315" s="1687" t="s">
        <v>1809</v>
      </c>
    </row>
    <row r="316" spans="1:58" customFormat="1" ht="41.25" customHeight="1" outlineLevel="1" x14ac:dyDescent="0.35">
      <c r="A316" s="1679">
        <v>30.4</v>
      </c>
      <c r="B316" s="1680" t="s">
        <v>1993</v>
      </c>
      <c r="C316" s="1662" t="s">
        <v>938</v>
      </c>
      <c r="D316" s="1563" t="s">
        <v>1754</v>
      </c>
      <c r="E316" s="1637"/>
      <c r="F316" s="1360"/>
      <c r="G316" s="1412">
        <v>4.5</v>
      </c>
      <c r="H316" s="1412"/>
      <c r="I316" s="1422"/>
      <c r="J316" s="1422"/>
      <c r="K316" s="1366"/>
      <c r="L316" s="1365"/>
      <c r="M316" s="1365"/>
      <c r="N316" s="1369"/>
      <c r="O316" s="1383" t="s">
        <v>1960</v>
      </c>
      <c r="P316" s="1562"/>
      <c r="Q316" s="1562"/>
      <c r="R316" s="1562"/>
      <c r="S316" s="1562"/>
      <c r="T316" s="1594">
        <f t="shared" si="59"/>
        <v>0</v>
      </c>
      <c r="U316" s="1562"/>
      <c r="V316" s="1562"/>
      <c r="W316" s="1562"/>
      <c r="X316" s="1562"/>
      <c r="Y316" s="1562"/>
      <c r="Z316" s="1562"/>
      <c r="AA316" s="1562"/>
      <c r="AB316" s="1412">
        <v>4.5</v>
      </c>
      <c r="AC316" s="1561"/>
      <c r="AD316" s="1685"/>
      <c r="AE316" s="1561"/>
      <c r="AF316" s="1565"/>
      <c r="AG316" s="1541">
        <f t="shared" si="60"/>
        <v>0</v>
      </c>
      <c r="AH316" s="1565"/>
      <c r="AI316" s="1565"/>
      <c r="AJ316" s="1565"/>
      <c r="AK316" s="1565"/>
      <c r="AL316" s="1565"/>
      <c r="AM316" s="1565"/>
      <c r="AN316" s="1365"/>
      <c r="AO316" s="1650">
        <v>1</v>
      </c>
      <c r="AP316" s="1651"/>
      <c r="AQ316" s="1651"/>
      <c r="AR316" s="1651"/>
      <c r="AS316" s="1651"/>
      <c r="AT316" s="1594">
        <f t="shared" si="61"/>
        <v>0</v>
      </c>
      <c r="AU316" s="1651"/>
      <c r="AV316" s="1651"/>
      <c r="AW316" s="1651"/>
      <c r="AX316" s="1651"/>
      <c r="AY316" s="1651"/>
      <c r="AZ316" s="1562"/>
      <c r="BA316" s="1562"/>
      <c r="BB316" s="1412">
        <v>4.5</v>
      </c>
      <c r="BC316" s="1686"/>
      <c r="BD316" s="1686" t="s">
        <v>1809</v>
      </c>
      <c r="BE316" s="1687" t="s">
        <v>1809</v>
      </c>
    </row>
    <row r="317" spans="1:58" customFormat="1" ht="41.25" customHeight="1" outlineLevel="1" x14ac:dyDescent="0.35">
      <c r="A317" s="1679">
        <v>30.5</v>
      </c>
      <c r="B317" s="1680" t="s">
        <v>1962</v>
      </c>
      <c r="C317" s="1662" t="s">
        <v>938</v>
      </c>
      <c r="D317" s="1563" t="s">
        <v>1754</v>
      </c>
      <c r="E317" s="1637"/>
      <c r="F317" s="1360"/>
      <c r="G317" s="1412">
        <v>5.98</v>
      </c>
      <c r="H317" s="1412"/>
      <c r="I317" s="1422"/>
      <c r="J317" s="1422"/>
      <c r="K317" s="1366"/>
      <c r="L317" s="1365"/>
      <c r="M317" s="1365"/>
      <c r="N317" s="1369"/>
      <c r="O317" s="1383" t="s">
        <v>1960</v>
      </c>
      <c r="P317" s="1562"/>
      <c r="Q317" s="1562"/>
      <c r="R317" s="1562"/>
      <c r="S317" s="1562"/>
      <c r="T317" s="1594">
        <f t="shared" si="59"/>
        <v>0</v>
      </c>
      <c r="U317" s="1562"/>
      <c r="V317" s="1562"/>
      <c r="W317" s="1562"/>
      <c r="X317" s="1562"/>
      <c r="Y317" s="1562"/>
      <c r="Z317" s="1562"/>
      <c r="AA317" s="1562"/>
      <c r="AB317" s="1412">
        <v>5.98</v>
      </c>
      <c r="AC317" s="1561"/>
      <c r="AD317" s="1685"/>
      <c r="AE317" s="1561"/>
      <c r="AF317" s="1565"/>
      <c r="AG317" s="1541">
        <f t="shared" si="60"/>
        <v>0</v>
      </c>
      <c r="AH317" s="1565"/>
      <c r="AI317" s="1565"/>
      <c r="AJ317" s="1565"/>
      <c r="AK317" s="1565"/>
      <c r="AL317" s="1565"/>
      <c r="AM317" s="1565"/>
      <c r="AN317" s="1365"/>
      <c r="AO317" s="1650">
        <v>1</v>
      </c>
      <c r="AP317" s="1651"/>
      <c r="AQ317" s="1651"/>
      <c r="AR317" s="1651"/>
      <c r="AS317" s="1651"/>
      <c r="AT317" s="1594">
        <f t="shared" si="61"/>
        <v>0</v>
      </c>
      <c r="AU317" s="1651"/>
      <c r="AV317" s="1651"/>
      <c r="AW317" s="1651"/>
      <c r="AX317" s="1651"/>
      <c r="AY317" s="1651"/>
      <c r="AZ317" s="1562"/>
      <c r="BA317" s="1562"/>
      <c r="BB317" s="1412">
        <v>5.98</v>
      </c>
      <c r="BC317" s="1686"/>
      <c r="BD317" s="1686" t="s">
        <v>1809</v>
      </c>
      <c r="BE317" s="1687" t="s">
        <v>1809</v>
      </c>
    </row>
    <row r="318" spans="1:58" customFormat="1" ht="41.25" customHeight="1" outlineLevel="1" x14ac:dyDescent="0.35">
      <c r="A318" s="1679">
        <v>30.6</v>
      </c>
      <c r="B318" s="1680" t="s">
        <v>1994</v>
      </c>
      <c r="C318" s="1662" t="s">
        <v>938</v>
      </c>
      <c r="D318" s="1563" t="s">
        <v>1754</v>
      </c>
      <c r="E318" s="1637"/>
      <c r="F318" s="1360"/>
      <c r="G318" s="1412">
        <v>3.98</v>
      </c>
      <c r="H318" s="1412"/>
      <c r="I318" s="1422"/>
      <c r="J318" s="1422"/>
      <c r="K318" s="1366"/>
      <c r="L318" s="1365"/>
      <c r="M318" s="1365"/>
      <c r="N318" s="1369"/>
      <c r="O318" s="1383" t="s">
        <v>1960</v>
      </c>
      <c r="P318" s="1562"/>
      <c r="Q318" s="1562"/>
      <c r="R318" s="1562"/>
      <c r="S318" s="1562"/>
      <c r="T318" s="1594">
        <f t="shared" si="59"/>
        <v>0</v>
      </c>
      <c r="U318" s="1562"/>
      <c r="V318" s="1562"/>
      <c r="W318" s="1562"/>
      <c r="X318" s="1562"/>
      <c r="Y318" s="1562"/>
      <c r="Z318" s="1562"/>
      <c r="AA318" s="1562"/>
      <c r="AB318" s="1412">
        <v>3.98</v>
      </c>
      <c r="AC318" s="1561"/>
      <c r="AD318" s="1685"/>
      <c r="AE318" s="1561"/>
      <c r="AF318" s="1565"/>
      <c r="AG318" s="1541">
        <f t="shared" si="60"/>
        <v>0</v>
      </c>
      <c r="AH318" s="1565"/>
      <c r="AI318" s="1565"/>
      <c r="AJ318" s="1565"/>
      <c r="AK318" s="1565"/>
      <c r="AL318" s="1565"/>
      <c r="AM318" s="1565"/>
      <c r="AN318" s="1365"/>
      <c r="AO318" s="1650">
        <v>1</v>
      </c>
      <c r="AP318" s="1651"/>
      <c r="AQ318" s="1651"/>
      <c r="AR318" s="1651"/>
      <c r="AS318" s="1651"/>
      <c r="AT318" s="1594">
        <f t="shared" si="61"/>
        <v>0</v>
      </c>
      <c r="AU318" s="1651"/>
      <c r="AV318" s="1651"/>
      <c r="AW318" s="1651"/>
      <c r="AX318" s="1651"/>
      <c r="AY318" s="1651"/>
      <c r="AZ318" s="1562"/>
      <c r="BA318" s="1562"/>
      <c r="BB318" s="1412">
        <v>3.98</v>
      </c>
      <c r="BC318" s="1686"/>
      <c r="BD318" s="1686" t="s">
        <v>1809</v>
      </c>
      <c r="BE318" s="1687" t="s">
        <v>1809</v>
      </c>
    </row>
    <row r="319" spans="1:58" customFormat="1" ht="33.75" customHeight="1" outlineLevel="1" x14ac:dyDescent="0.25">
      <c r="A319" s="1562"/>
      <c r="B319" s="1682" t="s">
        <v>413</v>
      </c>
      <c r="C319" s="1682"/>
      <c r="D319" s="1563" t="s">
        <v>1754</v>
      </c>
      <c r="E319" s="1682"/>
      <c r="F319" s="1682"/>
      <c r="G319" s="1682"/>
      <c r="H319" s="1682"/>
      <c r="I319" s="1683"/>
      <c r="J319" s="1683"/>
      <c r="K319" s="1682"/>
      <c r="L319" s="1682"/>
      <c r="M319" s="1682"/>
      <c r="N319" s="1682"/>
      <c r="O319" s="1682"/>
      <c r="P319" s="1562">
        <v>0</v>
      </c>
      <c r="Q319" s="1562">
        <v>0</v>
      </c>
      <c r="R319" s="1562">
        <v>0</v>
      </c>
      <c r="S319" s="1562">
        <v>0</v>
      </c>
      <c r="T319" s="1594">
        <f t="shared" si="59"/>
        <v>0</v>
      </c>
      <c r="U319" s="1562">
        <v>0</v>
      </c>
      <c r="V319" s="1562">
        <v>0</v>
      </c>
      <c r="W319" s="1562">
        <v>0</v>
      </c>
      <c r="X319" s="1562">
        <v>0</v>
      </c>
      <c r="Y319" s="1562">
        <v>0</v>
      </c>
      <c r="Z319" s="1562"/>
      <c r="AA319" s="1562"/>
      <c r="AB319" s="1562"/>
      <c r="AC319" s="1565"/>
      <c r="AD319" s="1565"/>
      <c r="AE319" s="1565"/>
      <c r="AF319" s="1565"/>
      <c r="AG319" s="1541">
        <f t="shared" si="60"/>
        <v>0</v>
      </c>
      <c r="AH319" s="1565"/>
      <c r="AI319" s="1565"/>
      <c r="AJ319" s="1565"/>
      <c r="AK319" s="1565"/>
      <c r="AL319" s="1565"/>
      <c r="AM319" s="1565"/>
      <c r="AN319" s="1565"/>
      <c r="AO319" s="1565"/>
      <c r="AP319" s="1651"/>
      <c r="AQ319" s="1651"/>
      <c r="AR319" s="1651"/>
      <c r="AS319" s="1651"/>
      <c r="AT319" s="1594">
        <f t="shared" si="61"/>
        <v>0</v>
      </c>
      <c r="AU319" s="1651"/>
      <c r="AV319" s="1651"/>
      <c r="AW319" s="1651"/>
      <c r="AX319" s="1651"/>
      <c r="AY319" s="1689"/>
      <c r="AZ319" s="1651">
        <v>0</v>
      </c>
      <c r="BA319" s="1651">
        <v>0</v>
      </c>
      <c r="BB319" s="1651">
        <v>0</v>
      </c>
      <c r="BC319" s="1686"/>
      <c r="BD319" s="797"/>
      <c r="BE319" s="797"/>
    </row>
    <row r="320" spans="1:58" ht="26.25" customHeight="1" outlineLevel="1" x14ac:dyDescent="0.25">
      <c r="A320" s="1679">
        <v>31</v>
      </c>
      <c r="B320" s="1697" t="s">
        <v>1995</v>
      </c>
      <c r="C320" s="1655" t="s">
        <v>931</v>
      </c>
      <c r="D320" s="1655" t="s">
        <v>1754</v>
      </c>
      <c r="E320" s="1637"/>
      <c r="F320" s="1360"/>
      <c r="G320" s="1694"/>
      <c r="H320" s="1412"/>
      <c r="I320" s="1365"/>
      <c r="J320" s="1365"/>
      <c r="K320" s="1359"/>
      <c r="L320" s="1387"/>
      <c r="M320" s="1387"/>
      <c r="N320" s="1388"/>
      <c r="O320" s="1380"/>
      <c r="P320" s="1562">
        <v>0</v>
      </c>
      <c r="Q320" s="1562">
        <v>0</v>
      </c>
      <c r="R320" s="1562">
        <v>0</v>
      </c>
      <c r="S320" s="1562">
        <v>0</v>
      </c>
      <c r="T320" s="1594">
        <f t="shared" si="59"/>
        <v>0</v>
      </c>
      <c r="U320" s="1562">
        <v>0</v>
      </c>
      <c r="V320" s="1562"/>
      <c r="W320" s="1562"/>
      <c r="X320" s="1562"/>
      <c r="Y320" s="1562"/>
      <c r="Z320" s="1562"/>
      <c r="AA320" s="1562"/>
      <c r="AB320" s="1562"/>
      <c r="AC320" s="1562"/>
      <c r="AD320" s="1562"/>
      <c r="AE320" s="1562"/>
      <c r="AF320" s="1562"/>
      <c r="AG320" s="1541">
        <f t="shared" si="60"/>
        <v>0</v>
      </c>
      <c r="AH320" s="1562"/>
      <c r="AI320" s="1562"/>
      <c r="AJ320" s="1562"/>
      <c r="AK320" s="1562"/>
      <c r="AL320" s="1562"/>
      <c r="AM320" s="1562"/>
      <c r="AN320" s="1562"/>
      <c r="AO320" s="1562"/>
      <c r="AP320" s="1562">
        <v>0</v>
      </c>
      <c r="AQ320" s="1562">
        <v>0</v>
      </c>
      <c r="AR320" s="1562">
        <v>0</v>
      </c>
      <c r="AS320" s="1562">
        <v>0</v>
      </c>
      <c r="AT320" s="1594">
        <f t="shared" si="61"/>
        <v>0</v>
      </c>
      <c r="AU320" s="1562">
        <v>0</v>
      </c>
      <c r="AV320" s="1562">
        <v>0</v>
      </c>
      <c r="AW320" s="1562">
        <v>0</v>
      </c>
      <c r="AX320" s="1562"/>
      <c r="AY320" s="1562"/>
      <c r="AZ320" s="1562"/>
      <c r="BA320" s="1562"/>
      <c r="BB320" s="1562"/>
      <c r="BC320" s="1380"/>
      <c r="BD320" s="1704" t="s">
        <v>1809</v>
      </c>
      <c r="BE320" s="1695" t="s">
        <v>1809</v>
      </c>
      <c r="BF320" s="1355"/>
    </row>
    <row r="321" spans="1:61" s="1658" customFormat="1" ht="29" outlineLevel="1" x14ac:dyDescent="0.35">
      <c r="A321" s="1679">
        <v>31.1</v>
      </c>
      <c r="B321" s="1635" t="s">
        <v>1995</v>
      </c>
      <c r="C321" s="1662" t="s">
        <v>938</v>
      </c>
      <c r="D321" s="1655" t="s">
        <v>1754</v>
      </c>
      <c r="E321" s="1637"/>
      <c r="F321" s="1360"/>
      <c r="G321" s="1414">
        <v>26.975000000000001</v>
      </c>
      <c r="H321" s="1414"/>
      <c r="I321" s="1365"/>
      <c r="J321" s="1365"/>
      <c r="K321" s="1360"/>
      <c r="L321" s="1381"/>
      <c r="M321" s="1381"/>
      <c r="N321" s="1382"/>
      <c r="O321" s="1380"/>
      <c r="P321" s="1562">
        <v>0</v>
      </c>
      <c r="Q321" s="1562">
        <v>0</v>
      </c>
      <c r="R321" s="1562">
        <v>0</v>
      </c>
      <c r="S321" s="1562">
        <v>0</v>
      </c>
      <c r="T321" s="1594">
        <f t="shared" si="59"/>
        <v>0</v>
      </c>
      <c r="U321" s="1562">
        <v>0</v>
      </c>
      <c r="V321" s="1562"/>
      <c r="W321" s="1562">
        <v>0</v>
      </c>
      <c r="X321" s="1573">
        <v>10</v>
      </c>
      <c r="Y321" s="1573">
        <v>16.98</v>
      </c>
      <c r="Z321" s="1562"/>
      <c r="AA321" s="1562"/>
      <c r="AB321" s="1562"/>
      <c r="AC321" s="1562"/>
      <c r="AD321" s="1562"/>
      <c r="AE321" s="1562"/>
      <c r="AF321" s="1562"/>
      <c r="AG321" s="1541">
        <f t="shared" si="60"/>
        <v>0</v>
      </c>
      <c r="AH321" s="1562"/>
      <c r="AI321" s="1562"/>
      <c r="AJ321" s="1562"/>
      <c r="AK321" s="1562"/>
      <c r="AL321" s="1650">
        <v>1</v>
      </c>
      <c r="AM321" s="1562"/>
      <c r="AN321" s="1562"/>
      <c r="AO321" s="1562"/>
      <c r="AP321" s="1562"/>
      <c r="AQ321" s="1562"/>
      <c r="AR321" s="1562"/>
      <c r="AS321" s="1562"/>
      <c r="AT321" s="1594">
        <f t="shared" si="61"/>
        <v>0</v>
      </c>
      <c r="AU321" s="1562"/>
      <c r="AV321" s="1562"/>
      <c r="AW321" s="1562">
        <v>0</v>
      </c>
      <c r="AX321" s="1562"/>
      <c r="AY321" s="1573">
        <v>26.98</v>
      </c>
      <c r="AZ321" s="1562"/>
      <c r="BA321" s="1562"/>
      <c r="BB321" s="1562"/>
      <c r="BC321" s="1380"/>
      <c r="BD321" s="1686" t="s">
        <v>1809</v>
      </c>
      <c r="BE321" s="1687" t="s">
        <v>1809</v>
      </c>
      <c r="BF321" s="1319"/>
      <c r="BG321" s="1319"/>
      <c r="BH321" s="1319"/>
      <c r="BI321" s="1319"/>
    </row>
    <row r="322" spans="1:61" ht="43.5" outlineLevel="1" x14ac:dyDescent="0.25">
      <c r="A322" s="1679">
        <v>32</v>
      </c>
      <c r="B322" s="1697" t="s">
        <v>1996</v>
      </c>
      <c r="C322" s="1655" t="s">
        <v>931</v>
      </c>
      <c r="D322" s="1655" t="s">
        <v>1754</v>
      </c>
      <c r="E322" s="1637"/>
      <c r="F322" s="1360"/>
      <c r="G322" s="1694"/>
      <c r="H322" s="1412"/>
      <c r="I322" s="1365"/>
      <c r="J322" s="1365"/>
      <c r="K322" s="1359"/>
      <c r="L322" s="1387"/>
      <c r="M322" s="1387"/>
      <c r="N322" s="1388"/>
      <c r="O322" s="1380"/>
      <c r="P322" s="1562">
        <v>0</v>
      </c>
      <c r="Q322" s="1562">
        <v>0</v>
      </c>
      <c r="R322" s="1562">
        <v>0</v>
      </c>
      <c r="S322" s="1562">
        <v>0</v>
      </c>
      <c r="T322" s="1594">
        <f t="shared" si="59"/>
        <v>0</v>
      </c>
      <c r="U322" s="1562">
        <v>0</v>
      </c>
      <c r="V322" s="1562"/>
      <c r="W322" s="1562"/>
      <c r="X322" s="1562"/>
      <c r="Y322" s="1562"/>
      <c r="Z322" s="1562"/>
      <c r="AA322" s="1562"/>
      <c r="AB322" s="1562"/>
      <c r="AC322" s="1562"/>
      <c r="AD322" s="1562"/>
      <c r="AE322" s="1562"/>
      <c r="AF322" s="1562"/>
      <c r="AG322" s="1541">
        <f t="shared" si="60"/>
        <v>0</v>
      </c>
      <c r="AH322" s="1562"/>
      <c r="AI322" s="1562"/>
      <c r="AJ322" s="1562"/>
      <c r="AK322" s="1562"/>
      <c r="AL322" s="1562"/>
      <c r="AM322" s="1562"/>
      <c r="AN322" s="1562"/>
      <c r="AO322" s="1562"/>
      <c r="AP322" s="1562">
        <v>0</v>
      </c>
      <c r="AQ322" s="1562">
        <v>0</v>
      </c>
      <c r="AR322" s="1562">
        <v>0</v>
      </c>
      <c r="AS322" s="1562">
        <v>0</v>
      </c>
      <c r="AT322" s="1594">
        <f t="shared" si="61"/>
        <v>0</v>
      </c>
      <c r="AU322" s="1562">
        <v>0</v>
      </c>
      <c r="AV322" s="1562"/>
      <c r="AW322" s="1562">
        <v>0</v>
      </c>
      <c r="AX322" s="1562"/>
      <c r="AY322" s="1562"/>
      <c r="AZ322" s="1562"/>
      <c r="BA322" s="1562"/>
      <c r="BB322" s="1562"/>
      <c r="BC322" s="1380"/>
      <c r="BD322" s="1704" t="s">
        <v>1809</v>
      </c>
      <c r="BE322" s="1695" t="s">
        <v>1809</v>
      </c>
      <c r="BF322" s="1355"/>
    </row>
    <row r="323" spans="1:61" s="1658" customFormat="1" ht="43.5" outlineLevel="1" x14ac:dyDescent="0.35">
      <c r="A323" s="1679">
        <v>32.1</v>
      </c>
      <c r="B323" s="1635" t="s">
        <v>1996</v>
      </c>
      <c r="C323" s="1662" t="s">
        <v>938</v>
      </c>
      <c r="D323" s="1655" t="s">
        <v>1754</v>
      </c>
      <c r="E323" s="1637"/>
      <c r="F323" s="1360"/>
      <c r="G323" s="1414">
        <v>414.18</v>
      </c>
      <c r="H323" s="1414"/>
      <c r="I323" s="1365"/>
      <c r="J323" s="1365"/>
      <c r="K323" s="1360"/>
      <c r="L323" s="1381"/>
      <c r="M323" s="1381"/>
      <c r="N323" s="1382"/>
      <c r="O323" s="1380"/>
      <c r="P323" s="1562">
        <v>0</v>
      </c>
      <c r="Q323" s="1562">
        <v>0</v>
      </c>
      <c r="R323" s="1562">
        <v>0</v>
      </c>
      <c r="S323" s="1562">
        <v>0</v>
      </c>
      <c r="T323" s="1594">
        <f t="shared" si="59"/>
        <v>0</v>
      </c>
      <c r="U323" s="1562">
        <v>0</v>
      </c>
      <c r="V323" s="1562"/>
      <c r="W323" s="1562">
        <v>0</v>
      </c>
      <c r="X323" s="1573">
        <v>100</v>
      </c>
      <c r="Y323" s="1573">
        <v>100</v>
      </c>
      <c r="Z323" s="1573">
        <v>100</v>
      </c>
      <c r="AA323" s="1573">
        <v>114.18</v>
      </c>
      <c r="AB323" s="1562"/>
      <c r="AC323" s="1562"/>
      <c r="AD323" s="1562"/>
      <c r="AE323" s="1562"/>
      <c r="AF323" s="1562"/>
      <c r="AG323" s="1541">
        <f t="shared" si="60"/>
        <v>0</v>
      </c>
      <c r="AH323" s="1562"/>
      <c r="AI323" s="1562"/>
      <c r="AJ323" s="1562"/>
      <c r="AK323" s="1562"/>
      <c r="AL323" s="1562"/>
      <c r="AM323" s="1562"/>
      <c r="AN323" s="1650">
        <v>1</v>
      </c>
      <c r="AO323" s="1562"/>
      <c r="AP323" s="1562"/>
      <c r="AQ323" s="1562"/>
      <c r="AR323" s="1562"/>
      <c r="AS323" s="1562"/>
      <c r="AT323" s="1594">
        <f t="shared" si="61"/>
        <v>0</v>
      </c>
      <c r="AU323" s="1562"/>
      <c r="AV323" s="1562"/>
      <c r="AW323" s="1562"/>
      <c r="AX323" s="1562"/>
      <c r="AY323" s="1562"/>
      <c r="AZ323" s="1562"/>
      <c r="BA323" s="1573">
        <v>414.18</v>
      </c>
      <c r="BB323" s="1562"/>
      <c r="BC323" s="1380"/>
      <c r="BD323" s="1686" t="s">
        <v>1809</v>
      </c>
      <c r="BE323" s="1687" t="s">
        <v>1809</v>
      </c>
      <c r="BF323" s="1319"/>
      <c r="BG323" s="1319"/>
      <c r="BH323" s="1319"/>
      <c r="BI323" s="1319"/>
    </row>
    <row r="324" spans="1:61" s="1658" customFormat="1" ht="29" outlineLevel="1" x14ac:dyDescent="0.35">
      <c r="A324" s="1634">
        <v>32.200000000000003</v>
      </c>
      <c r="B324" s="1635" t="s">
        <v>1997</v>
      </c>
      <c r="C324" s="1662" t="s">
        <v>938</v>
      </c>
      <c r="D324" s="1655" t="s">
        <v>1754</v>
      </c>
      <c r="E324" s="1637"/>
      <c r="F324" s="1360"/>
      <c r="G324" s="1414">
        <v>17</v>
      </c>
      <c r="H324" s="1414"/>
      <c r="I324" s="1365"/>
      <c r="J324" s="1365"/>
      <c r="K324" s="1360"/>
      <c r="L324" s="1381"/>
      <c r="M324" s="1381"/>
      <c r="N324" s="1382"/>
      <c r="O324" s="1380"/>
      <c r="P324" s="1562"/>
      <c r="Q324" s="1562"/>
      <c r="R324" s="1562"/>
      <c r="S324" s="1562"/>
      <c r="T324" s="1594">
        <f t="shared" si="59"/>
        <v>0</v>
      </c>
      <c r="U324" s="1562"/>
      <c r="V324" s="1562"/>
      <c r="W324" s="1706">
        <v>0</v>
      </c>
      <c r="X324" s="1573">
        <v>8.5</v>
      </c>
      <c r="Y324" s="1573">
        <v>6</v>
      </c>
      <c r="Z324" s="1573">
        <v>2.5</v>
      </c>
      <c r="AA324" s="1562"/>
      <c r="AB324" s="1562"/>
      <c r="AC324" s="1562"/>
      <c r="AD324" s="1562"/>
      <c r="AE324" s="1562"/>
      <c r="AF324" s="1562"/>
      <c r="AG324" s="1541">
        <f t="shared" si="60"/>
        <v>0</v>
      </c>
      <c r="AH324" s="1562"/>
      <c r="AI324" s="1562"/>
      <c r="AJ324" s="1562"/>
      <c r="AK324" s="1562"/>
      <c r="AL324" s="1562"/>
      <c r="AM324" s="1650">
        <v>1</v>
      </c>
      <c r="AN324" s="1562"/>
      <c r="AO324" s="1562"/>
      <c r="AP324" s="1562"/>
      <c r="AQ324" s="1562"/>
      <c r="AR324" s="1562"/>
      <c r="AS324" s="1562"/>
      <c r="AT324" s="1594">
        <f t="shared" si="61"/>
        <v>0</v>
      </c>
      <c r="AU324" s="1562"/>
      <c r="AV324" s="1562"/>
      <c r="AW324" s="1562"/>
      <c r="AX324" s="1562"/>
      <c r="AY324" s="1562"/>
      <c r="AZ324" s="1573">
        <v>17</v>
      </c>
      <c r="BA324" s="1562"/>
      <c r="BB324" s="1562"/>
      <c r="BC324" s="1380"/>
      <c r="BD324" s="1686" t="s">
        <v>1809</v>
      </c>
      <c r="BE324" s="1687" t="s">
        <v>1809</v>
      </c>
      <c r="BF324" s="1319"/>
      <c r="BG324" s="1319"/>
      <c r="BH324" s="1319"/>
      <c r="BI324" s="1319"/>
    </row>
    <row r="325" spans="1:61" ht="31" outlineLevel="1" x14ac:dyDescent="0.25">
      <c r="A325" s="1692">
        <v>33</v>
      </c>
      <c r="B325" s="1697" t="s">
        <v>1998</v>
      </c>
      <c r="C325" s="1655" t="s">
        <v>931</v>
      </c>
      <c r="D325" s="1655" t="s">
        <v>1754</v>
      </c>
      <c r="E325" s="1637"/>
      <c r="F325" s="1360"/>
      <c r="G325" s="1694"/>
      <c r="H325" s="1412"/>
      <c r="I325" s="1365"/>
      <c r="J325" s="1365"/>
      <c r="K325" s="1359"/>
      <c r="L325" s="1387"/>
      <c r="M325" s="1387"/>
      <c r="N325" s="1388"/>
      <c r="O325" s="1380"/>
      <c r="P325" s="1562"/>
      <c r="Q325" s="1562"/>
      <c r="R325" s="1562"/>
      <c r="S325" s="1562"/>
      <c r="T325" s="1594">
        <f t="shared" si="59"/>
        <v>0</v>
      </c>
      <c r="U325" s="1562"/>
      <c r="V325" s="1562"/>
      <c r="W325" s="1706"/>
      <c r="X325" s="1562"/>
      <c r="Y325" s="1562"/>
      <c r="Z325" s="1562"/>
      <c r="AA325" s="1562"/>
      <c r="AB325" s="1562"/>
      <c r="AC325" s="1562"/>
      <c r="AD325" s="1562"/>
      <c r="AE325" s="1562"/>
      <c r="AF325" s="1562"/>
      <c r="AG325" s="1541">
        <f t="shared" si="60"/>
        <v>0</v>
      </c>
      <c r="AH325" s="1562"/>
      <c r="AI325" s="1562"/>
      <c r="AJ325" s="1562"/>
      <c r="AK325" s="1562"/>
      <c r="AL325" s="1562"/>
      <c r="AM325" s="1562"/>
      <c r="AN325" s="1562"/>
      <c r="AO325" s="1562"/>
      <c r="AP325" s="1562"/>
      <c r="AQ325" s="1562"/>
      <c r="AR325" s="1562"/>
      <c r="AS325" s="1562"/>
      <c r="AT325" s="1594">
        <f t="shared" si="61"/>
        <v>0</v>
      </c>
      <c r="AU325" s="1562"/>
      <c r="AV325" s="1562"/>
      <c r="AW325" s="1562"/>
      <c r="AX325" s="1562"/>
      <c r="AY325" s="1562"/>
      <c r="AZ325" s="1562"/>
      <c r="BA325" s="1562"/>
      <c r="BB325" s="1562"/>
      <c r="BC325" s="1380"/>
      <c r="BD325" s="1704" t="s">
        <v>1809</v>
      </c>
      <c r="BE325" s="1695" t="s">
        <v>1809</v>
      </c>
      <c r="BF325" s="1355"/>
    </row>
    <row r="326" spans="1:61" s="1658" customFormat="1" ht="29" outlineLevel="1" x14ac:dyDescent="0.35">
      <c r="A326" s="1634">
        <v>33.1</v>
      </c>
      <c r="B326" s="1635" t="s">
        <v>1999</v>
      </c>
      <c r="C326" s="1662" t="s">
        <v>938</v>
      </c>
      <c r="D326" s="1655" t="s">
        <v>1754</v>
      </c>
      <c r="E326" s="1637"/>
      <c r="F326" s="1360"/>
      <c r="G326" s="1414">
        <v>36</v>
      </c>
      <c r="H326" s="1414"/>
      <c r="I326" s="1365"/>
      <c r="J326" s="1365"/>
      <c r="K326" s="1360"/>
      <c r="L326" s="1381"/>
      <c r="M326" s="1381"/>
      <c r="N326" s="1382"/>
      <c r="O326" s="1380"/>
      <c r="P326" s="1562"/>
      <c r="Q326" s="1562"/>
      <c r="R326" s="1562"/>
      <c r="S326" s="1562"/>
      <c r="T326" s="1594">
        <f t="shared" si="59"/>
        <v>0</v>
      </c>
      <c r="U326" s="1562"/>
      <c r="V326" s="1562"/>
      <c r="W326" s="1707"/>
      <c r="X326" s="1562"/>
      <c r="Y326" s="1562"/>
      <c r="Z326" s="1573">
        <v>36</v>
      </c>
      <c r="AA326" s="1562"/>
      <c r="AB326" s="1562"/>
      <c r="AC326" s="1562"/>
      <c r="AD326" s="1562"/>
      <c r="AE326" s="1562"/>
      <c r="AF326" s="1562"/>
      <c r="AG326" s="1541">
        <f t="shared" si="60"/>
        <v>0</v>
      </c>
      <c r="AH326" s="1562"/>
      <c r="AI326" s="1562"/>
      <c r="AJ326" s="1562"/>
      <c r="AK326" s="1562"/>
      <c r="AL326" s="1562"/>
      <c r="AM326" s="1650">
        <v>1</v>
      </c>
      <c r="AN326" s="1562"/>
      <c r="AO326" s="1562"/>
      <c r="AP326" s="1562"/>
      <c r="AQ326" s="1562"/>
      <c r="AR326" s="1562"/>
      <c r="AS326" s="1562"/>
      <c r="AT326" s="1594">
        <f t="shared" si="61"/>
        <v>0</v>
      </c>
      <c r="AU326" s="1562"/>
      <c r="AV326" s="1562"/>
      <c r="AW326" s="1562"/>
      <c r="AX326" s="1562"/>
      <c r="AY326" s="1562"/>
      <c r="AZ326" s="1573">
        <v>36</v>
      </c>
      <c r="BA326" s="1562"/>
      <c r="BB326" s="1562"/>
      <c r="BC326" s="1380"/>
      <c r="BD326" s="1686" t="s">
        <v>1809</v>
      </c>
      <c r="BE326" s="1687" t="s">
        <v>1809</v>
      </c>
      <c r="BF326" s="1319"/>
      <c r="BG326" s="1319"/>
      <c r="BH326" s="1319"/>
      <c r="BI326" s="1319"/>
    </row>
    <row r="327" spans="1:61" ht="37.5" customHeight="1" outlineLevel="1" x14ac:dyDescent="0.25">
      <c r="A327" s="1692">
        <v>34</v>
      </c>
      <c r="B327" s="1697" t="s">
        <v>2000</v>
      </c>
      <c r="C327" s="1655" t="s">
        <v>931</v>
      </c>
      <c r="D327" s="1655" t="s">
        <v>1754</v>
      </c>
      <c r="E327" s="1637"/>
      <c r="F327" s="1360"/>
      <c r="G327" s="1694"/>
      <c r="H327" s="1412"/>
      <c r="I327" s="1365"/>
      <c r="J327" s="1365"/>
      <c r="K327" s="1359"/>
      <c r="L327" s="1387"/>
      <c r="M327" s="1387"/>
      <c r="N327" s="1388"/>
      <c r="O327" s="1380"/>
      <c r="P327" s="1562"/>
      <c r="Q327" s="1562"/>
      <c r="R327" s="1562"/>
      <c r="S327" s="1562"/>
      <c r="T327" s="1594">
        <f t="shared" si="59"/>
        <v>0</v>
      </c>
      <c r="U327" s="1562"/>
      <c r="V327" s="1562"/>
      <c r="W327" s="1562"/>
      <c r="X327" s="1562"/>
      <c r="Y327" s="1562"/>
      <c r="Z327" s="1562"/>
      <c r="AA327" s="1562"/>
      <c r="AB327" s="1562"/>
      <c r="AC327" s="1562"/>
      <c r="AD327" s="1562"/>
      <c r="AE327" s="1562"/>
      <c r="AF327" s="1562"/>
      <c r="AG327" s="1541">
        <f t="shared" si="60"/>
        <v>0</v>
      </c>
      <c r="AH327" s="1562"/>
      <c r="AI327" s="1562"/>
      <c r="AJ327" s="1562"/>
      <c r="AK327" s="1562"/>
      <c r="AL327" s="1562"/>
      <c r="AM327" s="1562"/>
      <c r="AN327" s="1562"/>
      <c r="AO327" s="1562"/>
      <c r="AP327" s="1562"/>
      <c r="AQ327" s="1562"/>
      <c r="AR327" s="1562"/>
      <c r="AS327" s="1562"/>
      <c r="AT327" s="1594">
        <f t="shared" si="61"/>
        <v>0</v>
      </c>
      <c r="AU327" s="1562"/>
      <c r="AV327" s="1562"/>
      <c r="AW327" s="1562"/>
      <c r="AX327" s="1562"/>
      <c r="AY327" s="1562"/>
      <c r="AZ327" s="1562"/>
      <c r="BA327" s="1562"/>
      <c r="BB327" s="1562"/>
      <c r="BC327" s="1380"/>
      <c r="BD327" s="1682" t="s">
        <v>1809</v>
      </c>
      <c r="BE327" s="1695" t="s">
        <v>1809</v>
      </c>
      <c r="BF327" s="1355"/>
    </row>
    <row r="328" spans="1:61" s="1658" customFormat="1" ht="29" outlineLevel="1" x14ac:dyDescent="0.35">
      <c r="A328" s="1634">
        <v>34.1</v>
      </c>
      <c r="B328" s="1635" t="s">
        <v>2001</v>
      </c>
      <c r="C328" s="1662" t="s">
        <v>938</v>
      </c>
      <c r="D328" s="1655" t="s">
        <v>1754</v>
      </c>
      <c r="E328" s="1637"/>
      <c r="F328" s="1360"/>
      <c r="G328" s="1414">
        <v>10</v>
      </c>
      <c r="H328" s="1414"/>
      <c r="I328" s="1365"/>
      <c r="J328" s="1365"/>
      <c r="K328" s="1360"/>
      <c r="L328" s="1381"/>
      <c r="M328" s="1381"/>
      <c r="N328" s="1382"/>
      <c r="O328" s="1686" t="s">
        <v>2002</v>
      </c>
      <c r="P328" s="1562"/>
      <c r="Q328" s="1562"/>
      <c r="R328" s="1562"/>
      <c r="S328" s="1562"/>
      <c r="T328" s="1594">
        <f t="shared" si="59"/>
        <v>0</v>
      </c>
      <c r="U328" s="1562"/>
      <c r="V328" s="1562"/>
      <c r="W328" s="1562"/>
      <c r="X328" s="1573">
        <v>10</v>
      </c>
      <c r="Y328" s="1562"/>
      <c r="Z328" s="1562"/>
      <c r="AA328" s="1562"/>
      <c r="AB328" s="1562"/>
      <c r="AC328" s="1562"/>
      <c r="AD328" s="1562"/>
      <c r="AE328" s="1562"/>
      <c r="AF328" s="1562"/>
      <c r="AG328" s="1541">
        <f t="shared" si="60"/>
        <v>0</v>
      </c>
      <c r="AH328" s="1562"/>
      <c r="AI328" s="1562"/>
      <c r="AJ328" s="1562"/>
      <c r="AK328" s="1650">
        <v>1</v>
      </c>
      <c r="AL328" s="1562"/>
      <c r="AM328" s="1562"/>
      <c r="AN328" s="1562"/>
      <c r="AO328" s="1562"/>
      <c r="AP328" s="1562"/>
      <c r="AQ328" s="1562"/>
      <c r="AR328" s="1562"/>
      <c r="AS328" s="1562"/>
      <c r="AT328" s="1594">
        <f t="shared" si="61"/>
        <v>0</v>
      </c>
      <c r="AU328" s="1562"/>
      <c r="AV328" s="1562"/>
      <c r="AW328" s="1562"/>
      <c r="AX328" s="1573">
        <v>10</v>
      </c>
      <c r="AY328" s="1562"/>
      <c r="AZ328" s="1562"/>
      <c r="BA328" s="1562"/>
      <c r="BB328" s="1562"/>
      <c r="BC328" s="1380"/>
      <c r="BD328" s="1686" t="s">
        <v>1809</v>
      </c>
      <c r="BE328" s="1687" t="s">
        <v>1809</v>
      </c>
      <c r="BF328" s="1319"/>
      <c r="BG328" s="1319"/>
      <c r="BH328" s="1319"/>
      <c r="BI328" s="1319"/>
    </row>
    <row r="329" spans="1:61" s="1658" customFormat="1" ht="29" outlineLevel="1" x14ac:dyDescent="0.35">
      <c r="A329" s="1634">
        <v>34.200000000000003</v>
      </c>
      <c r="B329" s="1635" t="s">
        <v>2003</v>
      </c>
      <c r="C329" s="1662" t="s">
        <v>938</v>
      </c>
      <c r="D329" s="1655" t="s">
        <v>1754</v>
      </c>
      <c r="E329" s="1637"/>
      <c r="F329" s="1360"/>
      <c r="G329" s="1414">
        <v>10</v>
      </c>
      <c r="H329" s="1414"/>
      <c r="I329" s="1365"/>
      <c r="J329" s="1365"/>
      <c r="K329" s="1360"/>
      <c r="L329" s="1381"/>
      <c r="M329" s="1381"/>
      <c r="N329" s="1382"/>
      <c r="O329" s="1686" t="s">
        <v>2002</v>
      </c>
      <c r="P329" s="1562"/>
      <c r="Q329" s="1562"/>
      <c r="R329" s="1562"/>
      <c r="S329" s="1562"/>
      <c r="T329" s="1594">
        <f t="shared" si="59"/>
        <v>0</v>
      </c>
      <c r="U329" s="1562"/>
      <c r="V329" s="1562"/>
      <c r="W329" s="1562"/>
      <c r="X329" s="1573">
        <v>10</v>
      </c>
      <c r="Y329" s="1562"/>
      <c r="Z329" s="1562"/>
      <c r="AA329" s="1562"/>
      <c r="AB329" s="1562"/>
      <c r="AC329" s="1562"/>
      <c r="AD329" s="1562"/>
      <c r="AE329" s="1562"/>
      <c r="AF329" s="1562"/>
      <c r="AG329" s="1541">
        <f t="shared" si="60"/>
        <v>0</v>
      </c>
      <c r="AH329" s="1562"/>
      <c r="AI329" s="1562"/>
      <c r="AJ329" s="1562"/>
      <c r="AK329" s="1650">
        <v>1</v>
      </c>
      <c r="AL329" s="1562"/>
      <c r="AM329" s="1562"/>
      <c r="AN329" s="1562"/>
      <c r="AO329" s="1562"/>
      <c r="AP329" s="1562"/>
      <c r="AQ329" s="1562"/>
      <c r="AR329" s="1562"/>
      <c r="AS329" s="1562"/>
      <c r="AT329" s="1594">
        <f t="shared" si="61"/>
        <v>0</v>
      </c>
      <c r="AU329" s="1562"/>
      <c r="AV329" s="1562"/>
      <c r="AW329" s="1562"/>
      <c r="AX329" s="1573">
        <v>10</v>
      </c>
      <c r="AY329" s="1562"/>
      <c r="AZ329" s="1562"/>
      <c r="BA329" s="1562"/>
      <c r="BB329" s="1562"/>
      <c r="BC329" s="1380"/>
      <c r="BD329" s="1686" t="s">
        <v>1809</v>
      </c>
      <c r="BE329" s="1687" t="s">
        <v>1809</v>
      </c>
      <c r="BF329" s="1319"/>
      <c r="BG329" s="1319"/>
      <c r="BH329" s="1319"/>
      <c r="BI329" s="1319"/>
    </row>
    <row r="330" spans="1:61" s="1658" customFormat="1" ht="29" outlineLevel="1" x14ac:dyDescent="0.35">
      <c r="A330" s="1634">
        <v>34.299999999999997</v>
      </c>
      <c r="B330" s="1635" t="s">
        <v>2004</v>
      </c>
      <c r="C330" s="1662" t="s">
        <v>938</v>
      </c>
      <c r="D330" s="1655" t="s">
        <v>1754</v>
      </c>
      <c r="E330" s="1637"/>
      <c r="F330" s="1360"/>
      <c r="G330" s="1414">
        <v>15</v>
      </c>
      <c r="H330" s="1414"/>
      <c r="I330" s="1365"/>
      <c r="J330" s="1365"/>
      <c r="K330" s="1360"/>
      <c r="L330" s="1381"/>
      <c r="M330" s="1381"/>
      <c r="N330" s="1382"/>
      <c r="O330" s="1686" t="s">
        <v>2002</v>
      </c>
      <c r="P330" s="1562"/>
      <c r="Q330" s="1562"/>
      <c r="R330" s="1562"/>
      <c r="S330" s="1562"/>
      <c r="T330" s="1594">
        <f t="shared" si="59"/>
        <v>0</v>
      </c>
      <c r="U330" s="1562"/>
      <c r="V330" s="1562"/>
      <c r="W330" s="1562"/>
      <c r="X330" s="1573">
        <v>15</v>
      </c>
      <c r="Y330" s="1562"/>
      <c r="Z330" s="1562"/>
      <c r="AA330" s="1562"/>
      <c r="AB330" s="1562"/>
      <c r="AC330" s="1562"/>
      <c r="AD330" s="1562"/>
      <c r="AE330" s="1562"/>
      <c r="AF330" s="1562"/>
      <c r="AG330" s="1541">
        <f t="shared" si="60"/>
        <v>0</v>
      </c>
      <c r="AH330" s="1562"/>
      <c r="AI330" s="1562"/>
      <c r="AJ330" s="1562"/>
      <c r="AK330" s="1650">
        <v>1</v>
      </c>
      <c r="AL330" s="1562"/>
      <c r="AM330" s="1562"/>
      <c r="AN330" s="1562"/>
      <c r="AO330" s="1562"/>
      <c r="AP330" s="1562"/>
      <c r="AQ330" s="1562"/>
      <c r="AR330" s="1562"/>
      <c r="AS330" s="1562"/>
      <c r="AT330" s="1594">
        <f t="shared" si="61"/>
        <v>0</v>
      </c>
      <c r="AU330" s="1562"/>
      <c r="AV330" s="1562"/>
      <c r="AW330" s="1562"/>
      <c r="AX330" s="1573">
        <v>15</v>
      </c>
      <c r="AY330" s="1562"/>
      <c r="AZ330" s="1562"/>
      <c r="BA330" s="1562"/>
      <c r="BB330" s="1562"/>
      <c r="BC330" s="1380"/>
      <c r="BD330" s="1686" t="s">
        <v>1809</v>
      </c>
      <c r="BE330" s="1687" t="s">
        <v>1809</v>
      </c>
      <c r="BF330" s="1319"/>
      <c r="BG330" s="1319"/>
      <c r="BH330" s="1319"/>
      <c r="BI330" s="1319"/>
    </row>
    <row r="331" spans="1:61" s="1658" customFormat="1" ht="29" outlineLevel="1" x14ac:dyDescent="0.35">
      <c r="A331" s="1634">
        <v>34.4</v>
      </c>
      <c r="B331" s="1635" t="s">
        <v>2005</v>
      </c>
      <c r="C331" s="1662" t="s">
        <v>938</v>
      </c>
      <c r="D331" s="1655" t="s">
        <v>1754</v>
      </c>
      <c r="E331" s="1637"/>
      <c r="F331" s="1360"/>
      <c r="G331" s="1414">
        <v>1.35</v>
      </c>
      <c r="H331" s="1414"/>
      <c r="I331" s="1365"/>
      <c r="J331" s="1365"/>
      <c r="K331" s="1360"/>
      <c r="L331" s="1381"/>
      <c r="M331" s="1381"/>
      <c r="N331" s="1382"/>
      <c r="O331" s="1380" t="s">
        <v>2006</v>
      </c>
      <c r="P331" s="1562"/>
      <c r="Q331" s="1562"/>
      <c r="R331" s="1562"/>
      <c r="S331" s="1562"/>
      <c r="T331" s="1594">
        <f t="shared" ref="T331:T361" si="62">SUM(P331:S331)</f>
        <v>0</v>
      </c>
      <c r="U331" s="1562"/>
      <c r="V331" s="1562"/>
      <c r="W331" s="1562"/>
      <c r="X331" s="1573">
        <v>1.35</v>
      </c>
      <c r="Y331" s="1562"/>
      <c r="Z331" s="1562"/>
      <c r="AA331" s="1562"/>
      <c r="AB331" s="1562"/>
      <c r="AC331" s="1562"/>
      <c r="AD331" s="1562"/>
      <c r="AE331" s="1562"/>
      <c r="AF331" s="1562"/>
      <c r="AG331" s="1541">
        <f t="shared" ref="AG331:AG361" si="63">SUM(AC331:AF331)</f>
        <v>0</v>
      </c>
      <c r="AH331" s="1562"/>
      <c r="AI331" s="1562"/>
      <c r="AJ331" s="1562"/>
      <c r="AK331" s="1650">
        <v>1</v>
      </c>
      <c r="AL331" s="1562"/>
      <c r="AM331" s="1562"/>
      <c r="AN331" s="1562"/>
      <c r="AO331" s="1562"/>
      <c r="AP331" s="1562"/>
      <c r="AQ331" s="1562"/>
      <c r="AR331" s="1562"/>
      <c r="AS331" s="1562"/>
      <c r="AT331" s="1594">
        <f t="shared" ref="AT331:AT361" si="64">SUM(AP331:AS331)</f>
        <v>0</v>
      </c>
      <c r="AU331" s="1562"/>
      <c r="AV331" s="1562"/>
      <c r="AW331" s="1562"/>
      <c r="AX331" s="1573">
        <v>1.35</v>
      </c>
      <c r="AY331" s="1562"/>
      <c r="AZ331" s="1562"/>
      <c r="BA331" s="1562"/>
      <c r="BB331" s="1562"/>
      <c r="BC331" s="1380"/>
      <c r="BD331" s="1686" t="s">
        <v>1809</v>
      </c>
      <c r="BE331" s="1687" t="s">
        <v>1809</v>
      </c>
      <c r="BF331" s="1319"/>
      <c r="BG331" s="1319"/>
      <c r="BH331" s="1319"/>
      <c r="BI331" s="1319"/>
    </row>
    <row r="332" spans="1:61" ht="37.5" customHeight="1" outlineLevel="1" x14ac:dyDescent="0.35">
      <c r="A332" s="1634">
        <v>35</v>
      </c>
      <c r="B332" s="1697" t="s">
        <v>2007</v>
      </c>
      <c r="C332" s="1655" t="s">
        <v>931</v>
      </c>
      <c r="D332" s="1655" t="s">
        <v>1754</v>
      </c>
      <c r="E332" s="1637"/>
      <c r="F332" s="1360"/>
      <c r="G332" s="1694"/>
      <c r="H332" s="1412"/>
      <c r="I332" s="1365"/>
      <c r="J332" s="1365"/>
      <c r="K332" s="1359"/>
      <c r="L332" s="1387"/>
      <c r="M332" s="1387"/>
      <c r="N332" s="1388"/>
      <c r="O332" s="1380"/>
      <c r="P332" s="1562"/>
      <c r="Q332" s="1562"/>
      <c r="R332" s="1562"/>
      <c r="S332" s="1562"/>
      <c r="T332" s="1594">
        <f t="shared" si="62"/>
        <v>0</v>
      </c>
      <c r="U332" s="1562"/>
      <c r="V332" s="1562"/>
      <c r="W332" s="1562"/>
      <c r="X332" s="1562"/>
      <c r="Y332" s="1562"/>
      <c r="Z332" s="1562"/>
      <c r="AA332" s="1562"/>
      <c r="AB332" s="1562"/>
      <c r="AC332" s="1562"/>
      <c r="AD332" s="1562"/>
      <c r="AE332" s="1562"/>
      <c r="AF332" s="1562"/>
      <c r="AG332" s="1541">
        <f t="shared" si="63"/>
        <v>0</v>
      </c>
      <c r="AH332" s="1562"/>
      <c r="AI332" s="1562"/>
      <c r="AJ332" s="1562"/>
      <c r="AK332" s="1562"/>
      <c r="AL332" s="1562"/>
      <c r="AM332" s="1562"/>
      <c r="AN332" s="1562"/>
      <c r="AO332" s="1562"/>
      <c r="AP332" s="1562"/>
      <c r="AQ332" s="1562"/>
      <c r="AR332" s="1562"/>
      <c r="AS332" s="1562"/>
      <c r="AT332" s="1594">
        <f t="shared" si="64"/>
        <v>0</v>
      </c>
      <c r="AU332" s="1562"/>
      <c r="AV332" s="1562"/>
      <c r="AW332" s="1562"/>
      <c r="AX332" s="1562"/>
      <c r="AY332" s="1562"/>
      <c r="AZ332" s="1562"/>
      <c r="BA332" s="1562"/>
      <c r="BB332" s="1562"/>
      <c r="BC332" s="1380"/>
      <c r="BD332" s="1686" t="s">
        <v>1809</v>
      </c>
      <c r="BE332" s="1687" t="s">
        <v>1809</v>
      </c>
      <c r="BF332" s="1355"/>
    </row>
    <row r="333" spans="1:61" s="1658" customFormat="1" ht="43.5" outlineLevel="1" x14ac:dyDescent="0.35">
      <c r="A333" s="1634">
        <v>35.1</v>
      </c>
      <c r="B333" s="1635" t="s">
        <v>2008</v>
      </c>
      <c r="C333" s="1662" t="s">
        <v>938</v>
      </c>
      <c r="D333" s="1655" t="s">
        <v>1754</v>
      </c>
      <c r="E333" s="1637"/>
      <c r="F333" s="1360"/>
      <c r="G333" s="1414">
        <v>10</v>
      </c>
      <c r="H333" s="1414"/>
      <c r="I333" s="1365"/>
      <c r="J333" s="1365"/>
      <c r="K333" s="1360"/>
      <c r="L333" s="1381"/>
      <c r="M333" s="1381"/>
      <c r="N333" s="1382"/>
      <c r="O333" s="867" t="s">
        <v>1622</v>
      </c>
      <c r="P333" s="1562"/>
      <c r="Q333" s="1562"/>
      <c r="R333" s="1562"/>
      <c r="S333" s="1562"/>
      <c r="T333" s="1594">
        <f t="shared" si="62"/>
        <v>0</v>
      </c>
      <c r="U333" s="1562"/>
      <c r="V333" s="1562"/>
      <c r="W333" s="1562"/>
      <c r="X333" s="1573">
        <v>5</v>
      </c>
      <c r="Y333" s="1573">
        <v>5</v>
      </c>
      <c r="Z333" s="1562"/>
      <c r="AA333" s="1562"/>
      <c r="AB333" s="1562"/>
      <c r="AC333" s="1562"/>
      <c r="AD333" s="1562"/>
      <c r="AE333" s="1562"/>
      <c r="AF333" s="1562"/>
      <c r="AG333" s="1541">
        <f t="shared" si="63"/>
        <v>0</v>
      </c>
      <c r="AH333" s="1562"/>
      <c r="AI333" s="1562"/>
      <c r="AJ333" s="1562"/>
      <c r="AK333" s="1650"/>
      <c r="AL333" s="1650">
        <v>1</v>
      </c>
      <c r="AM333" s="1562"/>
      <c r="AN333" s="1562"/>
      <c r="AO333" s="1562"/>
      <c r="AP333" s="1562"/>
      <c r="AQ333" s="1562"/>
      <c r="AR333" s="1562"/>
      <c r="AS333" s="1562"/>
      <c r="AT333" s="1594">
        <f t="shared" si="64"/>
        <v>0</v>
      </c>
      <c r="AU333" s="1562"/>
      <c r="AV333" s="1562"/>
      <c r="AW333" s="1562"/>
      <c r="AX333" s="1562"/>
      <c r="AY333" s="1414">
        <v>10</v>
      </c>
      <c r="AZ333" s="1562"/>
      <c r="BA333" s="1562"/>
      <c r="BB333" s="1562"/>
      <c r="BC333" s="1380"/>
      <c r="BD333" s="1686" t="s">
        <v>1809</v>
      </c>
      <c r="BE333" s="1687" t="s">
        <v>1809</v>
      </c>
      <c r="BF333" s="1319"/>
      <c r="BG333" s="1319"/>
      <c r="BH333" s="1319"/>
      <c r="BI333" s="1319"/>
    </row>
    <row r="334" spans="1:61" s="1658" customFormat="1" ht="43.5" outlineLevel="1" x14ac:dyDescent="0.35">
      <c r="A334" s="1634">
        <v>35.200000000000003</v>
      </c>
      <c r="B334" s="1635" t="s">
        <v>2009</v>
      </c>
      <c r="C334" s="1662" t="s">
        <v>938</v>
      </c>
      <c r="D334" s="1655" t="s">
        <v>1754</v>
      </c>
      <c r="E334" s="1637"/>
      <c r="F334" s="1360"/>
      <c r="G334" s="1414">
        <v>5</v>
      </c>
      <c r="H334" s="1414"/>
      <c r="I334" s="1365"/>
      <c r="J334" s="1365"/>
      <c r="K334" s="1360"/>
      <c r="L334" s="1381"/>
      <c r="M334" s="1381"/>
      <c r="N334" s="1382"/>
      <c r="O334" s="867" t="s">
        <v>1620</v>
      </c>
      <c r="P334" s="1562"/>
      <c r="Q334" s="1562"/>
      <c r="R334" s="1562"/>
      <c r="S334" s="1562"/>
      <c r="T334" s="1594">
        <f t="shared" si="62"/>
        <v>0</v>
      </c>
      <c r="U334" s="1562"/>
      <c r="V334" s="1562"/>
      <c r="W334" s="1562"/>
      <c r="X334" s="1573">
        <v>2.5</v>
      </c>
      <c r="Y334" s="1573">
        <v>2.5</v>
      </c>
      <c r="Z334" s="1562"/>
      <c r="AA334" s="1562"/>
      <c r="AB334" s="1562"/>
      <c r="AC334" s="1562"/>
      <c r="AD334" s="1562"/>
      <c r="AE334" s="1562"/>
      <c r="AF334" s="1562"/>
      <c r="AG334" s="1541">
        <f t="shared" si="63"/>
        <v>0</v>
      </c>
      <c r="AH334" s="1562"/>
      <c r="AI334" s="1562"/>
      <c r="AJ334" s="1562"/>
      <c r="AK334" s="1650"/>
      <c r="AL334" s="1650">
        <v>1</v>
      </c>
      <c r="AM334" s="1562"/>
      <c r="AN334" s="1562"/>
      <c r="AO334" s="1562"/>
      <c r="AP334" s="1562"/>
      <c r="AQ334" s="1562"/>
      <c r="AR334" s="1562"/>
      <c r="AS334" s="1562"/>
      <c r="AT334" s="1594">
        <f t="shared" si="64"/>
        <v>0</v>
      </c>
      <c r="AU334" s="1562"/>
      <c r="AV334" s="1562"/>
      <c r="AW334" s="1562"/>
      <c r="AX334" s="1562"/>
      <c r="AY334" s="1414">
        <v>5</v>
      </c>
      <c r="AZ334" s="1562"/>
      <c r="BA334" s="1562"/>
      <c r="BB334" s="1562"/>
      <c r="BC334" s="1380"/>
      <c r="BD334" s="1686" t="s">
        <v>1809</v>
      </c>
      <c r="BE334" s="1687" t="s">
        <v>1809</v>
      </c>
      <c r="BF334" s="1319"/>
      <c r="BG334" s="1319"/>
      <c r="BH334" s="1319"/>
      <c r="BI334" s="1319"/>
    </row>
    <row r="335" spans="1:61" s="1658" customFormat="1" ht="29" outlineLevel="1" x14ac:dyDescent="0.35">
      <c r="A335" s="1634">
        <v>35.299999999999997</v>
      </c>
      <c r="B335" s="1635" t="s">
        <v>2010</v>
      </c>
      <c r="C335" s="1662" t="s">
        <v>938</v>
      </c>
      <c r="D335" s="1655" t="s">
        <v>1754</v>
      </c>
      <c r="E335" s="1637"/>
      <c r="F335" s="1360"/>
      <c r="G335" s="1414">
        <v>5</v>
      </c>
      <c r="H335" s="1414"/>
      <c r="I335" s="1365"/>
      <c r="J335" s="1365"/>
      <c r="K335" s="1360"/>
      <c r="L335" s="1381"/>
      <c r="M335" s="1381"/>
      <c r="N335" s="1382"/>
      <c r="O335" s="867" t="s">
        <v>1620</v>
      </c>
      <c r="P335" s="1562"/>
      <c r="Q335" s="1562"/>
      <c r="R335" s="1562"/>
      <c r="S335" s="1562"/>
      <c r="T335" s="1594">
        <f t="shared" si="62"/>
        <v>0</v>
      </c>
      <c r="U335" s="1562"/>
      <c r="V335" s="1562"/>
      <c r="W335" s="1562"/>
      <c r="X335" s="1573">
        <v>3</v>
      </c>
      <c r="Y335" s="1573">
        <v>2</v>
      </c>
      <c r="Z335" s="1562"/>
      <c r="AA335" s="1562"/>
      <c r="AB335" s="1562"/>
      <c r="AC335" s="1562"/>
      <c r="AD335" s="1562"/>
      <c r="AE335" s="1562"/>
      <c r="AF335" s="1562"/>
      <c r="AG335" s="1541">
        <f t="shared" si="63"/>
        <v>0</v>
      </c>
      <c r="AH335" s="1562"/>
      <c r="AI335" s="1562"/>
      <c r="AJ335" s="1562"/>
      <c r="AK335" s="1650"/>
      <c r="AL335" s="1650">
        <v>1</v>
      </c>
      <c r="AM335" s="1562"/>
      <c r="AN335" s="1562"/>
      <c r="AO335" s="1562"/>
      <c r="AP335" s="1562"/>
      <c r="AQ335" s="1562"/>
      <c r="AR335" s="1562"/>
      <c r="AS335" s="1562"/>
      <c r="AT335" s="1594">
        <f t="shared" si="64"/>
        <v>0</v>
      </c>
      <c r="AU335" s="1562"/>
      <c r="AV335" s="1562"/>
      <c r="AW335" s="1562"/>
      <c r="AX335" s="1562"/>
      <c r="AY335" s="1414">
        <v>5</v>
      </c>
      <c r="AZ335" s="1562"/>
      <c r="BA335" s="1562"/>
      <c r="BB335" s="1562"/>
      <c r="BC335" s="1380"/>
      <c r="BD335" s="1686" t="s">
        <v>1809</v>
      </c>
      <c r="BE335" s="1687" t="s">
        <v>1809</v>
      </c>
      <c r="BF335" s="1319"/>
      <c r="BG335" s="1319"/>
      <c r="BH335" s="1319"/>
      <c r="BI335" s="1319"/>
    </row>
    <row r="336" spans="1:61" s="1658" customFormat="1" ht="29" outlineLevel="1" x14ac:dyDescent="0.35">
      <c r="A336" s="1634">
        <v>35.4</v>
      </c>
      <c r="B336" s="1635" t="s">
        <v>2011</v>
      </c>
      <c r="C336" s="1662" t="s">
        <v>938</v>
      </c>
      <c r="D336" s="1655" t="s">
        <v>1754</v>
      </c>
      <c r="E336" s="1637"/>
      <c r="F336" s="1360"/>
      <c r="G336" s="1414">
        <v>2</v>
      </c>
      <c r="H336" s="1414"/>
      <c r="I336" s="1365"/>
      <c r="J336" s="1365"/>
      <c r="K336" s="1360"/>
      <c r="L336" s="1381"/>
      <c r="M336" s="1381"/>
      <c r="N336" s="1382"/>
      <c r="O336" s="867" t="s">
        <v>1620</v>
      </c>
      <c r="P336" s="1562"/>
      <c r="Q336" s="1562"/>
      <c r="R336" s="1562"/>
      <c r="S336" s="1562"/>
      <c r="T336" s="1594">
        <f t="shared" si="62"/>
        <v>0</v>
      </c>
      <c r="U336" s="1562"/>
      <c r="V336" s="1562"/>
      <c r="W336" s="1562"/>
      <c r="X336" s="1573">
        <v>2</v>
      </c>
      <c r="Y336" s="1562"/>
      <c r="Z336" s="1562"/>
      <c r="AA336" s="1562"/>
      <c r="AB336" s="1562"/>
      <c r="AC336" s="1562"/>
      <c r="AD336" s="1562"/>
      <c r="AE336" s="1562"/>
      <c r="AF336" s="1562"/>
      <c r="AG336" s="1541">
        <f t="shared" si="63"/>
        <v>0</v>
      </c>
      <c r="AH336" s="1562"/>
      <c r="AI336" s="1562"/>
      <c r="AJ336" s="1562"/>
      <c r="AK336" s="1650">
        <v>1</v>
      </c>
      <c r="AL336" s="1562"/>
      <c r="AM336" s="1562"/>
      <c r="AN336" s="1562"/>
      <c r="AO336" s="1562"/>
      <c r="AP336" s="1562"/>
      <c r="AQ336" s="1562"/>
      <c r="AR336" s="1562"/>
      <c r="AS336" s="1562"/>
      <c r="AT336" s="1594">
        <f t="shared" si="64"/>
        <v>0</v>
      </c>
      <c r="AU336" s="1562"/>
      <c r="AV336" s="1562"/>
      <c r="AW336" s="1562"/>
      <c r="AX336" s="1573">
        <v>2</v>
      </c>
      <c r="AY336" s="1562"/>
      <c r="AZ336" s="1562"/>
      <c r="BA336" s="1562"/>
      <c r="BB336" s="1562"/>
      <c r="BC336" s="1380"/>
      <c r="BD336" s="1686" t="s">
        <v>1809</v>
      </c>
      <c r="BE336" s="1687" t="s">
        <v>1809</v>
      </c>
      <c r="BF336" s="1319"/>
      <c r="BG336" s="1319"/>
      <c r="BH336" s="1319"/>
      <c r="BI336" s="1319"/>
    </row>
    <row r="337" spans="1:16381" s="1658" customFormat="1" ht="58" outlineLevel="1" x14ac:dyDescent="0.35">
      <c r="A337" s="1634">
        <v>35.5</v>
      </c>
      <c r="B337" s="1635" t="s">
        <v>2012</v>
      </c>
      <c r="C337" s="1662" t="s">
        <v>938</v>
      </c>
      <c r="D337" s="1655" t="s">
        <v>1754</v>
      </c>
      <c r="E337" s="1637"/>
      <c r="F337" s="1360"/>
      <c r="G337" s="1414">
        <v>5</v>
      </c>
      <c r="H337" s="1414"/>
      <c r="I337" s="1365"/>
      <c r="J337" s="1365"/>
      <c r="K337" s="1360"/>
      <c r="L337" s="1381"/>
      <c r="M337" s="1381"/>
      <c r="N337" s="1382"/>
      <c r="O337" s="867" t="s">
        <v>1625</v>
      </c>
      <c r="P337" s="1562"/>
      <c r="Q337" s="1562"/>
      <c r="R337" s="1562"/>
      <c r="S337" s="1562"/>
      <c r="T337" s="1594">
        <f t="shared" si="62"/>
        <v>0</v>
      </c>
      <c r="U337" s="1562"/>
      <c r="V337" s="1562"/>
      <c r="W337" s="1562"/>
      <c r="X337" s="1573">
        <v>2.5</v>
      </c>
      <c r="Y337" s="1573">
        <v>2.5</v>
      </c>
      <c r="Z337" s="1562"/>
      <c r="AA337" s="1562"/>
      <c r="AB337" s="1562"/>
      <c r="AC337" s="1562"/>
      <c r="AD337" s="1562"/>
      <c r="AE337" s="1562"/>
      <c r="AF337" s="1562"/>
      <c r="AG337" s="1541">
        <f t="shared" si="63"/>
        <v>0</v>
      </c>
      <c r="AH337" s="1562"/>
      <c r="AI337" s="1562"/>
      <c r="AJ337" s="1562"/>
      <c r="AK337" s="1650"/>
      <c r="AL337" s="1650">
        <v>1</v>
      </c>
      <c r="AM337" s="1562"/>
      <c r="AN337" s="1562"/>
      <c r="AO337" s="1562"/>
      <c r="AP337" s="1562"/>
      <c r="AQ337" s="1562"/>
      <c r="AR337" s="1562"/>
      <c r="AS337" s="1562"/>
      <c r="AT337" s="1594">
        <f t="shared" si="64"/>
        <v>0</v>
      </c>
      <c r="AU337" s="1562"/>
      <c r="AV337" s="1562"/>
      <c r="AW337" s="1562"/>
      <c r="AX337" s="1562"/>
      <c r="AY337" s="1414">
        <v>5</v>
      </c>
      <c r="AZ337" s="1562"/>
      <c r="BA337" s="1562"/>
      <c r="BB337" s="1562"/>
      <c r="BC337" s="1380"/>
      <c r="BD337" s="1686" t="s">
        <v>1809</v>
      </c>
      <c r="BE337" s="1687" t="s">
        <v>1809</v>
      </c>
      <c r="BF337" s="1319"/>
      <c r="BG337" s="1319"/>
      <c r="BH337" s="1319"/>
      <c r="BI337" s="1319"/>
    </row>
    <row r="338" spans="1:16381" s="1658" customFormat="1" ht="29" outlineLevel="1" x14ac:dyDescent="0.35">
      <c r="A338" s="1634">
        <v>35.6</v>
      </c>
      <c r="B338" s="1635" t="s">
        <v>2013</v>
      </c>
      <c r="C338" s="1662" t="s">
        <v>938</v>
      </c>
      <c r="D338" s="1655" t="s">
        <v>1754</v>
      </c>
      <c r="E338" s="1637"/>
      <c r="F338" s="1360"/>
      <c r="G338" s="1414">
        <v>4</v>
      </c>
      <c r="H338" s="1414"/>
      <c r="I338" s="1365"/>
      <c r="J338" s="1365"/>
      <c r="K338" s="1360"/>
      <c r="L338" s="1381"/>
      <c r="M338" s="1381"/>
      <c r="N338" s="1382"/>
      <c r="O338" s="867" t="s">
        <v>1620</v>
      </c>
      <c r="P338" s="1562"/>
      <c r="Q338" s="1562"/>
      <c r="R338" s="1562"/>
      <c r="S338" s="1562"/>
      <c r="T338" s="1594">
        <f t="shared" si="62"/>
        <v>0</v>
      </c>
      <c r="U338" s="1562"/>
      <c r="V338" s="1562"/>
      <c r="W338" s="1562"/>
      <c r="X338" s="1573">
        <v>2</v>
      </c>
      <c r="Y338" s="1573">
        <v>2</v>
      </c>
      <c r="Z338" s="1562"/>
      <c r="AA338" s="1562"/>
      <c r="AB338" s="1562"/>
      <c r="AC338" s="1562"/>
      <c r="AD338" s="1562"/>
      <c r="AE338" s="1562"/>
      <c r="AF338" s="1562"/>
      <c r="AG338" s="1541">
        <f t="shared" si="63"/>
        <v>0</v>
      </c>
      <c r="AH338" s="1562"/>
      <c r="AI338" s="1562"/>
      <c r="AJ338" s="1562"/>
      <c r="AK338" s="1650"/>
      <c r="AL338" s="1650">
        <v>1</v>
      </c>
      <c r="AM338" s="1562"/>
      <c r="AN338" s="1562"/>
      <c r="AO338" s="1562"/>
      <c r="AP338" s="1562"/>
      <c r="AQ338" s="1562"/>
      <c r="AR338" s="1562"/>
      <c r="AS338" s="1562"/>
      <c r="AT338" s="1594">
        <f t="shared" si="64"/>
        <v>0</v>
      </c>
      <c r="AU338" s="1562"/>
      <c r="AV338" s="1562"/>
      <c r="AW338" s="1562"/>
      <c r="AX338" s="1562"/>
      <c r="AY338" s="1414">
        <v>4</v>
      </c>
      <c r="AZ338" s="1562"/>
      <c r="BA338" s="1562"/>
      <c r="BB338" s="1562"/>
      <c r="BC338" s="1380"/>
      <c r="BD338" s="1686" t="s">
        <v>1809</v>
      </c>
      <c r="BE338" s="1687" t="s">
        <v>1809</v>
      </c>
      <c r="BF338" s="1319"/>
      <c r="BG338" s="1319"/>
      <c r="BH338" s="1319"/>
      <c r="BI338" s="1319"/>
    </row>
    <row r="339" spans="1:16381" s="1658" customFormat="1" ht="29" outlineLevel="1" x14ac:dyDescent="0.35">
      <c r="A339" s="1634">
        <v>35.700000000000003</v>
      </c>
      <c r="B339" s="1635" t="s">
        <v>2014</v>
      </c>
      <c r="C339" s="1662" t="s">
        <v>938</v>
      </c>
      <c r="D339" s="1655" t="s">
        <v>1754</v>
      </c>
      <c r="E339" s="1637"/>
      <c r="F339" s="1360"/>
      <c r="G339" s="1414">
        <v>5</v>
      </c>
      <c r="H339" s="1414"/>
      <c r="I339" s="1365"/>
      <c r="J339" s="1365"/>
      <c r="K339" s="1360"/>
      <c r="L339" s="1381"/>
      <c r="M339" s="1381"/>
      <c r="N339" s="1382"/>
      <c r="O339" s="867" t="s">
        <v>1620</v>
      </c>
      <c r="P339" s="1562"/>
      <c r="Q339" s="1562"/>
      <c r="R339" s="1562"/>
      <c r="S339" s="1562"/>
      <c r="T339" s="1594">
        <f t="shared" si="62"/>
        <v>0</v>
      </c>
      <c r="U339" s="1562"/>
      <c r="V339" s="1562"/>
      <c r="W339" s="1562"/>
      <c r="X339" s="1573">
        <v>2.5</v>
      </c>
      <c r="Y339" s="1573">
        <v>2.5</v>
      </c>
      <c r="Z339" s="1562"/>
      <c r="AA339" s="1562"/>
      <c r="AB339" s="1562"/>
      <c r="AC339" s="1562"/>
      <c r="AD339" s="1562"/>
      <c r="AE339" s="1562"/>
      <c r="AF339" s="1562"/>
      <c r="AG339" s="1541">
        <f t="shared" si="63"/>
        <v>0</v>
      </c>
      <c r="AH339" s="1562"/>
      <c r="AI339" s="1562"/>
      <c r="AJ339" s="1562"/>
      <c r="AK339" s="1650"/>
      <c r="AL339" s="1650">
        <v>1</v>
      </c>
      <c r="AM339" s="1562"/>
      <c r="AN339" s="1562"/>
      <c r="AO339" s="1562"/>
      <c r="AP339" s="1562"/>
      <c r="AQ339" s="1562"/>
      <c r="AR339" s="1562"/>
      <c r="AS339" s="1562"/>
      <c r="AT339" s="1594">
        <f t="shared" si="64"/>
        <v>0</v>
      </c>
      <c r="AU339" s="1562"/>
      <c r="AV339" s="1562"/>
      <c r="AW339" s="1562"/>
      <c r="AX339" s="1562"/>
      <c r="AY339" s="1414">
        <v>5</v>
      </c>
      <c r="AZ339" s="1562"/>
      <c r="BA339" s="1562"/>
      <c r="BB339" s="1562"/>
      <c r="BC339" s="1380"/>
      <c r="BD339" s="1686" t="s">
        <v>1809</v>
      </c>
      <c r="BE339" s="1687" t="s">
        <v>1809</v>
      </c>
      <c r="BF339" s="1319"/>
      <c r="BG339" s="1319"/>
      <c r="BH339" s="1319"/>
      <c r="BI339" s="1319"/>
    </row>
    <row r="340" spans="1:16381" s="1658" customFormat="1" ht="29" outlineLevel="1" x14ac:dyDescent="0.35">
      <c r="A340" s="1634">
        <v>35.799999999999997</v>
      </c>
      <c r="B340" s="1635" t="s">
        <v>2015</v>
      </c>
      <c r="C340" s="1662" t="s">
        <v>938</v>
      </c>
      <c r="D340" s="1655" t="s">
        <v>1754</v>
      </c>
      <c r="E340" s="1637"/>
      <c r="F340" s="1360"/>
      <c r="G340" s="1414">
        <v>4</v>
      </c>
      <c r="H340" s="1414"/>
      <c r="I340" s="1365"/>
      <c r="J340" s="1365"/>
      <c r="K340" s="1360"/>
      <c r="L340" s="1381"/>
      <c r="M340" s="1381"/>
      <c r="N340" s="1382"/>
      <c r="O340" s="867" t="s">
        <v>1625</v>
      </c>
      <c r="P340" s="1562"/>
      <c r="Q340" s="1562"/>
      <c r="R340" s="1562"/>
      <c r="S340" s="1562"/>
      <c r="T340" s="1594">
        <f t="shared" si="62"/>
        <v>0</v>
      </c>
      <c r="U340" s="1562"/>
      <c r="V340" s="1562"/>
      <c r="W340" s="1562"/>
      <c r="X340" s="1573">
        <v>2</v>
      </c>
      <c r="Y340" s="1573">
        <v>2</v>
      </c>
      <c r="Z340" s="1562"/>
      <c r="AA340" s="1562"/>
      <c r="AB340" s="1562"/>
      <c r="AC340" s="1562"/>
      <c r="AD340" s="1562"/>
      <c r="AE340" s="1562"/>
      <c r="AF340" s="1562"/>
      <c r="AG340" s="1541">
        <f t="shared" si="63"/>
        <v>0</v>
      </c>
      <c r="AH340" s="1562"/>
      <c r="AI340" s="1562"/>
      <c r="AJ340" s="1562"/>
      <c r="AK340" s="1650"/>
      <c r="AL340" s="1650">
        <v>1</v>
      </c>
      <c r="AM340" s="1562"/>
      <c r="AN340" s="1562"/>
      <c r="AO340" s="1562"/>
      <c r="AP340" s="1562"/>
      <c r="AQ340" s="1562"/>
      <c r="AR340" s="1562"/>
      <c r="AS340" s="1562"/>
      <c r="AT340" s="1594">
        <f t="shared" si="64"/>
        <v>0</v>
      </c>
      <c r="AU340" s="1562"/>
      <c r="AV340" s="1562"/>
      <c r="AW340" s="1562"/>
      <c r="AX340" s="1562"/>
      <c r="AY340" s="1414">
        <v>4</v>
      </c>
      <c r="AZ340" s="1562"/>
      <c r="BA340" s="1562"/>
      <c r="BB340" s="1562"/>
      <c r="BC340" s="1380"/>
      <c r="BD340" s="1686" t="s">
        <v>1809</v>
      </c>
      <c r="BE340" s="1687" t="s">
        <v>1809</v>
      </c>
      <c r="BF340" s="1319"/>
      <c r="BG340" s="1319"/>
      <c r="BH340" s="1319"/>
      <c r="BI340" s="1319"/>
    </row>
    <row r="341" spans="1:16381" s="1658" customFormat="1" ht="29" outlineLevel="1" x14ac:dyDescent="0.35">
      <c r="A341" s="1634">
        <v>35.9</v>
      </c>
      <c r="B341" s="1635" t="s">
        <v>2016</v>
      </c>
      <c r="C341" s="1662" t="s">
        <v>938</v>
      </c>
      <c r="D341" s="1655" t="s">
        <v>1754</v>
      </c>
      <c r="E341" s="1637"/>
      <c r="F341" s="1360"/>
      <c r="G341" s="1414">
        <v>10</v>
      </c>
      <c r="H341" s="1414"/>
      <c r="I341" s="1365"/>
      <c r="J341" s="1365"/>
      <c r="K341" s="1360"/>
      <c r="L341" s="1381"/>
      <c r="M341" s="1381"/>
      <c r="N341" s="1382"/>
      <c r="O341" s="867" t="s">
        <v>1620</v>
      </c>
      <c r="P341" s="1562"/>
      <c r="Q341" s="1562"/>
      <c r="R341" s="1562"/>
      <c r="S341" s="1562"/>
      <c r="T341" s="1594">
        <f t="shared" si="62"/>
        <v>0</v>
      </c>
      <c r="U341" s="1562"/>
      <c r="V341" s="1562"/>
      <c r="W341" s="1562"/>
      <c r="X341" s="1573">
        <v>5</v>
      </c>
      <c r="Y341" s="1573">
        <v>5</v>
      </c>
      <c r="Z341" s="1562"/>
      <c r="AA341" s="1562"/>
      <c r="AB341" s="1562"/>
      <c r="AC341" s="1562"/>
      <c r="AD341" s="1562"/>
      <c r="AE341" s="1562"/>
      <c r="AF341" s="1562"/>
      <c r="AG341" s="1541">
        <f t="shared" si="63"/>
        <v>0</v>
      </c>
      <c r="AH341" s="1562"/>
      <c r="AI341" s="1562"/>
      <c r="AJ341" s="1562"/>
      <c r="AK341" s="1650"/>
      <c r="AL341" s="1650">
        <v>1</v>
      </c>
      <c r="AM341" s="1562"/>
      <c r="AN341" s="1562"/>
      <c r="AO341" s="1562"/>
      <c r="AP341" s="1562"/>
      <c r="AQ341" s="1562"/>
      <c r="AR341" s="1562"/>
      <c r="AS341" s="1562"/>
      <c r="AT341" s="1594">
        <f t="shared" si="64"/>
        <v>0</v>
      </c>
      <c r="AU341" s="1562"/>
      <c r="AV341" s="1562"/>
      <c r="AW341" s="1562"/>
      <c r="AX341" s="1562"/>
      <c r="AY341" s="1414">
        <v>10</v>
      </c>
      <c r="AZ341" s="1562"/>
      <c r="BA341" s="1562"/>
      <c r="BB341" s="1562"/>
      <c r="BC341" s="1380"/>
      <c r="BD341" s="1686" t="s">
        <v>1809</v>
      </c>
      <c r="BE341" s="1687" t="s">
        <v>1809</v>
      </c>
      <c r="BF341" s="1319"/>
      <c r="BG341" s="1319"/>
      <c r="BH341" s="1319"/>
      <c r="BI341" s="1319"/>
    </row>
    <row r="342" spans="1:16381" s="1658" customFormat="1" ht="29" outlineLevel="1" x14ac:dyDescent="0.35">
      <c r="A342" s="1634">
        <v>35.1</v>
      </c>
      <c r="B342" s="1635" t="s">
        <v>2017</v>
      </c>
      <c r="C342" s="1662" t="s">
        <v>938</v>
      </c>
      <c r="D342" s="1655" t="s">
        <v>1754</v>
      </c>
      <c r="E342" s="1637"/>
      <c r="F342" s="1360"/>
      <c r="G342" s="1414">
        <v>4</v>
      </c>
      <c r="H342" s="1414"/>
      <c r="I342" s="1365"/>
      <c r="J342" s="1365"/>
      <c r="K342" s="1360"/>
      <c r="L342" s="1381"/>
      <c r="M342" s="1381"/>
      <c r="N342" s="1382"/>
      <c r="O342" s="867" t="s">
        <v>1620</v>
      </c>
      <c r="P342" s="1562"/>
      <c r="Q342" s="1562"/>
      <c r="R342" s="1562"/>
      <c r="S342" s="1562"/>
      <c r="T342" s="1594">
        <f t="shared" si="62"/>
        <v>0</v>
      </c>
      <c r="U342" s="1562"/>
      <c r="V342" s="1562"/>
      <c r="W342" s="1562"/>
      <c r="X342" s="1573">
        <v>2</v>
      </c>
      <c r="Y342" s="1573">
        <v>2</v>
      </c>
      <c r="Z342" s="1562"/>
      <c r="AA342" s="1562"/>
      <c r="AB342" s="1562"/>
      <c r="AC342" s="1562"/>
      <c r="AD342" s="1562"/>
      <c r="AE342" s="1562"/>
      <c r="AF342" s="1562"/>
      <c r="AG342" s="1541">
        <f t="shared" si="63"/>
        <v>0</v>
      </c>
      <c r="AH342" s="1562"/>
      <c r="AI342" s="1562"/>
      <c r="AJ342" s="1562"/>
      <c r="AK342" s="1650"/>
      <c r="AL342" s="1650">
        <v>1</v>
      </c>
      <c r="AM342" s="1562"/>
      <c r="AN342" s="1562"/>
      <c r="AO342" s="1562"/>
      <c r="AP342" s="1562"/>
      <c r="AQ342" s="1562"/>
      <c r="AR342" s="1562"/>
      <c r="AS342" s="1562"/>
      <c r="AT342" s="1594">
        <f t="shared" si="64"/>
        <v>0</v>
      </c>
      <c r="AU342" s="1562"/>
      <c r="AV342" s="1562"/>
      <c r="AW342" s="1562"/>
      <c r="AX342" s="1562"/>
      <c r="AY342" s="1414">
        <v>4</v>
      </c>
      <c r="AZ342" s="1562"/>
      <c r="BA342" s="1562"/>
      <c r="BB342" s="1562"/>
      <c r="BC342" s="1380"/>
      <c r="BD342" s="1686" t="s">
        <v>1809</v>
      </c>
      <c r="BE342" s="1687" t="s">
        <v>1809</v>
      </c>
      <c r="BF342" s="1319"/>
      <c r="BG342" s="1319"/>
      <c r="BH342" s="1319"/>
      <c r="BI342" s="1319"/>
    </row>
    <row r="343" spans="1:16381" ht="37.5" customHeight="1" outlineLevel="1" x14ac:dyDescent="0.35">
      <c r="A343" s="1634">
        <v>36</v>
      </c>
      <c r="B343" s="1697" t="s">
        <v>2018</v>
      </c>
      <c r="C343" s="1655"/>
      <c r="D343" s="1655"/>
      <c r="E343" s="1637"/>
      <c r="F343" s="1360"/>
      <c r="G343" s="1694"/>
      <c r="H343" s="1412"/>
      <c r="I343" s="1365"/>
      <c r="J343" s="1365"/>
      <c r="K343" s="1359"/>
      <c r="L343" s="1387"/>
      <c r="M343" s="1387"/>
      <c r="N343" s="1388"/>
      <c r="O343" s="1380"/>
      <c r="P343" s="1562"/>
      <c r="Q343" s="1562"/>
      <c r="R343" s="1562"/>
      <c r="S343" s="1562"/>
      <c r="T343" s="1594">
        <f t="shared" si="62"/>
        <v>0</v>
      </c>
      <c r="U343" s="1562"/>
      <c r="V343" s="1562"/>
      <c r="W343" s="1562"/>
      <c r="X343" s="1562"/>
      <c r="Y343" s="1562"/>
      <c r="Z343" s="1562"/>
      <c r="AA343" s="1562"/>
      <c r="AB343" s="1562"/>
      <c r="AC343" s="1562"/>
      <c r="AD343" s="1562"/>
      <c r="AE343" s="1562"/>
      <c r="AF343" s="1562"/>
      <c r="AG343" s="1541">
        <f t="shared" si="63"/>
        <v>0</v>
      </c>
      <c r="AH343" s="1562"/>
      <c r="AI343" s="1562"/>
      <c r="AJ343" s="1562"/>
      <c r="AK343" s="1562"/>
      <c r="AL343" s="1562"/>
      <c r="AM343" s="1562"/>
      <c r="AN343" s="1562"/>
      <c r="AO343" s="1562"/>
      <c r="AP343" s="1562"/>
      <c r="AQ343" s="1562"/>
      <c r="AR343" s="1562"/>
      <c r="AS343" s="1562"/>
      <c r="AT343" s="1594">
        <f t="shared" si="64"/>
        <v>0</v>
      </c>
      <c r="AU343" s="1562"/>
      <c r="AV343" s="1562"/>
      <c r="AW343" s="1562"/>
      <c r="AX343" s="1562"/>
      <c r="AY343" s="1562"/>
      <c r="AZ343" s="1562"/>
      <c r="BA343" s="1562"/>
      <c r="BB343" s="1562"/>
      <c r="BC343" s="1380"/>
      <c r="BD343" s="1686" t="s">
        <v>1809</v>
      </c>
      <c r="BE343" s="1687" t="s">
        <v>1809</v>
      </c>
      <c r="BF343" s="1355"/>
    </row>
    <row r="344" spans="1:16381" s="1658" customFormat="1" ht="29" outlineLevel="1" x14ac:dyDescent="0.35">
      <c r="A344" s="1634">
        <v>36.1</v>
      </c>
      <c r="B344" s="1635" t="s">
        <v>2018</v>
      </c>
      <c r="C344" s="1662"/>
      <c r="D344" s="1655"/>
      <c r="E344" s="1637"/>
      <c r="F344" s="1360"/>
      <c r="G344" s="1414">
        <v>25</v>
      </c>
      <c r="H344" s="1414"/>
      <c r="I344" s="1365"/>
      <c r="J344" s="1365"/>
      <c r="K344" s="1360"/>
      <c r="L344" s="1381"/>
      <c r="M344" s="1381"/>
      <c r="N344" s="1382"/>
      <c r="O344" s="1380"/>
      <c r="P344" s="1562"/>
      <c r="Q344" s="1562"/>
      <c r="R344" s="1562"/>
      <c r="S344" s="1562"/>
      <c r="T344" s="1594">
        <f t="shared" si="62"/>
        <v>0</v>
      </c>
      <c r="U344" s="1562"/>
      <c r="V344" s="1562"/>
      <c r="W344" s="1562"/>
      <c r="X344" s="1573">
        <v>0</v>
      </c>
      <c r="Y344" s="1573">
        <v>25</v>
      </c>
      <c r="Z344" s="1562"/>
      <c r="AA344" s="1562"/>
      <c r="AB344" s="1562"/>
      <c r="AC344" s="1562"/>
      <c r="AD344" s="1562"/>
      <c r="AE344" s="1562"/>
      <c r="AF344" s="1562"/>
      <c r="AG344" s="1541">
        <f t="shared" si="63"/>
        <v>0</v>
      </c>
      <c r="AH344" s="1562"/>
      <c r="AI344" s="1562"/>
      <c r="AJ344" s="1562"/>
      <c r="AK344" s="1650"/>
      <c r="AL344" s="1650"/>
      <c r="AM344" s="1562"/>
      <c r="AN344" s="1562"/>
      <c r="AO344" s="1562"/>
      <c r="AP344" s="1562"/>
      <c r="AQ344" s="1562"/>
      <c r="AR344" s="1562"/>
      <c r="AS344" s="1562"/>
      <c r="AT344" s="1594">
        <f t="shared" si="64"/>
        <v>0</v>
      </c>
      <c r="AU344" s="1562"/>
      <c r="AV344" s="1562"/>
      <c r="AW344" s="1562"/>
      <c r="AX344" s="1562"/>
      <c r="AY344" s="1414">
        <v>25</v>
      </c>
      <c r="AZ344" s="1562"/>
      <c r="BA344" s="1562"/>
      <c r="BB344" s="1562"/>
      <c r="BC344" s="1380"/>
      <c r="BD344" s="1686" t="s">
        <v>1809</v>
      </c>
      <c r="BE344" s="1687" t="s">
        <v>1809</v>
      </c>
      <c r="BF344" s="1319"/>
      <c r="BG344" s="1319"/>
      <c r="BH344" s="1319"/>
      <c r="BI344" s="1319"/>
    </row>
    <row r="345" spans="1:16381" ht="37.5" customHeight="1" outlineLevel="1" x14ac:dyDescent="0.35">
      <c r="A345" s="1634">
        <v>37</v>
      </c>
      <c r="B345" s="1697" t="s">
        <v>2019</v>
      </c>
      <c r="C345" s="1662"/>
      <c r="D345" s="1655" t="s">
        <v>1754</v>
      </c>
      <c r="E345" s="1637"/>
      <c r="F345" s="1360"/>
      <c r="G345" s="1694"/>
      <c r="H345" s="1412"/>
      <c r="I345" s="1365"/>
      <c r="J345" s="1365"/>
      <c r="K345" s="1359"/>
      <c r="L345" s="1387"/>
      <c r="M345" s="1387"/>
      <c r="N345" s="1388"/>
      <c r="O345" s="1380"/>
      <c r="P345" s="1562"/>
      <c r="Q345" s="1562"/>
      <c r="R345" s="1562"/>
      <c r="S345" s="1562"/>
      <c r="T345" s="1594">
        <f t="shared" si="62"/>
        <v>0</v>
      </c>
      <c r="U345" s="1562"/>
      <c r="V345" s="1562"/>
      <c r="W345" s="1562"/>
      <c r="X345" s="1562"/>
      <c r="Y345" s="1562"/>
      <c r="Z345" s="1562"/>
      <c r="AA345" s="1562"/>
      <c r="AB345" s="1562"/>
      <c r="AC345" s="1562"/>
      <c r="AD345" s="1562"/>
      <c r="AE345" s="1562"/>
      <c r="AF345" s="1562"/>
      <c r="AG345" s="1541">
        <f t="shared" si="63"/>
        <v>0</v>
      </c>
      <c r="AH345" s="1562"/>
      <c r="AI345" s="1562"/>
      <c r="AJ345" s="1562"/>
      <c r="AK345" s="1562"/>
      <c r="AL345" s="1562"/>
      <c r="AM345" s="1562"/>
      <c r="AN345" s="1562"/>
      <c r="AO345" s="1562"/>
      <c r="AP345" s="1562"/>
      <c r="AQ345" s="1562"/>
      <c r="AR345" s="1562"/>
      <c r="AS345" s="1562"/>
      <c r="AT345" s="1594">
        <f t="shared" si="64"/>
        <v>0</v>
      </c>
      <c r="AU345" s="1562"/>
      <c r="AV345" s="1562"/>
      <c r="AW345" s="1562"/>
      <c r="AX345" s="1562"/>
      <c r="AY345" s="1562"/>
      <c r="AZ345" s="1562"/>
      <c r="BA345" s="1562"/>
      <c r="BB345" s="1562"/>
      <c r="BC345" s="1380"/>
      <c r="BD345" s="1686" t="s">
        <v>1809</v>
      </c>
      <c r="BE345" s="1687" t="s">
        <v>1809</v>
      </c>
      <c r="BF345" s="1355"/>
    </row>
    <row r="346" spans="1:16381" ht="319" outlineLevel="1" x14ac:dyDescent="0.35">
      <c r="A346" s="1358">
        <v>37.1</v>
      </c>
      <c r="B346" s="1361" t="s">
        <v>2019</v>
      </c>
      <c r="C346" s="1662" t="s">
        <v>938</v>
      </c>
      <c r="D346" s="1655" t="s">
        <v>1754</v>
      </c>
      <c r="E346" s="1359"/>
      <c r="F346" s="1360"/>
      <c r="G346" s="1414">
        <v>28</v>
      </c>
      <c r="H346" s="1361"/>
      <c r="I346" s="1365"/>
      <c r="J346" s="1365"/>
      <c r="K346" s="1359"/>
      <c r="L346" s="1362"/>
      <c r="M346" s="1362"/>
      <c r="N346" s="1363"/>
      <c r="O346" s="1437" t="s">
        <v>2020</v>
      </c>
      <c r="P346" s="1562"/>
      <c r="Q346" s="1562"/>
      <c r="R346" s="1562"/>
      <c r="S346" s="1562"/>
      <c r="T346" s="1594">
        <f t="shared" si="62"/>
        <v>0</v>
      </c>
      <c r="U346" s="1562"/>
      <c r="V346" s="1562"/>
      <c r="W346" s="1562"/>
      <c r="X346" s="1562"/>
      <c r="Y346" s="1562"/>
      <c r="Z346" s="1562"/>
      <c r="AA346" s="1573">
        <v>28</v>
      </c>
      <c r="AB346" s="1562"/>
      <c r="AC346" s="1562"/>
      <c r="AD346" s="1562"/>
      <c r="AE346" s="1562"/>
      <c r="AF346" s="1562"/>
      <c r="AG346" s="1541">
        <f t="shared" si="63"/>
        <v>0</v>
      </c>
      <c r="AH346" s="1562"/>
      <c r="AI346" s="1562"/>
      <c r="AJ346" s="1562"/>
      <c r="AK346" s="1562"/>
      <c r="AL346" s="1562"/>
      <c r="AM346" s="1562"/>
      <c r="AN346" s="1650">
        <v>1</v>
      </c>
      <c r="AO346" s="1562"/>
      <c r="AP346" s="1562"/>
      <c r="AQ346" s="1562"/>
      <c r="AR346" s="1562"/>
      <c r="AS346" s="1562"/>
      <c r="AT346" s="1594">
        <f t="shared" si="64"/>
        <v>0</v>
      </c>
      <c r="AU346" s="1562"/>
      <c r="AV346" s="1562"/>
      <c r="AW346" s="1562"/>
      <c r="AX346" s="1562"/>
      <c r="AY346" s="1562"/>
      <c r="AZ346" s="1562"/>
      <c r="BA346" s="1573">
        <v>28</v>
      </c>
      <c r="BB346" s="1562"/>
      <c r="BC346" s="1668"/>
      <c r="BD346" s="1686" t="s">
        <v>1809</v>
      </c>
      <c r="BE346" s="1687" t="s">
        <v>1809</v>
      </c>
    </row>
    <row r="347" spans="1:16381" s="1658" customFormat="1" x14ac:dyDescent="0.25">
      <c r="A347" s="1634"/>
      <c r="B347" s="1635"/>
      <c r="C347" s="1662"/>
      <c r="D347" s="1655"/>
      <c r="E347" s="1637"/>
      <c r="F347" s="1360"/>
      <c r="G347" s="1414"/>
      <c r="H347" s="1414"/>
      <c r="I347" s="1365"/>
      <c r="J347" s="1365"/>
      <c r="K347" s="1360"/>
      <c r="L347" s="1381"/>
      <c r="M347" s="1381"/>
      <c r="N347" s="1382"/>
      <c r="O347" s="1380"/>
      <c r="P347" s="1562"/>
      <c r="Q347" s="1562"/>
      <c r="R347" s="1562"/>
      <c r="S347" s="1562"/>
      <c r="T347" s="1594">
        <f t="shared" si="62"/>
        <v>0</v>
      </c>
      <c r="U347" s="1562"/>
      <c r="V347" s="1562"/>
      <c r="W347" s="1707"/>
      <c r="X347" s="1708"/>
      <c r="Y347" s="1708"/>
      <c r="Z347" s="1707"/>
      <c r="AA347" s="1707"/>
      <c r="AB347" s="1707"/>
      <c r="AC347" s="1562"/>
      <c r="AD347" s="1562"/>
      <c r="AE347" s="1562"/>
      <c r="AF347" s="1562"/>
      <c r="AG347" s="1541">
        <f t="shared" si="63"/>
        <v>0</v>
      </c>
      <c r="AH347" s="1562"/>
      <c r="AI347" s="1562"/>
      <c r="AJ347" s="1562"/>
      <c r="AK347" s="1650"/>
      <c r="AL347" s="1650"/>
      <c r="AM347" s="1562"/>
      <c r="AN347" s="1562"/>
      <c r="AO347" s="1562"/>
      <c r="AP347" s="1562"/>
      <c r="AQ347" s="1562"/>
      <c r="AR347" s="1562"/>
      <c r="AS347" s="1562"/>
      <c r="AT347" s="1594">
        <f t="shared" si="64"/>
        <v>0</v>
      </c>
      <c r="AU347" s="1562"/>
      <c r="AV347" s="1562"/>
      <c r="AW347" s="1562"/>
      <c r="AX347" s="1562"/>
      <c r="AY347" s="1414"/>
      <c r="AZ347" s="1562"/>
      <c r="BA347" s="1562"/>
      <c r="BB347" s="1562"/>
      <c r="BC347" s="1380"/>
      <c r="BD347" s="1380"/>
      <c r="BE347" s="1613"/>
      <c r="BF347" s="1319"/>
      <c r="BG347" s="1319"/>
      <c r="BH347" s="1319"/>
      <c r="BI347" s="1319"/>
    </row>
    <row r="348" spans="1:16381" x14ac:dyDescent="0.25">
      <c r="A348" s="1634"/>
      <c r="B348" s="1709"/>
      <c r="C348" s="1636"/>
      <c r="D348" s="1634"/>
      <c r="E348" s="1637"/>
      <c r="F348" s="1360"/>
      <c r="G348" s="1412"/>
      <c r="H348" s="1412"/>
      <c r="I348" s="1365"/>
      <c r="J348" s="1365"/>
      <c r="K348" s="1359"/>
      <c r="L348" s="1387"/>
      <c r="M348" s="1387"/>
      <c r="N348" s="1388"/>
      <c r="O348" s="1380"/>
      <c r="P348" s="1538">
        <v>0</v>
      </c>
      <c r="Q348" s="1538">
        <v>0</v>
      </c>
      <c r="R348" s="1538">
        <v>0</v>
      </c>
      <c r="S348" s="1538">
        <v>0</v>
      </c>
      <c r="T348" s="1594">
        <f t="shared" si="62"/>
        <v>0</v>
      </c>
      <c r="U348" s="1710">
        <v>0</v>
      </c>
      <c r="V348" s="1710">
        <v>0</v>
      </c>
      <c r="W348" s="1711"/>
      <c r="X348" s="1711"/>
      <c r="Y348" s="1711"/>
      <c r="Z348" s="1711"/>
      <c r="AA348" s="1711"/>
      <c r="AB348" s="1711"/>
      <c r="AC348" s="1666"/>
      <c r="AD348" s="1666"/>
      <c r="AE348" s="1666"/>
      <c r="AF348" s="1666"/>
      <c r="AG348" s="1541">
        <f t="shared" si="63"/>
        <v>0</v>
      </c>
      <c r="AH348" s="1641"/>
      <c r="AI348" s="1641"/>
      <c r="AJ348" s="1641"/>
      <c r="AK348" s="1641"/>
      <c r="AL348" s="1641"/>
      <c r="AM348" s="1641"/>
      <c r="AN348" s="1641"/>
      <c r="AO348" s="1641"/>
      <c r="AP348" s="1538">
        <v>0</v>
      </c>
      <c r="AQ348" s="1538">
        <v>0</v>
      </c>
      <c r="AR348" s="1538">
        <v>0</v>
      </c>
      <c r="AS348" s="1538">
        <v>0</v>
      </c>
      <c r="AT348" s="1594">
        <f t="shared" si="64"/>
        <v>0</v>
      </c>
      <c r="AU348" s="1668"/>
      <c r="AV348" s="1668"/>
      <c r="AW348" s="1668"/>
      <c r="AX348" s="1668"/>
      <c r="AY348" s="1668"/>
      <c r="AZ348" s="1668"/>
      <c r="BA348" s="1668"/>
      <c r="BB348" s="1668"/>
      <c r="BC348" s="1361"/>
      <c r="BD348" s="1380"/>
      <c r="BE348" s="1613"/>
      <c r="BL348" s="1658"/>
      <c r="BM348" s="1658"/>
      <c r="BN348" s="1658"/>
      <c r="BO348" s="1658"/>
      <c r="BP348" s="1658"/>
      <c r="BQ348" s="1658"/>
      <c r="BR348" s="1658"/>
      <c r="BS348" s="1658"/>
      <c r="BT348" s="1658"/>
      <c r="BU348" s="1658"/>
      <c r="BV348" s="1658"/>
      <c r="BW348" s="1658"/>
      <c r="BX348" s="1658"/>
      <c r="BY348" s="1658"/>
      <c r="BZ348" s="1658"/>
      <c r="CA348" s="1658"/>
      <c r="CB348" s="1658"/>
      <c r="CC348" s="1658"/>
      <c r="CD348" s="1658"/>
      <c r="CE348" s="1658"/>
      <c r="CF348" s="1658"/>
      <c r="CG348" s="1658"/>
      <c r="CH348" s="1658"/>
      <c r="CI348" s="1658"/>
      <c r="CJ348" s="1658"/>
      <c r="CK348" s="1658"/>
      <c r="CL348" s="1658"/>
      <c r="CM348" s="1658"/>
      <c r="CN348" s="1658"/>
      <c r="CO348" s="1658"/>
      <c r="CP348" s="1658"/>
      <c r="CQ348" s="1658"/>
      <c r="CR348" s="1658"/>
      <c r="CS348" s="1658"/>
      <c r="CT348" s="1658"/>
      <c r="CU348" s="1658"/>
      <c r="CV348" s="1658"/>
      <c r="CW348" s="1658"/>
      <c r="CX348" s="1658"/>
      <c r="CY348" s="1658"/>
      <c r="CZ348" s="1658"/>
      <c r="DA348" s="1658"/>
      <c r="DB348" s="1658"/>
      <c r="DC348" s="1658"/>
      <c r="DD348" s="1658"/>
      <c r="DE348" s="1658"/>
      <c r="DF348" s="1658"/>
      <c r="DG348" s="1658"/>
      <c r="DH348" s="1658"/>
      <c r="DI348" s="1658"/>
      <c r="DJ348" s="1658"/>
      <c r="DK348" s="1658"/>
      <c r="DL348" s="1658"/>
      <c r="DM348" s="1658"/>
      <c r="DN348" s="1658"/>
      <c r="DO348" s="1658"/>
      <c r="DP348" s="1658"/>
      <c r="DQ348" s="1658"/>
      <c r="DR348" s="1658"/>
      <c r="DS348" s="1658"/>
      <c r="DT348" s="1658"/>
      <c r="DU348" s="1658"/>
      <c r="DV348" s="1658"/>
      <c r="DW348" s="1658"/>
      <c r="DX348" s="1658"/>
      <c r="DY348" s="1658"/>
      <c r="DZ348" s="1658"/>
      <c r="EA348" s="1658"/>
      <c r="EB348" s="1658"/>
      <c r="EC348" s="1658"/>
      <c r="ED348" s="1658"/>
      <c r="EE348" s="1658"/>
      <c r="EF348" s="1658"/>
      <c r="EG348" s="1658"/>
      <c r="EH348" s="1658"/>
      <c r="EI348" s="1658"/>
      <c r="EJ348" s="1658"/>
      <c r="EK348" s="1658"/>
      <c r="EL348" s="1658"/>
      <c r="EM348" s="1658"/>
      <c r="EN348" s="1658"/>
      <c r="EO348" s="1658"/>
      <c r="EP348" s="1658"/>
      <c r="EQ348" s="1658"/>
      <c r="ER348" s="1658"/>
      <c r="ES348" s="1658"/>
      <c r="ET348" s="1658"/>
      <c r="EU348" s="1658"/>
      <c r="EV348" s="1658"/>
      <c r="EW348" s="1658"/>
      <c r="EX348" s="1658"/>
      <c r="EY348" s="1658"/>
      <c r="EZ348" s="1658"/>
      <c r="FA348" s="1658"/>
      <c r="FB348" s="1658"/>
      <c r="FC348" s="1658"/>
      <c r="FD348" s="1658"/>
      <c r="FE348" s="1658"/>
      <c r="FF348" s="1658"/>
      <c r="FG348" s="1658"/>
      <c r="FH348" s="1658"/>
      <c r="FI348" s="1658"/>
      <c r="FJ348" s="1658"/>
      <c r="FK348" s="1658"/>
      <c r="FL348" s="1658"/>
      <c r="FM348" s="1658"/>
      <c r="FN348" s="1658"/>
      <c r="FO348" s="1658"/>
      <c r="FP348" s="1658"/>
      <c r="FQ348" s="1658"/>
      <c r="FR348" s="1658"/>
      <c r="FS348" s="1658"/>
      <c r="FT348" s="1658"/>
      <c r="FU348" s="1658"/>
      <c r="FV348" s="1658"/>
      <c r="FW348" s="1658"/>
      <c r="FX348" s="1658"/>
      <c r="FY348" s="1658"/>
      <c r="FZ348" s="1658"/>
      <c r="GA348" s="1658"/>
      <c r="GB348" s="1658"/>
      <c r="GC348" s="1658"/>
      <c r="GD348" s="1658"/>
      <c r="GE348" s="1658"/>
      <c r="GF348" s="1658"/>
      <c r="GG348" s="1658"/>
      <c r="GH348" s="1658"/>
      <c r="GI348" s="1658"/>
      <c r="GJ348" s="1658"/>
      <c r="GK348" s="1658"/>
      <c r="GL348" s="1658"/>
      <c r="GM348" s="1658"/>
      <c r="GN348" s="1658"/>
      <c r="GO348" s="1658"/>
      <c r="GP348" s="1658"/>
      <c r="GQ348" s="1658"/>
      <c r="GR348" s="1658"/>
      <c r="GS348" s="1658"/>
      <c r="GT348" s="1658"/>
      <c r="GU348" s="1658"/>
      <c r="GV348" s="1658"/>
      <c r="GW348" s="1658"/>
      <c r="GX348" s="1658"/>
      <c r="GY348" s="1658"/>
      <c r="GZ348" s="1658"/>
      <c r="HA348" s="1658"/>
      <c r="HB348" s="1658"/>
      <c r="HC348" s="1658"/>
      <c r="HD348" s="1658"/>
      <c r="HE348" s="1658"/>
      <c r="HF348" s="1658"/>
      <c r="HG348" s="1658"/>
      <c r="HH348" s="1658"/>
      <c r="HI348" s="1658"/>
      <c r="HJ348" s="1658"/>
      <c r="HK348" s="1658"/>
      <c r="HL348" s="1658"/>
      <c r="HM348" s="1658"/>
      <c r="HN348" s="1658"/>
      <c r="HO348" s="1658"/>
      <c r="HP348" s="1658"/>
      <c r="HQ348" s="1658"/>
      <c r="HR348" s="1658"/>
      <c r="HS348" s="1658"/>
      <c r="HT348" s="1658"/>
      <c r="HU348" s="1658"/>
      <c r="HV348" s="1658"/>
      <c r="HW348" s="1658"/>
      <c r="HX348" s="1658"/>
      <c r="HY348" s="1658"/>
      <c r="HZ348" s="1658"/>
      <c r="IA348" s="1658"/>
      <c r="IB348" s="1658"/>
      <c r="IC348" s="1658"/>
      <c r="ID348" s="1658"/>
      <c r="IE348" s="1658"/>
      <c r="IF348" s="1658"/>
      <c r="IG348" s="1658"/>
      <c r="IH348" s="1658"/>
      <c r="II348" s="1658"/>
      <c r="IJ348" s="1658"/>
      <c r="IK348" s="1658"/>
      <c r="IL348" s="1658"/>
      <c r="IM348" s="1658"/>
      <c r="IN348" s="1658"/>
      <c r="IO348" s="1658"/>
      <c r="IP348" s="1658"/>
      <c r="IQ348" s="1658"/>
      <c r="IR348" s="1658"/>
      <c r="IS348" s="1658"/>
      <c r="IT348" s="1658"/>
      <c r="IU348" s="1658"/>
      <c r="IV348" s="1658"/>
      <c r="IW348" s="1658"/>
      <c r="IX348" s="1658"/>
      <c r="IY348" s="1658"/>
      <c r="IZ348" s="1658"/>
      <c r="JA348" s="1658"/>
      <c r="JB348" s="1658"/>
      <c r="JC348" s="1658"/>
      <c r="JD348" s="1658"/>
      <c r="JE348" s="1658"/>
      <c r="JF348" s="1658"/>
      <c r="JG348" s="1658"/>
      <c r="JH348" s="1658"/>
      <c r="JI348" s="1658"/>
      <c r="JJ348" s="1658"/>
      <c r="JK348" s="1658"/>
      <c r="JL348" s="1658"/>
      <c r="JM348" s="1658"/>
      <c r="JN348" s="1658"/>
      <c r="JO348" s="1658"/>
      <c r="JP348" s="1658"/>
      <c r="JQ348" s="1658"/>
      <c r="JR348" s="1658"/>
      <c r="JS348" s="1658"/>
      <c r="JT348" s="1658"/>
      <c r="JU348" s="1658"/>
      <c r="JV348" s="1658"/>
      <c r="JW348" s="1658"/>
      <c r="JX348" s="1658"/>
      <c r="JY348" s="1658"/>
      <c r="JZ348" s="1658"/>
      <c r="KA348" s="1658"/>
      <c r="KB348" s="1658"/>
      <c r="KC348" s="1658"/>
      <c r="KD348" s="1658"/>
      <c r="KE348" s="1658"/>
      <c r="KF348" s="1658"/>
      <c r="KG348" s="1658"/>
      <c r="KH348" s="1658"/>
      <c r="KI348" s="1658"/>
      <c r="KJ348" s="1658"/>
      <c r="KK348" s="1658"/>
      <c r="KL348" s="1658"/>
      <c r="KM348" s="1658"/>
      <c r="KN348" s="1658"/>
      <c r="KO348" s="1658"/>
      <c r="KP348" s="1658"/>
      <c r="KQ348" s="1658"/>
      <c r="KR348" s="1658"/>
      <c r="KS348" s="1658"/>
      <c r="KT348" s="1658"/>
      <c r="KU348" s="1658"/>
      <c r="KV348" s="1658"/>
      <c r="KW348" s="1658"/>
      <c r="KX348" s="1658"/>
      <c r="KY348" s="1658"/>
      <c r="KZ348" s="1658"/>
      <c r="LA348" s="1658"/>
      <c r="LB348" s="1658"/>
      <c r="LC348" s="1658"/>
      <c r="LD348" s="1658"/>
      <c r="LE348" s="1658"/>
      <c r="LF348" s="1658"/>
      <c r="LG348" s="1658"/>
      <c r="LH348" s="1658"/>
      <c r="LI348" s="1658"/>
      <c r="LJ348" s="1658"/>
      <c r="LK348" s="1658"/>
      <c r="LL348" s="1658"/>
      <c r="LM348" s="1658"/>
      <c r="LN348" s="1658"/>
      <c r="LO348" s="1658"/>
      <c r="LP348" s="1658"/>
      <c r="LQ348" s="1658"/>
      <c r="LR348" s="1658"/>
      <c r="LS348" s="1658"/>
      <c r="LT348" s="1658"/>
      <c r="LU348" s="1658"/>
      <c r="LV348" s="1658"/>
      <c r="LW348" s="1658"/>
      <c r="LX348" s="1658"/>
      <c r="LY348" s="1658"/>
      <c r="LZ348" s="1658"/>
      <c r="MA348" s="1658"/>
      <c r="MB348" s="1658"/>
      <c r="MC348" s="1658"/>
      <c r="MD348" s="1658"/>
      <c r="ME348" s="1658"/>
      <c r="MF348" s="1658"/>
      <c r="MG348" s="1658"/>
      <c r="MH348" s="1658"/>
      <c r="MI348" s="1658"/>
      <c r="MJ348" s="1658"/>
      <c r="MK348" s="1658"/>
      <c r="ML348" s="1658"/>
      <c r="MM348" s="1658"/>
      <c r="MN348" s="1658"/>
      <c r="MO348" s="1658"/>
      <c r="MP348" s="1658"/>
      <c r="MQ348" s="1658"/>
      <c r="MR348" s="1658"/>
      <c r="MS348" s="1658"/>
      <c r="MT348" s="1658"/>
      <c r="MU348" s="1658"/>
      <c r="MV348" s="1658"/>
      <c r="MW348" s="1658"/>
      <c r="MX348" s="1658"/>
      <c r="MY348" s="1658"/>
      <c r="MZ348" s="1658"/>
      <c r="NA348" s="1658"/>
      <c r="NB348" s="1658"/>
      <c r="NC348" s="1658"/>
      <c r="ND348" s="1658"/>
      <c r="NE348" s="1658"/>
      <c r="NF348" s="1658"/>
      <c r="NG348" s="1658"/>
      <c r="NH348" s="1658"/>
      <c r="NI348" s="1658"/>
      <c r="NJ348" s="1658"/>
      <c r="NK348" s="1658"/>
      <c r="NL348" s="1658"/>
      <c r="NM348" s="1658"/>
      <c r="NN348" s="1658"/>
      <c r="NO348" s="1658"/>
      <c r="NP348" s="1658"/>
      <c r="NQ348" s="1658"/>
      <c r="NR348" s="1658"/>
      <c r="NS348" s="1658"/>
      <c r="NT348" s="1658"/>
      <c r="NU348" s="1658"/>
      <c r="NV348" s="1658"/>
      <c r="NW348" s="1658"/>
      <c r="NX348" s="1658"/>
      <c r="NY348" s="1658"/>
      <c r="NZ348" s="1658"/>
      <c r="OA348" s="1658"/>
      <c r="OB348" s="1658"/>
      <c r="OC348" s="1658"/>
      <c r="OD348" s="1658"/>
      <c r="OE348" s="1658"/>
      <c r="OF348" s="1658"/>
      <c r="OG348" s="1658"/>
      <c r="OH348" s="1658"/>
      <c r="OI348" s="1658"/>
      <c r="OJ348" s="1658"/>
      <c r="OK348" s="1658"/>
      <c r="OL348" s="1658"/>
      <c r="OM348" s="1658"/>
      <c r="ON348" s="1658"/>
      <c r="OO348" s="1658"/>
      <c r="OP348" s="1658"/>
      <c r="OQ348" s="1658"/>
      <c r="OR348" s="1658"/>
      <c r="OS348" s="1658"/>
      <c r="OT348" s="1658"/>
      <c r="OU348" s="1658"/>
      <c r="OV348" s="1658"/>
      <c r="OW348" s="1658"/>
      <c r="OX348" s="1658"/>
      <c r="OY348" s="1658"/>
      <c r="OZ348" s="1658"/>
      <c r="PA348" s="1658"/>
      <c r="PB348" s="1658"/>
      <c r="PC348" s="1658"/>
      <c r="PD348" s="1658"/>
      <c r="PE348" s="1658"/>
      <c r="PF348" s="1658"/>
      <c r="PG348" s="1658"/>
      <c r="PH348" s="1658"/>
      <c r="PI348" s="1658"/>
      <c r="PJ348" s="1658"/>
      <c r="PK348" s="1658"/>
      <c r="PL348" s="1658"/>
      <c r="PM348" s="1658"/>
      <c r="PN348" s="1658"/>
      <c r="PO348" s="1658"/>
      <c r="PP348" s="1658"/>
      <c r="PQ348" s="1658"/>
      <c r="PR348" s="1658"/>
      <c r="PS348" s="1658"/>
      <c r="PT348" s="1658"/>
      <c r="PU348" s="1658"/>
      <c r="PV348" s="1658"/>
      <c r="PW348" s="1658"/>
      <c r="PX348" s="1658"/>
      <c r="PY348" s="1658"/>
      <c r="PZ348" s="1658"/>
      <c r="QA348" s="1658"/>
      <c r="QB348" s="1658"/>
      <c r="QC348" s="1658"/>
      <c r="QD348" s="1658"/>
      <c r="QE348" s="1658"/>
      <c r="QF348" s="1658"/>
      <c r="QG348" s="1658"/>
      <c r="QH348" s="1658"/>
      <c r="QI348" s="1658"/>
      <c r="QJ348" s="1658"/>
      <c r="QK348" s="1658"/>
      <c r="QL348" s="1658"/>
      <c r="QM348" s="1658"/>
      <c r="QN348" s="1658"/>
      <c r="QO348" s="1658"/>
      <c r="QP348" s="1658"/>
      <c r="QQ348" s="1658"/>
      <c r="QR348" s="1658"/>
      <c r="QS348" s="1658"/>
      <c r="QT348" s="1658"/>
      <c r="QU348" s="1658"/>
      <c r="QV348" s="1658"/>
      <c r="QW348" s="1658"/>
      <c r="QX348" s="1658"/>
      <c r="QY348" s="1658"/>
      <c r="QZ348" s="1658"/>
      <c r="RA348" s="1658"/>
      <c r="RB348" s="1658"/>
      <c r="RC348" s="1658"/>
      <c r="RD348" s="1658"/>
      <c r="RE348" s="1658"/>
      <c r="RF348" s="1658"/>
      <c r="RG348" s="1658"/>
      <c r="RH348" s="1658"/>
      <c r="RI348" s="1658"/>
      <c r="RJ348" s="1658"/>
      <c r="RK348" s="1658"/>
      <c r="RL348" s="1658"/>
      <c r="RM348" s="1658"/>
      <c r="RN348" s="1658"/>
      <c r="RO348" s="1658"/>
      <c r="RP348" s="1658"/>
      <c r="RQ348" s="1658"/>
      <c r="RR348" s="1658"/>
      <c r="RS348" s="1658"/>
      <c r="RT348" s="1658"/>
      <c r="RU348" s="1658"/>
      <c r="RV348" s="1658"/>
      <c r="RW348" s="1658"/>
      <c r="RX348" s="1658"/>
      <c r="RY348" s="1658"/>
      <c r="RZ348" s="1658"/>
      <c r="SA348" s="1658"/>
      <c r="SB348" s="1658"/>
      <c r="SC348" s="1658"/>
      <c r="SD348" s="1658"/>
      <c r="SE348" s="1658"/>
      <c r="SF348" s="1658"/>
      <c r="SG348" s="1658"/>
      <c r="SH348" s="1658"/>
      <c r="SI348" s="1658"/>
      <c r="SJ348" s="1658"/>
      <c r="SK348" s="1658"/>
      <c r="SL348" s="1658"/>
      <c r="SM348" s="1658"/>
      <c r="SN348" s="1658"/>
      <c r="SO348" s="1658"/>
      <c r="SP348" s="1658"/>
      <c r="SQ348" s="1658"/>
      <c r="SR348" s="1658"/>
      <c r="SS348" s="1658"/>
      <c r="ST348" s="1658"/>
      <c r="SU348" s="1658"/>
      <c r="SV348" s="1658"/>
      <c r="SW348" s="1658"/>
      <c r="SX348" s="1658"/>
      <c r="SY348" s="1658"/>
      <c r="SZ348" s="1658"/>
      <c r="TA348" s="1658"/>
      <c r="TB348" s="1658"/>
      <c r="TC348" s="1658"/>
      <c r="TD348" s="1658"/>
      <c r="TE348" s="1658"/>
      <c r="TF348" s="1658"/>
      <c r="TG348" s="1658"/>
      <c r="TH348" s="1658"/>
      <c r="TI348" s="1658"/>
      <c r="TJ348" s="1658"/>
      <c r="TK348" s="1658"/>
      <c r="TL348" s="1658"/>
      <c r="TM348" s="1658"/>
      <c r="TN348" s="1658"/>
      <c r="TO348" s="1658"/>
      <c r="TP348" s="1658"/>
      <c r="TQ348" s="1658"/>
      <c r="TR348" s="1658"/>
      <c r="TS348" s="1658"/>
      <c r="TT348" s="1658"/>
      <c r="TU348" s="1658"/>
      <c r="TV348" s="1658"/>
      <c r="TW348" s="1658"/>
      <c r="TX348" s="1658"/>
      <c r="TY348" s="1658"/>
      <c r="TZ348" s="1658"/>
      <c r="UA348" s="1658"/>
      <c r="UB348" s="1658"/>
      <c r="UC348" s="1658"/>
      <c r="UD348" s="1658"/>
      <c r="UE348" s="1658"/>
      <c r="UF348" s="1658"/>
      <c r="UG348" s="1658"/>
      <c r="UH348" s="1658"/>
      <c r="UI348" s="1658"/>
      <c r="UJ348" s="1658"/>
      <c r="UK348" s="1658"/>
      <c r="UL348" s="1658"/>
      <c r="UM348" s="1658"/>
      <c r="UN348" s="1658"/>
      <c r="UO348" s="1658"/>
      <c r="UP348" s="1658"/>
      <c r="UQ348" s="1658"/>
      <c r="UR348" s="1658"/>
      <c r="US348" s="1658"/>
      <c r="UT348" s="1658"/>
      <c r="UU348" s="1658"/>
      <c r="UV348" s="1658"/>
      <c r="UW348" s="1658"/>
      <c r="UX348" s="1658"/>
      <c r="UY348" s="1658"/>
      <c r="UZ348" s="1658"/>
      <c r="VA348" s="1658"/>
      <c r="VB348" s="1658"/>
      <c r="VC348" s="1658"/>
      <c r="VD348" s="1658"/>
      <c r="VE348" s="1658"/>
      <c r="VF348" s="1658"/>
      <c r="VG348" s="1658"/>
      <c r="VH348" s="1658"/>
      <c r="VI348" s="1658"/>
      <c r="VJ348" s="1658"/>
      <c r="VK348" s="1658"/>
      <c r="VL348" s="1658"/>
      <c r="VM348" s="1658"/>
      <c r="VN348" s="1658"/>
      <c r="VO348" s="1658"/>
      <c r="VP348" s="1658"/>
      <c r="VQ348" s="1658"/>
      <c r="VR348" s="1658"/>
      <c r="VS348" s="1658"/>
      <c r="VT348" s="1658"/>
      <c r="VU348" s="1658"/>
      <c r="VV348" s="1658"/>
      <c r="VW348" s="1658"/>
      <c r="VX348" s="1658"/>
      <c r="VY348" s="1658"/>
      <c r="VZ348" s="1658"/>
      <c r="WA348" s="1658"/>
      <c r="WB348" s="1658"/>
      <c r="WC348" s="1658"/>
      <c r="WD348" s="1658"/>
      <c r="WE348" s="1658"/>
      <c r="WF348" s="1658"/>
      <c r="WG348" s="1658"/>
      <c r="WH348" s="1658"/>
      <c r="WI348" s="1658"/>
      <c r="WJ348" s="1658"/>
      <c r="WK348" s="1658"/>
      <c r="WL348" s="1658"/>
      <c r="WM348" s="1658"/>
      <c r="WN348" s="1658"/>
      <c r="WO348" s="1658"/>
      <c r="WP348" s="1658"/>
      <c r="WQ348" s="1658"/>
      <c r="WR348" s="1658"/>
      <c r="WS348" s="1658"/>
      <c r="WT348" s="1658"/>
      <c r="WU348" s="1658"/>
      <c r="WV348" s="1658"/>
      <c r="WW348" s="1658"/>
      <c r="WX348" s="1658"/>
      <c r="WY348" s="1658"/>
      <c r="WZ348" s="1658"/>
      <c r="XA348" s="1658"/>
      <c r="XB348" s="1658"/>
      <c r="XC348" s="1658"/>
      <c r="XD348" s="1658"/>
      <c r="XE348" s="1658"/>
      <c r="XF348" s="1658"/>
      <c r="XG348" s="1658"/>
      <c r="XH348" s="1658"/>
      <c r="XI348" s="1658"/>
      <c r="XJ348" s="1658"/>
      <c r="XK348" s="1658"/>
      <c r="XL348" s="1658"/>
      <c r="XM348" s="1658"/>
      <c r="XN348" s="1658"/>
      <c r="XO348" s="1658"/>
      <c r="XP348" s="1658"/>
      <c r="XQ348" s="1658"/>
      <c r="XR348" s="1658"/>
      <c r="XS348" s="1658"/>
      <c r="XT348" s="1658"/>
      <c r="XU348" s="1658"/>
      <c r="XV348" s="1658"/>
      <c r="XW348" s="1658"/>
      <c r="XX348" s="1658"/>
      <c r="XY348" s="1658"/>
      <c r="XZ348" s="1658"/>
      <c r="YA348" s="1658"/>
      <c r="YB348" s="1658"/>
      <c r="YC348" s="1658"/>
      <c r="YD348" s="1658"/>
      <c r="YE348" s="1658"/>
      <c r="YF348" s="1658"/>
      <c r="YG348" s="1658"/>
      <c r="YH348" s="1658"/>
      <c r="YI348" s="1658"/>
      <c r="YJ348" s="1658"/>
      <c r="YK348" s="1658"/>
      <c r="YL348" s="1658"/>
      <c r="YM348" s="1658"/>
      <c r="YN348" s="1658"/>
      <c r="YO348" s="1658"/>
      <c r="YP348" s="1658"/>
      <c r="YQ348" s="1658"/>
      <c r="YR348" s="1658"/>
      <c r="YS348" s="1658"/>
      <c r="YT348" s="1658"/>
      <c r="YU348" s="1658"/>
      <c r="YV348" s="1658"/>
      <c r="YW348" s="1658"/>
      <c r="YX348" s="1658"/>
      <c r="YY348" s="1658"/>
      <c r="YZ348" s="1658"/>
      <c r="ZA348" s="1658"/>
      <c r="ZB348" s="1658"/>
      <c r="ZC348" s="1658"/>
      <c r="ZD348" s="1658"/>
      <c r="ZE348" s="1658"/>
      <c r="ZF348" s="1658"/>
      <c r="ZG348" s="1658"/>
      <c r="ZH348" s="1658"/>
      <c r="ZI348" s="1658"/>
      <c r="ZJ348" s="1658"/>
      <c r="ZK348" s="1658"/>
      <c r="ZL348" s="1658"/>
      <c r="ZM348" s="1658"/>
      <c r="ZN348" s="1658"/>
      <c r="ZO348" s="1658"/>
      <c r="ZP348" s="1658"/>
      <c r="ZQ348" s="1658"/>
      <c r="ZR348" s="1658"/>
      <c r="ZS348" s="1658"/>
      <c r="ZT348" s="1658"/>
      <c r="ZU348" s="1658"/>
      <c r="ZV348" s="1658"/>
      <c r="ZW348" s="1658"/>
      <c r="ZX348" s="1658"/>
      <c r="ZY348" s="1658"/>
      <c r="ZZ348" s="1658"/>
      <c r="AAA348" s="1658"/>
      <c r="AAB348" s="1658"/>
      <c r="AAC348" s="1658"/>
      <c r="AAD348" s="1658"/>
      <c r="AAE348" s="1658"/>
      <c r="AAF348" s="1658"/>
      <c r="AAG348" s="1658"/>
      <c r="AAH348" s="1658"/>
      <c r="AAI348" s="1658"/>
      <c r="AAJ348" s="1658"/>
      <c r="AAK348" s="1658"/>
      <c r="AAL348" s="1658"/>
      <c r="AAM348" s="1658"/>
      <c r="AAN348" s="1658"/>
      <c r="AAO348" s="1658"/>
      <c r="AAP348" s="1658"/>
      <c r="AAQ348" s="1658"/>
      <c r="AAR348" s="1658"/>
      <c r="AAS348" s="1658"/>
      <c r="AAT348" s="1658"/>
      <c r="AAU348" s="1658"/>
      <c r="AAV348" s="1658"/>
      <c r="AAW348" s="1658"/>
      <c r="AAX348" s="1658"/>
      <c r="AAY348" s="1658"/>
      <c r="AAZ348" s="1658"/>
      <c r="ABA348" s="1658"/>
      <c r="ABB348" s="1658"/>
      <c r="ABC348" s="1658"/>
      <c r="ABD348" s="1658"/>
      <c r="ABE348" s="1658"/>
      <c r="ABF348" s="1658"/>
      <c r="ABG348" s="1658"/>
      <c r="ABH348" s="1658"/>
      <c r="ABI348" s="1658"/>
      <c r="ABJ348" s="1658"/>
      <c r="ABK348" s="1658"/>
      <c r="ABL348" s="1658"/>
      <c r="ABM348" s="1658"/>
      <c r="ABN348" s="1658"/>
      <c r="ABO348" s="1658"/>
      <c r="ABP348" s="1658"/>
      <c r="ABQ348" s="1658"/>
      <c r="ABR348" s="1658"/>
      <c r="ABS348" s="1658"/>
      <c r="ABT348" s="1658"/>
      <c r="ABU348" s="1658"/>
      <c r="ABV348" s="1658"/>
      <c r="ABW348" s="1658"/>
      <c r="ABX348" s="1658"/>
      <c r="ABY348" s="1658"/>
      <c r="ABZ348" s="1658"/>
      <c r="ACA348" s="1658"/>
      <c r="ACB348" s="1658"/>
      <c r="ACC348" s="1658"/>
      <c r="ACD348" s="1658"/>
      <c r="ACE348" s="1658"/>
      <c r="ACF348" s="1658"/>
      <c r="ACG348" s="1658"/>
      <c r="ACH348" s="1658"/>
      <c r="ACI348" s="1658"/>
      <c r="ACJ348" s="1658"/>
      <c r="ACK348" s="1658"/>
      <c r="ACL348" s="1658"/>
      <c r="ACM348" s="1658"/>
      <c r="ACN348" s="1658"/>
      <c r="ACO348" s="1658"/>
      <c r="ACP348" s="1658"/>
      <c r="ACQ348" s="1658"/>
      <c r="ACR348" s="1658"/>
      <c r="ACS348" s="1658"/>
      <c r="ACT348" s="1658"/>
      <c r="ACU348" s="1658"/>
      <c r="ACV348" s="1658"/>
      <c r="ACW348" s="1658"/>
      <c r="ACX348" s="1658"/>
      <c r="ACY348" s="1658"/>
      <c r="ACZ348" s="1658"/>
      <c r="ADA348" s="1658"/>
      <c r="ADB348" s="1658"/>
      <c r="ADC348" s="1658"/>
      <c r="ADD348" s="1658"/>
      <c r="ADE348" s="1658"/>
      <c r="ADF348" s="1658"/>
      <c r="ADG348" s="1658"/>
      <c r="ADH348" s="1658"/>
      <c r="ADI348" s="1658"/>
      <c r="ADJ348" s="1658"/>
      <c r="ADK348" s="1658"/>
      <c r="ADL348" s="1658"/>
      <c r="ADM348" s="1658"/>
      <c r="ADN348" s="1658"/>
      <c r="ADO348" s="1658"/>
      <c r="ADP348" s="1658"/>
      <c r="ADQ348" s="1658"/>
      <c r="ADR348" s="1658"/>
      <c r="ADS348" s="1658"/>
      <c r="ADT348" s="1658"/>
      <c r="ADU348" s="1658"/>
      <c r="ADV348" s="1658"/>
      <c r="ADW348" s="1658"/>
      <c r="ADX348" s="1658"/>
      <c r="ADY348" s="1658"/>
      <c r="ADZ348" s="1658"/>
      <c r="AEA348" s="1658"/>
      <c r="AEB348" s="1658"/>
      <c r="AEC348" s="1658"/>
      <c r="AED348" s="1658"/>
      <c r="AEE348" s="1658"/>
      <c r="AEF348" s="1658"/>
      <c r="AEG348" s="1658"/>
      <c r="AEH348" s="1658"/>
      <c r="AEI348" s="1658"/>
      <c r="AEJ348" s="1658"/>
      <c r="AEK348" s="1658"/>
      <c r="AEL348" s="1658"/>
      <c r="AEM348" s="1658"/>
      <c r="AEN348" s="1658"/>
      <c r="AEO348" s="1658"/>
      <c r="AEP348" s="1658"/>
      <c r="AEQ348" s="1658"/>
      <c r="AER348" s="1658"/>
      <c r="AES348" s="1658"/>
      <c r="AET348" s="1658"/>
      <c r="AEU348" s="1658"/>
      <c r="AEV348" s="1658"/>
      <c r="AEW348" s="1658"/>
      <c r="AEX348" s="1658"/>
      <c r="AEY348" s="1658"/>
      <c r="AEZ348" s="1658"/>
      <c r="AFA348" s="1658"/>
      <c r="AFB348" s="1658"/>
      <c r="AFC348" s="1658"/>
      <c r="AFD348" s="1658"/>
      <c r="AFE348" s="1658"/>
      <c r="AFF348" s="1658"/>
      <c r="AFG348" s="1658"/>
      <c r="AFH348" s="1658"/>
      <c r="AFI348" s="1658"/>
      <c r="AFJ348" s="1658"/>
      <c r="AFK348" s="1658"/>
      <c r="AFL348" s="1658"/>
      <c r="AFM348" s="1658"/>
      <c r="AFN348" s="1658"/>
      <c r="AFO348" s="1658"/>
      <c r="AFP348" s="1658"/>
      <c r="AFQ348" s="1658"/>
      <c r="AFR348" s="1658"/>
      <c r="AFS348" s="1658"/>
      <c r="AFT348" s="1658"/>
      <c r="AFU348" s="1658"/>
      <c r="AFV348" s="1658"/>
      <c r="AFW348" s="1658"/>
      <c r="AFX348" s="1658"/>
      <c r="AFY348" s="1658"/>
      <c r="AFZ348" s="1658"/>
      <c r="AGA348" s="1658"/>
      <c r="AGB348" s="1658"/>
      <c r="AGC348" s="1658"/>
      <c r="AGD348" s="1658"/>
      <c r="AGE348" s="1658"/>
      <c r="AGF348" s="1658"/>
      <c r="AGG348" s="1658"/>
      <c r="AGH348" s="1658"/>
      <c r="AGI348" s="1658"/>
      <c r="AGJ348" s="1658"/>
      <c r="AGK348" s="1658"/>
      <c r="AGL348" s="1658"/>
      <c r="AGM348" s="1658"/>
      <c r="AGN348" s="1658"/>
      <c r="AGO348" s="1658"/>
      <c r="AGP348" s="1658"/>
      <c r="AGQ348" s="1658"/>
      <c r="AGR348" s="1658"/>
      <c r="AGS348" s="1658"/>
      <c r="AGT348" s="1658"/>
      <c r="AGU348" s="1658"/>
      <c r="AGV348" s="1658"/>
      <c r="AGW348" s="1658"/>
      <c r="AGX348" s="1658"/>
      <c r="AGY348" s="1658"/>
      <c r="AGZ348" s="1658"/>
      <c r="AHA348" s="1658"/>
      <c r="AHB348" s="1658"/>
      <c r="AHC348" s="1658"/>
      <c r="AHD348" s="1658"/>
      <c r="AHE348" s="1658"/>
      <c r="AHF348" s="1658"/>
      <c r="AHG348" s="1658"/>
      <c r="AHH348" s="1658"/>
      <c r="AHI348" s="1658"/>
      <c r="AHJ348" s="1658"/>
      <c r="AHK348" s="1658"/>
      <c r="AHL348" s="1658"/>
      <c r="AHM348" s="1658"/>
      <c r="AHN348" s="1658"/>
      <c r="AHO348" s="1658"/>
      <c r="AHP348" s="1658"/>
      <c r="AHQ348" s="1658"/>
      <c r="AHR348" s="1658"/>
      <c r="AHS348" s="1658"/>
      <c r="AHT348" s="1658"/>
      <c r="AHU348" s="1658"/>
      <c r="AHV348" s="1658"/>
      <c r="AHW348" s="1658"/>
      <c r="AHX348" s="1658"/>
      <c r="AHY348" s="1658"/>
      <c r="AHZ348" s="1658"/>
      <c r="AIA348" s="1658"/>
      <c r="AIB348" s="1658"/>
      <c r="AIC348" s="1658"/>
      <c r="AID348" s="1658"/>
      <c r="AIE348" s="1658"/>
      <c r="AIF348" s="1658"/>
      <c r="AIG348" s="1658"/>
      <c r="AIH348" s="1658"/>
      <c r="AII348" s="1658"/>
      <c r="AIJ348" s="1658"/>
      <c r="AIK348" s="1658"/>
      <c r="AIL348" s="1658"/>
      <c r="AIM348" s="1658"/>
      <c r="AIN348" s="1658"/>
      <c r="AIO348" s="1658"/>
      <c r="AIP348" s="1658"/>
      <c r="AIQ348" s="1658"/>
      <c r="AIR348" s="1658"/>
      <c r="AIS348" s="1658"/>
      <c r="AIT348" s="1658"/>
      <c r="AIU348" s="1658"/>
      <c r="AIV348" s="1658"/>
      <c r="AIW348" s="1658"/>
      <c r="AIX348" s="1658"/>
      <c r="AIY348" s="1658"/>
      <c r="AIZ348" s="1658"/>
      <c r="AJA348" s="1658"/>
      <c r="AJB348" s="1658"/>
      <c r="AJC348" s="1658"/>
      <c r="AJD348" s="1658"/>
      <c r="AJE348" s="1658"/>
      <c r="AJF348" s="1658"/>
      <c r="AJG348" s="1658"/>
      <c r="AJH348" s="1658"/>
      <c r="AJI348" s="1658"/>
      <c r="AJJ348" s="1658"/>
      <c r="AJK348" s="1658"/>
      <c r="AJL348" s="1658"/>
      <c r="AJM348" s="1658"/>
      <c r="AJN348" s="1658"/>
      <c r="AJO348" s="1658"/>
      <c r="AJP348" s="1658"/>
      <c r="AJQ348" s="1658"/>
      <c r="AJR348" s="1658"/>
      <c r="AJS348" s="1658"/>
      <c r="AJT348" s="1658"/>
      <c r="AJU348" s="1658"/>
      <c r="AJV348" s="1658"/>
      <c r="AJW348" s="1658"/>
      <c r="AJX348" s="1658"/>
      <c r="AJY348" s="1658"/>
      <c r="AJZ348" s="1658"/>
      <c r="AKA348" s="1658"/>
      <c r="AKB348" s="1658"/>
      <c r="AKC348" s="1658"/>
      <c r="AKD348" s="1658"/>
      <c r="AKE348" s="1658"/>
      <c r="AKF348" s="1658"/>
      <c r="AKG348" s="1658"/>
      <c r="AKH348" s="1658"/>
      <c r="AKI348" s="1658"/>
      <c r="AKJ348" s="1658"/>
      <c r="AKK348" s="1658"/>
      <c r="AKL348" s="1658"/>
      <c r="AKM348" s="1658"/>
      <c r="AKN348" s="1658"/>
      <c r="AKO348" s="1658"/>
      <c r="AKP348" s="1658"/>
      <c r="AKQ348" s="1658"/>
      <c r="AKR348" s="1658"/>
      <c r="AKS348" s="1658"/>
      <c r="AKT348" s="1658"/>
      <c r="AKU348" s="1658"/>
      <c r="AKV348" s="1658"/>
      <c r="AKW348" s="1658"/>
      <c r="AKX348" s="1658"/>
      <c r="AKY348" s="1658"/>
      <c r="AKZ348" s="1658"/>
      <c r="ALA348" s="1658"/>
      <c r="ALB348" s="1658"/>
      <c r="ALC348" s="1658"/>
      <c r="ALD348" s="1658"/>
      <c r="ALE348" s="1658"/>
      <c r="ALF348" s="1658"/>
      <c r="ALG348" s="1658"/>
      <c r="ALH348" s="1658"/>
      <c r="ALI348" s="1658"/>
      <c r="ALJ348" s="1658"/>
      <c r="ALK348" s="1658"/>
      <c r="ALL348" s="1658"/>
      <c r="ALM348" s="1658"/>
      <c r="ALN348" s="1658"/>
      <c r="ALO348" s="1658"/>
      <c r="ALP348" s="1658"/>
      <c r="ALQ348" s="1658"/>
      <c r="ALR348" s="1658"/>
      <c r="ALS348" s="1658"/>
      <c r="ALT348" s="1658"/>
      <c r="ALU348" s="1658"/>
      <c r="ALV348" s="1658"/>
      <c r="ALW348" s="1658"/>
      <c r="ALX348" s="1658"/>
      <c r="ALY348" s="1658"/>
      <c r="ALZ348" s="1658"/>
      <c r="AMA348" s="1658"/>
      <c r="AMB348" s="1658"/>
      <c r="AMC348" s="1658"/>
      <c r="AMD348" s="1658"/>
      <c r="AME348" s="1658"/>
      <c r="AMF348" s="1658"/>
      <c r="AMG348" s="1658"/>
      <c r="AMH348" s="1658"/>
      <c r="AMI348" s="1658"/>
      <c r="AMJ348" s="1658"/>
      <c r="AMK348" s="1658"/>
      <c r="AML348" s="1658"/>
      <c r="AMM348" s="1658"/>
      <c r="AMN348" s="1658"/>
      <c r="AMO348" s="1658"/>
      <c r="AMP348" s="1658"/>
      <c r="AMQ348" s="1658"/>
      <c r="AMR348" s="1658"/>
      <c r="AMS348" s="1658"/>
      <c r="AMT348" s="1658"/>
      <c r="AMU348" s="1658"/>
      <c r="AMV348" s="1658"/>
      <c r="AMW348" s="1658"/>
      <c r="AMX348" s="1658"/>
      <c r="AMY348" s="1658"/>
      <c r="AMZ348" s="1658"/>
      <c r="ANA348" s="1658"/>
      <c r="ANB348" s="1658"/>
      <c r="ANC348" s="1658"/>
      <c r="AND348" s="1658"/>
      <c r="ANE348" s="1658"/>
      <c r="ANF348" s="1658"/>
      <c r="ANG348" s="1658"/>
      <c r="ANH348" s="1658"/>
      <c r="ANI348" s="1658"/>
      <c r="ANJ348" s="1658"/>
      <c r="ANK348" s="1658"/>
      <c r="ANL348" s="1658"/>
      <c r="ANM348" s="1658"/>
      <c r="ANN348" s="1658"/>
      <c r="ANO348" s="1658"/>
      <c r="ANP348" s="1658"/>
      <c r="ANQ348" s="1658"/>
      <c r="ANR348" s="1658"/>
      <c r="ANS348" s="1658"/>
      <c r="ANT348" s="1658"/>
      <c r="ANU348" s="1658"/>
      <c r="ANV348" s="1658"/>
      <c r="ANW348" s="1658"/>
      <c r="ANX348" s="1658"/>
      <c r="ANY348" s="1658"/>
      <c r="ANZ348" s="1658"/>
      <c r="AOA348" s="1658"/>
      <c r="AOB348" s="1658"/>
      <c r="AOC348" s="1658"/>
      <c r="AOD348" s="1658"/>
      <c r="AOE348" s="1658"/>
      <c r="AOF348" s="1658"/>
      <c r="AOG348" s="1658"/>
      <c r="AOH348" s="1658"/>
      <c r="AOI348" s="1658"/>
      <c r="AOJ348" s="1658"/>
      <c r="AOK348" s="1658"/>
      <c r="AOL348" s="1658"/>
      <c r="AOM348" s="1658"/>
      <c r="AON348" s="1658"/>
      <c r="AOO348" s="1658"/>
      <c r="AOP348" s="1658"/>
      <c r="AOQ348" s="1658"/>
      <c r="AOR348" s="1658"/>
      <c r="AOS348" s="1658"/>
      <c r="AOT348" s="1658"/>
      <c r="AOU348" s="1658"/>
      <c r="AOV348" s="1658"/>
      <c r="AOW348" s="1658"/>
      <c r="AOX348" s="1658"/>
      <c r="AOY348" s="1658"/>
      <c r="AOZ348" s="1658"/>
      <c r="APA348" s="1658"/>
      <c r="APB348" s="1658"/>
      <c r="APC348" s="1658"/>
      <c r="APD348" s="1658"/>
      <c r="APE348" s="1658"/>
      <c r="APF348" s="1658"/>
      <c r="APG348" s="1658"/>
      <c r="APH348" s="1658"/>
      <c r="API348" s="1658"/>
      <c r="APJ348" s="1658"/>
      <c r="APK348" s="1658"/>
      <c r="APL348" s="1658"/>
      <c r="APM348" s="1658"/>
      <c r="APN348" s="1658"/>
      <c r="APO348" s="1658"/>
      <c r="APP348" s="1658"/>
      <c r="APQ348" s="1658"/>
      <c r="APR348" s="1658"/>
      <c r="APS348" s="1658"/>
      <c r="APT348" s="1658"/>
      <c r="APU348" s="1658"/>
      <c r="APV348" s="1658"/>
      <c r="APW348" s="1658"/>
      <c r="APX348" s="1658"/>
      <c r="APY348" s="1658"/>
      <c r="APZ348" s="1658"/>
      <c r="AQA348" s="1658"/>
      <c r="AQB348" s="1658"/>
      <c r="AQC348" s="1658"/>
      <c r="AQD348" s="1658"/>
      <c r="AQE348" s="1658"/>
      <c r="AQF348" s="1658"/>
      <c r="AQG348" s="1658"/>
      <c r="AQH348" s="1658"/>
      <c r="AQI348" s="1658"/>
      <c r="AQJ348" s="1658"/>
      <c r="AQK348" s="1658"/>
      <c r="AQL348" s="1658"/>
      <c r="AQM348" s="1658"/>
      <c r="AQN348" s="1658"/>
      <c r="AQO348" s="1658"/>
      <c r="AQP348" s="1658"/>
      <c r="AQQ348" s="1658"/>
      <c r="AQR348" s="1658"/>
      <c r="AQS348" s="1658"/>
      <c r="AQT348" s="1658"/>
      <c r="AQU348" s="1658"/>
      <c r="AQV348" s="1658"/>
      <c r="AQW348" s="1658"/>
      <c r="AQX348" s="1658"/>
      <c r="AQY348" s="1658"/>
      <c r="AQZ348" s="1658"/>
      <c r="ARA348" s="1658"/>
      <c r="ARB348" s="1658"/>
      <c r="ARC348" s="1658"/>
      <c r="ARD348" s="1658"/>
      <c r="ARE348" s="1658"/>
      <c r="ARF348" s="1658"/>
      <c r="ARG348" s="1658"/>
      <c r="ARH348" s="1658"/>
      <c r="ARI348" s="1658"/>
      <c r="ARJ348" s="1658"/>
      <c r="ARK348" s="1658"/>
      <c r="ARL348" s="1658"/>
      <c r="ARM348" s="1658"/>
      <c r="ARN348" s="1658"/>
      <c r="ARO348" s="1658"/>
      <c r="ARP348" s="1658"/>
      <c r="ARQ348" s="1658"/>
      <c r="ARR348" s="1658"/>
      <c r="ARS348" s="1658"/>
      <c r="ART348" s="1658"/>
      <c r="ARU348" s="1658"/>
      <c r="ARV348" s="1658"/>
      <c r="ARW348" s="1658"/>
      <c r="ARX348" s="1658"/>
      <c r="ARY348" s="1658"/>
      <c r="ARZ348" s="1658"/>
      <c r="ASA348" s="1658"/>
      <c r="ASB348" s="1658"/>
      <c r="ASC348" s="1658"/>
      <c r="ASD348" s="1658"/>
      <c r="ASE348" s="1658"/>
      <c r="ASF348" s="1658"/>
      <c r="ASG348" s="1658"/>
      <c r="ASH348" s="1658"/>
      <c r="ASI348" s="1658"/>
      <c r="ASJ348" s="1658"/>
      <c r="ASK348" s="1658"/>
      <c r="ASL348" s="1658"/>
      <c r="ASM348" s="1658"/>
      <c r="ASN348" s="1658"/>
      <c r="ASO348" s="1658"/>
      <c r="ASP348" s="1658"/>
      <c r="ASQ348" s="1658"/>
      <c r="ASR348" s="1658"/>
      <c r="ASS348" s="1658"/>
      <c r="AST348" s="1658"/>
      <c r="ASU348" s="1658"/>
      <c r="ASV348" s="1658"/>
      <c r="ASW348" s="1658"/>
      <c r="ASX348" s="1658"/>
      <c r="ASY348" s="1658"/>
      <c r="ASZ348" s="1658"/>
      <c r="ATA348" s="1658"/>
      <c r="ATB348" s="1658"/>
      <c r="ATC348" s="1658"/>
      <c r="ATD348" s="1658"/>
      <c r="ATE348" s="1658"/>
      <c r="ATF348" s="1658"/>
      <c r="ATG348" s="1658"/>
      <c r="ATH348" s="1658"/>
      <c r="ATI348" s="1658"/>
      <c r="ATJ348" s="1658"/>
      <c r="ATK348" s="1658"/>
      <c r="ATL348" s="1658"/>
      <c r="ATM348" s="1658"/>
      <c r="ATN348" s="1658"/>
      <c r="ATO348" s="1658"/>
      <c r="ATP348" s="1658"/>
      <c r="ATQ348" s="1658"/>
      <c r="ATR348" s="1658"/>
      <c r="ATS348" s="1658"/>
      <c r="ATT348" s="1658"/>
      <c r="ATU348" s="1658"/>
      <c r="ATV348" s="1658"/>
      <c r="ATW348" s="1658"/>
      <c r="ATX348" s="1658"/>
      <c r="ATY348" s="1658"/>
      <c r="ATZ348" s="1658"/>
      <c r="AUA348" s="1658"/>
      <c r="AUB348" s="1658"/>
      <c r="AUC348" s="1658"/>
      <c r="AUD348" s="1658"/>
      <c r="AUE348" s="1658"/>
      <c r="AUF348" s="1658"/>
      <c r="AUG348" s="1658"/>
      <c r="AUH348" s="1658"/>
      <c r="AUI348" s="1658"/>
      <c r="AUJ348" s="1658"/>
      <c r="AUK348" s="1658"/>
      <c r="AUL348" s="1658"/>
      <c r="AUM348" s="1658"/>
      <c r="AUN348" s="1658"/>
      <c r="AUO348" s="1658"/>
      <c r="AUP348" s="1658"/>
      <c r="AUQ348" s="1658"/>
      <c r="AUR348" s="1658"/>
      <c r="AUS348" s="1658"/>
      <c r="AUT348" s="1658"/>
      <c r="AUU348" s="1658"/>
      <c r="AUV348" s="1658"/>
      <c r="AUW348" s="1658"/>
      <c r="AUX348" s="1658"/>
      <c r="AUY348" s="1658"/>
      <c r="AUZ348" s="1658"/>
      <c r="AVA348" s="1658"/>
      <c r="AVB348" s="1658"/>
      <c r="AVC348" s="1658"/>
      <c r="AVD348" s="1658"/>
      <c r="AVE348" s="1658"/>
      <c r="AVF348" s="1658"/>
      <c r="AVG348" s="1658"/>
      <c r="AVH348" s="1658"/>
      <c r="AVI348" s="1658"/>
      <c r="AVJ348" s="1658"/>
      <c r="AVK348" s="1658"/>
      <c r="AVL348" s="1658"/>
      <c r="AVM348" s="1658"/>
      <c r="AVN348" s="1658"/>
      <c r="AVO348" s="1658"/>
      <c r="AVP348" s="1658"/>
      <c r="AVQ348" s="1658"/>
      <c r="AVR348" s="1658"/>
      <c r="AVS348" s="1658"/>
      <c r="AVT348" s="1658"/>
      <c r="AVU348" s="1658"/>
      <c r="AVV348" s="1658"/>
      <c r="AVW348" s="1658"/>
      <c r="AVX348" s="1658"/>
      <c r="AVY348" s="1658"/>
      <c r="AVZ348" s="1658"/>
      <c r="AWA348" s="1658"/>
      <c r="AWB348" s="1658"/>
      <c r="AWC348" s="1658"/>
      <c r="AWD348" s="1658"/>
      <c r="AWE348" s="1658"/>
      <c r="AWF348" s="1658"/>
      <c r="AWG348" s="1658"/>
      <c r="AWH348" s="1658"/>
      <c r="AWI348" s="1658"/>
      <c r="AWJ348" s="1658"/>
      <c r="AWK348" s="1658"/>
      <c r="AWL348" s="1658"/>
      <c r="AWM348" s="1658"/>
      <c r="AWN348" s="1658"/>
      <c r="AWO348" s="1658"/>
      <c r="AWP348" s="1658"/>
      <c r="AWQ348" s="1658"/>
      <c r="AWR348" s="1658"/>
      <c r="AWS348" s="1658"/>
      <c r="AWT348" s="1658"/>
      <c r="AWU348" s="1658"/>
      <c r="AWV348" s="1658"/>
      <c r="AWW348" s="1658"/>
      <c r="AWX348" s="1658"/>
      <c r="AWY348" s="1658"/>
      <c r="AWZ348" s="1658"/>
      <c r="AXA348" s="1658"/>
      <c r="AXB348" s="1658"/>
      <c r="AXC348" s="1658"/>
      <c r="AXD348" s="1658"/>
      <c r="AXE348" s="1658"/>
      <c r="AXF348" s="1658"/>
      <c r="AXG348" s="1658"/>
      <c r="AXH348" s="1658"/>
      <c r="AXI348" s="1658"/>
      <c r="AXJ348" s="1658"/>
      <c r="AXK348" s="1658"/>
      <c r="AXL348" s="1658"/>
      <c r="AXM348" s="1658"/>
      <c r="AXN348" s="1658"/>
      <c r="AXO348" s="1658"/>
      <c r="AXP348" s="1658"/>
      <c r="AXQ348" s="1658"/>
      <c r="AXR348" s="1658"/>
      <c r="AXS348" s="1658"/>
      <c r="AXT348" s="1658"/>
      <c r="AXU348" s="1658"/>
      <c r="AXV348" s="1658"/>
      <c r="AXW348" s="1658"/>
      <c r="AXX348" s="1658"/>
      <c r="AXY348" s="1658"/>
      <c r="AXZ348" s="1658"/>
      <c r="AYA348" s="1658"/>
      <c r="AYB348" s="1658"/>
      <c r="AYC348" s="1658"/>
      <c r="AYD348" s="1658"/>
      <c r="AYE348" s="1658"/>
      <c r="AYF348" s="1658"/>
      <c r="AYG348" s="1658"/>
      <c r="AYH348" s="1658"/>
      <c r="AYI348" s="1658"/>
      <c r="AYJ348" s="1658"/>
      <c r="AYK348" s="1658"/>
      <c r="AYL348" s="1658"/>
      <c r="AYM348" s="1658"/>
      <c r="AYN348" s="1658"/>
      <c r="AYO348" s="1658"/>
      <c r="AYP348" s="1658"/>
      <c r="AYQ348" s="1658"/>
      <c r="AYR348" s="1658"/>
      <c r="AYS348" s="1658"/>
      <c r="AYT348" s="1658"/>
      <c r="AYU348" s="1658"/>
      <c r="AYV348" s="1658"/>
      <c r="AYW348" s="1658"/>
      <c r="AYX348" s="1658"/>
      <c r="AYY348" s="1658"/>
      <c r="AYZ348" s="1658"/>
      <c r="AZA348" s="1658"/>
      <c r="AZB348" s="1658"/>
      <c r="AZC348" s="1658"/>
      <c r="AZD348" s="1658"/>
      <c r="AZE348" s="1658"/>
      <c r="AZF348" s="1658"/>
      <c r="AZG348" s="1658"/>
      <c r="AZH348" s="1658"/>
      <c r="AZI348" s="1658"/>
      <c r="AZJ348" s="1658"/>
      <c r="AZK348" s="1658"/>
      <c r="AZL348" s="1658"/>
      <c r="AZM348" s="1658"/>
      <c r="AZN348" s="1658"/>
      <c r="AZO348" s="1658"/>
      <c r="AZP348" s="1658"/>
      <c r="AZQ348" s="1658"/>
      <c r="AZR348" s="1658"/>
      <c r="AZS348" s="1658"/>
      <c r="AZT348" s="1658"/>
      <c r="AZU348" s="1658"/>
      <c r="AZV348" s="1658"/>
      <c r="AZW348" s="1658"/>
      <c r="AZX348" s="1658"/>
      <c r="AZY348" s="1658"/>
      <c r="AZZ348" s="1658"/>
      <c r="BAA348" s="1658"/>
      <c r="BAB348" s="1658"/>
      <c r="BAC348" s="1658"/>
      <c r="BAD348" s="1658"/>
      <c r="BAE348" s="1658"/>
      <c r="BAF348" s="1658"/>
      <c r="BAG348" s="1658"/>
      <c r="BAH348" s="1658"/>
      <c r="BAI348" s="1658"/>
      <c r="BAJ348" s="1658"/>
      <c r="BAK348" s="1658"/>
      <c r="BAL348" s="1658"/>
      <c r="BAM348" s="1658"/>
      <c r="BAN348" s="1658"/>
      <c r="BAO348" s="1658"/>
      <c r="BAP348" s="1658"/>
      <c r="BAQ348" s="1658"/>
      <c r="BAR348" s="1658"/>
      <c r="BAS348" s="1658"/>
      <c r="BAT348" s="1658"/>
      <c r="BAU348" s="1658"/>
      <c r="BAV348" s="1658"/>
      <c r="BAW348" s="1658"/>
      <c r="BAX348" s="1658"/>
      <c r="BAY348" s="1658"/>
      <c r="BAZ348" s="1658"/>
      <c r="BBA348" s="1658"/>
      <c r="BBB348" s="1658"/>
      <c r="BBC348" s="1658"/>
      <c r="BBD348" s="1658"/>
      <c r="BBE348" s="1658"/>
      <c r="BBF348" s="1658"/>
      <c r="BBG348" s="1658"/>
      <c r="BBH348" s="1658"/>
      <c r="BBI348" s="1658"/>
      <c r="BBJ348" s="1658"/>
      <c r="BBK348" s="1658"/>
      <c r="BBL348" s="1658"/>
      <c r="BBM348" s="1658"/>
      <c r="BBN348" s="1658"/>
      <c r="BBO348" s="1658"/>
      <c r="BBP348" s="1658"/>
      <c r="BBQ348" s="1658"/>
      <c r="BBR348" s="1658"/>
      <c r="BBS348" s="1658"/>
      <c r="BBT348" s="1658"/>
      <c r="BBU348" s="1658"/>
      <c r="BBV348" s="1658"/>
      <c r="BBW348" s="1658"/>
      <c r="BBX348" s="1658"/>
      <c r="BBY348" s="1658"/>
      <c r="BBZ348" s="1658"/>
      <c r="BCA348" s="1658"/>
      <c r="BCB348" s="1658"/>
      <c r="BCC348" s="1658"/>
      <c r="BCD348" s="1658"/>
      <c r="BCE348" s="1658"/>
      <c r="BCF348" s="1658"/>
      <c r="BCG348" s="1658"/>
      <c r="BCH348" s="1658"/>
      <c r="BCI348" s="1658"/>
      <c r="BCJ348" s="1658"/>
      <c r="BCK348" s="1658"/>
      <c r="BCL348" s="1658"/>
      <c r="BCM348" s="1658"/>
      <c r="BCN348" s="1658"/>
      <c r="BCO348" s="1658"/>
      <c r="BCP348" s="1658"/>
      <c r="BCQ348" s="1658"/>
      <c r="BCR348" s="1658"/>
      <c r="BCS348" s="1658"/>
      <c r="BCT348" s="1658"/>
      <c r="BCU348" s="1658"/>
      <c r="BCV348" s="1658"/>
      <c r="BCW348" s="1658"/>
      <c r="BCX348" s="1658"/>
      <c r="BCY348" s="1658"/>
      <c r="BCZ348" s="1658"/>
      <c r="BDA348" s="1658"/>
      <c r="BDB348" s="1658"/>
      <c r="BDC348" s="1658"/>
      <c r="BDD348" s="1658"/>
      <c r="BDE348" s="1658"/>
      <c r="BDF348" s="1658"/>
      <c r="BDG348" s="1658"/>
      <c r="BDH348" s="1658"/>
      <c r="BDI348" s="1658"/>
      <c r="BDJ348" s="1658"/>
      <c r="BDK348" s="1658"/>
      <c r="BDL348" s="1658"/>
      <c r="BDM348" s="1658"/>
      <c r="BDN348" s="1658"/>
      <c r="BDO348" s="1658"/>
      <c r="BDP348" s="1658"/>
      <c r="BDQ348" s="1658"/>
      <c r="BDR348" s="1658"/>
      <c r="BDS348" s="1658"/>
      <c r="BDT348" s="1658"/>
      <c r="BDU348" s="1658"/>
      <c r="BDV348" s="1658"/>
      <c r="BDW348" s="1658"/>
      <c r="BDX348" s="1658"/>
      <c r="BDY348" s="1658"/>
      <c r="BDZ348" s="1658"/>
      <c r="BEA348" s="1658"/>
      <c r="BEB348" s="1658"/>
      <c r="BEC348" s="1658"/>
      <c r="BED348" s="1658"/>
      <c r="BEE348" s="1658"/>
      <c r="BEF348" s="1658"/>
      <c r="BEG348" s="1658"/>
      <c r="BEH348" s="1658"/>
      <c r="BEI348" s="1658"/>
      <c r="BEJ348" s="1658"/>
      <c r="BEK348" s="1658"/>
      <c r="BEL348" s="1658"/>
      <c r="BEM348" s="1658"/>
      <c r="BEN348" s="1658"/>
      <c r="BEO348" s="1658"/>
      <c r="BEP348" s="1658"/>
      <c r="BEQ348" s="1658"/>
      <c r="BER348" s="1658"/>
      <c r="BES348" s="1658"/>
      <c r="BET348" s="1658"/>
      <c r="BEU348" s="1658"/>
      <c r="BEV348" s="1658"/>
      <c r="BEW348" s="1658"/>
      <c r="BEX348" s="1658"/>
      <c r="BEY348" s="1658"/>
      <c r="BEZ348" s="1658"/>
      <c r="BFA348" s="1658"/>
      <c r="BFB348" s="1658"/>
      <c r="BFC348" s="1658"/>
      <c r="BFD348" s="1658"/>
      <c r="BFE348" s="1658"/>
      <c r="BFF348" s="1658"/>
      <c r="BFG348" s="1658"/>
      <c r="BFH348" s="1658"/>
      <c r="BFI348" s="1658"/>
      <c r="BFJ348" s="1658"/>
      <c r="BFK348" s="1658"/>
      <c r="BFL348" s="1658"/>
      <c r="BFM348" s="1658"/>
      <c r="BFN348" s="1658"/>
      <c r="BFO348" s="1658"/>
      <c r="BFP348" s="1658"/>
      <c r="BFQ348" s="1658"/>
      <c r="BFR348" s="1658"/>
      <c r="BFS348" s="1658"/>
      <c r="BFT348" s="1658"/>
      <c r="BFU348" s="1658"/>
      <c r="BFV348" s="1658"/>
      <c r="BFW348" s="1658"/>
      <c r="BFX348" s="1658"/>
      <c r="BFY348" s="1658"/>
      <c r="BFZ348" s="1658"/>
      <c r="BGA348" s="1658"/>
      <c r="BGB348" s="1658"/>
      <c r="BGC348" s="1658"/>
      <c r="BGD348" s="1658"/>
      <c r="BGE348" s="1658"/>
      <c r="BGF348" s="1658"/>
      <c r="BGG348" s="1658"/>
      <c r="BGH348" s="1658"/>
      <c r="BGI348" s="1658"/>
      <c r="BGJ348" s="1658"/>
      <c r="BGK348" s="1658"/>
      <c r="BGL348" s="1658"/>
      <c r="BGM348" s="1658"/>
      <c r="BGN348" s="1658"/>
      <c r="BGO348" s="1658"/>
      <c r="BGP348" s="1658"/>
      <c r="BGQ348" s="1658"/>
      <c r="BGR348" s="1658"/>
      <c r="BGS348" s="1658"/>
      <c r="BGT348" s="1658"/>
      <c r="BGU348" s="1658"/>
      <c r="BGV348" s="1658"/>
      <c r="BGW348" s="1658"/>
      <c r="BGX348" s="1658"/>
      <c r="BGY348" s="1658"/>
      <c r="BGZ348" s="1658"/>
      <c r="BHA348" s="1658"/>
      <c r="BHB348" s="1658"/>
      <c r="BHC348" s="1658"/>
      <c r="BHD348" s="1658"/>
      <c r="BHE348" s="1658"/>
      <c r="BHF348" s="1658"/>
      <c r="BHG348" s="1658"/>
      <c r="BHH348" s="1658"/>
      <c r="BHI348" s="1658"/>
      <c r="BHJ348" s="1658"/>
      <c r="BHK348" s="1658"/>
      <c r="BHL348" s="1658"/>
      <c r="BHM348" s="1658"/>
      <c r="BHN348" s="1658"/>
      <c r="BHO348" s="1658"/>
      <c r="BHP348" s="1658"/>
      <c r="BHQ348" s="1658"/>
      <c r="BHR348" s="1658"/>
      <c r="BHS348" s="1658"/>
      <c r="BHT348" s="1658"/>
      <c r="BHU348" s="1658"/>
      <c r="BHV348" s="1658"/>
      <c r="BHW348" s="1658"/>
      <c r="BHX348" s="1658"/>
      <c r="BHY348" s="1658"/>
      <c r="BHZ348" s="1658"/>
      <c r="BIA348" s="1658"/>
      <c r="BIB348" s="1658"/>
      <c r="BIC348" s="1658"/>
      <c r="BID348" s="1658"/>
      <c r="BIE348" s="1658"/>
      <c r="BIF348" s="1658"/>
      <c r="BIG348" s="1658"/>
      <c r="BIH348" s="1658"/>
      <c r="BII348" s="1658"/>
      <c r="BIJ348" s="1658"/>
      <c r="BIK348" s="1658"/>
      <c r="BIL348" s="1658"/>
      <c r="BIM348" s="1658"/>
      <c r="BIN348" s="1658"/>
      <c r="BIO348" s="1658"/>
      <c r="BIP348" s="1658"/>
      <c r="BIQ348" s="1658"/>
      <c r="BIR348" s="1658"/>
      <c r="BIS348" s="1658"/>
      <c r="BIT348" s="1658"/>
      <c r="BIU348" s="1658"/>
      <c r="BIV348" s="1658"/>
      <c r="BIW348" s="1658"/>
      <c r="BIX348" s="1658"/>
      <c r="BIY348" s="1658"/>
      <c r="BIZ348" s="1658"/>
      <c r="BJA348" s="1658"/>
      <c r="BJB348" s="1658"/>
      <c r="BJC348" s="1658"/>
      <c r="BJD348" s="1658"/>
      <c r="BJE348" s="1658"/>
      <c r="BJF348" s="1658"/>
      <c r="BJG348" s="1658"/>
      <c r="BJH348" s="1658"/>
      <c r="BJI348" s="1658"/>
      <c r="BJJ348" s="1658"/>
      <c r="BJK348" s="1658"/>
      <c r="BJL348" s="1658"/>
      <c r="BJM348" s="1658"/>
      <c r="BJN348" s="1658"/>
      <c r="BJO348" s="1658"/>
      <c r="BJP348" s="1658"/>
      <c r="BJQ348" s="1658"/>
      <c r="BJR348" s="1658"/>
      <c r="BJS348" s="1658"/>
      <c r="BJT348" s="1658"/>
      <c r="BJU348" s="1658"/>
      <c r="BJV348" s="1658"/>
      <c r="BJW348" s="1658"/>
      <c r="BJX348" s="1658"/>
      <c r="BJY348" s="1658"/>
      <c r="BJZ348" s="1658"/>
      <c r="BKA348" s="1658"/>
      <c r="BKB348" s="1658"/>
      <c r="BKC348" s="1658"/>
      <c r="BKD348" s="1658"/>
      <c r="BKE348" s="1658"/>
      <c r="BKF348" s="1658"/>
      <c r="BKG348" s="1658"/>
      <c r="BKH348" s="1658"/>
      <c r="BKI348" s="1658"/>
      <c r="BKJ348" s="1658"/>
      <c r="BKK348" s="1658"/>
      <c r="BKL348" s="1658"/>
      <c r="BKM348" s="1658"/>
      <c r="BKN348" s="1658"/>
      <c r="BKO348" s="1658"/>
      <c r="BKP348" s="1658"/>
      <c r="BKQ348" s="1658"/>
      <c r="BKR348" s="1658"/>
      <c r="BKS348" s="1658"/>
      <c r="BKT348" s="1658"/>
      <c r="BKU348" s="1658"/>
      <c r="BKV348" s="1658"/>
      <c r="BKW348" s="1658"/>
      <c r="BKX348" s="1658"/>
      <c r="BKY348" s="1658"/>
      <c r="BKZ348" s="1658"/>
      <c r="BLA348" s="1658"/>
      <c r="BLB348" s="1658"/>
      <c r="BLC348" s="1658"/>
      <c r="BLD348" s="1658"/>
      <c r="BLE348" s="1658"/>
      <c r="BLF348" s="1658"/>
      <c r="BLG348" s="1658"/>
      <c r="BLH348" s="1658"/>
      <c r="BLI348" s="1658"/>
      <c r="BLJ348" s="1658"/>
      <c r="BLK348" s="1658"/>
      <c r="BLL348" s="1658"/>
      <c r="BLM348" s="1658"/>
      <c r="BLN348" s="1658"/>
      <c r="BLO348" s="1658"/>
      <c r="BLP348" s="1658"/>
      <c r="BLQ348" s="1658"/>
      <c r="BLR348" s="1658"/>
      <c r="BLS348" s="1658"/>
      <c r="BLT348" s="1658"/>
      <c r="BLU348" s="1658"/>
      <c r="BLV348" s="1658"/>
      <c r="BLW348" s="1658"/>
      <c r="BLX348" s="1658"/>
      <c r="BLY348" s="1658"/>
      <c r="BLZ348" s="1658"/>
      <c r="BMA348" s="1658"/>
      <c r="BMB348" s="1658"/>
      <c r="BMC348" s="1658"/>
      <c r="BMD348" s="1658"/>
      <c r="BME348" s="1658"/>
      <c r="BMF348" s="1658"/>
      <c r="BMG348" s="1658"/>
      <c r="BMH348" s="1658"/>
      <c r="BMI348" s="1658"/>
      <c r="BMJ348" s="1658"/>
      <c r="BMK348" s="1658"/>
      <c r="BML348" s="1658"/>
      <c r="BMM348" s="1658"/>
      <c r="BMN348" s="1658"/>
      <c r="BMO348" s="1658"/>
      <c r="BMP348" s="1658"/>
      <c r="BMQ348" s="1658"/>
      <c r="BMR348" s="1658"/>
      <c r="BMS348" s="1658"/>
      <c r="BMT348" s="1658"/>
      <c r="BMU348" s="1658"/>
      <c r="BMV348" s="1658"/>
      <c r="BMW348" s="1658"/>
      <c r="BMX348" s="1658"/>
      <c r="BMY348" s="1658"/>
      <c r="BMZ348" s="1658"/>
      <c r="BNA348" s="1658"/>
      <c r="BNB348" s="1658"/>
      <c r="BNC348" s="1658"/>
      <c r="BND348" s="1658"/>
      <c r="BNE348" s="1658"/>
      <c r="BNF348" s="1658"/>
      <c r="BNG348" s="1658"/>
      <c r="BNH348" s="1658"/>
      <c r="BNI348" s="1658"/>
      <c r="BNJ348" s="1658"/>
      <c r="BNK348" s="1658"/>
      <c r="BNL348" s="1658"/>
      <c r="BNM348" s="1658"/>
      <c r="BNN348" s="1658"/>
      <c r="BNO348" s="1658"/>
      <c r="BNP348" s="1658"/>
      <c r="BNQ348" s="1658"/>
      <c r="BNR348" s="1658"/>
      <c r="BNS348" s="1658"/>
      <c r="BNT348" s="1658"/>
      <c r="BNU348" s="1658"/>
      <c r="BNV348" s="1658"/>
      <c r="BNW348" s="1658"/>
      <c r="BNX348" s="1658"/>
      <c r="BNY348" s="1658"/>
      <c r="BNZ348" s="1658"/>
      <c r="BOA348" s="1658"/>
      <c r="BOB348" s="1658"/>
      <c r="BOC348" s="1658"/>
      <c r="BOD348" s="1658"/>
      <c r="BOE348" s="1658"/>
      <c r="BOF348" s="1658"/>
      <c r="BOG348" s="1658"/>
      <c r="BOH348" s="1658"/>
      <c r="BOI348" s="1658"/>
      <c r="BOJ348" s="1658"/>
      <c r="BOK348" s="1658"/>
      <c r="BOL348" s="1658"/>
      <c r="BOM348" s="1658"/>
      <c r="BON348" s="1658"/>
      <c r="BOO348" s="1658"/>
      <c r="BOP348" s="1658"/>
      <c r="BOQ348" s="1658"/>
      <c r="BOR348" s="1658"/>
      <c r="BOS348" s="1658"/>
      <c r="BOT348" s="1658"/>
      <c r="BOU348" s="1658"/>
      <c r="BOV348" s="1658"/>
      <c r="BOW348" s="1658"/>
      <c r="BOX348" s="1658"/>
      <c r="BOY348" s="1658"/>
      <c r="BOZ348" s="1658"/>
      <c r="BPA348" s="1658"/>
      <c r="BPB348" s="1658"/>
      <c r="BPC348" s="1658"/>
      <c r="BPD348" s="1658"/>
      <c r="BPE348" s="1658"/>
      <c r="BPF348" s="1658"/>
      <c r="BPG348" s="1658"/>
      <c r="BPH348" s="1658"/>
      <c r="BPI348" s="1658"/>
      <c r="BPJ348" s="1658"/>
      <c r="BPK348" s="1658"/>
      <c r="BPL348" s="1658"/>
      <c r="BPM348" s="1658"/>
      <c r="BPN348" s="1658"/>
      <c r="BPO348" s="1658"/>
      <c r="BPP348" s="1658"/>
      <c r="BPQ348" s="1658"/>
      <c r="BPR348" s="1658"/>
      <c r="BPS348" s="1658"/>
      <c r="BPT348" s="1658"/>
      <c r="BPU348" s="1658"/>
      <c r="BPV348" s="1658"/>
      <c r="BPW348" s="1658"/>
      <c r="BPX348" s="1658"/>
      <c r="BPY348" s="1658"/>
      <c r="BPZ348" s="1658"/>
      <c r="BQA348" s="1658"/>
      <c r="BQB348" s="1658"/>
      <c r="BQC348" s="1658"/>
      <c r="BQD348" s="1658"/>
      <c r="BQE348" s="1658"/>
      <c r="BQF348" s="1658"/>
      <c r="BQG348" s="1658"/>
      <c r="BQH348" s="1658"/>
      <c r="BQI348" s="1658"/>
      <c r="BQJ348" s="1658"/>
      <c r="BQK348" s="1658"/>
      <c r="BQL348" s="1658"/>
      <c r="BQM348" s="1658"/>
      <c r="BQN348" s="1658"/>
      <c r="BQO348" s="1658"/>
      <c r="BQP348" s="1658"/>
      <c r="BQQ348" s="1658"/>
      <c r="BQR348" s="1658"/>
      <c r="BQS348" s="1658"/>
      <c r="BQT348" s="1658"/>
      <c r="BQU348" s="1658"/>
      <c r="BQV348" s="1658"/>
      <c r="BQW348" s="1658"/>
      <c r="BQX348" s="1658"/>
      <c r="BQY348" s="1658"/>
      <c r="BQZ348" s="1658"/>
      <c r="BRA348" s="1658"/>
      <c r="BRB348" s="1658"/>
      <c r="BRC348" s="1658"/>
      <c r="BRD348" s="1658"/>
      <c r="BRE348" s="1658"/>
      <c r="BRF348" s="1658"/>
      <c r="BRG348" s="1658"/>
      <c r="BRH348" s="1658"/>
      <c r="BRI348" s="1658"/>
      <c r="BRJ348" s="1658"/>
      <c r="BRK348" s="1658"/>
      <c r="BRL348" s="1658"/>
      <c r="BRM348" s="1658"/>
      <c r="BRN348" s="1658"/>
      <c r="BRO348" s="1658"/>
      <c r="BRP348" s="1658"/>
      <c r="BRQ348" s="1658"/>
      <c r="BRR348" s="1658"/>
      <c r="BRS348" s="1658"/>
      <c r="BRT348" s="1658"/>
      <c r="BRU348" s="1658"/>
      <c r="BRV348" s="1658"/>
      <c r="BRW348" s="1658"/>
      <c r="BRX348" s="1658"/>
      <c r="BRY348" s="1658"/>
      <c r="BRZ348" s="1658"/>
      <c r="BSA348" s="1658"/>
      <c r="BSB348" s="1658"/>
      <c r="BSC348" s="1658"/>
      <c r="BSD348" s="1658"/>
      <c r="BSE348" s="1658"/>
      <c r="BSF348" s="1658"/>
      <c r="BSG348" s="1658"/>
      <c r="BSH348" s="1658"/>
      <c r="BSI348" s="1658"/>
      <c r="BSJ348" s="1658"/>
      <c r="BSK348" s="1658"/>
      <c r="BSL348" s="1658"/>
      <c r="BSM348" s="1658"/>
      <c r="BSN348" s="1658"/>
      <c r="BSO348" s="1658"/>
      <c r="BSP348" s="1658"/>
      <c r="BSQ348" s="1658"/>
      <c r="BSR348" s="1658"/>
      <c r="BSS348" s="1658"/>
      <c r="BST348" s="1658"/>
      <c r="BSU348" s="1658"/>
      <c r="BSV348" s="1658"/>
      <c r="BSW348" s="1658"/>
      <c r="BSX348" s="1658"/>
      <c r="BSY348" s="1658"/>
      <c r="BSZ348" s="1658"/>
      <c r="BTA348" s="1658"/>
      <c r="BTB348" s="1658"/>
      <c r="BTC348" s="1658"/>
      <c r="BTD348" s="1658"/>
      <c r="BTE348" s="1658"/>
      <c r="BTF348" s="1658"/>
      <c r="BTG348" s="1658"/>
      <c r="BTH348" s="1658"/>
      <c r="BTI348" s="1658"/>
      <c r="BTJ348" s="1658"/>
      <c r="BTK348" s="1658"/>
      <c r="BTL348" s="1658"/>
      <c r="BTM348" s="1658"/>
      <c r="BTN348" s="1658"/>
      <c r="BTO348" s="1658"/>
      <c r="BTP348" s="1658"/>
      <c r="BTQ348" s="1658"/>
      <c r="BTR348" s="1658"/>
      <c r="BTS348" s="1658"/>
      <c r="BTT348" s="1658"/>
      <c r="BTU348" s="1658"/>
      <c r="BTV348" s="1658"/>
      <c r="BTW348" s="1658"/>
      <c r="BTX348" s="1658"/>
      <c r="BTY348" s="1658"/>
      <c r="BTZ348" s="1658"/>
      <c r="BUA348" s="1658"/>
      <c r="BUB348" s="1658"/>
      <c r="BUC348" s="1658"/>
      <c r="BUD348" s="1658"/>
      <c r="BUE348" s="1658"/>
      <c r="BUF348" s="1658"/>
      <c r="BUG348" s="1658"/>
      <c r="BUH348" s="1658"/>
      <c r="BUI348" s="1658"/>
      <c r="BUJ348" s="1658"/>
      <c r="BUK348" s="1658"/>
      <c r="BUL348" s="1658"/>
      <c r="BUM348" s="1658"/>
      <c r="BUN348" s="1658"/>
      <c r="BUO348" s="1658"/>
      <c r="BUP348" s="1658"/>
      <c r="BUQ348" s="1658"/>
      <c r="BUR348" s="1658"/>
      <c r="BUS348" s="1658"/>
      <c r="BUT348" s="1658"/>
      <c r="BUU348" s="1658"/>
      <c r="BUV348" s="1658"/>
      <c r="BUW348" s="1658"/>
      <c r="BUX348" s="1658"/>
      <c r="BUY348" s="1658"/>
      <c r="BUZ348" s="1658"/>
      <c r="BVA348" s="1658"/>
      <c r="BVB348" s="1658"/>
      <c r="BVC348" s="1658"/>
      <c r="BVD348" s="1658"/>
      <c r="BVE348" s="1658"/>
      <c r="BVF348" s="1658"/>
      <c r="BVG348" s="1658"/>
      <c r="BVH348" s="1658"/>
      <c r="BVI348" s="1658"/>
      <c r="BVJ348" s="1658"/>
      <c r="BVK348" s="1658"/>
      <c r="BVL348" s="1658"/>
      <c r="BVM348" s="1658"/>
      <c r="BVN348" s="1658"/>
      <c r="BVO348" s="1658"/>
      <c r="BVP348" s="1658"/>
      <c r="BVQ348" s="1658"/>
      <c r="BVR348" s="1658"/>
      <c r="BVS348" s="1658"/>
      <c r="BVT348" s="1658"/>
      <c r="BVU348" s="1658"/>
      <c r="BVV348" s="1658"/>
      <c r="BVW348" s="1658"/>
      <c r="BVX348" s="1658"/>
      <c r="BVY348" s="1658"/>
      <c r="BVZ348" s="1658"/>
      <c r="BWA348" s="1658"/>
      <c r="BWB348" s="1658"/>
      <c r="BWC348" s="1658"/>
      <c r="BWD348" s="1658"/>
      <c r="BWE348" s="1658"/>
      <c r="BWF348" s="1658"/>
      <c r="BWG348" s="1658"/>
      <c r="BWH348" s="1658"/>
      <c r="BWI348" s="1658"/>
      <c r="BWJ348" s="1658"/>
      <c r="BWK348" s="1658"/>
      <c r="BWL348" s="1658"/>
      <c r="BWM348" s="1658"/>
      <c r="BWN348" s="1658"/>
      <c r="BWO348" s="1658"/>
      <c r="BWP348" s="1658"/>
      <c r="BWQ348" s="1658"/>
      <c r="BWR348" s="1658"/>
      <c r="BWS348" s="1658"/>
      <c r="BWT348" s="1658"/>
      <c r="BWU348" s="1658"/>
      <c r="BWV348" s="1658"/>
      <c r="BWW348" s="1658"/>
      <c r="BWX348" s="1658"/>
      <c r="BWY348" s="1658"/>
      <c r="BWZ348" s="1658"/>
      <c r="BXA348" s="1658"/>
      <c r="BXB348" s="1658"/>
      <c r="BXC348" s="1658"/>
      <c r="BXD348" s="1658"/>
      <c r="BXE348" s="1658"/>
      <c r="BXF348" s="1658"/>
      <c r="BXG348" s="1658"/>
      <c r="BXH348" s="1658"/>
      <c r="BXI348" s="1658"/>
      <c r="BXJ348" s="1658"/>
      <c r="BXK348" s="1658"/>
      <c r="BXL348" s="1658"/>
      <c r="BXM348" s="1658"/>
      <c r="BXN348" s="1658"/>
      <c r="BXO348" s="1658"/>
      <c r="BXP348" s="1658"/>
      <c r="BXQ348" s="1658"/>
      <c r="BXR348" s="1658"/>
      <c r="BXS348" s="1658"/>
      <c r="BXT348" s="1658"/>
      <c r="BXU348" s="1658"/>
      <c r="BXV348" s="1658"/>
      <c r="BXW348" s="1658"/>
      <c r="BXX348" s="1658"/>
      <c r="BXY348" s="1658"/>
      <c r="BXZ348" s="1658"/>
      <c r="BYA348" s="1658"/>
      <c r="BYB348" s="1658"/>
      <c r="BYC348" s="1658"/>
      <c r="BYD348" s="1658"/>
      <c r="BYE348" s="1658"/>
      <c r="BYF348" s="1658"/>
      <c r="BYG348" s="1658"/>
      <c r="BYH348" s="1658"/>
      <c r="BYI348" s="1658"/>
      <c r="BYJ348" s="1658"/>
      <c r="BYK348" s="1658"/>
      <c r="BYL348" s="1658"/>
      <c r="BYM348" s="1658"/>
      <c r="BYN348" s="1658"/>
      <c r="BYO348" s="1658"/>
      <c r="BYP348" s="1658"/>
      <c r="BYQ348" s="1658"/>
      <c r="BYR348" s="1658"/>
      <c r="BYS348" s="1658"/>
      <c r="BYT348" s="1658"/>
      <c r="BYU348" s="1658"/>
      <c r="BYV348" s="1658"/>
      <c r="BYW348" s="1658"/>
      <c r="BYX348" s="1658"/>
      <c r="BYY348" s="1658"/>
      <c r="BYZ348" s="1658"/>
      <c r="BZA348" s="1658"/>
      <c r="BZB348" s="1658"/>
      <c r="BZC348" s="1658"/>
      <c r="BZD348" s="1658"/>
      <c r="BZE348" s="1658"/>
      <c r="BZF348" s="1658"/>
      <c r="BZG348" s="1658"/>
      <c r="BZH348" s="1658"/>
      <c r="BZI348" s="1658"/>
      <c r="BZJ348" s="1658"/>
      <c r="BZK348" s="1658"/>
      <c r="BZL348" s="1658"/>
      <c r="BZM348" s="1658"/>
      <c r="BZN348" s="1658"/>
      <c r="BZO348" s="1658"/>
      <c r="BZP348" s="1658"/>
      <c r="BZQ348" s="1658"/>
      <c r="BZR348" s="1658"/>
      <c r="BZS348" s="1658"/>
      <c r="BZT348" s="1658"/>
      <c r="BZU348" s="1658"/>
      <c r="BZV348" s="1658"/>
      <c r="BZW348" s="1658"/>
      <c r="BZX348" s="1658"/>
      <c r="BZY348" s="1658"/>
      <c r="BZZ348" s="1658"/>
      <c r="CAA348" s="1658"/>
      <c r="CAB348" s="1658"/>
      <c r="CAC348" s="1658"/>
      <c r="CAD348" s="1658"/>
      <c r="CAE348" s="1658"/>
      <c r="CAF348" s="1658"/>
      <c r="CAG348" s="1658"/>
      <c r="CAH348" s="1658"/>
      <c r="CAI348" s="1658"/>
      <c r="CAJ348" s="1658"/>
      <c r="CAK348" s="1658"/>
      <c r="CAL348" s="1658"/>
      <c r="CAM348" s="1658"/>
      <c r="CAN348" s="1658"/>
      <c r="CAO348" s="1658"/>
      <c r="CAP348" s="1658"/>
      <c r="CAQ348" s="1658"/>
      <c r="CAR348" s="1658"/>
      <c r="CAS348" s="1658"/>
      <c r="CAT348" s="1658"/>
      <c r="CAU348" s="1658"/>
      <c r="CAV348" s="1658"/>
      <c r="CAW348" s="1658"/>
      <c r="CAX348" s="1658"/>
      <c r="CAY348" s="1658"/>
      <c r="CAZ348" s="1658"/>
      <c r="CBA348" s="1658"/>
      <c r="CBB348" s="1658"/>
      <c r="CBC348" s="1658"/>
      <c r="CBD348" s="1658"/>
      <c r="CBE348" s="1658"/>
      <c r="CBF348" s="1658"/>
      <c r="CBG348" s="1658"/>
      <c r="CBH348" s="1658"/>
      <c r="CBI348" s="1658"/>
      <c r="CBJ348" s="1658"/>
      <c r="CBK348" s="1658"/>
      <c r="CBL348" s="1658"/>
      <c r="CBM348" s="1658"/>
      <c r="CBN348" s="1658"/>
      <c r="CBO348" s="1658"/>
      <c r="CBP348" s="1658"/>
      <c r="CBQ348" s="1658"/>
      <c r="CBR348" s="1658"/>
      <c r="CBS348" s="1658"/>
      <c r="CBT348" s="1658"/>
      <c r="CBU348" s="1658"/>
      <c r="CBV348" s="1658"/>
      <c r="CBW348" s="1658"/>
      <c r="CBX348" s="1658"/>
      <c r="CBY348" s="1658"/>
      <c r="CBZ348" s="1658"/>
      <c r="CCA348" s="1658"/>
      <c r="CCB348" s="1658"/>
      <c r="CCC348" s="1658"/>
      <c r="CCD348" s="1658"/>
      <c r="CCE348" s="1658"/>
      <c r="CCF348" s="1658"/>
      <c r="CCG348" s="1658"/>
      <c r="CCH348" s="1658"/>
      <c r="CCI348" s="1658"/>
      <c r="CCJ348" s="1658"/>
      <c r="CCK348" s="1658"/>
      <c r="CCL348" s="1658"/>
      <c r="CCM348" s="1658"/>
      <c r="CCN348" s="1658"/>
      <c r="CCO348" s="1658"/>
      <c r="CCP348" s="1658"/>
      <c r="CCQ348" s="1658"/>
      <c r="CCR348" s="1658"/>
      <c r="CCS348" s="1658"/>
      <c r="CCT348" s="1658"/>
      <c r="CCU348" s="1658"/>
      <c r="CCV348" s="1658"/>
      <c r="CCW348" s="1658"/>
      <c r="CCX348" s="1658"/>
      <c r="CCY348" s="1658"/>
      <c r="CCZ348" s="1658"/>
      <c r="CDA348" s="1658"/>
      <c r="CDB348" s="1658"/>
      <c r="CDC348" s="1658"/>
      <c r="CDD348" s="1658"/>
      <c r="CDE348" s="1658"/>
      <c r="CDF348" s="1658"/>
      <c r="CDG348" s="1658"/>
      <c r="CDH348" s="1658"/>
      <c r="CDI348" s="1658"/>
      <c r="CDJ348" s="1658"/>
      <c r="CDK348" s="1658"/>
      <c r="CDL348" s="1658"/>
      <c r="CDM348" s="1658"/>
      <c r="CDN348" s="1658"/>
      <c r="CDO348" s="1658"/>
      <c r="CDP348" s="1658"/>
      <c r="CDQ348" s="1658"/>
      <c r="CDR348" s="1658"/>
      <c r="CDS348" s="1658"/>
      <c r="CDT348" s="1658"/>
      <c r="CDU348" s="1658"/>
      <c r="CDV348" s="1658"/>
      <c r="CDW348" s="1658"/>
      <c r="CDX348" s="1658"/>
      <c r="CDY348" s="1658"/>
      <c r="CDZ348" s="1658"/>
      <c r="CEA348" s="1658"/>
      <c r="CEB348" s="1658"/>
      <c r="CEC348" s="1658"/>
      <c r="CED348" s="1658"/>
      <c r="CEE348" s="1658"/>
      <c r="CEF348" s="1658"/>
      <c r="CEG348" s="1658"/>
      <c r="CEH348" s="1658"/>
      <c r="CEI348" s="1658"/>
      <c r="CEJ348" s="1658"/>
      <c r="CEK348" s="1658"/>
      <c r="CEL348" s="1658"/>
      <c r="CEM348" s="1658"/>
      <c r="CEN348" s="1658"/>
      <c r="CEO348" s="1658"/>
      <c r="CEP348" s="1658"/>
      <c r="CEQ348" s="1658"/>
      <c r="CER348" s="1658"/>
      <c r="CES348" s="1658"/>
      <c r="CET348" s="1658"/>
      <c r="CEU348" s="1658"/>
      <c r="CEV348" s="1658"/>
      <c r="CEW348" s="1658"/>
      <c r="CEX348" s="1658"/>
      <c r="CEY348" s="1658"/>
      <c r="CEZ348" s="1658"/>
      <c r="CFA348" s="1658"/>
      <c r="CFB348" s="1658"/>
      <c r="CFC348" s="1658"/>
      <c r="CFD348" s="1658"/>
      <c r="CFE348" s="1658"/>
      <c r="CFF348" s="1658"/>
      <c r="CFG348" s="1658"/>
      <c r="CFH348" s="1658"/>
      <c r="CFI348" s="1658"/>
      <c r="CFJ348" s="1658"/>
      <c r="CFK348" s="1658"/>
      <c r="CFL348" s="1658"/>
      <c r="CFM348" s="1658"/>
      <c r="CFN348" s="1658"/>
      <c r="CFO348" s="1658"/>
      <c r="CFP348" s="1658"/>
      <c r="CFQ348" s="1658"/>
      <c r="CFR348" s="1658"/>
      <c r="CFS348" s="1658"/>
      <c r="CFT348" s="1658"/>
      <c r="CFU348" s="1658"/>
      <c r="CFV348" s="1658"/>
      <c r="CFW348" s="1658"/>
      <c r="CFX348" s="1658"/>
      <c r="CFY348" s="1658"/>
      <c r="CFZ348" s="1658"/>
      <c r="CGA348" s="1658"/>
      <c r="CGB348" s="1658"/>
      <c r="CGC348" s="1658"/>
      <c r="CGD348" s="1658"/>
      <c r="CGE348" s="1658"/>
      <c r="CGF348" s="1658"/>
      <c r="CGG348" s="1658"/>
      <c r="CGH348" s="1658"/>
      <c r="CGI348" s="1658"/>
      <c r="CGJ348" s="1658"/>
      <c r="CGK348" s="1658"/>
      <c r="CGL348" s="1658"/>
      <c r="CGM348" s="1658"/>
      <c r="CGN348" s="1658"/>
      <c r="CGO348" s="1658"/>
      <c r="CGP348" s="1658"/>
      <c r="CGQ348" s="1658"/>
      <c r="CGR348" s="1658"/>
      <c r="CGS348" s="1658"/>
      <c r="CGT348" s="1658"/>
      <c r="CGU348" s="1658"/>
      <c r="CGV348" s="1658"/>
      <c r="CGW348" s="1658"/>
      <c r="CGX348" s="1658"/>
      <c r="CGY348" s="1658"/>
      <c r="CGZ348" s="1658"/>
      <c r="CHA348" s="1658"/>
      <c r="CHB348" s="1658"/>
      <c r="CHC348" s="1658"/>
      <c r="CHD348" s="1658"/>
      <c r="CHE348" s="1658"/>
      <c r="CHF348" s="1658"/>
      <c r="CHG348" s="1658"/>
      <c r="CHH348" s="1658"/>
      <c r="CHI348" s="1658"/>
      <c r="CHJ348" s="1658"/>
      <c r="CHK348" s="1658"/>
      <c r="CHL348" s="1658"/>
      <c r="CHM348" s="1658"/>
      <c r="CHN348" s="1658"/>
      <c r="CHO348" s="1658"/>
      <c r="CHP348" s="1658"/>
      <c r="CHQ348" s="1658"/>
      <c r="CHR348" s="1658"/>
      <c r="CHS348" s="1658"/>
      <c r="CHT348" s="1658"/>
      <c r="CHU348" s="1658"/>
      <c r="CHV348" s="1658"/>
      <c r="CHW348" s="1658"/>
      <c r="CHX348" s="1658"/>
      <c r="CHY348" s="1658"/>
      <c r="CHZ348" s="1658"/>
      <c r="CIA348" s="1658"/>
      <c r="CIB348" s="1658"/>
      <c r="CIC348" s="1658"/>
      <c r="CID348" s="1658"/>
      <c r="CIE348" s="1658"/>
      <c r="CIF348" s="1658"/>
      <c r="CIG348" s="1658"/>
      <c r="CIH348" s="1658"/>
      <c r="CII348" s="1658"/>
      <c r="CIJ348" s="1658"/>
      <c r="CIK348" s="1658"/>
      <c r="CIL348" s="1658"/>
      <c r="CIM348" s="1658"/>
      <c r="CIN348" s="1658"/>
      <c r="CIO348" s="1658"/>
      <c r="CIP348" s="1658"/>
      <c r="CIQ348" s="1658"/>
      <c r="CIR348" s="1658"/>
      <c r="CIS348" s="1658"/>
      <c r="CIT348" s="1658"/>
      <c r="CIU348" s="1658"/>
      <c r="CIV348" s="1658"/>
      <c r="CIW348" s="1658"/>
      <c r="CIX348" s="1658"/>
      <c r="CIY348" s="1658"/>
      <c r="CIZ348" s="1658"/>
      <c r="CJA348" s="1658"/>
      <c r="CJB348" s="1658"/>
      <c r="CJC348" s="1658"/>
      <c r="CJD348" s="1658"/>
      <c r="CJE348" s="1658"/>
      <c r="CJF348" s="1658"/>
      <c r="CJG348" s="1658"/>
      <c r="CJH348" s="1658"/>
      <c r="CJI348" s="1658"/>
      <c r="CJJ348" s="1658"/>
      <c r="CJK348" s="1658"/>
      <c r="CJL348" s="1658"/>
      <c r="CJM348" s="1658"/>
      <c r="CJN348" s="1658"/>
      <c r="CJO348" s="1658"/>
      <c r="CJP348" s="1658"/>
      <c r="CJQ348" s="1658"/>
      <c r="CJR348" s="1658"/>
      <c r="CJS348" s="1658"/>
      <c r="CJT348" s="1658"/>
      <c r="CJU348" s="1658"/>
      <c r="CJV348" s="1658"/>
      <c r="CJW348" s="1658"/>
      <c r="CJX348" s="1658"/>
      <c r="CJY348" s="1658"/>
      <c r="CJZ348" s="1658"/>
      <c r="CKA348" s="1658"/>
      <c r="CKB348" s="1658"/>
      <c r="CKC348" s="1658"/>
      <c r="CKD348" s="1658"/>
      <c r="CKE348" s="1658"/>
      <c r="CKF348" s="1658"/>
      <c r="CKG348" s="1658"/>
      <c r="CKH348" s="1658"/>
      <c r="CKI348" s="1658"/>
      <c r="CKJ348" s="1658"/>
      <c r="CKK348" s="1658"/>
      <c r="CKL348" s="1658"/>
      <c r="CKM348" s="1658"/>
      <c r="CKN348" s="1658"/>
      <c r="CKO348" s="1658"/>
      <c r="CKP348" s="1658"/>
      <c r="CKQ348" s="1658"/>
      <c r="CKR348" s="1658"/>
      <c r="CKS348" s="1658"/>
      <c r="CKT348" s="1658"/>
      <c r="CKU348" s="1658"/>
      <c r="CKV348" s="1658"/>
      <c r="CKW348" s="1658"/>
      <c r="CKX348" s="1658"/>
      <c r="CKY348" s="1658"/>
      <c r="CKZ348" s="1658"/>
      <c r="CLA348" s="1658"/>
      <c r="CLB348" s="1658"/>
      <c r="CLC348" s="1658"/>
      <c r="CLD348" s="1658"/>
      <c r="CLE348" s="1658"/>
      <c r="CLF348" s="1658"/>
      <c r="CLG348" s="1658"/>
      <c r="CLH348" s="1658"/>
      <c r="CLI348" s="1658"/>
      <c r="CLJ348" s="1658"/>
      <c r="CLK348" s="1658"/>
      <c r="CLL348" s="1658"/>
      <c r="CLM348" s="1658"/>
      <c r="CLN348" s="1658"/>
      <c r="CLO348" s="1658"/>
      <c r="CLP348" s="1658"/>
      <c r="CLQ348" s="1658"/>
      <c r="CLR348" s="1658"/>
      <c r="CLS348" s="1658"/>
      <c r="CLT348" s="1658"/>
      <c r="CLU348" s="1658"/>
      <c r="CLV348" s="1658"/>
      <c r="CLW348" s="1658"/>
      <c r="CLX348" s="1658"/>
      <c r="CLY348" s="1658"/>
      <c r="CLZ348" s="1658"/>
      <c r="CMA348" s="1658"/>
      <c r="CMB348" s="1658"/>
      <c r="CMC348" s="1658"/>
      <c r="CMD348" s="1658"/>
      <c r="CME348" s="1658"/>
      <c r="CMF348" s="1658"/>
      <c r="CMG348" s="1658"/>
      <c r="CMH348" s="1658"/>
      <c r="CMI348" s="1658"/>
      <c r="CMJ348" s="1658"/>
      <c r="CMK348" s="1658"/>
      <c r="CML348" s="1658"/>
      <c r="CMM348" s="1658"/>
      <c r="CMN348" s="1658"/>
      <c r="CMO348" s="1658"/>
      <c r="CMP348" s="1658"/>
      <c r="CMQ348" s="1658"/>
      <c r="CMR348" s="1658"/>
      <c r="CMS348" s="1658"/>
      <c r="CMT348" s="1658"/>
      <c r="CMU348" s="1658"/>
      <c r="CMV348" s="1658"/>
      <c r="CMW348" s="1658"/>
      <c r="CMX348" s="1658"/>
      <c r="CMY348" s="1658"/>
      <c r="CMZ348" s="1658"/>
      <c r="CNA348" s="1658"/>
      <c r="CNB348" s="1658"/>
      <c r="CNC348" s="1658"/>
      <c r="CND348" s="1658"/>
      <c r="CNE348" s="1658"/>
      <c r="CNF348" s="1658"/>
      <c r="CNG348" s="1658"/>
      <c r="CNH348" s="1658"/>
      <c r="CNI348" s="1658"/>
      <c r="CNJ348" s="1658"/>
      <c r="CNK348" s="1658"/>
      <c r="CNL348" s="1658"/>
      <c r="CNM348" s="1658"/>
      <c r="CNN348" s="1658"/>
      <c r="CNO348" s="1658"/>
      <c r="CNP348" s="1658"/>
      <c r="CNQ348" s="1658"/>
      <c r="CNR348" s="1658"/>
      <c r="CNS348" s="1658"/>
      <c r="CNT348" s="1658"/>
      <c r="CNU348" s="1658"/>
      <c r="CNV348" s="1658"/>
      <c r="CNW348" s="1658"/>
      <c r="CNX348" s="1658"/>
      <c r="CNY348" s="1658"/>
      <c r="CNZ348" s="1658"/>
      <c r="COA348" s="1658"/>
      <c r="COB348" s="1658"/>
      <c r="COC348" s="1658"/>
      <c r="COD348" s="1658"/>
      <c r="COE348" s="1658"/>
      <c r="COF348" s="1658"/>
      <c r="COG348" s="1658"/>
      <c r="COH348" s="1658"/>
      <c r="COI348" s="1658"/>
      <c r="COJ348" s="1658"/>
      <c r="COK348" s="1658"/>
      <c r="COL348" s="1658"/>
      <c r="COM348" s="1658"/>
      <c r="CON348" s="1658"/>
      <c r="COO348" s="1658"/>
      <c r="COP348" s="1658"/>
      <c r="COQ348" s="1658"/>
      <c r="COR348" s="1658"/>
      <c r="COS348" s="1658"/>
      <c r="COT348" s="1658"/>
      <c r="COU348" s="1658"/>
      <c r="COV348" s="1658"/>
      <c r="COW348" s="1658"/>
      <c r="COX348" s="1658"/>
      <c r="COY348" s="1658"/>
      <c r="COZ348" s="1658"/>
      <c r="CPA348" s="1658"/>
      <c r="CPB348" s="1658"/>
      <c r="CPC348" s="1658"/>
      <c r="CPD348" s="1658"/>
      <c r="CPE348" s="1658"/>
      <c r="CPF348" s="1658"/>
      <c r="CPG348" s="1658"/>
      <c r="CPH348" s="1658"/>
      <c r="CPI348" s="1658"/>
      <c r="CPJ348" s="1658"/>
      <c r="CPK348" s="1658"/>
      <c r="CPL348" s="1658"/>
      <c r="CPM348" s="1658"/>
      <c r="CPN348" s="1658"/>
      <c r="CPO348" s="1658"/>
      <c r="CPP348" s="1658"/>
      <c r="CPQ348" s="1658"/>
      <c r="CPR348" s="1658"/>
      <c r="CPS348" s="1658"/>
      <c r="CPT348" s="1658"/>
      <c r="CPU348" s="1658"/>
      <c r="CPV348" s="1658"/>
      <c r="CPW348" s="1658"/>
      <c r="CPX348" s="1658"/>
      <c r="CPY348" s="1658"/>
      <c r="CPZ348" s="1658"/>
      <c r="CQA348" s="1658"/>
      <c r="CQB348" s="1658"/>
      <c r="CQC348" s="1658"/>
      <c r="CQD348" s="1658"/>
      <c r="CQE348" s="1658"/>
      <c r="CQF348" s="1658"/>
      <c r="CQG348" s="1658"/>
      <c r="CQH348" s="1658"/>
      <c r="CQI348" s="1658"/>
      <c r="CQJ348" s="1658"/>
      <c r="CQK348" s="1658"/>
      <c r="CQL348" s="1658"/>
      <c r="CQM348" s="1658"/>
      <c r="CQN348" s="1658"/>
      <c r="CQO348" s="1658"/>
      <c r="CQP348" s="1658"/>
      <c r="CQQ348" s="1658"/>
      <c r="CQR348" s="1658"/>
      <c r="CQS348" s="1658"/>
      <c r="CQT348" s="1658"/>
      <c r="CQU348" s="1658"/>
      <c r="CQV348" s="1658"/>
      <c r="CQW348" s="1658"/>
      <c r="CQX348" s="1658"/>
      <c r="CQY348" s="1658"/>
      <c r="CQZ348" s="1658"/>
      <c r="CRA348" s="1658"/>
      <c r="CRB348" s="1658"/>
      <c r="CRC348" s="1658"/>
      <c r="CRD348" s="1658"/>
      <c r="CRE348" s="1658"/>
      <c r="CRF348" s="1658"/>
      <c r="CRG348" s="1658"/>
      <c r="CRH348" s="1658"/>
      <c r="CRI348" s="1658"/>
      <c r="CRJ348" s="1658"/>
      <c r="CRK348" s="1658"/>
      <c r="CRL348" s="1658"/>
      <c r="CRM348" s="1658"/>
      <c r="CRN348" s="1658"/>
      <c r="CRO348" s="1658"/>
      <c r="CRP348" s="1658"/>
      <c r="CRQ348" s="1658"/>
      <c r="CRR348" s="1658"/>
      <c r="CRS348" s="1658"/>
      <c r="CRT348" s="1658"/>
      <c r="CRU348" s="1658"/>
      <c r="CRV348" s="1658"/>
      <c r="CRW348" s="1658"/>
      <c r="CRX348" s="1658"/>
      <c r="CRY348" s="1658"/>
      <c r="CRZ348" s="1658"/>
      <c r="CSA348" s="1658"/>
      <c r="CSB348" s="1658"/>
      <c r="CSC348" s="1658"/>
      <c r="CSD348" s="1658"/>
      <c r="CSE348" s="1658"/>
      <c r="CSF348" s="1658"/>
      <c r="CSG348" s="1658"/>
      <c r="CSH348" s="1658"/>
      <c r="CSI348" s="1658"/>
      <c r="CSJ348" s="1658"/>
      <c r="CSK348" s="1658"/>
      <c r="CSL348" s="1658"/>
      <c r="CSM348" s="1658"/>
      <c r="CSN348" s="1658"/>
      <c r="CSO348" s="1658"/>
      <c r="CSP348" s="1658"/>
      <c r="CSQ348" s="1658"/>
      <c r="CSR348" s="1658"/>
      <c r="CSS348" s="1658"/>
      <c r="CST348" s="1658"/>
      <c r="CSU348" s="1658"/>
      <c r="CSV348" s="1658"/>
      <c r="CSW348" s="1658"/>
      <c r="CSX348" s="1658"/>
      <c r="CSY348" s="1658"/>
      <c r="CSZ348" s="1658"/>
      <c r="CTA348" s="1658"/>
      <c r="CTB348" s="1658"/>
      <c r="CTC348" s="1658"/>
      <c r="CTD348" s="1658"/>
      <c r="CTE348" s="1658"/>
      <c r="CTF348" s="1658"/>
      <c r="CTG348" s="1658"/>
      <c r="CTH348" s="1658"/>
      <c r="CTI348" s="1658"/>
      <c r="CTJ348" s="1658"/>
      <c r="CTK348" s="1658"/>
      <c r="CTL348" s="1658"/>
      <c r="CTM348" s="1658"/>
      <c r="CTN348" s="1658"/>
      <c r="CTO348" s="1658"/>
      <c r="CTP348" s="1658"/>
      <c r="CTQ348" s="1658"/>
      <c r="CTR348" s="1658"/>
      <c r="CTS348" s="1658"/>
      <c r="CTT348" s="1658"/>
      <c r="CTU348" s="1658"/>
      <c r="CTV348" s="1658"/>
      <c r="CTW348" s="1658"/>
      <c r="CTX348" s="1658"/>
      <c r="CTY348" s="1658"/>
      <c r="CTZ348" s="1658"/>
      <c r="CUA348" s="1658"/>
      <c r="CUB348" s="1658"/>
      <c r="CUC348" s="1658"/>
      <c r="CUD348" s="1658"/>
      <c r="CUE348" s="1658"/>
      <c r="CUF348" s="1658"/>
      <c r="CUG348" s="1658"/>
      <c r="CUH348" s="1658"/>
      <c r="CUI348" s="1658"/>
      <c r="CUJ348" s="1658"/>
      <c r="CUK348" s="1658"/>
      <c r="CUL348" s="1658"/>
      <c r="CUM348" s="1658"/>
      <c r="CUN348" s="1658"/>
      <c r="CUO348" s="1658"/>
      <c r="CUP348" s="1658"/>
      <c r="CUQ348" s="1658"/>
      <c r="CUR348" s="1658"/>
      <c r="CUS348" s="1658"/>
      <c r="CUT348" s="1658"/>
      <c r="CUU348" s="1658"/>
      <c r="CUV348" s="1658"/>
      <c r="CUW348" s="1658"/>
      <c r="CUX348" s="1658"/>
      <c r="CUY348" s="1658"/>
      <c r="CUZ348" s="1658"/>
      <c r="CVA348" s="1658"/>
      <c r="CVB348" s="1658"/>
      <c r="CVC348" s="1658"/>
      <c r="CVD348" s="1658"/>
      <c r="CVE348" s="1658"/>
      <c r="CVF348" s="1658"/>
      <c r="CVG348" s="1658"/>
      <c r="CVH348" s="1658"/>
      <c r="CVI348" s="1658"/>
      <c r="CVJ348" s="1658"/>
      <c r="CVK348" s="1658"/>
      <c r="CVL348" s="1658"/>
      <c r="CVM348" s="1658"/>
      <c r="CVN348" s="1658"/>
      <c r="CVO348" s="1658"/>
      <c r="CVP348" s="1658"/>
      <c r="CVQ348" s="1658"/>
      <c r="CVR348" s="1658"/>
      <c r="CVS348" s="1658"/>
      <c r="CVT348" s="1658"/>
      <c r="CVU348" s="1658"/>
      <c r="CVV348" s="1658"/>
      <c r="CVW348" s="1658"/>
      <c r="CVX348" s="1658"/>
      <c r="CVY348" s="1658"/>
      <c r="CVZ348" s="1658"/>
      <c r="CWA348" s="1658"/>
      <c r="CWB348" s="1658"/>
      <c r="CWC348" s="1658"/>
      <c r="CWD348" s="1658"/>
      <c r="CWE348" s="1658"/>
      <c r="CWF348" s="1658"/>
      <c r="CWG348" s="1658"/>
      <c r="CWH348" s="1658"/>
      <c r="CWI348" s="1658"/>
      <c r="CWJ348" s="1658"/>
      <c r="CWK348" s="1658"/>
      <c r="CWL348" s="1658"/>
      <c r="CWM348" s="1658"/>
      <c r="CWN348" s="1658"/>
      <c r="CWO348" s="1658"/>
      <c r="CWP348" s="1658"/>
      <c r="CWQ348" s="1658"/>
      <c r="CWR348" s="1658"/>
      <c r="CWS348" s="1658"/>
      <c r="CWT348" s="1658"/>
      <c r="CWU348" s="1658"/>
      <c r="CWV348" s="1658"/>
      <c r="CWW348" s="1658"/>
      <c r="CWX348" s="1658"/>
      <c r="CWY348" s="1658"/>
      <c r="CWZ348" s="1658"/>
      <c r="CXA348" s="1658"/>
      <c r="CXB348" s="1658"/>
      <c r="CXC348" s="1658"/>
      <c r="CXD348" s="1658"/>
      <c r="CXE348" s="1658"/>
      <c r="CXF348" s="1658"/>
      <c r="CXG348" s="1658"/>
      <c r="CXH348" s="1658"/>
      <c r="CXI348" s="1658"/>
      <c r="CXJ348" s="1658"/>
      <c r="CXK348" s="1658"/>
      <c r="CXL348" s="1658"/>
      <c r="CXM348" s="1658"/>
      <c r="CXN348" s="1658"/>
      <c r="CXO348" s="1658"/>
      <c r="CXP348" s="1658"/>
      <c r="CXQ348" s="1658"/>
      <c r="CXR348" s="1658"/>
      <c r="CXS348" s="1658"/>
      <c r="CXT348" s="1658"/>
      <c r="CXU348" s="1658"/>
      <c r="CXV348" s="1658"/>
      <c r="CXW348" s="1658"/>
      <c r="CXX348" s="1658"/>
      <c r="CXY348" s="1658"/>
      <c r="CXZ348" s="1658"/>
      <c r="CYA348" s="1658"/>
      <c r="CYB348" s="1658"/>
      <c r="CYC348" s="1658"/>
      <c r="CYD348" s="1658"/>
      <c r="CYE348" s="1658"/>
      <c r="CYF348" s="1658"/>
      <c r="CYG348" s="1658"/>
      <c r="CYH348" s="1658"/>
      <c r="CYI348" s="1658"/>
      <c r="CYJ348" s="1658"/>
      <c r="CYK348" s="1658"/>
      <c r="CYL348" s="1658"/>
      <c r="CYM348" s="1658"/>
      <c r="CYN348" s="1658"/>
      <c r="CYO348" s="1658"/>
      <c r="CYP348" s="1658"/>
      <c r="CYQ348" s="1658"/>
      <c r="CYR348" s="1658"/>
      <c r="CYS348" s="1658"/>
      <c r="CYT348" s="1658"/>
      <c r="CYU348" s="1658"/>
      <c r="CYV348" s="1658"/>
      <c r="CYW348" s="1658"/>
      <c r="CYX348" s="1658"/>
      <c r="CYY348" s="1658"/>
      <c r="CYZ348" s="1658"/>
      <c r="CZA348" s="1658"/>
      <c r="CZB348" s="1658"/>
      <c r="CZC348" s="1658"/>
      <c r="CZD348" s="1658"/>
      <c r="CZE348" s="1658"/>
      <c r="CZF348" s="1658"/>
      <c r="CZG348" s="1658"/>
      <c r="CZH348" s="1658"/>
      <c r="CZI348" s="1658"/>
      <c r="CZJ348" s="1658"/>
      <c r="CZK348" s="1658"/>
      <c r="CZL348" s="1658"/>
      <c r="CZM348" s="1658"/>
      <c r="CZN348" s="1658"/>
      <c r="CZO348" s="1658"/>
      <c r="CZP348" s="1658"/>
      <c r="CZQ348" s="1658"/>
      <c r="CZR348" s="1658"/>
      <c r="CZS348" s="1658"/>
      <c r="CZT348" s="1658"/>
      <c r="CZU348" s="1658"/>
      <c r="CZV348" s="1658"/>
      <c r="CZW348" s="1658"/>
      <c r="CZX348" s="1658"/>
      <c r="CZY348" s="1658"/>
      <c r="CZZ348" s="1658"/>
      <c r="DAA348" s="1658"/>
      <c r="DAB348" s="1658"/>
      <c r="DAC348" s="1658"/>
      <c r="DAD348" s="1658"/>
      <c r="DAE348" s="1658"/>
      <c r="DAF348" s="1658"/>
      <c r="DAG348" s="1658"/>
      <c r="DAH348" s="1658"/>
      <c r="DAI348" s="1658"/>
      <c r="DAJ348" s="1658"/>
      <c r="DAK348" s="1658"/>
      <c r="DAL348" s="1658"/>
      <c r="DAM348" s="1658"/>
      <c r="DAN348" s="1658"/>
      <c r="DAO348" s="1658"/>
      <c r="DAP348" s="1658"/>
      <c r="DAQ348" s="1658"/>
      <c r="DAR348" s="1658"/>
      <c r="DAS348" s="1658"/>
      <c r="DAT348" s="1658"/>
      <c r="DAU348" s="1658"/>
      <c r="DAV348" s="1658"/>
      <c r="DAW348" s="1658"/>
      <c r="DAX348" s="1658"/>
      <c r="DAY348" s="1658"/>
      <c r="DAZ348" s="1658"/>
      <c r="DBA348" s="1658"/>
      <c r="DBB348" s="1658"/>
      <c r="DBC348" s="1658"/>
      <c r="DBD348" s="1658"/>
      <c r="DBE348" s="1658"/>
      <c r="DBF348" s="1658"/>
      <c r="DBG348" s="1658"/>
      <c r="DBH348" s="1658"/>
      <c r="DBI348" s="1658"/>
      <c r="DBJ348" s="1658"/>
      <c r="DBK348" s="1658"/>
      <c r="DBL348" s="1658"/>
      <c r="DBM348" s="1658"/>
      <c r="DBN348" s="1658"/>
      <c r="DBO348" s="1658"/>
      <c r="DBP348" s="1658"/>
      <c r="DBQ348" s="1658"/>
      <c r="DBR348" s="1658"/>
      <c r="DBS348" s="1658"/>
      <c r="DBT348" s="1658"/>
      <c r="DBU348" s="1658"/>
      <c r="DBV348" s="1658"/>
      <c r="DBW348" s="1658"/>
      <c r="DBX348" s="1658"/>
      <c r="DBY348" s="1658"/>
      <c r="DBZ348" s="1658"/>
      <c r="DCA348" s="1658"/>
      <c r="DCB348" s="1658"/>
      <c r="DCC348" s="1658"/>
      <c r="DCD348" s="1658"/>
      <c r="DCE348" s="1658"/>
      <c r="DCF348" s="1658"/>
      <c r="DCG348" s="1658"/>
      <c r="DCH348" s="1658"/>
      <c r="DCI348" s="1658"/>
      <c r="DCJ348" s="1658"/>
      <c r="DCK348" s="1658"/>
      <c r="DCL348" s="1658"/>
      <c r="DCM348" s="1658"/>
      <c r="DCN348" s="1658"/>
      <c r="DCO348" s="1658"/>
      <c r="DCP348" s="1658"/>
      <c r="DCQ348" s="1658"/>
      <c r="DCR348" s="1658"/>
      <c r="DCS348" s="1658"/>
      <c r="DCT348" s="1658"/>
      <c r="DCU348" s="1658"/>
      <c r="DCV348" s="1658"/>
      <c r="DCW348" s="1658"/>
      <c r="DCX348" s="1658"/>
      <c r="DCY348" s="1658"/>
      <c r="DCZ348" s="1658"/>
      <c r="DDA348" s="1658"/>
      <c r="DDB348" s="1658"/>
      <c r="DDC348" s="1658"/>
      <c r="DDD348" s="1658"/>
      <c r="DDE348" s="1658"/>
      <c r="DDF348" s="1658"/>
      <c r="DDG348" s="1658"/>
      <c r="DDH348" s="1658"/>
      <c r="DDI348" s="1658"/>
      <c r="DDJ348" s="1658"/>
      <c r="DDK348" s="1658"/>
      <c r="DDL348" s="1658"/>
      <c r="DDM348" s="1658"/>
      <c r="DDN348" s="1658"/>
      <c r="DDO348" s="1658"/>
      <c r="DDP348" s="1658"/>
      <c r="DDQ348" s="1658"/>
      <c r="DDR348" s="1658"/>
      <c r="DDS348" s="1658"/>
      <c r="DDT348" s="1658"/>
      <c r="DDU348" s="1658"/>
      <c r="DDV348" s="1658"/>
      <c r="DDW348" s="1658"/>
      <c r="DDX348" s="1658"/>
      <c r="DDY348" s="1658"/>
      <c r="DDZ348" s="1658"/>
      <c r="DEA348" s="1658"/>
      <c r="DEB348" s="1658"/>
      <c r="DEC348" s="1658"/>
      <c r="DED348" s="1658"/>
      <c r="DEE348" s="1658"/>
      <c r="DEF348" s="1658"/>
      <c r="DEG348" s="1658"/>
      <c r="DEH348" s="1658"/>
      <c r="DEI348" s="1658"/>
      <c r="DEJ348" s="1658"/>
      <c r="DEK348" s="1658"/>
      <c r="DEL348" s="1658"/>
      <c r="DEM348" s="1658"/>
      <c r="DEN348" s="1658"/>
      <c r="DEO348" s="1658"/>
      <c r="DEP348" s="1658"/>
      <c r="DEQ348" s="1658"/>
      <c r="DER348" s="1658"/>
      <c r="DES348" s="1658"/>
      <c r="DET348" s="1658"/>
      <c r="DEU348" s="1658"/>
      <c r="DEV348" s="1658"/>
      <c r="DEW348" s="1658"/>
      <c r="DEX348" s="1658"/>
      <c r="DEY348" s="1658"/>
      <c r="DEZ348" s="1658"/>
      <c r="DFA348" s="1658"/>
      <c r="DFB348" s="1658"/>
      <c r="DFC348" s="1658"/>
      <c r="DFD348" s="1658"/>
      <c r="DFE348" s="1658"/>
      <c r="DFF348" s="1658"/>
      <c r="DFG348" s="1658"/>
      <c r="DFH348" s="1658"/>
      <c r="DFI348" s="1658"/>
      <c r="DFJ348" s="1658"/>
      <c r="DFK348" s="1658"/>
      <c r="DFL348" s="1658"/>
      <c r="DFM348" s="1658"/>
      <c r="DFN348" s="1658"/>
      <c r="DFO348" s="1658"/>
      <c r="DFP348" s="1658"/>
      <c r="DFQ348" s="1658"/>
      <c r="DFR348" s="1658"/>
      <c r="DFS348" s="1658"/>
      <c r="DFT348" s="1658"/>
      <c r="DFU348" s="1658"/>
      <c r="DFV348" s="1658"/>
      <c r="DFW348" s="1658"/>
      <c r="DFX348" s="1658"/>
      <c r="DFY348" s="1658"/>
      <c r="DFZ348" s="1658"/>
      <c r="DGA348" s="1658"/>
      <c r="DGB348" s="1658"/>
      <c r="DGC348" s="1658"/>
      <c r="DGD348" s="1658"/>
      <c r="DGE348" s="1658"/>
      <c r="DGF348" s="1658"/>
      <c r="DGG348" s="1658"/>
      <c r="DGH348" s="1658"/>
      <c r="DGI348" s="1658"/>
      <c r="DGJ348" s="1658"/>
      <c r="DGK348" s="1658"/>
      <c r="DGL348" s="1658"/>
      <c r="DGM348" s="1658"/>
      <c r="DGN348" s="1658"/>
      <c r="DGO348" s="1658"/>
      <c r="DGP348" s="1658"/>
      <c r="DGQ348" s="1658"/>
      <c r="DGR348" s="1658"/>
      <c r="DGS348" s="1658"/>
      <c r="DGT348" s="1658"/>
      <c r="DGU348" s="1658"/>
      <c r="DGV348" s="1658"/>
      <c r="DGW348" s="1658"/>
      <c r="DGX348" s="1658"/>
      <c r="DGY348" s="1658"/>
      <c r="DGZ348" s="1658"/>
      <c r="DHA348" s="1658"/>
      <c r="DHB348" s="1658"/>
      <c r="DHC348" s="1658"/>
      <c r="DHD348" s="1658"/>
      <c r="DHE348" s="1658"/>
      <c r="DHF348" s="1658"/>
      <c r="DHG348" s="1658"/>
      <c r="DHH348" s="1658"/>
      <c r="DHI348" s="1658"/>
      <c r="DHJ348" s="1658"/>
      <c r="DHK348" s="1658"/>
      <c r="DHL348" s="1658"/>
      <c r="DHM348" s="1658"/>
      <c r="DHN348" s="1658"/>
      <c r="DHO348" s="1658"/>
      <c r="DHP348" s="1658"/>
      <c r="DHQ348" s="1658"/>
      <c r="DHR348" s="1658"/>
      <c r="DHS348" s="1658"/>
      <c r="DHT348" s="1658"/>
      <c r="DHU348" s="1658"/>
      <c r="DHV348" s="1658"/>
      <c r="DHW348" s="1658"/>
      <c r="DHX348" s="1658"/>
      <c r="DHY348" s="1658"/>
      <c r="DHZ348" s="1658"/>
      <c r="DIA348" s="1658"/>
      <c r="DIB348" s="1658"/>
      <c r="DIC348" s="1658"/>
      <c r="DID348" s="1658"/>
      <c r="DIE348" s="1658"/>
      <c r="DIF348" s="1658"/>
      <c r="DIG348" s="1658"/>
      <c r="DIH348" s="1658"/>
      <c r="DII348" s="1658"/>
      <c r="DIJ348" s="1658"/>
      <c r="DIK348" s="1658"/>
      <c r="DIL348" s="1658"/>
      <c r="DIM348" s="1658"/>
      <c r="DIN348" s="1658"/>
      <c r="DIO348" s="1658"/>
      <c r="DIP348" s="1658"/>
      <c r="DIQ348" s="1658"/>
      <c r="DIR348" s="1658"/>
      <c r="DIS348" s="1658"/>
      <c r="DIT348" s="1658"/>
      <c r="DIU348" s="1658"/>
      <c r="DIV348" s="1658"/>
      <c r="DIW348" s="1658"/>
      <c r="DIX348" s="1658"/>
      <c r="DIY348" s="1658"/>
      <c r="DIZ348" s="1658"/>
      <c r="DJA348" s="1658"/>
      <c r="DJB348" s="1658"/>
      <c r="DJC348" s="1658"/>
      <c r="DJD348" s="1658"/>
      <c r="DJE348" s="1658"/>
      <c r="DJF348" s="1658"/>
      <c r="DJG348" s="1658"/>
      <c r="DJH348" s="1658"/>
      <c r="DJI348" s="1658"/>
      <c r="DJJ348" s="1658"/>
      <c r="DJK348" s="1658"/>
      <c r="DJL348" s="1658"/>
      <c r="DJM348" s="1658"/>
      <c r="DJN348" s="1658"/>
      <c r="DJO348" s="1658"/>
      <c r="DJP348" s="1658"/>
      <c r="DJQ348" s="1658"/>
      <c r="DJR348" s="1658"/>
      <c r="DJS348" s="1658"/>
      <c r="DJT348" s="1658"/>
      <c r="DJU348" s="1658"/>
      <c r="DJV348" s="1658"/>
      <c r="DJW348" s="1658"/>
      <c r="DJX348" s="1658"/>
      <c r="DJY348" s="1658"/>
      <c r="DJZ348" s="1658"/>
      <c r="DKA348" s="1658"/>
      <c r="DKB348" s="1658"/>
      <c r="DKC348" s="1658"/>
      <c r="DKD348" s="1658"/>
      <c r="DKE348" s="1658"/>
      <c r="DKF348" s="1658"/>
      <c r="DKG348" s="1658"/>
      <c r="DKH348" s="1658"/>
      <c r="DKI348" s="1658"/>
      <c r="DKJ348" s="1658"/>
      <c r="DKK348" s="1658"/>
      <c r="DKL348" s="1658"/>
      <c r="DKM348" s="1658"/>
      <c r="DKN348" s="1658"/>
      <c r="DKO348" s="1658"/>
      <c r="DKP348" s="1658"/>
      <c r="DKQ348" s="1658"/>
      <c r="DKR348" s="1658"/>
      <c r="DKS348" s="1658"/>
      <c r="DKT348" s="1658"/>
      <c r="DKU348" s="1658"/>
      <c r="DKV348" s="1658"/>
      <c r="DKW348" s="1658"/>
      <c r="DKX348" s="1658"/>
      <c r="DKY348" s="1658"/>
      <c r="DKZ348" s="1658"/>
      <c r="DLA348" s="1658"/>
      <c r="DLB348" s="1658"/>
      <c r="DLC348" s="1658"/>
      <c r="DLD348" s="1658"/>
      <c r="DLE348" s="1658"/>
      <c r="DLF348" s="1658"/>
      <c r="DLG348" s="1658"/>
      <c r="DLH348" s="1658"/>
      <c r="DLI348" s="1658"/>
      <c r="DLJ348" s="1658"/>
      <c r="DLK348" s="1658"/>
      <c r="DLL348" s="1658"/>
      <c r="DLM348" s="1658"/>
      <c r="DLN348" s="1658"/>
      <c r="DLO348" s="1658"/>
      <c r="DLP348" s="1658"/>
      <c r="DLQ348" s="1658"/>
      <c r="DLR348" s="1658"/>
      <c r="DLS348" s="1658"/>
      <c r="DLT348" s="1658"/>
      <c r="DLU348" s="1658"/>
      <c r="DLV348" s="1658"/>
      <c r="DLW348" s="1658"/>
      <c r="DLX348" s="1658"/>
      <c r="DLY348" s="1658"/>
      <c r="DLZ348" s="1658"/>
      <c r="DMA348" s="1658"/>
      <c r="DMB348" s="1658"/>
      <c r="DMC348" s="1658"/>
      <c r="DMD348" s="1658"/>
      <c r="DME348" s="1658"/>
      <c r="DMF348" s="1658"/>
      <c r="DMG348" s="1658"/>
      <c r="DMH348" s="1658"/>
      <c r="DMI348" s="1658"/>
      <c r="DMJ348" s="1658"/>
      <c r="DMK348" s="1658"/>
      <c r="DML348" s="1658"/>
      <c r="DMM348" s="1658"/>
      <c r="DMN348" s="1658"/>
      <c r="DMO348" s="1658"/>
      <c r="DMP348" s="1658"/>
      <c r="DMQ348" s="1658"/>
      <c r="DMR348" s="1658"/>
      <c r="DMS348" s="1658"/>
      <c r="DMT348" s="1658"/>
      <c r="DMU348" s="1658"/>
      <c r="DMV348" s="1658"/>
      <c r="DMW348" s="1658"/>
      <c r="DMX348" s="1658"/>
      <c r="DMY348" s="1658"/>
      <c r="DMZ348" s="1658"/>
      <c r="DNA348" s="1658"/>
      <c r="DNB348" s="1658"/>
      <c r="DNC348" s="1658"/>
      <c r="DND348" s="1658"/>
      <c r="DNE348" s="1658"/>
      <c r="DNF348" s="1658"/>
      <c r="DNG348" s="1658"/>
      <c r="DNH348" s="1658"/>
      <c r="DNI348" s="1658"/>
      <c r="DNJ348" s="1658"/>
      <c r="DNK348" s="1658"/>
      <c r="DNL348" s="1658"/>
      <c r="DNM348" s="1658"/>
      <c r="DNN348" s="1658"/>
      <c r="DNO348" s="1658"/>
      <c r="DNP348" s="1658"/>
      <c r="DNQ348" s="1658"/>
      <c r="DNR348" s="1658"/>
      <c r="DNS348" s="1658"/>
      <c r="DNT348" s="1658"/>
      <c r="DNU348" s="1658"/>
      <c r="DNV348" s="1658"/>
      <c r="DNW348" s="1658"/>
      <c r="DNX348" s="1658"/>
      <c r="DNY348" s="1658"/>
      <c r="DNZ348" s="1658"/>
      <c r="DOA348" s="1658"/>
      <c r="DOB348" s="1658"/>
      <c r="DOC348" s="1658"/>
      <c r="DOD348" s="1658"/>
      <c r="DOE348" s="1658"/>
      <c r="DOF348" s="1658"/>
      <c r="DOG348" s="1658"/>
      <c r="DOH348" s="1658"/>
      <c r="DOI348" s="1658"/>
      <c r="DOJ348" s="1658"/>
      <c r="DOK348" s="1658"/>
      <c r="DOL348" s="1658"/>
      <c r="DOM348" s="1658"/>
      <c r="DON348" s="1658"/>
      <c r="DOO348" s="1658"/>
      <c r="DOP348" s="1658"/>
      <c r="DOQ348" s="1658"/>
      <c r="DOR348" s="1658"/>
      <c r="DOS348" s="1658"/>
      <c r="DOT348" s="1658"/>
      <c r="DOU348" s="1658"/>
      <c r="DOV348" s="1658"/>
      <c r="DOW348" s="1658"/>
      <c r="DOX348" s="1658"/>
      <c r="DOY348" s="1658"/>
      <c r="DOZ348" s="1658"/>
      <c r="DPA348" s="1658"/>
      <c r="DPB348" s="1658"/>
      <c r="DPC348" s="1658"/>
      <c r="DPD348" s="1658"/>
      <c r="DPE348" s="1658"/>
      <c r="DPF348" s="1658"/>
      <c r="DPG348" s="1658"/>
      <c r="DPH348" s="1658"/>
      <c r="DPI348" s="1658"/>
      <c r="DPJ348" s="1658"/>
      <c r="DPK348" s="1658"/>
      <c r="DPL348" s="1658"/>
      <c r="DPM348" s="1658"/>
      <c r="DPN348" s="1658"/>
      <c r="DPO348" s="1658"/>
      <c r="DPP348" s="1658"/>
      <c r="DPQ348" s="1658"/>
      <c r="DPR348" s="1658"/>
      <c r="DPS348" s="1658"/>
      <c r="DPT348" s="1658"/>
      <c r="DPU348" s="1658"/>
      <c r="DPV348" s="1658"/>
      <c r="DPW348" s="1658"/>
      <c r="DPX348" s="1658"/>
      <c r="DPY348" s="1658"/>
      <c r="DPZ348" s="1658"/>
      <c r="DQA348" s="1658"/>
      <c r="DQB348" s="1658"/>
      <c r="DQC348" s="1658"/>
      <c r="DQD348" s="1658"/>
      <c r="DQE348" s="1658"/>
      <c r="DQF348" s="1658"/>
      <c r="DQG348" s="1658"/>
      <c r="DQH348" s="1658"/>
      <c r="DQI348" s="1658"/>
      <c r="DQJ348" s="1658"/>
      <c r="DQK348" s="1658"/>
      <c r="DQL348" s="1658"/>
      <c r="DQM348" s="1658"/>
      <c r="DQN348" s="1658"/>
      <c r="DQO348" s="1658"/>
      <c r="DQP348" s="1658"/>
      <c r="DQQ348" s="1658"/>
      <c r="DQR348" s="1658"/>
      <c r="DQS348" s="1658"/>
      <c r="DQT348" s="1658"/>
      <c r="DQU348" s="1658"/>
      <c r="DQV348" s="1658"/>
      <c r="DQW348" s="1658"/>
      <c r="DQX348" s="1658"/>
      <c r="DQY348" s="1658"/>
      <c r="DQZ348" s="1658"/>
      <c r="DRA348" s="1658"/>
      <c r="DRB348" s="1658"/>
      <c r="DRC348" s="1658"/>
      <c r="DRD348" s="1658"/>
      <c r="DRE348" s="1658"/>
      <c r="DRF348" s="1658"/>
      <c r="DRG348" s="1658"/>
      <c r="DRH348" s="1658"/>
      <c r="DRI348" s="1658"/>
      <c r="DRJ348" s="1658"/>
      <c r="DRK348" s="1658"/>
      <c r="DRL348" s="1658"/>
      <c r="DRM348" s="1658"/>
      <c r="DRN348" s="1658"/>
      <c r="DRO348" s="1658"/>
      <c r="DRP348" s="1658"/>
      <c r="DRQ348" s="1658"/>
      <c r="DRR348" s="1658"/>
      <c r="DRS348" s="1658"/>
      <c r="DRT348" s="1658"/>
      <c r="DRU348" s="1658"/>
      <c r="DRV348" s="1658"/>
      <c r="DRW348" s="1658"/>
      <c r="DRX348" s="1658"/>
      <c r="DRY348" s="1658"/>
      <c r="DRZ348" s="1658"/>
      <c r="DSA348" s="1658"/>
      <c r="DSB348" s="1658"/>
      <c r="DSC348" s="1658"/>
      <c r="DSD348" s="1658"/>
      <c r="DSE348" s="1658"/>
      <c r="DSF348" s="1658"/>
      <c r="DSG348" s="1658"/>
      <c r="DSH348" s="1658"/>
      <c r="DSI348" s="1658"/>
      <c r="DSJ348" s="1658"/>
      <c r="DSK348" s="1658"/>
      <c r="DSL348" s="1658"/>
      <c r="DSM348" s="1658"/>
      <c r="DSN348" s="1658"/>
      <c r="DSO348" s="1658"/>
      <c r="DSP348" s="1658"/>
      <c r="DSQ348" s="1658"/>
      <c r="DSR348" s="1658"/>
      <c r="DSS348" s="1658"/>
      <c r="DST348" s="1658"/>
      <c r="DSU348" s="1658"/>
      <c r="DSV348" s="1658"/>
      <c r="DSW348" s="1658"/>
      <c r="DSX348" s="1658"/>
      <c r="DSY348" s="1658"/>
      <c r="DSZ348" s="1658"/>
      <c r="DTA348" s="1658"/>
      <c r="DTB348" s="1658"/>
      <c r="DTC348" s="1658"/>
      <c r="DTD348" s="1658"/>
      <c r="DTE348" s="1658"/>
      <c r="DTF348" s="1658"/>
      <c r="DTG348" s="1658"/>
      <c r="DTH348" s="1658"/>
      <c r="DTI348" s="1658"/>
      <c r="DTJ348" s="1658"/>
      <c r="DTK348" s="1658"/>
      <c r="DTL348" s="1658"/>
      <c r="DTM348" s="1658"/>
      <c r="DTN348" s="1658"/>
      <c r="DTO348" s="1658"/>
      <c r="DTP348" s="1658"/>
      <c r="DTQ348" s="1658"/>
      <c r="DTR348" s="1658"/>
      <c r="DTS348" s="1658"/>
      <c r="DTT348" s="1658"/>
      <c r="DTU348" s="1658"/>
      <c r="DTV348" s="1658"/>
      <c r="DTW348" s="1658"/>
      <c r="DTX348" s="1658"/>
      <c r="DTY348" s="1658"/>
      <c r="DTZ348" s="1658"/>
      <c r="DUA348" s="1658"/>
      <c r="DUB348" s="1658"/>
      <c r="DUC348" s="1658"/>
      <c r="DUD348" s="1658"/>
      <c r="DUE348" s="1658"/>
      <c r="DUF348" s="1658"/>
      <c r="DUG348" s="1658"/>
      <c r="DUH348" s="1658"/>
      <c r="DUI348" s="1658"/>
      <c r="DUJ348" s="1658"/>
      <c r="DUK348" s="1658"/>
      <c r="DUL348" s="1658"/>
      <c r="DUM348" s="1658"/>
      <c r="DUN348" s="1658"/>
      <c r="DUO348" s="1658"/>
      <c r="DUP348" s="1658"/>
      <c r="DUQ348" s="1658"/>
      <c r="DUR348" s="1658"/>
      <c r="DUS348" s="1658"/>
      <c r="DUT348" s="1658"/>
      <c r="DUU348" s="1658"/>
      <c r="DUV348" s="1658"/>
      <c r="DUW348" s="1658"/>
      <c r="DUX348" s="1658"/>
      <c r="DUY348" s="1658"/>
      <c r="DUZ348" s="1658"/>
      <c r="DVA348" s="1658"/>
      <c r="DVB348" s="1658"/>
      <c r="DVC348" s="1658"/>
      <c r="DVD348" s="1658"/>
      <c r="DVE348" s="1658"/>
      <c r="DVF348" s="1658"/>
      <c r="DVG348" s="1658"/>
      <c r="DVH348" s="1658"/>
      <c r="DVI348" s="1658"/>
      <c r="DVJ348" s="1658"/>
      <c r="DVK348" s="1658"/>
      <c r="DVL348" s="1658"/>
      <c r="DVM348" s="1658"/>
      <c r="DVN348" s="1658"/>
      <c r="DVO348" s="1658"/>
      <c r="DVP348" s="1658"/>
      <c r="DVQ348" s="1658"/>
      <c r="DVR348" s="1658"/>
      <c r="DVS348" s="1658"/>
      <c r="DVT348" s="1658"/>
      <c r="DVU348" s="1658"/>
      <c r="DVV348" s="1658"/>
      <c r="DVW348" s="1658"/>
      <c r="DVX348" s="1658"/>
      <c r="DVY348" s="1658"/>
      <c r="DVZ348" s="1658"/>
      <c r="DWA348" s="1658"/>
      <c r="DWB348" s="1658"/>
      <c r="DWC348" s="1658"/>
      <c r="DWD348" s="1658"/>
      <c r="DWE348" s="1658"/>
      <c r="DWF348" s="1658"/>
      <c r="DWG348" s="1658"/>
      <c r="DWH348" s="1658"/>
      <c r="DWI348" s="1658"/>
      <c r="DWJ348" s="1658"/>
      <c r="DWK348" s="1658"/>
      <c r="DWL348" s="1658"/>
      <c r="DWM348" s="1658"/>
      <c r="DWN348" s="1658"/>
      <c r="DWO348" s="1658"/>
      <c r="DWP348" s="1658"/>
      <c r="DWQ348" s="1658"/>
      <c r="DWR348" s="1658"/>
      <c r="DWS348" s="1658"/>
      <c r="DWT348" s="1658"/>
      <c r="DWU348" s="1658"/>
      <c r="DWV348" s="1658"/>
      <c r="DWW348" s="1658"/>
      <c r="DWX348" s="1658"/>
      <c r="DWY348" s="1658"/>
      <c r="DWZ348" s="1658"/>
      <c r="DXA348" s="1658"/>
      <c r="DXB348" s="1658"/>
      <c r="DXC348" s="1658"/>
      <c r="DXD348" s="1658"/>
      <c r="DXE348" s="1658"/>
      <c r="DXF348" s="1658"/>
      <c r="DXG348" s="1658"/>
      <c r="DXH348" s="1658"/>
      <c r="DXI348" s="1658"/>
      <c r="DXJ348" s="1658"/>
      <c r="DXK348" s="1658"/>
      <c r="DXL348" s="1658"/>
      <c r="DXM348" s="1658"/>
      <c r="DXN348" s="1658"/>
      <c r="DXO348" s="1658"/>
      <c r="DXP348" s="1658"/>
      <c r="DXQ348" s="1658"/>
      <c r="DXR348" s="1658"/>
      <c r="DXS348" s="1658"/>
      <c r="DXT348" s="1658"/>
      <c r="DXU348" s="1658"/>
      <c r="DXV348" s="1658"/>
      <c r="DXW348" s="1658"/>
      <c r="DXX348" s="1658"/>
      <c r="DXY348" s="1658"/>
      <c r="DXZ348" s="1658"/>
      <c r="DYA348" s="1658"/>
      <c r="DYB348" s="1658"/>
      <c r="DYC348" s="1658"/>
      <c r="DYD348" s="1658"/>
      <c r="DYE348" s="1658"/>
      <c r="DYF348" s="1658"/>
      <c r="DYG348" s="1658"/>
      <c r="DYH348" s="1658"/>
      <c r="DYI348" s="1658"/>
      <c r="DYJ348" s="1658"/>
      <c r="DYK348" s="1658"/>
      <c r="DYL348" s="1658"/>
      <c r="DYM348" s="1658"/>
      <c r="DYN348" s="1658"/>
      <c r="DYO348" s="1658"/>
      <c r="DYP348" s="1658"/>
      <c r="DYQ348" s="1658"/>
      <c r="DYR348" s="1658"/>
      <c r="DYS348" s="1658"/>
      <c r="DYT348" s="1658"/>
      <c r="DYU348" s="1658"/>
      <c r="DYV348" s="1658"/>
      <c r="DYW348" s="1658"/>
      <c r="DYX348" s="1658"/>
      <c r="DYY348" s="1658"/>
      <c r="DYZ348" s="1658"/>
      <c r="DZA348" s="1658"/>
      <c r="DZB348" s="1658"/>
      <c r="DZC348" s="1658"/>
      <c r="DZD348" s="1658"/>
      <c r="DZE348" s="1658"/>
      <c r="DZF348" s="1658"/>
      <c r="DZG348" s="1658"/>
      <c r="DZH348" s="1658"/>
      <c r="DZI348" s="1658"/>
      <c r="DZJ348" s="1658"/>
      <c r="DZK348" s="1658"/>
      <c r="DZL348" s="1658"/>
      <c r="DZM348" s="1658"/>
      <c r="DZN348" s="1658"/>
      <c r="DZO348" s="1658"/>
      <c r="DZP348" s="1658"/>
      <c r="DZQ348" s="1658"/>
      <c r="DZR348" s="1658"/>
      <c r="DZS348" s="1658"/>
      <c r="DZT348" s="1658"/>
      <c r="DZU348" s="1658"/>
      <c r="DZV348" s="1658"/>
      <c r="DZW348" s="1658"/>
      <c r="DZX348" s="1658"/>
      <c r="DZY348" s="1658"/>
      <c r="DZZ348" s="1658"/>
      <c r="EAA348" s="1658"/>
      <c r="EAB348" s="1658"/>
      <c r="EAC348" s="1658"/>
      <c r="EAD348" s="1658"/>
      <c r="EAE348" s="1658"/>
      <c r="EAF348" s="1658"/>
      <c r="EAG348" s="1658"/>
      <c r="EAH348" s="1658"/>
      <c r="EAI348" s="1658"/>
      <c r="EAJ348" s="1658"/>
      <c r="EAK348" s="1658"/>
      <c r="EAL348" s="1658"/>
      <c r="EAM348" s="1658"/>
      <c r="EAN348" s="1658"/>
      <c r="EAO348" s="1658"/>
      <c r="EAP348" s="1658"/>
      <c r="EAQ348" s="1658"/>
      <c r="EAR348" s="1658"/>
      <c r="EAS348" s="1658"/>
      <c r="EAT348" s="1658"/>
      <c r="EAU348" s="1658"/>
      <c r="EAV348" s="1658"/>
      <c r="EAW348" s="1658"/>
      <c r="EAX348" s="1658"/>
      <c r="EAY348" s="1658"/>
      <c r="EAZ348" s="1658"/>
      <c r="EBA348" s="1658"/>
      <c r="EBB348" s="1658"/>
      <c r="EBC348" s="1658"/>
      <c r="EBD348" s="1658"/>
      <c r="EBE348" s="1658"/>
      <c r="EBF348" s="1658"/>
      <c r="EBG348" s="1658"/>
      <c r="EBH348" s="1658"/>
      <c r="EBI348" s="1658"/>
      <c r="EBJ348" s="1658"/>
      <c r="EBK348" s="1658"/>
      <c r="EBL348" s="1658"/>
      <c r="EBM348" s="1658"/>
      <c r="EBN348" s="1658"/>
      <c r="EBO348" s="1658"/>
      <c r="EBP348" s="1658"/>
      <c r="EBQ348" s="1658"/>
      <c r="EBR348" s="1658"/>
      <c r="EBS348" s="1658"/>
      <c r="EBT348" s="1658"/>
      <c r="EBU348" s="1658"/>
      <c r="EBV348" s="1658"/>
      <c r="EBW348" s="1658"/>
      <c r="EBX348" s="1658"/>
      <c r="EBY348" s="1658"/>
      <c r="EBZ348" s="1658"/>
      <c r="ECA348" s="1658"/>
      <c r="ECB348" s="1658"/>
      <c r="ECC348" s="1658"/>
      <c r="ECD348" s="1658"/>
      <c r="ECE348" s="1658"/>
      <c r="ECF348" s="1658"/>
      <c r="ECG348" s="1658"/>
      <c r="ECH348" s="1658"/>
      <c r="ECI348" s="1658"/>
      <c r="ECJ348" s="1658"/>
      <c r="ECK348" s="1658"/>
      <c r="ECL348" s="1658"/>
      <c r="ECM348" s="1658"/>
      <c r="ECN348" s="1658"/>
      <c r="ECO348" s="1658"/>
      <c r="ECP348" s="1658"/>
      <c r="ECQ348" s="1658"/>
      <c r="ECR348" s="1658"/>
      <c r="ECS348" s="1658"/>
      <c r="ECT348" s="1658"/>
      <c r="ECU348" s="1658"/>
      <c r="ECV348" s="1658"/>
      <c r="ECW348" s="1658"/>
      <c r="ECX348" s="1658"/>
      <c r="ECY348" s="1658"/>
      <c r="ECZ348" s="1658"/>
      <c r="EDA348" s="1658"/>
      <c r="EDB348" s="1658"/>
      <c r="EDC348" s="1658"/>
      <c r="EDD348" s="1658"/>
      <c r="EDE348" s="1658"/>
      <c r="EDF348" s="1658"/>
      <c r="EDG348" s="1658"/>
      <c r="EDH348" s="1658"/>
      <c r="EDI348" s="1658"/>
      <c r="EDJ348" s="1658"/>
      <c r="EDK348" s="1658"/>
      <c r="EDL348" s="1658"/>
      <c r="EDM348" s="1658"/>
      <c r="EDN348" s="1658"/>
      <c r="EDO348" s="1658"/>
      <c r="EDP348" s="1658"/>
      <c r="EDQ348" s="1658"/>
      <c r="EDR348" s="1658"/>
      <c r="EDS348" s="1658"/>
      <c r="EDT348" s="1658"/>
      <c r="EDU348" s="1658"/>
      <c r="EDV348" s="1658"/>
      <c r="EDW348" s="1658"/>
      <c r="EDX348" s="1658"/>
      <c r="EDY348" s="1658"/>
      <c r="EDZ348" s="1658"/>
      <c r="EEA348" s="1658"/>
      <c r="EEB348" s="1658"/>
      <c r="EEC348" s="1658"/>
      <c r="EED348" s="1658"/>
      <c r="EEE348" s="1658"/>
      <c r="EEF348" s="1658"/>
      <c r="EEG348" s="1658"/>
      <c r="EEH348" s="1658"/>
      <c r="EEI348" s="1658"/>
      <c r="EEJ348" s="1658"/>
      <c r="EEK348" s="1658"/>
      <c r="EEL348" s="1658"/>
      <c r="EEM348" s="1658"/>
      <c r="EEN348" s="1658"/>
      <c r="EEO348" s="1658"/>
      <c r="EEP348" s="1658"/>
      <c r="EEQ348" s="1658"/>
      <c r="EER348" s="1658"/>
      <c r="EES348" s="1658"/>
      <c r="EET348" s="1658"/>
      <c r="EEU348" s="1658"/>
      <c r="EEV348" s="1658"/>
      <c r="EEW348" s="1658"/>
      <c r="EEX348" s="1658"/>
      <c r="EEY348" s="1658"/>
      <c r="EEZ348" s="1658"/>
      <c r="EFA348" s="1658"/>
      <c r="EFB348" s="1658"/>
      <c r="EFC348" s="1658"/>
      <c r="EFD348" s="1658"/>
      <c r="EFE348" s="1658"/>
      <c r="EFF348" s="1658"/>
      <c r="EFG348" s="1658"/>
      <c r="EFH348" s="1658"/>
      <c r="EFI348" s="1658"/>
      <c r="EFJ348" s="1658"/>
      <c r="EFK348" s="1658"/>
      <c r="EFL348" s="1658"/>
      <c r="EFM348" s="1658"/>
      <c r="EFN348" s="1658"/>
      <c r="EFO348" s="1658"/>
      <c r="EFP348" s="1658"/>
      <c r="EFQ348" s="1658"/>
      <c r="EFR348" s="1658"/>
      <c r="EFS348" s="1658"/>
      <c r="EFT348" s="1658"/>
      <c r="EFU348" s="1658"/>
      <c r="EFV348" s="1658"/>
      <c r="EFW348" s="1658"/>
      <c r="EFX348" s="1658"/>
      <c r="EFY348" s="1658"/>
      <c r="EFZ348" s="1658"/>
      <c r="EGA348" s="1658"/>
      <c r="EGB348" s="1658"/>
      <c r="EGC348" s="1658"/>
      <c r="EGD348" s="1658"/>
      <c r="EGE348" s="1658"/>
      <c r="EGF348" s="1658"/>
      <c r="EGG348" s="1658"/>
      <c r="EGH348" s="1658"/>
      <c r="EGI348" s="1658"/>
      <c r="EGJ348" s="1658"/>
      <c r="EGK348" s="1658"/>
      <c r="EGL348" s="1658"/>
      <c r="EGM348" s="1658"/>
      <c r="EGN348" s="1658"/>
      <c r="EGO348" s="1658"/>
      <c r="EGP348" s="1658"/>
      <c r="EGQ348" s="1658"/>
      <c r="EGR348" s="1658"/>
      <c r="EGS348" s="1658"/>
      <c r="EGT348" s="1658"/>
      <c r="EGU348" s="1658"/>
      <c r="EGV348" s="1658"/>
      <c r="EGW348" s="1658"/>
      <c r="EGX348" s="1658"/>
      <c r="EGY348" s="1658"/>
      <c r="EGZ348" s="1658"/>
      <c r="EHA348" s="1658"/>
      <c r="EHB348" s="1658"/>
      <c r="EHC348" s="1658"/>
      <c r="EHD348" s="1658"/>
      <c r="EHE348" s="1658"/>
      <c r="EHF348" s="1658"/>
      <c r="EHG348" s="1658"/>
      <c r="EHH348" s="1658"/>
      <c r="EHI348" s="1658"/>
      <c r="EHJ348" s="1658"/>
      <c r="EHK348" s="1658"/>
      <c r="EHL348" s="1658"/>
      <c r="EHM348" s="1658"/>
      <c r="EHN348" s="1658"/>
      <c r="EHO348" s="1658"/>
      <c r="EHP348" s="1658"/>
      <c r="EHQ348" s="1658"/>
      <c r="EHR348" s="1658"/>
      <c r="EHS348" s="1658"/>
      <c r="EHT348" s="1658"/>
      <c r="EHU348" s="1658"/>
      <c r="EHV348" s="1658"/>
      <c r="EHW348" s="1658"/>
      <c r="EHX348" s="1658"/>
      <c r="EHY348" s="1658"/>
      <c r="EHZ348" s="1658"/>
      <c r="EIA348" s="1658"/>
      <c r="EIB348" s="1658"/>
      <c r="EIC348" s="1658"/>
      <c r="EID348" s="1658"/>
      <c r="EIE348" s="1658"/>
      <c r="EIF348" s="1658"/>
      <c r="EIG348" s="1658"/>
      <c r="EIH348" s="1658"/>
      <c r="EII348" s="1658"/>
      <c r="EIJ348" s="1658"/>
      <c r="EIK348" s="1658"/>
      <c r="EIL348" s="1658"/>
      <c r="EIM348" s="1658"/>
      <c r="EIN348" s="1658"/>
      <c r="EIO348" s="1658"/>
      <c r="EIP348" s="1658"/>
      <c r="EIQ348" s="1658"/>
      <c r="EIR348" s="1658"/>
      <c r="EIS348" s="1658"/>
      <c r="EIT348" s="1658"/>
      <c r="EIU348" s="1658"/>
      <c r="EIV348" s="1658"/>
      <c r="EIW348" s="1658"/>
      <c r="EIX348" s="1658"/>
      <c r="EIY348" s="1658"/>
      <c r="EIZ348" s="1658"/>
      <c r="EJA348" s="1658"/>
      <c r="EJB348" s="1658"/>
      <c r="EJC348" s="1658"/>
      <c r="EJD348" s="1658"/>
      <c r="EJE348" s="1658"/>
      <c r="EJF348" s="1658"/>
      <c r="EJG348" s="1658"/>
      <c r="EJH348" s="1658"/>
      <c r="EJI348" s="1658"/>
      <c r="EJJ348" s="1658"/>
      <c r="EJK348" s="1658"/>
      <c r="EJL348" s="1658"/>
      <c r="EJM348" s="1658"/>
      <c r="EJN348" s="1658"/>
      <c r="EJO348" s="1658"/>
      <c r="EJP348" s="1658"/>
      <c r="EJQ348" s="1658"/>
      <c r="EJR348" s="1658"/>
      <c r="EJS348" s="1658"/>
      <c r="EJT348" s="1658"/>
      <c r="EJU348" s="1658"/>
      <c r="EJV348" s="1658"/>
      <c r="EJW348" s="1658"/>
      <c r="EJX348" s="1658"/>
      <c r="EJY348" s="1658"/>
      <c r="EJZ348" s="1658"/>
      <c r="EKA348" s="1658"/>
      <c r="EKB348" s="1658"/>
      <c r="EKC348" s="1658"/>
      <c r="EKD348" s="1658"/>
      <c r="EKE348" s="1658"/>
      <c r="EKF348" s="1658"/>
      <c r="EKG348" s="1658"/>
      <c r="EKH348" s="1658"/>
      <c r="EKI348" s="1658"/>
      <c r="EKJ348" s="1658"/>
      <c r="EKK348" s="1658"/>
      <c r="EKL348" s="1658"/>
      <c r="EKM348" s="1658"/>
      <c r="EKN348" s="1658"/>
      <c r="EKO348" s="1658"/>
      <c r="EKP348" s="1658"/>
      <c r="EKQ348" s="1658"/>
      <c r="EKR348" s="1658"/>
      <c r="EKS348" s="1658"/>
      <c r="EKT348" s="1658"/>
      <c r="EKU348" s="1658"/>
      <c r="EKV348" s="1658"/>
      <c r="EKW348" s="1658"/>
      <c r="EKX348" s="1658"/>
      <c r="EKY348" s="1658"/>
      <c r="EKZ348" s="1658"/>
      <c r="ELA348" s="1658"/>
      <c r="ELB348" s="1658"/>
      <c r="ELC348" s="1658"/>
      <c r="ELD348" s="1658"/>
      <c r="ELE348" s="1658"/>
      <c r="ELF348" s="1658"/>
      <c r="ELG348" s="1658"/>
      <c r="ELH348" s="1658"/>
      <c r="ELI348" s="1658"/>
      <c r="ELJ348" s="1658"/>
      <c r="ELK348" s="1658"/>
      <c r="ELL348" s="1658"/>
      <c r="ELM348" s="1658"/>
      <c r="ELN348" s="1658"/>
      <c r="ELO348" s="1658"/>
      <c r="ELP348" s="1658"/>
      <c r="ELQ348" s="1658"/>
      <c r="ELR348" s="1658"/>
      <c r="ELS348" s="1658"/>
      <c r="ELT348" s="1658"/>
      <c r="ELU348" s="1658"/>
      <c r="ELV348" s="1658"/>
      <c r="ELW348" s="1658"/>
      <c r="ELX348" s="1658"/>
      <c r="ELY348" s="1658"/>
      <c r="ELZ348" s="1658"/>
      <c r="EMA348" s="1658"/>
      <c r="EMB348" s="1658"/>
      <c r="EMC348" s="1658"/>
      <c r="EMD348" s="1658"/>
      <c r="EME348" s="1658"/>
      <c r="EMF348" s="1658"/>
      <c r="EMG348" s="1658"/>
      <c r="EMH348" s="1658"/>
      <c r="EMI348" s="1658"/>
      <c r="EMJ348" s="1658"/>
      <c r="EMK348" s="1658"/>
      <c r="EML348" s="1658"/>
      <c r="EMM348" s="1658"/>
      <c r="EMN348" s="1658"/>
      <c r="EMO348" s="1658"/>
      <c r="EMP348" s="1658"/>
      <c r="EMQ348" s="1658"/>
      <c r="EMR348" s="1658"/>
      <c r="EMS348" s="1658"/>
      <c r="EMT348" s="1658"/>
      <c r="EMU348" s="1658"/>
      <c r="EMV348" s="1658"/>
      <c r="EMW348" s="1658"/>
      <c r="EMX348" s="1658"/>
      <c r="EMY348" s="1658"/>
      <c r="EMZ348" s="1658"/>
      <c r="ENA348" s="1658"/>
      <c r="ENB348" s="1658"/>
      <c r="ENC348" s="1658"/>
      <c r="END348" s="1658"/>
      <c r="ENE348" s="1658"/>
      <c r="ENF348" s="1658"/>
      <c r="ENG348" s="1658"/>
      <c r="ENH348" s="1658"/>
      <c r="ENI348" s="1658"/>
      <c r="ENJ348" s="1658"/>
      <c r="ENK348" s="1658"/>
      <c r="ENL348" s="1658"/>
      <c r="ENM348" s="1658"/>
      <c r="ENN348" s="1658"/>
      <c r="ENO348" s="1658"/>
      <c r="ENP348" s="1658"/>
      <c r="ENQ348" s="1658"/>
      <c r="ENR348" s="1658"/>
      <c r="ENS348" s="1658"/>
      <c r="ENT348" s="1658"/>
      <c r="ENU348" s="1658"/>
      <c r="ENV348" s="1658"/>
      <c r="ENW348" s="1658"/>
      <c r="ENX348" s="1658"/>
      <c r="ENY348" s="1658"/>
      <c r="ENZ348" s="1658"/>
      <c r="EOA348" s="1658"/>
      <c r="EOB348" s="1658"/>
      <c r="EOC348" s="1658"/>
      <c r="EOD348" s="1658"/>
      <c r="EOE348" s="1658"/>
      <c r="EOF348" s="1658"/>
      <c r="EOG348" s="1658"/>
      <c r="EOH348" s="1658"/>
      <c r="EOI348" s="1658"/>
      <c r="EOJ348" s="1658"/>
      <c r="EOK348" s="1658"/>
      <c r="EOL348" s="1658"/>
      <c r="EOM348" s="1658"/>
      <c r="EON348" s="1658"/>
      <c r="EOO348" s="1658"/>
      <c r="EOP348" s="1658"/>
      <c r="EOQ348" s="1658"/>
      <c r="EOR348" s="1658"/>
      <c r="EOS348" s="1658"/>
      <c r="EOT348" s="1658"/>
      <c r="EOU348" s="1658"/>
      <c r="EOV348" s="1658"/>
      <c r="EOW348" s="1658"/>
      <c r="EOX348" s="1658"/>
      <c r="EOY348" s="1658"/>
      <c r="EOZ348" s="1658"/>
      <c r="EPA348" s="1658"/>
      <c r="EPB348" s="1658"/>
      <c r="EPC348" s="1658"/>
      <c r="EPD348" s="1658"/>
      <c r="EPE348" s="1658"/>
      <c r="EPF348" s="1658"/>
      <c r="EPG348" s="1658"/>
      <c r="EPH348" s="1658"/>
      <c r="EPI348" s="1658"/>
      <c r="EPJ348" s="1658"/>
      <c r="EPK348" s="1658"/>
      <c r="EPL348" s="1658"/>
      <c r="EPM348" s="1658"/>
      <c r="EPN348" s="1658"/>
      <c r="EPO348" s="1658"/>
      <c r="EPP348" s="1658"/>
      <c r="EPQ348" s="1658"/>
      <c r="EPR348" s="1658"/>
      <c r="EPS348" s="1658"/>
      <c r="EPT348" s="1658"/>
      <c r="EPU348" s="1658"/>
      <c r="EPV348" s="1658"/>
      <c r="EPW348" s="1658"/>
      <c r="EPX348" s="1658"/>
      <c r="EPY348" s="1658"/>
      <c r="EPZ348" s="1658"/>
      <c r="EQA348" s="1658"/>
      <c r="EQB348" s="1658"/>
      <c r="EQC348" s="1658"/>
      <c r="EQD348" s="1658"/>
      <c r="EQE348" s="1658"/>
      <c r="EQF348" s="1658"/>
      <c r="EQG348" s="1658"/>
      <c r="EQH348" s="1658"/>
      <c r="EQI348" s="1658"/>
      <c r="EQJ348" s="1658"/>
      <c r="EQK348" s="1658"/>
      <c r="EQL348" s="1658"/>
      <c r="EQM348" s="1658"/>
      <c r="EQN348" s="1658"/>
      <c r="EQO348" s="1658"/>
      <c r="EQP348" s="1658"/>
      <c r="EQQ348" s="1658"/>
      <c r="EQR348" s="1658"/>
      <c r="EQS348" s="1658"/>
      <c r="EQT348" s="1658"/>
      <c r="EQU348" s="1658"/>
      <c r="EQV348" s="1658"/>
      <c r="EQW348" s="1658"/>
      <c r="EQX348" s="1658"/>
      <c r="EQY348" s="1658"/>
      <c r="EQZ348" s="1658"/>
      <c r="ERA348" s="1658"/>
      <c r="ERB348" s="1658"/>
      <c r="ERC348" s="1658"/>
      <c r="ERD348" s="1658"/>
      <c r="ERE348" s="1658"/>
      <c r="ERF348" s="1658"/>
      <c r="ERG348" s="1658"/>
      <c r="ERH348" s="1658"/>
      <c r="ERI348" s="1658"/>
      <c r="ERJ348" s="1658"/>
      <c r="ERK348" s="1658"/>
      <c r="ERL348" s="1658"/>
      <c r="ERM348" s="1658"/>
      <c r="ERN348" s="1658"/>
      <c r="ERO348" s="1658"/>
      <c r="ERP348" s="1658"/>
      <c r="ERQ348" s="1658"/>
      <c r="ERR348" s="1658"/>
      <c r="ERS348" s="1658"/>
      <c r="ERT348" s="1658"/>
      <c r="ERU348" s="1658"/>
      <c r="ERV348" s="1658"/>
      <c r="ERW348" s="1658"/>
      <c r="ERX348" s="1658"/>
      <c r="ERY348" s="1658"/>
      <c r="ERZ348" s="1658"/>
      <c r="ESA348" s="1658"/>
      <c r="ESB348" s="1658"/>
      <c r="ESC348" s="1658"/>
      <c r="ESD348" s="1658"/>
      <c r="ESE348" s="1658"/>
      <c r="ESF348" s="1658"/>
      <c r="ESG348" s="1658"/>
      <c r="ESH348" s="1658"/>
      <c r="ESI348" s="1658"/>
      <c r="ESJ348" s="1658"/>
      <c r="ESK348" s="1658"/>
      <c r="ESL348" s="1658"/>
      <c r="ESM348" s="1658"/>
      <c r="ESN348" s="1658"/>
      <c r="ESO348" s="1658"/>
      <c r="ESP348" s="1658"/>
      <c r="ESQ348" s="1658"/>
      <c r="ESR348" s="1658"/>
      <c r="ESS348" s="1658"/>
      <c r="EST348" s="1658"/>
      <c r="ESU348" s="1658"/>
      <c r="ESV348" s="1658"/>
      <c r="ESW348" s="1658"/>
      <c r="ESX348" s="1658"/>
      <c r="ESY348" s="1658"/>
      <c r="ESZ348" s="1658"/>
      <c r="ETA348" s="1658"/>
      <c r="ETB348" s="1658"/>
      <c r="ETC348" s="1658"/>
      <c r="ETD348" s="1658"/>
      <c r="ETE348" s="1658"/>
      <c r="ETF348" s="1658"/>
      <c r="ETG348" s="1658"/>
      <c r="ETH348" s="1658"/>
      <c r="ETI348" s="1658"/>
      <c r="ETJ348" s="1658"/>
      <c r="ETK348" s="1658"/>
      <c r="ETL348" s="1658"/>
      <c r="ETM348" s="1658"/>
      <c r="ETN348" s="1658"/>
      <c r="ETO348" s="1658"/>
      <c r="ETP348" s="1658"/>
      <c r="ETQ348" s="1658"/>
      <c r="ETR348" s="1658"/>
      <c r="ETS348" s="1658"/>
      <c r="ETT348" s="1658"/>
      <c r="ETU348" s="1658"/>
      <c r="ETV348" s="1658"/>
      <c r="ETW348" s="1658"/>
      <c r="ETX348" s="1658"/>
      <c r="ETY348" s="1658"/>
      <c r="ETZ348" s="1658"/>
      <c r="EUA348" s="1658"/>
      <c r="EUB348" s="1658"/>
      <c r="EUC348" s="1658"/>
      <c r="EUD348" s="1658"/>
      <c r="EUE348" s="1658"/>
      <c r="EUF348" s="1658"/>
      <c r="EUG348" s="1658"/>
      <c r="EUH348" s="1658"/>
      <c r="EUI348" s="1658"/>
      <c r="EUJ348" s="1658"/>
      <c r="EUK348" s="1658"/>
      <c r="EUL348" s="1658"/>
      <c r="EUM348" s="1658"/>
      <c r="EUN348" s="1658"/>
      <c r="EUO348" s="1658"/>
      <c r="EUP348" s="1658"/>
      <c r="EUQ348" s="1658"/>
      <c r="EUR348" s="1658"/>
      <c r="EUS348" s="1658"/>
      <c r="EUT348" s="1658"/>
      <c r="EUU348" s="1658"/>
      <c r="EUV348" s="1658"/>
      <c r="EUW348" s="1658"/>
      <c r="EUX348" s="1658"/>
      <c r="EUY348" s="1658"/>
      <c r="EUZ348" s="1658"/>
      <c r="EVA348" s="1658"/>
      <c r="EVB348" s="1658"/>
      <c r="EVC348" s="1658"/>
      <c r="EVD348" s="1658"/>
      <c r="EVE348" s="1658"/>
      <c r="EVF348" s="1658"/>
      <c r="EVG348" s="1658"/>
      <c r="EVH348" s="1658"/>
      <c r="EVI348" s="1658"/>
      <c r="EVJ348" s="1658"/>
      <c r="EVK348" s="1658"/>
      <c r="EVL348" s="1658"/>
      <c r="EVM348" s="1658"/>
      <c r="EVN348" s="1658"/>
      <c r="EVO348" s="1658"/>
      <c r="EVP348" s="1658"/>
      <c r="EVQ348" s="1658"/>
      <c r="EVR348" s="1658"/>
      <c r="EVS348" s="1658"/>
      <c r="EVT348" s="1658"/>
      <c r="EVU348" s="1658"/>
      <c r="EVV348" s="1658"/>
      <c r="EVW348" s="1658"/>
      <c r="EVX348" s="1658"/>
      <c r="EVY348" s="1658"/>
      <c r="EVZ348" s="1658"/>
      <c r="EWA348" s="1658"/>
      <c r="EWB348" s="1658"/>
      <c r="EWC348" s="1658"/>
      <c r="EWD348" s="1658"/>
      <c r="EWE348" s="1658"/>
      <c r="EWF348" s="1658"/>
      <c r="EWG348" s="1658"/>
      <c r="EWH348" s="1658"/>
      <c r="EWI348" s="1658"/>
      <c r="EWJ348" s="1658"/>
      <c r="EWK348" s="1658"/>
      <c r="EWL348" s="1658"/>
      <c r="EWM348" s="1658"/>
      <c r="EWN348" s="1658"/>
      <c r="EWO348" s="1658"/>
      <c r="EWP348" s="1658"/>
      <c r="EWQ348" s="1658"/>
      <c r="EWR348" s="1658"/>
      <c r="EWS348" s="1658"/>
      <c r="EWT348" s="1658"/>
      <c r="EWU348" s="1658"/>
      <c r="EWV348" s="1658"/>
      <c r="EWW348" s="1658"/>
      <c r="EWX348" s="1658"/>
      <c r="EWY348" s="1658"/>
      <c r="EWZ348" s="1658"/>
      <c r="EXA348" s="1658"/>
      <c r="EXB348" s="1658"/>
      <c r="EXC348" s="1658"/>
      <c r="EXD348" s="1658"/>
      <c r="EXE348" s="1658"/>
      <c r="EXF348" s="1658"/>
      <c r="EXG348" s="1658"/>
      <c r="EXH348" s="1658"/>
      <c r="EXI348" s="1658"/>
      <c r="EXJ348" s="1658"/>
      <c r="EXK348" s="1658"/>
      <c r="EXL348" s="1658"/>
      <c r="EXM348" s="1658"/>
      <c r="EXN348" s="1658"/>
      <c r="EXO348" s="1658"/>
      <c r="EXP348" s="1658"/>
      <c r="EXQ348" s="1658"/>
      <c r="EXR348" s="1658"/>
      <c r="EXS348" s="1658"/>
      <c r="EXT348" s="1658"/>
      <c r="EXU348" s="1658"/>
      <c r="EXV348" s="1658"/>
      <c r="EXW348" s="1658"/>
      <c r="EXX348" s="1658"/>
      <c r="EXY348" s="1658"/>
      <c r="EXZ348" s="1658"/>
      <c r="EYA348" s="1658"/>
      <c r="EYB348" s="1658"/>
      <c r="EYC348" s="1658"/>
      <c r="EYD348" s="1658"/>
      <c r="EYE348" s="1658"/>
      <c r="EYF348" s="1658"/>
      <c r="EYG348" s="1658"/>
      <c r="EYH348" s="1658"/>
      <c r="EYI348" s="1658"/>
      <c r="EYJ348" s="1658"/>
      <c r="EYK348" s="1658"/>
      <c r="EYL348" s="1658"/>
      <c r="EYM348" s="1658"/>
      <c r="EYN348" s="1658"/>
      <c r="EYO348" s="1658"/>
      <c r="EYP348" s="1658"/>
      <c r="EYQ348" s="1658"/>
      <c r="EYR348" s="1658"/>
      <c r="EYS348" s="1658"/>
      <c r="EYT348" s="1658"/>
      <c r="EYU348" s="1658"/>
      <c r="EYV348" s="1658"/>
      <c r="EYW348" s="1658"/>
      <c r="EYX348" s="1658"/>
      <c r="EYY348" s="1658"/>
      <c r="EYZ348" s="1658"/>
      <c r="EZA348" s="1658"/>
      <c r="EZB348" s="1658"/>
      <c r="EZC348" s="1658"/>
      <c r="EZD348" s="1658"/>
      <c r="EZE348" s="1658"/>
      <c r="EZF348" s="1658"/>
      <c r="EZG348" s="1658"/>
      <c r="EZH348" s="1658"/>
      <c r="EZI348" s="1658"/>
      <c r="EZJ348" s="1658"/>
      <c r="EZK348" s="1658"/>
      <c r="EZL348" s="1658"/>
      <c r="EZM348" s="1658"/>
      <c r="EZN348" s="1658"/>
      <c r="EZO348" s="1658"/>
      <c r="EZP348" s="1658"/>
      <c r="EZQ348" s="1658"/>
      <c r="EZR348" s="1658"/>
      <c r="EZS348" s="1658"/>
      <c r="EZT348" s="1658"/>
      <c r="EZU348" s="1658"/>
      <c r="EZV348" s="1658"/>
      <c r="EZW348" s="1658"/>
      <c r="EZX348" s="1658"/>
      <c r="EZY348" s="1658"/>
      <c r="EZZ348" s="1658"/>
      <c r="FAA348" s="1658"/>
      <c r="FAB348" s="1658"/>
      <c r="FAC348" s="1658"/>
      <c r="FAD348" s="1658"/>
      <c r="FAE348" s="1658"/>
      <c r="FAF348" s="1658"/>
      <c r="FAG348" s="1658"/>
      <c r="FAH348" s="1658"/>
      <c r="FAI348" s="1658"/>
      <c r="FAJ348" s="1658"/>
      <c r="FAK348" s="1658"/>
      <c r="FAL348" s="1658"/>
      <c r="FAM348" s="1658"/>
      <c r="FAN348" s="1658"/>
      <c r="FAO348" s="1658"/>
      <c r="FAP348" s="1658"/>
      <c r="FAQ348" s="1658"/>
      <c r="FAR348" s="1658"/>
      <c r="FAS348" s="1658"/>
      <c r="FAT348" s="1658"/>
      <c r="FAU348" s="1658"/>
      <c r="FAV348" s="1658"/>
      <c r="FAW348" s="1658"/>
      <c r="FAX348" s="1658"/>
      <c r="FAY348" s="1658"/>
      <c r="FAZ348" s="1658"/>
      <c r="FBA348" s="1658"/>
      <c r="FBB348" s="1658"/>
      <c r="FBC348" s="1658"/>
      <c r="FBD348" s="1658"/>
      <c r="FBE348" s="1658"/>
      <c r="FBF348" s="1658"/>
      <c r="FBG348" s="1658"/>
      <c r="FBH348" s="1658"/>
      <c r="FBI348" s="1658"/>
      <c r="FBJ348" s="1658"/>
      <c r="FBK348" s="1658"/>
      <c r="FBL348" s="1658"/>
      <c r="FBM348" s="1658"/>
      <c r="FBN348" s="1658"/>
      <c r="FBO348" s="1658"/>
      <c r="FBP348" s="1658"/>
      <c r="FBQ348" s="1658"/>
      <c r="FBR348" s="1658"/>
      <c r="FBS348" s="1658"/>
      <c r="FBT348" s="1658"/>
      <c r="FBU348" s="1658"/>
      <c r="FBV348" s="1658"/>
      <c r="FBW348" s="1658"/>
      <c r="FBX348" s="1658"/>
      <c r="FBY348" s="1658"/>
      <c r="FBZ348" s="1658"/>
      <c r="FCA348" s="1658"/>
      <c r="FCB348" s="1658"/>
      <c r="FCC348" s="1658"/>
      <c r="FCD348" s="1658"/>
      <c r="FCE348" s="1658"/>
      <c r="FCF348" s="1658"/>
      <c r="FCG348" s="1658"/>
      <c r="FCH348" s="1658"/>
      <c r="FCI348" s="1658"/>
      <c r="FCJ348" s="1658"/>
      <c r="FCK348" s="1658"/>
      <c r="FCL348" s="1658"/>
      <c r="FCM348" s="1658"/>
      <c r="FCN348" s="1658"/>
      <c r="FCO348" s="1658"/>
      <c r="FCP348" s="1658"/>
      <c r="FCQ348" s="1658"/>
      <c r="FCR348" s="1658"/>
      <c r="FCS348" s="1658"/>
      <c r="FCT348" s="1658"/>
      <c r="FCU348" s="1658"/>
      <c r="FCV348" s="1658"/>
      <c r="FCW348" s="1658"/>
      <c r="FCX348" s="1658"/>
      <c r="FCY348" s="1658"/>
      <c r="FCZ348" s="1658"/>
      <c r="FDA348" s="1658"/>
      <c r="FDB348" s="1658"/>
      <c r="FDC348" s="1658"/>
      <c r="FDD348" s="1658"/>
      <c r="FDE348" s="1658"/>
      <c r="FDF348" s="1658"/>
      <c r="FDG348" s="1658"/>
      <c r="FDH348" s="1658"/>
      <c r="FDI348" s="1658"/>
      <c r="FDJ348" s="1658"/>
      <c r="FDK348" s="1658"/>
      <c r="FDL348" s="1658"/>
      <c r="FDM348" s="1658"/>
      <c r="FDN348" s="1658"/>
      <c r="FDO348" s="1658"/>
      <c r="FDP348" s="1658"/>
      <c r="FDQ348" s="1658"/>
      <c r="FDR348" s="1658"/>
      <c r="FDS348" s="1658"/>
      <c r="FDT348" s="1658"/>
      <c r="FDU348" s="1658"/>
      <c r="FDV348" s="1658"/>
      <c r="FDW348" s="1658"/>
      <c r="FDX348" s="1658"/>
      <c r="FDY348" s="1658"/>
      <c r="FDZ348" s="1658"/>
      <c r="FEA348" s="1658"/>
      <c r="FEB348" s="1658"/>
      <c r="FEC348" s="1658"/>
      <c r="FED348" s="1658"/>
      <c r="FEE348" s="1658"/>
      <c r="FEF348" s="1658"/>
      <c r="FEG348" s="1658"/>
      <c r="FEH348" s="1658"/>
      <c r="FEI348" s="1658"/>
      <c r="FEJ348" s="1658"/>
      <c r="FEK348" s="1658"/>
      <c r="FEL348" s="1658"/>
      <c r="FEM348" s="1658"/>
      <c r="FEN348" s="1658"/>
      <c r="FEO348" s="1658"/>
      <c r="FEP348" s="1658"/>
      <c r="FEQ348" s="1658"/>
      <c r="FER348" s="1658"/>
      <c r="FES348" s="1658"/>
      <c r="FET348" s="1658"/>
      <c r="FEU348" s="1658"/>
      <c r="FEV348" s="1658"/>
      <c r="FEW348" s="1658"/>
      <c r="FEX348" s="1658"/>
      <c r="FEY348" s="1658"/>
      <c r="FEZ348" s="1658"/>
      <c r="FFA348" s="1658"/>
      <c r="FFB348" s="1658"/>
      <c r="FFC348" s="1658"/>
      <c r="FFD348" s="1658"/>
      <c r="FFE348" s="1658"/>
      <c r="FFF348" s="1658"/>
      <c r="FFG348" s="1658"/>
      <c r="FFH348" s="1658"/>
      <c r="FFI348" s="1658"/>
      <c r="FFJ348" s="1658"/>
      <c r="FFK348" s="1658"/>
      <c r="FFL348" s="1658"/>
      <c r="FFM348" s="1658"/>
      <c r="FFN348" s="1658"/>
      <c r="FFO348" s="1658"/>
      <c r="FFP348" s="1658"/>
      <c r="FFQ348" s="1658"/>
      <c r="FFR348" s="1658"/>
      <c r="FFS348" s="1658"/>
      <c r="FFT348" s="1658"/>
      <c r="FFU348" s="1658"/>
      <c r="FFV348" s="1658"/>
      <c r="FFW348" s="1658"/>
      <c r="FFX348" s="1658"/>
      <c r="FFY348" s="1658"/>
      <c r="FFZ348" s="1658"/>
      <c r="FGA348" s="1658"/>
      <c r="FGB348" s="1658"/>
      <c r="FGC348" s="1658"/>
      <c r="FGD348" s="1658"/>
      <c r="FGE348" s="1658"/>
      <c r="FGF348" s="1658"/>
      <c r="FGG348" s="1658"/>
      <c r="FGH348" s="1658"/>
      <c r="FGI348" s="1658"/>
      <c r="FGJ348" s="1658"/>
      <c r="FGK348" s="1658"/>
      <c r="FGL348" s="1658"/>
      <c r="FGM348" s="1658"/>
      <c r="FGN348" s="1658"/>
      <c r="FGO348" s="1658"/>
      <c r="FGP348" s="1658"/>
      <c r="FGQ348" s="1658"/>
      <c r="FGR348" s="1658"/>
      <c r="FGS348" s="1658"/>
      <c r="FGT348" s="1658"/>
      <c r="FGU348" s="1658"/>
      <c r="FGV348" s="1658"/>
      <c r="FGW348" s="1658"/>
      <c r="FGX348" s="1658"/>
      <c r="FGY348" s="1658"/>
      <c r="FGZ348" s="1658"/>
      <c r="FHA348" s="1658"/>
      <c r="FHB348" s="1658"/>
      <c r="FHC348" s="1658"/>
      <c r="FHD348" s="1658"/>
      <c r="FHE348" s="1658"/>
      <c r="FHF348" s="1658"/>
      <c r="FHG348" s="1658"/>
      <c r="FHH348" s="1658"/>
      <c r="FHI348" s="1658"/>
      <c r="FHJ348" s="1658"/>
      <c r="FHK348" s="1658"/>
      <c r="FHL348" s="1658"/>
      <c r="FHM348" s="1658"/>
      <c r="FHN348" s="1658"/>
      <c r="FHO348" s="1658"/>
      <c r="FHP348" s="1658"/>
      <c r="FHQ348" s="1658"/>
      <c r="FHR348" s="1658"/>
      <c r="FHS348" s="1658"/>
      <c r="FHT348" s="1658"/>
      <c r="FHU348" s="1658"/>
      <c r="FHV348" s="1658"/>
      <c r="FHW348" s="1658"/>
      <c r="FHX348" s="1658"/>
      <c r="FHY348" s="1658"/>
      <c r="FHZ348" s="1658"/>
      <c r="FIA348" s="1658"/>
      <c r="FIB348" s="1658"/>
      <c r="FIC348" s="1658"/>
      <c r="FID348" s="1658"/>
      <c r="FIE348" s="1658"/>
      <c r="FIF348" s="1658"/>
      <c r="FIG348" s="1658"/>
      <c r="FIH348" s="1658"/>
      <c r="FII348" s="1658"/>
      <c r="FIJ348" s="1658"/>
      <c r="FIK348" s="1658"/>
      <c r="FIL348" s="1658"/>
      <c r="FIM348" s="1658"/>
      <c r="FIN348" s="1658"/>
      <c r="FIO348" s="1658"/>
      <c r="FIP348" s="1658"/>
      <c r="FIQ348" s="1658"/>
      <c r="FIR348" s="1658"/>
      <c r="FIS348" s="1658"/>
      <c r="FIT348" s="1658"/>
      <c r="FIU348" s="1658"/>
      <c r="FIV348" s="1658"/>
      <c r="FIW348" s="1658"/>
      <c r="FIX348" s="1658"/>
      <c r="FIY348" s="1658"/>
      <c r="FIZ348" s="1658"/>
      <c r="FJA348" s="1658"/>
      <c r="FJB348" s="1658"/>
      <c r="FJC348" s="1658"/>
      <c r="FJD348" s="1658"/>
      <c r="FJE348" s="1658"/>
      <c r="FJF348" s="1658"/>
      <c r="FJG348" s="1658"/>
      <c r="FJH348" s="1658"/>
      <c r="FJI348" s="1658"/>
      <c r="FJJ348" s="1658"/>
      <c r="FJK348" s="1658"/>
      <c r="FJL348" s="1658"/>
      <c r="FJM348" s="1658"/>
      <c r="FJN348" s="1658"/>
      <c r="FJO348" s="1658"/>
      <c r="FJP348" s="1658"/>
      <c r="FJQ348" s="1658"/>
      <c r="FJR348" s="1658"/>
      <c r="FJS348" s="1658"/>
      <c r="FJT348" s="1658"/>
      <c r="FJU348" s="1658"/>
      <c r="FJV348" s="1658"/>
      <c r="FJW348" s="1658"/>
      <c r="FJX348" s="1658"/>
      <c r="FJY348" s="1658"/>
      <c r="FJZ348" s="1658"/>
      <c r="FKA348" s="1658"/>
      <c r="FKB348" s="1658"/>
      <c r="FKC348" s="1658"/>
      <c r="FKD348" s="1658"/>
      <c r="FKE348" s="1658"/>
      <c r="FKF348" s="1658"/>
      <c r="FKG348" s="1658"/>
      <c r="FKH348" s="1658"/>
      <c r="FKI348" s="1658"/>
      <c r="FKJ348" s="1658"/>
      <c r="FKK348" s="1658"/>
      <c r="FKL348" s="1658"/>
      <c r="FKM348" s="1658"/>
      <c r="FKN348" s="1658"/>
      <c r="FKO348" s="1658"/>
      <c r="FKP348" s="1658"/>
      <c r="FKQ348" s="1658"/>
      <c r="FKR348" s="1658"/>
      <c r="FKS348" s="1658"/>
      <c r="FKT348" s="1658"/>
      <c r="FKU348" s="1658"/>
      <c r="FKV348" s="1658"/>
      <c r="FKW348" s="1658"/>
      <c r="FKX348" s="1658"/>
      <c r="FKY348" s="1658"/>
      <c r="FKZ348" s="1658"/>
      <c r="FLA348" s="1658"/>
      <c r="FLB348" s="1658"/>
      <c r="FLC348" s="1658"/>
      <c r="FLD348" s="1658"/>
      <c r="FLE348" s="1658"/>
      <c r="FLF348" s="1658"/>
      <c r="FLG348" s="1658"/>
      <c r="FLH348" s="1658"/>
      <c r="FLI348" s="1658"/>
      <c r="FLJ348" s="1658"/>
      <c r="FLK348" s="1658"/>
      <c r="FLL348" s="1658"/>
      <c r="FLM348" s="1658"/>
      <c r="FLN348" s="1658"/>
      <c r="FLO348" s="1658"/>
      <c r="FLP348" s="1658"/>
      <c r="FLQ348" s="1658"/>
      <c r="FLR348" s="1658"/>
      <c r="FLS348" s="1658"/>
      <c r="FLT348" s="1658"/>
      <c r="FLU348" s="1658"/>
      <c r="FLV348" s="1658"/>
      <c r="FLW348" s="1658"/>
      <c r="FLX348" s="1658"/>
      <c r="FLY348" s="1658"/>
      <c r="FLZ348" s="1658"/>
      <c r="FMA348" s="1658"/>
      <c r="FMB348" s="1658"/>
      <c r="FMC348" s="1658"/>
      <c r="FMD348" s="1658"/>
      <c r="FME348" s="1658"/>
      <c r="FMF348" s="1658"/>
      <c r="FMG348" s="1658"/>
      <c r="FMH348" s="1658"/>
      <c r="FMI348" s="1658"/>
      <c r="FMJ348" s="1658"/>
      <c r="FMK348" s="1658"/>
      <c r="FML348" s="1658"/>
      <c r="FMM348" s="1658"/>
      <c r="FMN348" s="1658"/>
      <c r="FMO348" s="1658"/>
      <c r="FMP348" s="1658"/>
      <c r="FMQ348" s="1658"/>
      <c r="FMR348" s="1658"/>
      <c r="FMS348" s="1658"/>
      <c r="FMT348" s="1658"/>
      <c r="FMU348" s="1658"/>
      <c r="FMV348" s="1658"/>
      <c r="FMW348" s="1658"/>
      <c r="FMX348" s="1658"/>
      <c r="FMY348" s="1658"/>
      <c r="FMZ348" s="1658"/>
      <c r="FNA348" s="1658"/>
      <c r="FNB348" s="1658"/>
      <c r="FNC348" s="1658"/>
      <c r="FND348" s="1658"/>
      <c r="FNE348" s="1658"/>
      <c r="FNF348" s="1658"/>
      <c r="FNG348" s="1658"/>
      <c r="FNH348" s="1658"/>
      <c r="FNI348" s="1658"/>
      <c r="FNJ348" s="1658"/>
      <c r="FNK348" s="1658"/>
      <c r="FNL348" s="1658"/>
      <c r="FNM348" s="1658"/>
      <c r="FNN348" s="1658"/>
      <c r="FNO348" s="1658"/>
      <c r="FNP348" s="1658"/>
      <c r="FNQ348" s="1658"/>
      <c r="FNR348" s="1658"/>
      <c r="FNS348" s="1658"/>
      <c r="FNT348" s="1658"/>
      <c r="FNU348" s="1658"/>
      <c r="FNV348" s="1658"/>
      <c r="FNW348" s="1658"/>
      <c r="FNX348" s="1658"/>
      <c r="FNY348" s="1658"/>
      <c r="FNZ348" s="1658"/>
      <c r="FOA348" s="1658"/>
      <c r="FOB348" s="1658"/>
      <c r="FOC348" s="1658"/>
      <c r="FOD348" s="1658"/>
      <c r="FOE348" s="1658"/>
      <c r="FOF348" s="1658"/>
      <c r="FOG348" s="1658"/>
      <c r="FOH348" s="1658"/>
      <c r="FOI348" s="1658"/>
      <c r="FOJ348" s="1658"/>
      <c r="FOK348" s="1658"/>
      <c r="FOL348" s="1658"/>
      <c r="FOM348" s="1658"/>
      <c r="FON348" s="1658"/>
      <c r="FOO348" s="1658"/>
      <c r="FOP348" s="1658"/>
      <c r="FOQ348" s="1658"/>
      <c r="FOR348" s="1658"/>
      <c r="FOS348" s="1658"/>
      <c r="FOT348" s="1658"/>
      <c r="FOU348" s="1658"/>
      <c r="FOV348" s="1658"/>
      <c r="FOW348" s="1658"/>
      <c r="FOX348" s="1658"/>
      <c r="FOY348" s="1658"/>
      <c r="FOZ348" s="1658"/>
      <c r="FPA348" s="1658"/>
      <c r="FPB348" s="1658"/>
      <c r="FPC348" s="1658"/>
      <c r="FPD348" s="1658"/>
      <c r="FPE348" s="1658"/>
      <c r="FPF348" s="1658"/>
      <c r="FPG348" s="1658"/>
      <c r="FPH348" s="1658"/>
      <c r="FPI348" s="1658"/>
      <c r="FPJ348" s="1658"/>
      <c r="FPK348" s="1658"/>
      <c r="FPL348" s="1658"/>
      <c r="FPM348" s="1658"/>
      <c r="FPN348" s="1658"/>
      <c r="FPO348" s="1658"/>
      <c r="FPP348" s="1658"/>
      <c r="FPQ348" s="1658"/>
      <c r="FPR348" s="1658"/>
      <c r="FPS348" s="1658"/>
      <c r="FPT348" s="1658"/>
      <c r="FPU348" s="1658"/>
      <c r="FPV348" s="1658"/>
      <c r="FPW348" s="1658"/>
      <c r="FPX348" s="1658"/>
      <c r="FPY348" s="1658"/>
      <c r="FPZ348" s="1658"/>
      <c r="FQA348" s="1658"/>
      <c r="FQB348" s="1658"/>
      <c r="FQC348" s="1658"/>
      <c r="FQD348" s="1658"/>
      <c r="FQE348" s="1658"/>
      <c r="FQF348" s="1658"/>
      <c r="FQG348" s="1658"/>
      <c r="FQH348" s="1658"/>
      <c r="FQI348" s="1658"/>
      <c r="FQJ348" s="1658"/>
      <c r="FQK348" s="1658"/>
      <c r="FQL348" s="1658"/>
      <c r="FQM348" s="1658"/>
      <c r="FQN348" s="1658"/>
      <c r="FQO348" s="1658"/>
      <c r="FQP348" s="1658"/>
      <c r="FQQ348" s="1658"/>
      <c r="FQR348" s="1658"/>
      <c r="FQS348" s="1658"/>
      <c r="FQT348" s="1658"/>
      <c r="FQU348" s="1658"/>
      <c r="FQV348" s="1658"/>
      <c r="FQW348" s="1658"/>
      <c r="FQX348" s="1658"/>
      <c r="FQY348" s="1658"/>
      <c r="FQZ348" s="1658"/>
      <c r="FRA348" s="1658"/>
      <c r="FRB348" s="1658"/>
      <c r="FRC348" s="1658"/>
      <c r="FRD348" s="1658"/>
      <c r="FRE348" s="1658"/>
      <c r="FRF348" s="1658"/>
      <c r="FRG348" s="1658"/>
      <c r="FRH348" s="1658"/>
      <c r="FRI348" s="1658"/>
      <c r="FRJ348" s="1658"/>
      <c r="FRK348" s="1658"/>
      <c r="FRL348" s="1658"/>
      <c r="FRM348" s="1658"/>
      <c r="FRN348" s="1658"/>
      <c r="FRO348" s="1658"/>
      <c r="FRP348" s="1658"/>
      <c r="FRQ348" s="1658"/>
      <c r="FRR348" s="1658"/>
      <c r="FRS348" s="1658"/>
      <c r="FRT348" s="1658"/>
      <c r="FRU348" s="1658"/>
      <c r="FRV348" s="1658"/>
      <c r="FRW348" s="1658"/>
      <c r="FRX348" s="1658"/>
      <c r="FRY348" s="1658"/>
      <c r="FRZ348" s="1658"/>
      <c r="FSA348" s="1658"/>
      <c r="FSB348" s="1658"/>
      <c r="FSC348" s="1658"/>
      <c r="FSD348" s="1658"/>
      <c r="FSE348" s="1658"/>
      <c r="FSF348" s="1658"/>
      <c r="FSG348" s="1658"/>
      <c r="FSH348" s="1658"/>
      <c r="FSI348" s="1658"/>
      <c r="FSJ348" s="1658"/>
      <c r="FSK348" s="1658"/>
      <c r="FSL348" s="1658"/>
      <c r="FSM348" s="1658"/>
      <c r="FSN348" s="1658"/>
      <c r="FSO348" s="1658"/>
      <c r="FSP348" s="1658"/>
      <c r="FSQ348" s="1658"/>
      <c r="FSR348" s="1658"/>
      <c r="FSS348" s="1658"/>
      <c r="FST348" s="1658"/>
      <c r="FSU348" s="1658"/>
      <c r="FSV348" s="1658"/>
      <c r="FSW348" s="1658"/>
      <c r="FSX348" s="1658"/>
      <c r="FSY348" s="1658"/>
      <c r="FSZ348" s="1658"/>
      <c r="FTA348" s="1658"/>
      <c r="FTB348" s="1658"/>
      <c r="FTC348" s="1658"/>
      <c r="FTD348" s="1658"/>
      <c r="FTE348" s="1658"/>
      <c r="FTF348" s="1658"/>
      <c r="FTG348" s="1658"/>
      <c r="FTH348" s="1658"/>
      <c r="FTI348" s="1658"/>
      <c r="FTJ348" s="1658"/>
      <c r="FTK348" s="1658"/>
      <c r="FTL348" s="1658"/>
      <c r="FTM348" s="1658"/>
      <c r="FTN348" s="1658"/>
      <c r="FTO348" s="1658"/>
      <c r="FTP348" s="1658"/>
      <c r="FTQ348" s="1658"/>
      <c r="FTR348" s="1658"/>
      <c r="FTS348" s="1658"/>
      <c r="FTT348" s="1658"/>
      <c r="FTU348" s="1658"/>
      <c r="FTV348" s="1658"/>
      <c r="FTW348" s="1658"/>
      <c r="FTX348" s="1658"/>
      <c r="FTY348" s="1658"/>
      <c r="FTZ348" s="1658"/>
      <c r="FUA348" s="1658"/>
      <c r="FUB348" s="1658"/>
      <c r="FUC348" s="1658"/>
      <c r="FUD348" s="1658"/>
      <c r="FUE348" s="1658"/>
      <c r="FUF348" s="1658"/>
      <c r="FUG348" s="1658"/>
      <c r="FUH348" s="1658"/>
      <c r="FUI348" s="1658"/>
      <c r="FUJ348" s="1658"/>
      <c r="FUK348" s="1658"/>
      <c r="FUL348" s="1658"/>
      <c r="FUM348" s="1658"/>
      <c r="FUN348" s="1658"/>
      <c r="FUO348" s="1658"/>
      <c r="FUP348" s="1658"/>
      <c r="FUQ348" s="1658"/>
      <c r="FUR348" s="1658"/>
      <c r="FUS348" s="1658"/>
      <c r="FUT348" s="1658"/>
      <c r="FUU348" s="1658"/>
      <c r="FUV348" s="1658"/>
      <c r="FUW348" s="1658"/>
      <c r="FUX348" s="1658"/>
      <c r="FUY348" s="1658"/>
      <c r="FUZ348" s="1658"/>
      <c r="FVA348" s="1658"/>
      <c r="FVB348" s="1658"/>
      <c r="FVC348" s="1658"/>
      <c r="FVD348" s="1658"/>
      <c r="FVE348" s="1658"/>
      <c r="FVF348" s="1658"/>
      <c r="FVG348" s="1658"/>
      <c r="FVH348" s="1658"/>
      <c r="FVI348" s="1658"/>
      <c r="FVJ348" s="1658"/>
      <c r="FVK348" s="1658"/>
      <c r="FVL348" s="1658"/>
      <c r="FVM348" s="1658"/>
      <c r="FVN348" s="1658"/>
      <c r="FVO348" s="1658"/>
      <c r="FVP348" s="1658"/>
      <c r="FVQ348" s="1658"/>
      <c r="FVR348" s="1658"/>
      <c r="FVS348" s="1658"/>
      <c r="FVT348" s="1658"/>
      <c r="FVU348" s="1658"/>
      <c r="FVV348" s="1658"/>
      <c r="FVW348" s="1658"/>
      <c r="FVX348" s="1658"/>
      <c r="FVY348" s="1658"/>
      <c r="FVZ348" s="1658"/>
      <c r="FWA348" s="1658"/>
      <c r="FWB348" s="1658"/>
      <c r="FWC348" s="1658"/>
      <c r="FWD348" s="1658"/>
      <c r="FWE348" s="1658"/>
      <c r="FWF348" s="1658"/>
      <c r="FWG348" s="1658"/>
      <c r="FWH348" s="1658"/>
      <c r="FWI348" s="1658"/>
      <c r="FWJ348" s="1658"/>
      <c r="FWK348" s="1658"/>
      <c r="FWL348" s="1658"/>
      <c r="FWM348" s="1658"/>
      <c r="FWN348" s="1658"/>
      <c r="FWO348" s="1658"/>
      <c r="FWP348" s="1658"/>
      <c r="FWQ348" s="1658"/>
      <c r="FWR348" s="1658"/>
      <c r="FWS348" s="1658"/>
      <c r="FWT348" s="1658"/>
      <c r="FWU348" s="1658"/>
      <c r="FWV348" s="1658"/>
      <c r="FWW348" s="1658"/>
      <c r="FWX348" s="1658"/>
      <c r="FWY348" s="1658"/>
      <c r="FWZ348" s="1658"/>
      <c r="FXA348" s="1658"/>
      <c r="FXB348" s="1658"/>
      <c r="FXC348" s="1658"/>
      <c r="FXD348" s="1658"/>
      <c r="FXE348" s="1658"/>
      <c r="FXF348" s="1658"/>
      <c r="FXG348" s="1658"/>
      <c r="FXH348" s="1658"/>
      <c r="FXI348" s="1658"/>
      <c r="FXJ348" s="1658"/>
      <c r="FXK348" s="1658"/>
      <c r="FXL348" s="1658"/>
      <c r="FXM348" s="1658"/>
      <c r="FXN348" s="1658"/>
      <c r="FXO348" s="1658"/>
      <c r="FXP348" s="1658"/>
      <c r="FXQ348" s="1658"/>
      <c r="FXR348" s="1658"/>
      <c r="FXS348" s="1658"/>
      <c r="FXT348" s="1658"/>
      <c r="FXU348" s="1658"/>
      <c r="FXV348" s="1658"/>
      <c r="FXW348" s="1658"/>
      <c r="FXX348" s="1658"/>
      <c r="FXY348" s="1658"/>
      <c r="FXZ348" s="1658"/>
      <c r="FYA348" s="1658"/>
      <c r="FYB348" s="1658"/>
      <c r="FYC348" s="1658"/>
      <c r="FYD348" s="1658"/>
      <c r="FYE348" s="1658"/>
      <c r="FYF348" s="1658"/>
      <c r="FYG348" s="1658"/>
      <c r="FYH348" s="1658"/>
      <c r="FYI348" s="1658"/>
      <c r="FYJ348" s="1658"/>
      <c r="FYK348" s="1658"/>
      <c r="FYL348" s="1658"/>
      <c r="FYM348" s="1658"/>
      <c r="FYN348" s="1658"/>
      <c r="FYO348" s="1658"/>
      <c r="FYP348" s="1658"/>
      <c r="FYQ348" s="1658"/>
      <c r="FYR348" s="1658"/>
      <c r="FYS348" s="1658"/>
      <c r="FYT348" s="1658"/>
      <c r="FYU348" s="1658"/>
      <c r="FYV348" s="1658"/>
      <c r="FYW348" s="1658"/>
      <c r="FYX348" s="1658"/>
      <c r="FYY348" s="1658"/>
      <c r="FYZ348" s="1658"/>
      <c r="FZA348" s="1658"/>
      <c r="FZB348" s="1658"/>
      <c r="FZC348" s="1658"/>
      <c r="FZD348" s="1658"/>
      <c r="FZE348" s="1658"/>
      <c r="FZF348" s="1658"/>
      <c r="FZG348" s="1658"/>
      <c r="FZH348" s="1658"/>
      <c r="FZI348" s="1658"/>
      <c r="FZJ348" s="1658"/>
      <c r="FZK348" s="1658"/>
      <c r="FZL348" s="1658"/>
      <c r="FZM348" s="1658"/>
      <c r="FZN348" s="1658"/>
      <c r="FZO348" s="1658"/>
      <c r="FZP348" s="1658"/>
      <c r="FZQ348" s="1658"/>
      <c r="FZR348" s="1658"/>
      <c r="FZS348" s="1658"/>
      <c r="FZT348" s="1658"/>
      <c r="FZU348" s="1658"/>
      <c r="FZV348" s="1658"/>
      <c r="FZW348" s="1658"/>
      <c r="FZX348" s="1658"/>
      <c r="FZY348" s="1658"/>
      <c r="FZZ348" s="1658"/>
      <c r="GAA348" s="1658"/>
      <c r="GAB348" s="1658"/>
      <c r="GAC348" s="1658"/>
      <c r="GAD348" s="1658"/>
      <c r="GAE348" s="1658"/>
      <c r="GAF348" s="1658"/>
      <c r="GAG348" s="1658"/>
      <c r="GAH348" s="1658"/>
      <c r="GAI348" s="1658"/>
      <c r="GAJ348" s="1658"/>
      <c r="GAK348" s="1658"/>
      <c r="GAL348" s="1658"/>
      <c r="GAM348" s="1658"/>
      <c r="GAN348" s="1658"/>
      <c r="GAO348" s="1658"/>
      <c r="GAP348" s="1658"/>
      <c r="GAQ348" s="1658"/>
      <c r="GAR348" s="1658"/>
      <c r="GAS348" s="1658"/>
      <c r="GAT348" s="1658"/>
      <c r="GAU348" s="1658"/>
      <c r="GAV348" s="1658"/>
      <c r="GAW348" s="1658"/>
      <c r="GAX348" s="1658"/>
      <c r="GAY348" s="1658"/>
      <c r="GAZ348" s="1658"/>
      <c r="GBA348" s="1658"/>
      <c r="GBB348" s="1658"/>
      <c r="GBC348" s="1658"/>
      <c r="GBD348" s="1658"/>
      <c r="GBE348" s="1658"/>
      <c r="GBF348" s="1658"/>
      <c r="GBG348" s="1658"/>
      <c r="GBH348" s="1658"/>
      <c r="GBI348" s="1658"/>
      <c r="GBJ348" s="1658"/>
      <c r="GBK348" s="1658"/>
      <c r="GBL348" s="1658"/>
      <c r="GBM348" s="1658"/>
      <c r="GBN348" s="1658"/>
      <c r="GBO348" s="1658"/>
      <c r="GBP348" s="1658"/>
      <c r="GBQ348" s="1658"/>
      <c r="GBR348" s="1658"/>
      <c r="GBS348" s="1658"/>
      <c r="GBT348" s="1658"/>
      <c r="GBU348" s="1658"/>
      <c r="GBV348" s="1658"/>
      <c r="GBW348" s="1658"/>
      <c r="GBX348" s="1658"/>
      <c r="GBY348" s="1658"/>
      <c r="GBZ348" s="1658"/>
      <c r="GCA348" s="1658"/>
      <c r="GCB348" s="1658"/>
      <c r="GCC348" s="1658"/>
      <c r="GCD348" s="1658"/>
      <c r="GCE348" s="1658"/>
      <c r="GCF348" s="1658"/>
      <c r="GCG348" s="1658"/>
      <c r="GCH348" s="1658"/>
      <c r="GCI348" s="1658"/>
      <c r="GCJ348" s="1658"/>
      <c r="GCK348" s="1658"/>
      <c r="GCL348" s="1658"/>
      <c r="GCM348" s="1658"/>
      <c r="GCN348" s="1658"/>
      <c r="GCO348" s="1658"/>
      <c r="GCP348" s="1658"/>
      <c r="GCQ348" s="1658"/>
      <c r="GCR348" s="1658"/>
      <c r="GCS348" s="1658"/>
      <c r="GCT348" s="1658"/>
      <c r="GCU348" s="1658"/>
      <c r="GCV348" s="1658"/>
      <c r="GCW348" s="1658"/>
      <c r="GCX348" s="1658"/>
      <c r="GCY348" s="1658"/>
      <c r="GCZ348" s="1658"/>
      <c r="GDA348" s="1658"/>
      <c r="GDB348" s="1658"/>
      <c r="GDC348" s="1658"/>
      <c r="GDD348" s="1658"/>
      <c r="GDE348" s="1658"/>
      <c r="GDF348" s="1658"/>
      <c r="GDG348" s="1658"/>
      <c r="GDH348" s="1658"/>
      <c r="GDI348" s="1658"/>
      <c r="GDJ348" s="1658"/>
      <c r="GDK348" s="1658"/>
      <c r="GDL348" s="1658"/>
      <c r="GDM348" s="1658"/>
      <c r="GDN348" s="1658"/>
      <c r="GDO348" s="1658"/>
      <c r="GDP348" s="1658"/>
      <c r="GDQ348" s="1658"/>
      <c r="GDR348" s="1658"/>
      <c r="GDS348" s="1658"/>
      <c r="GDT348" s="1658"/>
      <c r="GDU348" s="1658"/>
      <c r="GDV348" s="1658"/>
      <c r="GDW348" s="1658"/>
      <c r="GDX348" s="1658"/>
      <c r="GDY348" s="1658"/>
      <c r="GDZ348" s="1658"/>
      <c r="GEA348" s="1658"/>
      <c r="GEB348" s="1658"/>
      <c r="GEC348" s="1658"/>
      <c r="GED348" s="1658"/>
      <c r="GEE348" s="1658"/>
      <c r="GEF348" s="1658"/>
      <c r="GEG348" s="1658"/>
      <c r="GEH348" s="1658"/>
      <c r="GEI348" s="1658"/>
      <c r="GEJ348" s="1658"/>
      <c r="GEK348" s="1658"/>
      <c r="GEL348" s="1658"/>
      <c r="GEM348" s="1658"/>
      <c r="GEN348" s="1658"/>
      <c r="GEO348" s="1658"/>
      <c r="GEP348" s="1658"/>
      <c r="GEQ348" s="1658"/>
      <c r="GER348" s="1658"/>
      <c r="GES348" s="1658"/>
      <c r="GET348" s="1658"/>
      <c r="GEU348" s="1658"/>
      <c r="GEV348" s="1658"/>
      <c r="GEW348" s="1658"/>
      <c r="GEX348" s="1658"/>
      <c r="GEY348" s="1658"/>
      <c r="GEZ348" s="1658"/>
      <c r="GFA348" s="1658"/>
      <c r="GFB348" s="1658"/>
      <c r="GFC348" s="1658"/>
      <c r="GFD348" s="1658"/>
      <c r="GFE348" s="1658"/>
      <c r="GFF348" s="1658"/>
      <c r="GFG348" s="1658"/>
      <c r="GFH348" s="1658"/>
      <c r="GFI348" s="1658"/>
      <c r="GFJ348" s="1658"/>
      <c r="GFK348" s="1658"/>
      <c r="GFL348" s="1658"/>
      <c r="GFM348" s="1658"/>
      <c r="GFN348" s="1658"/>
      <c r="GFO348" s="1658"/>
      <c r="GFP348" s="1658"/>
      <c r="GFQ348" s="1658"/>
      <c r="GFR348" s="1658"/>
      <c r="GFS348" s="1658"/>
      <c r="GFT348" s="1658"/>
      <c r="GFU348" s="1658"/>
      <c r="GFV348" s="1658"/>
      <c r="GFW348" s="1658"/>
      <c r="GFX348" s="1658"/>
      <c r="GFY348" s="1658"/>
      <c r="GFZ348" s="1658"/>
      <c r="GGA348" s="1658"/>
      <c r="GGB348" s="1658"/>
      <c r="GGC348" s="1658"/>
      <c r="GGD348" s="1658"/>
      <c r="GGE348" s="1658"/>
      <c r="GGF348" s="1658"/>
      <c r="GGG348" s="1658"/>
      <c r="GGH348" s="1658"/>
      <c r="GGI348" s="1658"/>
      <c r="GGJ348" s="1658"/>
      <c r="GGK348" s="1658"/>
      <c r="GGL348" s="1658"/>
      <c r="GGM348" s="1658"/>
      <c r="GGN348" s="1658"/>
      <c r="GGO348" s="1658"/>
      <c r="GGP348" s="1658"/>
      <c r="GGQ348" s="1658"/>
      <c r="GGR348" s="1658"/>
      <c r="GGS348" s="1658"/>
      <c r="GGT348" s="1658"/>
      <c r="GGU348" s="1658"/>
      <c r="GGV348" s="1658"/>
      <c r="GGW348" s="1658"/>
      <c r="GGX348" s="1658"/>
      <c r="GGY348" s="1658"/>
      <c r="GGZ348" s="1658"/>
      <c r="GHA348" s="1658"/>
      <c r="GHB348" s="1658"/>
      <c r="GHC348" s="1658"/>
      <c r="GHD348" s="1658"/>
      <c r="GHE348" s="1658"/>
      <c r="GHF348" s="1658"/>
      <c r="GHG348" s="1658"/>
      <c r="GHH348" s="1658"/>
      <c r="GHI348" s="1658"/>
      <c r="GHJ348" s="1658"/>
      <c r="GHK348" s="1658"/>
      <c r="GHL348" s="1658"/>
      <c r="GHM348" s="1658"/>
      <c r="GHN348" s="1658"/>
      <c r="GHO348" s="1658"/>
      <c r="GHP348" s="1658"/>
      <c r="GHQ348" s="1658"/>
      <c r="GHR348" s="1658"/>
      <c r="GHS348" s="1658"/>
      <c r="GHT348" s="1658"/>
      <c r="GHU348" s="1658"/>
      <c r="GHV348" s="1658"/>
      <c r="GHW348" s="1658"/>
      <c r="GHX348" s="1658"/>
      <c r="GHY348" s="1658"/>
      <c r="GHZ348" s="1658"/>
      <c r="GIA348" s="1658"/>
      <c r="GIB348" s="1658"/>
      <c r="GIC348" s="1658"/>
      <c r="GID348" s="1658"/>
      <c r="GIE348" s="1658"/>
      <c r="GIF348" s="1658"/>
      <c r="GIG348" s="1658"/>
      <c r="GIH348" s="1658"/>
      <c r="GII348" s="1658"/>
      <c r="GIJ348" s="1658"/>
      <c r="GIK348" s="1658"/>
      <c r="GIL348" s="1658"/>
      <c r="GIM348" s="1658"/>
      <c r="GIN348" s="1658"/>
      <c r="GIO348" s="1658"/>
      <c r="GIP348" s="1658"/>
      <c r="GIQ348" s="1658"/>
      <c r="GIR348" s="1658"/>
      <c r="GIS348" s="1658"/>
      <c r="GIT348" s="1658"/>
      <c r="GIU348" s="1658"/>
      <c r="GIV348" s="1658"/>
      <c r="GIW348" s="1658"/>
      <c r="GIX348" s="1658"/>
      <c r="GIY348" s="1658"/>
      <c r="GIZ348" s="1658"/>
      <c r="GJA348" s="1658"/>
      <c r="GJB348" s="1658"/>
      <c r="GJC348" s="1658"/>
      <c r="GJD348" s="1658"/>
      <c r="GJE348" s="1658"/>
      <c r="GJF348" s="1658"/>
      <c r="GJG348" s="1658"/>
      <c r="GJH348" s="1658"/>
      <c r="GJI348" s="1658"/>
      <c r="GJJ348" s="1658"/>
      <c r="GJK348" s="1658"/>
      <c r="GJL348" s="1658"/>
      <c r="GJM348" s="1658"/>
      <c r="GJN348" s="1658"/>
      <c r="GJO348" s="1658"/>
      <c r="GJP348" s="1658"/>
      <c r="GJQ348" s="1658"/>
      <c r="GJR348" s="1658"/>
      <c r="GJS348" s="1658"/>
      <c r="GJT348" s="1658"/>
      <c r="GJU348" s="1658"/>
      <c r="GJV348" s="1658"/>
      <c r="GJW348" s="1658"/>
      <c r="GJX348" s="1658"/>
      <c r="GJY348" s="1658"/>
      <c r="GJZ348" s="1658"/>
      <c r="GKA348" s="1658"/>
      <c r="GKB348" s="1658"/>
      <c r="GKC348" s="1658"/>
      <c r="GKD348" s="1658"/>
      <c r="GKE348" s="1658"/>
      <c r="GKF348" s="1658"/>
      <c r="GKG348" s="1658"/>
      <c r="GKH348" s="1658"/>
      <c r="GKI348" s="1658"/>
      <c r="GKJ348" s="1658"/>
      <c r="GKK348" s="1658"/>
      <c r="GKL348" s="1658"/>
      <c r="GKM348" s="1658"/>
      <c r="GKN348" s="1658"/>
      <c r="GKO348" s="1658"/>
      <c r="GKP348" s="1658"/>
      <c r="GKQ348" s="1658"/>
      <c r="GKR348" s="1658"/>
      <c r="GKS348" s="1658"/>
      <c r="GKT348" s="1658"/>
      <c r="GKU348" s="1658"/>
      <c r="GKV348" s="1658"/>
      <c r="GKW348" s="1658"/>
      <c r="GKX348" s="1658"/>
      <c r="GKY348" s="1658"/>
      <c r="GKZ348" s="1658"/>
      <c r="GLA348" s="1658"/>
      <c r="GLB348" s="1658"/>
      <c r="GLC348" s="1658"/>
      <c r="GLD348" s="1658"/>
      <c r="GLE348" s="1658"/>
      <c r="GLF348" s="1658"/>
      <c r="GLG348" s="1658"/>
      <c r="GLH348" s="1658"/>
      <c r="GLI348" s="1658"/>
      <c r="GLJ348" s="1658"/>
      <c r="GLK348" s="1658"/>
      <c r="GLL348" s="1658"/>
      <c r="GLM348" s="1658"/>
      <c r="GLN348" s="1658"/>
      <c r="GLO348" s="1658"/>
      <c r="GLP348" s="1658"/>
      <c r="GLQ348" s="1658"/>
      <c r="GLR348" s="1658"/>
      <c r="GLS348" s="1658"/>
      <c r="GLT348" s="1658"/>
      <c r="GLU348" s="1658"/>
      <c r="GLV348" s="1658"/>
      <c r="GLW348" s="1658"/>
      <c r="GLX348" s="1658"/>
      <c r="GLY348" s="1658"/>
      <c r="GLZ348" s="1658"/>
      <c r="GMA348" s="1658"/>
      <c r="GMB348" s="1658"/>
      <c r="GMC348" s="1658"/>
      <c r="GMD348" s="1658"/>
      <c r="GME348" s="1658"/>
      <c r="GMF348" s="1658"/>
      <c r="GMG348" s="1658"/>
      <c r="GMH348" s="1658"/>
      <c r="GMI348" s="1658"/>
      <c r="GMJ348" s="1658"/>
      <c r="GMK348" s="1658"/>
      <c r="GML348" s="1658"/>
      <c r="GMM348" s="1658"/>
      <c r="GMN348" s="1658"/>
      <c r="GMO348" s="1658"/>
      <c r="GMP348" s="1658"/>
      <c r="GMQ348" s="1658"/>
      <c r="GMR348" s="1658"/>
      <c r="GMS348" s="1658"/>
      <c r="GMT348" s="1658"/>
      <c r="GMU348" s="1658"/>
      <c r="GMV348" s="1658"/>
      <c r="GMW348" s="1658"/>
      <c r="GMX348" s="1658"/>
      <c r="GMY348" s="1658"/>
      <c r="GMZ348" s="1658"/>
      <c r="GNA348" s="1658"/>
      <c r="GNB348" s="1658"/>
      <c r="GNC348" s="1658"/>
      <c r="GND348" s="1658"/>
      <c r="GNE348" s="1658"/>
      <c r="GNF348" s="1658"/>
      <c r="GNG348" s="1658"/>
      <c r="GNH348" s="1658"/>
      <c r="GNI348" s="1658"/>
      <c r="GNJ348" s="1658"/>
      <c r="GNK348" s="1658"/>
      <c r="GNL348" s="1658"/>
      <c r="GNM348" s="1658"/>
      <c r="GNN348" s="1658"/>
      <c r="GNO348" s="1658"/>
      <c r="GNP348" s="1658"/>
      <c r="GNQ348" s="1658"/>
      <c r="GNR348" s="1658"/>
      <c r="GNS348" s="1658"/>
      <c r="GNT348" s="1658"/>
      <c r="GNU348" s="1658"/>
      <c r="GNV348" s="1658"/>
      <c r="GNW348" s="1658"/>
      <c r="GNX348" s="1658"/>
      <c r="GNY348" s="1658"/>
      <c r="GNZ348" s="1658"/>
      <c r="GOA348" s="1658"/>
      <c r="GOB348" s="1658"/>
      <c r="GOC348" s="1658"/>
      <c r="GOD348" s="1658"/>
      <c r="GOE348" s="1658"/>
      <c r="GOF348" s="1658"/>
      <c r="GOG348" s="1658"/>
      <c r="GOH348" s="1658"/>
      <c r="GOI348" s="1658"/>
      <c r="GOJ348" s="1658"/>
      <c r="GOK348" s="1658"/>
      <c r="GOL348" s="1658"/>
      <c r="GOM348" s="1658"/>
      <c r="GON348" s="1658"/>
      <c r="GOO348" s="1658"/>
      <c r="GOP348" s="1658"/>
      <c r="GOQ348" s="1658"/>
      <c r="GOR348" s="1658"/>
      <c r="GOS348" s="1658"/>
      <c r="GOT348" s="1658"/>
      <c r="GOU348" s="1658"/>
      <c r="GOV348" s="1658"/>
      <c r="GOW348" s="1658"/>
      <c r="GOX348" s="1658"/>
      <c r="GOY348" s="1658"/>
      <c r="GOZ348" s="1658"/>
      <c r="GPA348" s="1658"/>
      <c r="GPB348" s="1658"/>
      <c r="GPC348" s="1658"/>
      <c r="GPD348" s="1658"/>
      <c r="GPE348" s="1658"/>
      <c r="GPF348" s="1658"/>
      <c r="GPG348" s="1658"/>
      <c r="GPH348" s="1658"/>
      <c r="GPI348" s="1658"/>
      <c r="GPJ348" s="1658"/>
      <c r="GPK348" s="1658"/>
      <c r="GPL348" s="1658"/>
      <c r="GPM348" s="1658"/>
      <c r="GPN348" s="1658"/>
      <c r="GPO348" s="1658"/>
      <c r="GPP348" s="1658"/>
      <c r="GPQ348" s="1658"/>
      <c r="GPR348" s="1658"/>
      <c r="GPS348" s="1658"/>
      <c r="GPT348" s="1658"/>
      <c r="GPU348" s="1658"/>
      <c r="GPV348" s="1658"/>
      <c r="GPW348" s="1658"/>
      <c r="GPX348" s="1658"/>
      <c r="GPY348" s="1658"/>
      <c r="GPZ348" s="1658"/>
      <c r="GQA348" s="1658"/>
      <c r="GQB348" s="1658"/>
      <c r="GQC348" s="1658"/>
      <c r="GQD348" s="1658"/>
      <c r="GQE348" s="1658"/>
      <c r="GQF348" s="1658"/>
      <c r="GQG348" s="1658"/>
      <c r="GQH348" s="1658"/>
      <c r="GQI348" s="1658"/>
      <c r="GQJ348" s="1658"/>
      <c r="GQK348" s="1658"/>
      <c r="GQL348" s="1658"/>
      <c r="GQM348" s="1658"/>
      <c r="GQN348" s="1658"/>
      <c r="GQO348" s="1658"/>
      <c r="GQP348" s="1658"/>
      <c r="GQQ348" s="1658"/>
      <c r="GQR348" s="1658"/>
      <c r="GQS348" s="1658"/>
      <c r="GQT348" s="1658"/>
      <c r="GQU348" s="1658"/>
      <c r="GQV348" s="1658"/>
      <c r="GQW348" s="1658"/>
      <c r="GQX348" s="1658"/>
      <c r="GQY348" s="1658"/>
      <c r="GQZ348" s="1658"/>
      <c r="GRA348" s="1658"/>
      <c r="GRB348" s="1658"/>
      <c r="GRC348" s="1658"/>
      <c r="GRD348" s="1658"/>
      <c r="GRE348" s="1658"/>
      <c r="GRF348" s="1658"/>
      <c r="GRG348" s="1658"/>
      <c r="GRH348" s="1658"/>
      <c r="GRI348" s="1658"/>
      <c r="GRJ348" s="1658"/>
      <c r="GRK348" s="1658"/>
      <c r="GRL348" s="1658"/>
      <c r="GRM348" s="1658"/>
      <c r="GRN348" s="1658"/>
      <c r="GRO348" s="1658"/>
      <c r="GRP348" s="1658"/>
      <c r="GRQ348" s="1658"/>
      <c r="GRR348" s="1658"/>
      <c r="GRS348" s="1658"/>
      <c r="GRT348" s="1658"/>
      <c r="GRU348" s="1658"/>
      <c r="GRV348" s="1658"/>
      <c r="GRW348" s="1658"/>
      <c r="GRX348" s="1658"/>
      <c r="GRY348" s="1658"/>
      <c r="GRZ348" s="1658"/>
      <c r="GSA348" s="1658"/>
      <c r="GSB348" s="1658"/>
      <c r="GSC348" s="1658"/>
      <c r="GSD348" s="1658"/>
      <c r="GSE348" s="1658"/>
      <c r="GSF348" s="1658"/>
      <c r="GSG348" s="1658"/>
      <c r="GSH348" s="1658"/>
      <c r="GSI348" s="1658"/>
      <c r="GSJ348" s="1658"/>
      <c r="GSK348" s="1658"/>
      <c r="GSL348" s="1658"/>
      <c r="GSM348" s="1658"/>
      <c r="GSN348" s="1658"/>
      <c r="GSO348" s="1658"/>
      <c r="GSP348" s="1658"/>
      <c r="GSQ348" s="1658"/>
      <c r="GSR348" s="1658"/>
      <c r="GSS348" s="1658"/>
      <c r="GST348" s="1658"/>
      <c r="GSU348" s="1658"/>
      <c r="GSV348" s="1658"/>
      <c r="GSW348" s="1658"/>
      <c r="GSX348" s="1658"/>
      <c r="GSY348" s="1658"/>
      <c r="GSZ348" s="1658"/>
      <c r="GTA348" s="1658"/>
      <c r="GTB348" s="1658"/>
      <c r="GTC348" s="1658"/>
      <c r="GTD348" s="1658"/>
      <c r="GTE348" s="1658"/>
      <c r="GTF348" s="1658"/>
      <c r="GTG348" s="1658"/>
      <c r="GTH348" s="1658"/>
      <c r="GTI348" s="1658"/>
      <c r="GTJ348" s="1658"/>
      <c r="GTK348" s="1658"/>
      <c r="GTL348" s="1658"/>
      <c r="GTM348" s="1658"/>
      <c r="GTN348" s="1658"/>
      <c r="GTO348" s="1658"/>
      <c r="GTP348" s="1658"/>
      <c r="GTQ348" s="1658"/>
      <c r="GTR348" s="1658"/>
      <c r="GTS348" s="1658"/>
      <c r="GTT348" s="1658"/>
      <c r="GTU348" s="1658"/>
      <c r="GTV348" s="1658"/>
      <c r="GTW348" s="1658"/>
      <c r="GTX348" s="1658"/>
      <c r="GTY348" s="1658"/>
      <c r="GTZ348" s="1658"/>
      <c r="GUA348" s="1658"/>
      <c r="GUB348" s="1658"/>
      <c r="GUC348" s="1658"/>
      <c r="GUD348" s="1658"/>
      <c r="GUE348" s="1658"/>
      <c r="GUF348" s="1658"/>
      <c r="GUG348" s="1658"/>
      <c r="GUH348" s="1658"/>
      <c r="GUI348" s="1658"/>
      <c r="GUJ348" s="1658"/>
      <c r="GUK348" s="1658"/>
      <c r="GUL348" s="1658"/>
      <c r="GUM348" s="1658"/>
      <c r="GUN348" s="1658"/>
      <c r="GUO348" s="1658"/>
      <c r="GUP348" s="1658"/>
      <c r="GUQ348" s="1658"/>
      <c r="GUR348" s="1658"/>
      <c r="GUS348" s="1658"/>
      <c r="GUT348" s="1658"/>
      <c r="GUU348" s="1658"/>
      <c r="GUV348" s="1658"/>
      <c r="GUW348" s="1658"/>
      <c r="GUX348" s="1658"/>
      <c r="GUY348" s="1658"/>
      <c r="GUZ348" s="1658"/>
      <c r="GVA348" s="1658"/>
      <c r="GVB348" s="1658"/>
      <c r="GVC348" s="1658"/>
      <c r="GVD348" s="1658"/>
      <c r="GVE348" s="1658"/>
      <c r="GVF348" s="1658"/>
      <c r="GVG348" s="1658"/>
      <c r="GVH348" s="1658"/>
      <c r="GVI348" s="1658"/>
      <c r="GVJ348" s="1658"/>
      <c r="GVK348" s="1658"/>
      <c r="GVL348" s="1658"/>
      <c r="GVM348" s="1658"/>
      <c r="GVN348" s="1658"/>
      <c r="GVO348" s="1658"/>
      <c r="GVP348" s="1658"/>
      <c r="GVQ348" s="1658"/>
      <c r="GVR348" s="1658"/>
      <c r="GVS348" s="1658"/>
      <c r="GVT348" s="1658"/>
      <c r="GVU348" s="1658"/>
      <c r="GVV348" s="1658"/>
      <c r="GVW348" s="1658"/>
      <c r="GVX348" s="1658"/>
      <c r="GVY348" s="1658"/>
      <c r="GVZ348" s="1658"/>
      <c r="GWA348" s="1658"/>
      <c r="GWB348" s="1658"/>
      <c r="GWC348" s="1658"/>
      <c r="GWD348" s="1658"/>
      <c r="GWE348" s="1658"/>
      <c r="GWF348" s="1658"/>
      <c r="GWG348" s="1658"/>
      <c r="GWH348" s="1658"/>
      <c r="GWI348" s="1658"/>
      <c r="GWJ348" s="1658"/>
      <c r="GWK348" s="1658"/>
      <c r="GWL348" s="1658"/>
      <c r="GWM348" s="1658"/>
      <c r="GWN348" s="1658"/>
      <c r="GWO348" s="1658"/>
      <c r="GWP348" s="1658"/>
      <c r="GWQ348" s="1658"/>
      <c r="GWR348" s="1658"/>
      <c r="GWS348" s="1658"/>
      <c r="GWT348" s="1658"/>
      <c r="GWU348" s="1658"/>
      <c r="GWV348" s="1658"/>
      <c r="GWW348" s="1658"/>
      <c r="GWX348" s="1658"/>
      <c r="GWY348" s="1658"/>
      <c r="GWZ348" s="1658"/>
      <c r="GXA348" s="1658"/>
      <c r="GXB348" s="1658"/>
      <c r="GXC348" s="1658"/>
      <c r="GXD348" s="1658"/>
      <c r="GXE348" s="1658"/>
      <c r="GXF348" s="1658"/>
      <c r="GXG348" s="1658"/>
      <c r="GXH348" s="1658"/>
      <c r="GXI348" s="1658"/>
      <c r="GXJ348" s="1658"/>
      <c r="GXK348" s="1658"/>
      <c r="GXL348" s="1658"/>
      <c r="GXM348" s="1658"/>
      <c r="GXN348" s="1658"/>
      <c r="GXO348" s="1658"/>
      <c r="GXP348" s="1658"/>
      <c r="GXQ348" s="1658"/>
      <c r="GXR348" s="1658"/>
      <c r="GXS348" s="1658"/>
      <c r="GXT348" s="1658"/>
      <c r="GXU348" s="1658"/>
      <c r="GXV348" s="1658"/>
      <c r="GXW348" s="1658"/>
      <c r="GXX348" s="1658"/>
      <c r="GXY348" s="1658"/>
      <c r="GXZ348" s="1658"/>
      <c r="GYA348" s="1658"/>
      <c r="GYB348" s="1658"/>
      <c r="GYC348" s="1658"/>
      <c r="GYD348" s="1658"/>
      <c r="GYE348" s="1658"/>
      <c r="GYF348" s="1658"/>
      <c r="GYG348" s="1658"/>
      <c r="GYH348" s="1658"/>
      <c r="GYI348" s="1658"/>
      <c r="GYJ348" s="1658"/>
      <c r="GYK348" s="1658"/>
      <c r="GYL348" s="1658"/>
      <c r="GYM348" s="1658"/>
      <c r="GYN348" s="1658"/>
      <c r="GYO348" s="1658"/>
      <c r="GYP348" s="1658"/>
      <c r="GYQ348" s="1658"/>
      <c r="GYR348" s="1658"/>
      <c r="GYS348" s="1658"/>
      <c r="GYT348" s="1658"/>
      <c r="GYU348" s="1658"/>
      <c r="GYV348" s="1658"/>
      <c r="GYW348" s="1658"/>
      <c r="GYX348" s="1658"/>
      <c r="GYY348" s="1658"/>
      <c r="GYZ348" s="1658"/>
      <c r="GZA348" s="1658"/>
      <c r="GZB348" s="1658"/>
      <c r="GZC348" s="1658"/>
      <c r="GZD348" s="1658"/>
      <c r="GZE348" s="1658"/>
      <c r="GZF348" s="1658"/>
      <c r="GZG348" s="1658"/>
      <c r="GZH348" s="1658"/>
      <c r="GZI348" s="1658"/>
      <c r="GZJ348" s="1658"/>
      <c r="GZK348" s="1658"/>
      <c r="GZL348" s="1658"/>
      <c r="GZM348" s="1658"/>
      <c r="GZN348" s="1658"/>
      <c r="GZO348" s="1658"/>
      <c r="GZP348" s="1658"/>
      <c r="GZQ348" s="1658"/>
      <c r="GZR348" s="1658"/>
      <c r="GZS348" s="1658"/>
      <c r="GZT348" s="1658"/>
      <c r="GZU348" s="1658"/>
      <c r="GZV348" s="1658"/>
      <c r="GZW348" s="1658"/>
      <c r="GZX348" s="1658"/>
      <c r="GZY348" s="1658"/>
      <c r="GZZ348" s="1658"/>
      <c r="HAA348" s="1658"/>
      <c r="HAB348" s="1658"/>
      <c r="HAC348" s="1658"/>
      <c r="HAD348" s="1658"/>
      <c r="HAE348" s="1658"/>
      <c r="HAF348" s="1658"/>
      <c r="HAG348" s="1658"/>
      <c r="HAH348" s="1658"/>
      <c r="HAI348" s="1658"/>
      <c r="HAJ348" s="1658"/>
      <c r="HAK348" s="1658"/>
      <c r="HAL348" s="1658"/>
      <c r="HAM348" s="1658"/>
      <c r="HAN348" s="1658"/>
      <c r="HAO348" s="1658"/>
      <c r="HAP348" s="1658"/>
      <c r="HAQ348" s="1658"/>
      <c r="HAR348" s="1658"/>
      <c r="HAS348" s="1658"/>
      <c r="HAT348" s="1658"/>
      <c r="HAU348" s="1658"/>
      <c r="HAV348" s="1658"/>
      <c r="HAW348" s="1658"/>
      <c r="HAX348" s="1658"/>
      <c r="HAY348" s="1658"/>
      <c r="HAZ348" s="1658"/>
      <c r="HBA348" s="1658"/>
      <c r="HBB348" s="1658"/>
      <c r="HBC348" s="1658"/>
      <c r="HBD348" s="1658"/>
      <c r="HBE348" s="1658"/>
      <c r="HBF348" s="1658"/>
      <c r="HBG348" s="1658"/>
      <c r="HBH348" s="1658"/>
      <c r="HBI348" s="1658"/>
      <c r="HBJ348" s="1658"/>
      <c r="HBK348" s="1658"/>
      <c r="HBL348" s="1658"/>
      <c r="HBM348" s="1658"/>
      <c r="HBN348" s="1658"/>
      <c r="HBO348" s="1658"/>
      <c r="HBP348" s="1658"/>
      <c r="HBQ348" s="1658"/>
      <c r="HBR348" s="1658"/>
      <c r="HBS348" s="1658"/>
      <c r="HBT348" s="1658"/>
      <c r="HBU348" s="1658"/>
      <c r="HBV348" s="1658"/>
      <c r="HBW348" s="1658"/>
      <c r="HBX348" s="1658"/>
      <c r="HBY348" s="1658"/>
      <c r="HBZ348" s="1658"/>
      <c r="HCA348" s="1658"/>
      <c r="HCB348" s="1658"/>
      <c r="HCC348" s="1658"/>
      <c r="HCD348" s="1658"/>
      <c r="HCE348" s="1658"/>
      <c r="HCF348" s="1658"/>
      <c r="HCG348" s="1658"/>
      <c r="HCH348" s="1658"/>
      <c r="HCI348" s="1658"/>
      <c r="HCJ348" s="1658"/>
      <c r="HCK348" s="1658"/>
      <c r="HCL348" s="1658"/>
      <c r="HCM348" s="1658"/>
      <c r="HCN348" s="1658"/>
      <c r="HCO348" s="1658"/>
      <c r="HCP348" s="1658"/>
      <c r="HCQ348" s="1658"/>
      <c r="HCR348" s="1658"/>
      <c r="HCS348" s="1658"/>
      <c r="HCT348" s="1658"/>
      <c r="HCU348" s="1658"/>
      <c r="HCV348" s="1658"/>
      <c r="HCW348" s="1658"/>
      <c r="HCX348" s="1658"/>
      <c r="HCY348" s="1658"/>
      <c r="HCZ348" s="1658"/>
      <c r="HDA348" s="1658"/>
      <c r="HDB348" s="1658"/>
      <c r="HDC348" s="1658"/>
      <c r="HDD348" s="1658"/>
      <c r="HDE348" s="1658"/>
      <c r="HDF348" s="1658"/>
      <c r="HDG348" s="1658"/>
      <c r="HDH348" s="1658"/>
      <c r="HDI348" s="1658"/>
      <c r="HDJ348" s="1658"/>
      <c r="HDK348" s="1658"/>
      <c r="HDL348" s="1658"/>
      <c r="HDM348" s="1658"/>
      <c r="HDN348" s="1658"/>
      <c r="HDO348" s="1658"/>
      <c r="HDP348" s="1658"/>
      <c r="HDQ348" s="1658"/>
      <c r="HDR348" s="1658"/>
      <c r="HDS348" s="1658"/>
      <c r="HDT348" s="1658"/>
      <c r="HDU348" s="1658"/>
      <c r="HDV348" s="1658"/>
      <c r="HDW348" s="1658"/>
      <c r="HDX348" s="1658"/>
      <c r="HDY348" s="1658"/>
      <c r="HDZ348" s="1658"/>
      <c r="HEA348" s="1658"/>
      <c r="HEB348" s="1658"/>
      <c r="HEC348" s="1658"/>
      <c r="HED348" s="1658"/>
      <c r="HEE348" s="1658"/>
      <c r="HEF348" s="1658"/>
      <c r="HEG348" s="1658"/>
      <c r="HEH348" s="1658"/>
      <c r="HEI348" s="1658"/>
      <c r="HEJ348" s="1658"/>
      <c r="HEK348" s="1658"/>
      <c r="HEL348" s="1658"/>
      <c r="HEM348" s="1658"/>
      <c r="HEN348" s="1658"/>
      <c r="HEO348" s="1658"/>
      <c r="HEP348" s="1658"/>
      <c r="HEQ348" s="1658"/>
      <c r="HER348" s="1658"/>
      <c r="HES348" s="1658"/>
      <c r="HET348" s="1658"/>
      <c r="HEU348" s="1658"/>
      <c r="HEV348" s="1658"/>
      <c r="HEW348" s="1658"/>
      <c r="HEX348" s="1658"/>
      <c r="HEY348" s="1658"/>
      <c r="HEZ348" s="1658"/>
      <c r="HFA348" s="1658"/>
      <c r="HFB348" s="1658"/>
      <c r="HFC348" s="1658"/>
      <c r="HFD348" s="1658"/>
      <c r="HFE348" s="1658"/>
      <c r="HFF348" s="1658"/>
      <c r="HFG348" s="1658"/>
      <c r="HFH348" s="1658"/>
      <c r="HFI348" s="1658"/>
      <c r="HFJ348" s="1658"/>
      <c r="HFK348" s="1658"/>
      <c r="HFL348" s="1658"/>
      <c r="HFM348" s="1658"/>
      <c r="HFN348" s="1658"/>
      <c r="HFO348" s="1658"/>
      <c r="HFP348" s="1658"/>
      <c r="HFQ348" s="1658"/>
      <c r="HFR348" s="1658"/>
      <c r="HFS348" s="1658"/>
      <c r="HFT348" s="1658"/>
      <c r="HFU348" s="1658"/>
      <c r="HFV348" s="1658"/>
      <c r="HFW348" s="1658"/>
      <c r="HFX348" s="1658"/>
      <c r="HFY348" s="1658"/>
      <c r="HFZ348" s="1658"/>
      <c r="HGA348" s="1658"/>
      <c r="HGB348" s="1658"/>
      <c r="HGC348" s="1658"/>
      <c r="HGD348" s="1658"/>
      <c r="HGE348" s="1658"/>
      <c r="HGF348" s="1658"/>
      <c r="HGG348" s="1658"/>
      <c r="HGH348" s="1658"/>
      <c r="HGI348" s="1658"/>
      <c r="HGJ348" s="1658"/>
      <c r="HGK348" s="1658"/>
      <c r="HGL348" s="1658"/>
      <c r="HGM348" s="1658"/>
      <c r="HGN348" s="1658"/>
      <c r="HGO348" s="1658"/>
      <c r="HGP348" s="1658"/>
      <c r="HGQ348" s="1658"/>
      <c r="HGR348" s="1658"/>
      <c r="HGS348" s="1658"/>
      <c r="HGT348" s="1658"/>
      <c r="HGU348" s="1658"/>
      <c r="HGV348" s="1658"/>
      <c r="HGW348" s="1658"/>
      <c r="HGX348" s="1658"/>
      <c r="HGY348" s="1658"/>
      <c r="HGZ348" s="1658"/>
      <c r="HHA348" s="1658"/>
      <c r="HHB348" s="1658"/>
      <c r="HHC348" s="1658"/>
      <c r="HHD348" s="1658"/>
      <c r="HHE348" s="1658"/>
      <c r="HHF348" s="1658"/>
      <c r="HHG348" s="1658"/>
      <c r="HHH348" s="1658"/>
      <c r="HHI348" s="1658"/>
      <c r="HHJ348" s="1658"/>
      <c r="HHK348" s="1658"/>
      <c r="HHL348" s="1658"/>
      <c r="HHM348" s="1658"/>
      <c r="HHN348" s="1658"/>
      <c r="HHO348" s="1658"/>
      <c r="HHP348" s="1658"/>
      <c r="HHQ348" s="1658"/>
      <c r="HHR348" s="1658"/>
      <c r="HHS348" s="1658"/>
      <c r="HHT348" s="1658"/>
      <c r="HHU348" s="1658"/>
      <c r="HHV348" s="1658"/>
      <c r="HHW348" s="1658"/>
      <c r="HHX348" s="1658"/>
      <c r="HHY348" s="1658"/>
      <c r="HHZ348" s="1658"/>
      <c r="HIA348" s="1658"/>
      <c r="HIB348" s="1658"/>
      <c r="HIC348" s="1658"/>
      <c r="HID348" s="1658"/>
      <c r="HIE348" s="1658"/>
      <c r="HIF348" s="1658"/>
      <c r="HIG348" s="1658"/>
      <c r="HIH348" s="1658"/>
      <c r="HII348" s="1658"/>
      <c r="HIJ348" s="1658"/>
      <c r="HIK348" s="1658"/>
      <c r="HIL348" s="1658"/>
      <c r="HIM348" s="1658"/>
      <c r="HIN348" s="1658"/>
      <c r="HIO348" s="1658"/>
      <c r="HIP348" s="1658"/>
      <c r="HIQ348" s="1658"/>
      <c r="HIR348" s="1658"/>
      <c r="HIS348" s="1658"/>
      <c r="HIT348" s="1658"/>
      <c r="HIU348" s="1658"/>
      <c r="HIV348" s="1658"/>
      <c r="HIW348" s="1658"/>
      <c r="HIX348" s="1658"/>
      <c r="HIY348" s="1658"/>
      <c r="HIZ348" s="1658"/>
      <c r="HJA348" s="1658"/>
      <c r="HJB348" s="1658"/>
      <c r="HJC348" s="1658"/>
      <c r="HJD348" s="1658"/>
      <c r="HJE348" s="1658"/>
      <c r="HJF348" s="1658"/>
      <c r="HJG348" s="1658"/>
      <c r="HJH348" s="1658"/>
      <c r="HJI348" s="1658"/>
      <c r="HJJ348" s="1658"/>
      <c r="HJK348" s="1658"/>
      <c r="HJL348" s="1658"/>
      <c r="HJM348" s="1658"/>
      <c r="HJN348" s="1658"/>
      <c r="HJO348" s="1658"/>
      <c r="HJP348" s="1658"/>
      <c r="HJQ348" s="1658"/>
      <c r="HJR348" s="1658"/>
      <c r="HJS348" s="1658"/>
      <c r="HJT348" s="1658"/>
      <c r="HJU348" s="1658"/>
      <c r="HJV348" s="1658"/>
      <c r="HJW348" s="1658"/>
      <c r="HJX348" s="1658"/>
      <c r="HJY348" s="1658"/>
      <c r="HJZ348" s="1658"/>
      <c r="HKA348" s="1658"/>
      <c r="HKB348" s="1658"/>
      <c r="HKC348" s="1658"/>
      <c r="HKD348" s="1658"/>
      <c r="HKE348" s="1658"/>
      <c r="HKF348" s="1658"/>
      <c r="HKG348" s="1658"/>
      <c r="HKH348" s="1658"/>
      <c r="HKI348" s="1658"/>
      <c r="HKJ348" s="1658"/>
      <c r="HKK348" s="1658"/>
      <c r="HKL348" s="1658"/>
      <c r="HKM348" s="1658"/>
      <c r="HKN348" s="1658"/>
      <c r="HKO348" s="1658"/>
      <c r="HKP348" s="1658"/>
      <c r="HKQ348" s="1658"/>
      <c r="HKR348" s="1658"/>
      <c r="HKS348" s="1658"/>
      <c r="HKT348" s="1658"/>
      <c r="HKU348" s="1658"/>
      <c r="HKV348" s="1658"/>
      <c r="HKW348" s="1658"/>
      <c r="HKX348" s="1658"/>
      <c r="HKY348" s="1658"/>
      <c r="HKZ348" s="1658"/>
      <c r="HLA348" s="1658"/>
      <c r="HLB348" s="1658"/>
      <c r="HLC348" s="1658"/>
      <c r="HLD348" s="1658"/>
      <c r="HLE348" s="1658"/>
      <c r="HLF348" s="1658"/>
      <c r="HLG348" s="1658"/>
      <c r="HLH348" s="1658"/>
      <c r="HLI348" s="1658"/>
      <c r="HLJ348" s="1658"/>
      <c r="HLK348" s="1658"/>
      <c r="HLL348" s="1658"/>
      <c r="HLM348" s="1658"/>
      <c r="HLN348" s="1658"/>
      <c r="HLO348" s="1658"/>
      <c r="HLP348" s="1658"/>
      <c r="HLQ348" s="1658"/>
      <c r="HLR348" s="1658"/>
      <c r="HLS348" s="1658"/>
      <c r="HLT348" s="1658"/>
      <c r="HLU348" s="1658"/>
      <c r="HLV348" s="1658"/>
      <c r="HLW348" s="1658"/>
      <c r="HLX348" s="1658"/>
      <c r="HLY348" s="1658"/>
      <c r="HLZ348" s="1658"/>
      <c r="HMA348" s="1658"/>
      <c r="HMB348" s="1658"/>
      <c r="HMC348" s="1658"/>
      <c r="HMD348" s="1658"/>
      <c r="HME348" s="1658"/>
      <c r="HMF348" s="1658"/>
      <c r="HMG348" s="1658"/>
      <c r="HMH348" s="1658"/>
      <c r="HMI348" s="1658"/>
      <c r="HMJ348" s="1658"/>
      <c r="HMK348" s="1658"/>
      <c r="HML348" s="1658"/>
      <c r="HMM348" s="1658"/>
      <c r="HMN348" s="1658"/>
      <c r="HMO348" s="1658"/>
      <c r="HMP348" s="1658"/>
      <c r="HMQ348" s="1658"/>
      <c r="HMR348" s="1658"/>
      <c r="HMS348" s="1658"/>
      <c r="HMT348" s="1658"/>
      <c r="HMU348" s="1658"/>
      <c r="HMV348" s="1658"/>
      <c r="HMW348" s="1658"/>
      <c r="HMX348" s="1658"/>
      <c r="HMY348" s="1658"/>
      <c r="HMZ348" s="1658"/>
      <c r="HNA348" s="1658"/>
      <c r="HNB348" s="1658"/>
      <c r="HNC348" s="1658"/>
      <c r="HND348" s="1658"/>
      <c r="HNE348" s="1658"/>
      <c r="HNF348" s="1658"/>
      <c r="HNG348" s="1658"/>
      <c r="HNH348" s="1658"/>
      <c r="HNI348" s="1658"/>
      <c r="HNJ348" s="1658"/>
      <c r="HNK348" s="1658"/>
      <c r="HNL348" s="1658"/>
      <c r="HNM348" s="1658"/>
      <c r="HNN348" s="1658"/>
      <c r="HNO348" s="1658"/>
      <c r="HNP348" s="1658"/>
      <c r="HNQ348" s="1658"/>
      <c r="HNR348" s="1658"/>
      <c r="HNS348" s="1658"/>
      <c r="HNT348" s="1658"/>
      <c r="HNU348" s="1658"/>
      <c r="HNV348" s="1658"/>
      <c r="HNW348" s="1658"/>
      <c r="HNX348" s="1658"/>
      <c r="HNY348" s="1658"/>
      <c r="HNZ348" s="1658"/>
      <c r="HOA348" s="1658"/>
      <c r="HOB348" s="1658"/>
      <c r="HOC348" s="1658"/>
      <c r="HOD348" s="1658"/>
      <c r="HOE348" s="1658"/>
      <c r="HOF348" s="1658"/>
      <c r="HOG348" s="1658"/>
      <c r="HOH348" s="1658"/>
      <c r="HOI348" s="1658"/>
      <c r="HOJ348" s="1658"/>
      <c r="HOK348" s="1658"/>
      <c r="HOL348" s="1658"/>
      <c r="HOM348" s="1658"/>
      <c r="HON348" s="1658"/>
      <c r="HOO348" s="1658"/>
      <c r="HOP348" s="1658"/>
      <c r="HOQ348" s="1658"/>
      <c r="HOR348" s="1658"/>
      <c r="HOS348" s="1658"/>
      <c r="HOT348" s="1658"/>
      <c r="HOU348" s="1658"/>
      <c r="HOV348" s="1658"/>
      <c r="HOW348" s="1658"/>
      <c r="HOX348" s="1658"/>
      <c r="HOY348" s="1658"/>
      <c r="HOZ348" s="1658"/>
      <c r="HPA348" s="1658"/>
      <c r="HPB348" s="1658"/>
      <c r="HPC348" s="1658"/>
      <c r="HPD348" s="1658"/>
      <c r="HPE348" s="1658"/>
      <c r="HPF348" s="1658"/>
      <c r="HPG348" s="1658"/>
      <c r="HPH348" s="1658"/>
      <c r="HPI348" s="1658"/>
      <c r="HPJ348" s="1658"/>
      <c r="HPK348" s="1658"/>
      <c r="HPL348" s="1658"/>
      <c r="HPM348" s="1658"/>
      <c r="HPN348" s="1658"/>
      <c r="HPO348" s="1658"/>
      <c r="HPP348" s="1658"/>
      <c r="HPQ348" s="1658"/>
      <c r="HPR348" s="1658"/>
      <c r="HPS348" s="1658"/>
      <c r="HPT348" s="1658"/>
      <c r="HPU348" s="1658"/>
      <c r="HPV348" s="1658"/>
      <c r="HPW348" s="1658"/>
      <c r="HPX348" s="1658"/>
      <c r="HPY348" s="1658"/>
      <c r="HPZ348" s="1658"/>
      <c r="HQA348" s="1658"/>
      <c r="HQB348" s="1658"/>
      <c r="HQC348" s="1658"/>
      <c r="HQD348" s="1658"/>
      <c r="HQE348" s="1658"/>
      <c r="HQF348" s="1658"/>
      <c r="HQG348" s="1658"/>
      <c r="HQH348" s="1658"/>
      <c r="HQI348" s="1658"/>
      <c r="HQJ348" s="1658"/>
      <c r="HQK348" s="1658"/>
      <c r="HQL348" s="1658"/>
      <c r="HQM348" s="1658"/>
      <c r="HQN348" s="1658"/>
      <c r="HQO348" s="1658"/>
      <c r="HQP348" s="1658"/>
      <c r="HQQ348" s="1658"/>
      <c r="HQR348" s="1658"/>
      <c r="HQS348" s="1658"/>
      <c r="HQT348" s="1658"/>
      <c r="HQU348" s="1658"/>
      <c r="HQV348" s="1658"/>
      <c r="HQW348" s="1658"/>
      <c r="HQX348" s="1658"/>
      <c r="HQY348" s="1658"/>
      <c r="HQZ348" s="1658"/>
      <c r="HRA348" s="1658"/>
      <c r="HRB348" s="1658"/>
      <c r="HRC348" s="1658"/>
      <c r="HRD348" s="1658"/>
      <c r="HRE348" s="1658"/>
      <c r="HRF348" s="1658"/>
      <c r="HRG348" s="1658"/>
      <c r="HRH348" s="1658"/>
      <c r="HRI348" s="1658"/>
      <c r="HRJ348" s="1658"/>
      <c r="HRK348" s="1658"/>
      <c r="HRL348" s="1658"/>
      <c r="HRM348" s="1658"/>
      <c r="HRN348" s="1658"/>
      <c r="HRO348" s="1658"/>
      <c r="HRP348" s="1658"/>
      <c r="HRQ348" s="1658"/>
      <c r="HRR348" s="1658"/>
      <c r="HRS348" s="1658"/>
      <c r="HRT348" s="1658"/>
      <c r="HRU348" s="1658"/>
      <c r="HRV348" s="1658"/>
      <c r="HRW348" s="1658"/>
      <c r="HRX348" s="1658"/>
      <c r="HRY348" s="1658"/>
      <c r="HRZ348" s="1658"/>
      <c r="HSA348" s="1658"/>
      <c r="HSB348" s="1658"/>
      <c r="HSC348" s="1658"/>
      <c r="HSD348" s="1658"/>
      <c r="HSE348" s="1658"/>
      <c r="HSF348" s="1658"/>
      <c r="HSG348" s="1658"/>
      <c r="HSH348" s="1658"/>
      <c r="HSI348" s="1658"/>
      <c r="HSJ348" s="1658"/>
      <c r="HSK348" s="1658"/>
      <c r="HSL348" s="1658"/>
      <c r="HSM348" s="1658"/>
      <c r="HSN348" s="1658"/>
      <c r="HSO348" s="1658"/>
      <c r="HSP348" s="1658"/>
      <c r="HSQ348" s="1658"/>
      <c r="HSR348" s="1658"/>
      <c r="HSS348" s="1658"/>
      <c r="HST348" s="1658"/>
      <c r="HSU348" s="1658"/>
      <c r="HSV348" s="1658"/>
      <c r="HSW348" s="1658"/>
      <c r="HSX348" s="1658"/>
      <c r="HSY348" s="1658"/>
      <c r="HSZ348" s="1658"/>
      <c r="HTA348" s="1658"/>
      <c r="HTB348" s="1658"/>
      <c r="HTC348" s="1658"/>
      <c r="HTD348" s="1658"/>
      <c r="HTE348" s="1658"/>
      <c r="HTF348" s="1658"/>
      <c r="HTG348" s="1658"/>
      <c r="HTH348" s="1658"/>
      <c r="HTI348" s="1658"/>
      <c r="HTJ348" s="1658"/>
      <c r="HTK348" s="1658"/>
      <c r="HTL348" s="1658"/>
      <c r="HTM348" s="1658"/>
      <c r="HTN348" s="1658"/>
      <c r="HTO348" s="1658"/>
      <c r="HTP348" s="1658"/>
      <c r="HTQ348" s="1658"/>
      <c r="HTR348" s="1658"/>
      <c r="HTS348" s="1658"/>
      <c r="HTT348" s="1658"/>
      <c r="HTU348" s="1658"/>
      <c r="HTV348" s="1658"/>
      <c r="HTW348" s="1658"/>
      <c r="HTX348" s="1658"/>
      <c r="HTY348" s="1658"/>
      <c r="HTZ348" s="1658"/>
      <c r="HUA348" s="1658"/>
      <c r="HUB348" s="1658"/>
      <c r="HUC348" s="1658"/>
      <c r="HUD348" s="1658"/>
      <c r="HUE348" s="1658"/>
      <c r="HUF348" s="1658"/>
      <c r="HUG348" s="1658"/>
      <c r="HUH348" s="1658"/>
      <c r="HUI348" s="1658"/>
      <c r="HUJ348" s="1658"/>
      <c r="HUK348" s="1658"/>
      <c r="HUL348" s="1658"/>
      <c r="HUM348" s="1658"/>
      <c r="HUN348" s="1658"/>
      <c r="HUO348" s="1658"/>
      <c r="HUP348" s="1658"/>
      <c r="HUQ348" s="1658"/>
      <c r="HUR348" s="1658"/>
      <c r="HUS348" s="1658"/>
      <c r="HUT348" s="1658"/>
      <c r="HUU348" s="1658"/>
      <c r="HUV348" s="1658"/>
      <c r="HUW348" s="1658"/>
      <c r="HUX348" s="1658"/>
      <c r="HUY348" s="1658"/>
      <c r="HUZ348" s="1658"/>
      <c r="HVA348" s="1658"/>
      <c r="HVB348" s="1658"/>
      <c r="HVC348" s="1658"/>
      <c r="HVD348" s="1658"/>
      <c r="HVE348" s="1658"/>
      <c r="HVF348" s="1658"/>
      <c r="HVG348" s="1658"/>
      <c r="HVH348" s="1658"/>
      <c r="HVI348" s="1658"/>
      <c r="HVJ348" s="1658"/>
      <c r="HVK348" s="1658"/>
      <c r="HVL348" s="1658"/>
      <c r="HVM348" s="1658"/>
      <c r="HVN348" s="1658"/>
      <c r="HVO348" s="1658"/>
      <c r="HVP348" s="1658"/>
      <c r="HVQ348" s="1658"/>
      <c r="HVR348" s="1658"/>
      <c r="HVS348" s="1658"/>
      <c r="HVT348" s="1658"/>
      <c r="HVU348" s="1658"/>
      <c r="HVV348" s="1658"/>
      <c r="HVW348" s="1658"/>
      <c r="HVX348" s="1658"/>
      <c r="HVY348" s="1658"/>
      <c r="HVZ348" s="1658"/>
      <c r="HWA348" s="1658"/>
      <c r="HWB348" s="1658"/>
      <c r="HWC348" s="1658"/>
      <c r="HWD348" s="1658"/>
      <c r="HWE348" s="1658"/>
      <c r="HWF348" s="1658"/>
      <c r="HWG348" s="1658"/>
      <c r="HWH348" s="1658"/>
      <c r="HWI348" s="1658"/>
      <c r="HWJ348" s="1658"/>
      <c r="HWK348" s="1658"/>
      <c r="HWL348" s="1658"/>
      <c r="HWM348" s="1658"/>
      <c r="HWN348" s="1658"/>
      <c r="HWO348" s="1658"/>
      <c r="HWP348" s="1658"/>
      <c r="HWQ348" s="1658"/>
      <c r="HWR348" s="1658"/>
      <c r="HWS348" s="1658"/>
      <c r="HWT348" s="1658"/>
      <c r="HWU348" s="1658"/>
      <c r="HWV348" s="1658"/>
      <c r="HWW348" s="1658"/>
      <c r="HWX348" s="1658"/>
      <c r="HWY348" s="1658"/>
      <c r="HWZ348" s="1658"/>
      <c r="HXA348" s="1658"/>
      <c r="HXB348" s="1658"/>
      <c r="HXC348" s="1658"/>
      <c r="HXD348" s="1658"/>
      <c r="HXE348" s="1658"/>
      <c r="HXF348" s="1658"/>
      <c r="HXG348" s="1658"/>
      <c r="HXH348" s="1658"/>
      <c r="HXI348" s="1658"/>
      <c r="HXJ348" s="1658"/>
      <c r="HXK348" s="1658"/>
      <c r="HXL348" s="1658"/>
      <c r="HXM348" s="1658"/>
      <c r="HXN348" s="1658"/>
      <c r="HXO348" s="1658"/>
      <c r="HXP348" s="1658"/>
      <c r="HXQ348" s="1658"/>
      <c r="HXR348" s="1658"/>
      <c r="HXS348" s="1658"/>
      <c r="HXT348" s="1658"/>
      <c r="HXU348" s="1658"/>
      <c r="HXV348" s="1658"/>
      <c r="HXW348" s="1658"/>
      <c r="HXX348" s="1658"/>
      <c r="HXY348" s="1658"/>
      <c r="HXZ348" s="1658"/>
      <c r="HYA348" s="1658"/>
      <c r="HYB348" s="1658"/>
      <c r="HYC348" s="1658"/>
      <c r="HYD348" s="1658"/>
      <c r="HYE348" s="1658"/>
      <c r="HYF348" s="1658"/>
      <c r="HYG348" s="1658"/>
      <c r="HYH348" s="1658"/>
      <c r="HYI348" s="1658"/>
      <c r="HYJ348" s="1658"/>
      <c r="HYK348" s="1658"/>
      <c r="HYL348" s="1658"/>
      <c r="HYM348" s="1658"/>
      <c r="HYN348" s="1658"/>
      <c r="HYO348" s="1658"/>
      <c r="HYP348" s="1658"/>
      <c r="HYQ348" s="1658"/>
      <c r="HYR348" s="1658"/>
      <c r="HYS348" s="1658"/>
      <c r="HYT348" s="1658"/>
      <c r="HYU348" s="1658"/>
      <c r="HYV348" s="1658"/>
      <c r="HYW348" s="1658"/>
      <c r="HYX348" s="1658"/>
      <c r="HYY348" s="1658"/>
      <c r="HYZ348" s="1658"/>
      <c r="HZA348" s="1658"/>
      <c r="HZB348" s="1658"/>
      <c r="HZC348" s="1658"/>
      <c r="HZD348" s="1658"/>
      <c r="HZE348" s="1658"/>
      <c r="HZF348" s="1658"/>
      <c r="HZG348" s="1658"/>
      <c r="HZH348" s="1658"/>
      <c r="HZI348" s="1658"/>
      <c r="HZJ348" s="1658"/>
      <c r="HZK348" s="1658"/>
      <c r="HZL348" s="1658"/>
      <c r="HZM348" s="1658"/>
      <c r="HZN348" s="1658"/>
      <c r="HZO348" s="1658"/>
      <c r="HZP348" s="1658"/>
      <c r="HZQ348" s="1658"/>
      <c r="HZR348" s="1658"/>
      <c r="HZS348" s="1658"/>
      <c r="HZT348" s="1658"/>
      <c r="HZU348" s="1658"/>
      <c r="HZV348" s="1658"/>
      <c r="HZW348" s="1658"/>
      <c r="HZX348" s="1658"/>
      <c r="HZY348" s="1658"/>
      <c r="HZZ348" s="1658"/>
      <c r="IAA348" s="1658"/>
      <c r="IAB348" s="1658"/>
      <c r="IAC348" s="1658"/>
      <c r="IAD348" s="1658"/>
      <c r="IAE348" s="1658"/>
      <c r="IAF348" s="1658"/>
      <c r="IAG348" s="1658"/>
      <c r="IAH348" s="1658"/>
      <c r="IAI348" s="1658"/>
      <c r="IAJ348" s="1658"/>
      <c r="IAK348" s="1658"/>
      <c r="IAL348" s="1658"/>
      <c r="IAM348" s="1658"/>
      <c r="IAN348" s="1658"/>
      <c r="IAO348" s="1658"/>
      <c r="IAP348" s="1658"/>
      <c r="IAQ348" s="1658"/>
      <c r="IAR348" s="1658"/>
      <c r="IAS348" s="1658"/>
      <c r="IAT348" s="1658"/>
      <c r="IAU348" s="1658"/>
      <c r="IAV348" s="1658"/>
      <c r="IAW348" s="1658"/>
      <c r="IAX348" s="1658"/>
      <c r="IAY348" s="1658"/>
      <c r="IAZ348" s="1658"/>
      <c r="IBA348" s="1658"/>
      <c r="IBB348" s="1658"/>
      <c r="IBC348" s="1658"/>
      <c r="IBD348" s="1658"/>
      <c r="IBE348" s="1658"/>
      <c r="IBF348" s="1658"/>
      <c r="IBG348" s="1658"/>
      <c r="IBH348" s="1658"/>
      <c r="IBI348" s="1658"/>
      <c r="IBJ348" s="1658"/>
      <c r="IBK348" s="1658"/>
      <c r="IBL348" s="1658"/>
      <c r="IBM348" s="1658"/>
      <c r="IBN348" s="1658"/>
      <c r="IBO348" s="1658"/>
      <c r="IBP348" s="1658"/>
      <c r="IBQ348" s="1658"/>
      <c r="IBR348" s="1658"/>
      <c r="IBS348" s="1658"/>
      <c r="IBT348" s="1658"/>
      <c r="IBU348" s="1658"/>
      <c r="IBV348" s="1658"/>
      <c r="IBW348" s="1658"/>
      <c r="IBX348" s="1658"/>
      <c r="IBY348" s="1658"/>
      <c r="IBZ348" s="1658"/>
      <c r="ICA348" s="1658"/>
      <c r="ICB348" s="1658"/>
      <c r="ICC348" s="1658"/>
      <c r="ICD348" s="1658"/>
      <c r="ICE348" s="1658"/>
      <c r="ICF348" s="1658"/>
      <c r="ICG348" s="1658"/>
      <c r="ICH348" s="1658"/>
      <c r="ICI348" s="1658"/>
      <c r="ICJ348" s="1658"/>
      <c r="ICK348" s="1658"/>
      <c r="ICL348" s="1658"/>
      <c r="ICM348" s="1658"/>
      <c r="ICN348" s="1658"/>
      <c r="ICO348" s="1658"/>
      <c r="ICP348" s="1658"/>
      <c r="ICQ348" s="1658"/>
      <c r="ICR348" s="1658"/>
      <c r="ICS348" s="1658"/>
      <c r="ICT348" s="1658"/>
      <c r="ICU348" s="1658"/>
      <c r="ICV348" s="1658"/>
      <c r="ICW348" s="1658"/>
      <c r="ICX348" s="1658"/>
      <c r="ICY348" s="1658"/>
      <c r="ICZ348" s="1658"/>
      <c r="IDA348" s="1658"/>
      <c r="IDB348" s="1658"/>
      <c r="IDC348" s="1658"/>
      <c r="IDD348" s="1658"/>
      <c r="IDE348" s="1658"/>
      <c r="IDF348" s="1658"/>
      <c r="IDG348" s="1658"/>
      <c r="IDH348" s="1658"/>
      <c r="IDI348" s="1658"/>
      <c r="IDJ348" s="1658"/>
      <c r="IDK348" s="1658"/>
      <c r="IDL348" s="1658"/>
      <c r="IDM348" s="1658"/>
      <c r="IDN348" s="1658"/>
      <c r="IDO348" s="1658"/>
      <c r="IDP348" s="1658"/>
      <c r="IDQ348" s="1658"/>
      <c r="IDR348" s="1658"/>
      <c r="IDS348" s="1658"/>
      <c r="IDT348" s="1658"/>
      <c r="IDU348" s="1658"/>
      <c r="IDV348" s="1658"/>
      <c r="IDW348" s="1658"/>
      <c r="IDX348" s="1658"/>
      <c r="IDY348" s="1658"/>
      <c r="IDZ348" s="1658"/>
      <c r="IEA348" s="1658"/>
      <c r="IEB348" s="1658"/>
      <c r="IEC348" s="1658"/>
      <c r="IED348" s="1658"/>
      <c r="IEE348" s="1658"/>
      <c r="IEF348" s="1658"/>
      <c r="IEG348" s="1658"/>
      <c r="IEH348" s="1658"/>
      <c r="IEI348" s="1658"/>
      <c r="IEJ348" s="1658"/>
      <c r="IEK348" s="1658"/>
      <c r="IEL348" s="1658"/>
      <c r="IEM348" s="1658"/>
      <c r="IEN348" s="1658"/>
      <c r="IEO348" s="1658"/>
      <c r="IEP348" s="1658"/>
      <c r="IEQ348" s="1658"/>
      <c r="IER348" s="1658"/>
      <c r="IES348" s="1658"/>
      <c r="IET348" s="1658"/>
      <c r="IEU348" s="1658"/>
      <c r="IEV348" s="1658"/>
      <c r="IEW348" s="1658"/>
      <c r="IEX348" s="1658"/>
      <c r="IEY348" s="1658"/>
      <c r="IEZ348" s="1658"/>
      <c r="IFA348" s="1658"/>
      <c r="IFB348" s="1658"/>
      <c r="IFC348" s="1658"/>
      <c r="IFD348" s="1658"/>
      <c r="IFE348" s="1658"/>
      <c r="IFF348" s="1658"/>
      <c r="IFG348" s="1658"/>
      <c r="IFH348" s="1658"/>
      <c r="IFI348" s="1658"/>
      <c r="IFJ348" s="1658"/>
      <c r="IFK348" s="1658"/>
      <c r="IFL348" s="1658"/>
      <c r="IFM348" s="1658"/>
      <c r="IFN348" s="1658"/>
      <c r="IFO348" s="1658"/>
      <c r="IFP348" s="1658"/>
      <c r="IFQ348" s="1658"/>
      <c r="IFR348" s="1658"/>
      <c r="IFS348" s="1658"/>
      <c r="IFT348" s="1658"/>
      <c r="IFU348" s="1658"/>
      <c r="IFV348" s="1658"/>
      <c r="IFW348" s="1658"/>
      <c r="IFX348" s="1658"/>
      <c r="IFY348" s="1658"/>
      <c r="IFZ348" s="1658"/>
      <c r="IGA348" s="1658"/>
      <c r="IGB348" s="1658"/>
      <c r="IGC348" s="1658"/>
      <c r="IGD348" s="1658"/>
      <c r="IGE348" s="1658"/>
      <c r="IGF348" s="1658"/>
      <c r="IGG348" s="1658"/>
      <c r="IGH348" s="1658"/>
      <c r="IGI348" s="1658"/>
      <c r="IGJ348" s="1658"/>
      <c r="IGK348" s="1658"/>
      <c r="IGL348" s="1658"/>
      <c r="IGM348" s="1658"/>
      <c r="IGN348" s="1658"/>
      <c r="IGO348" s="1658"/>
      <c r="IGP348" s="1658"/>
      <c r="IGQ348" s="1658"/>
      <c r="IGR348" s="1658"/>
      <c r="IGS348" s="1658"/>
      <c r="IGT348" s="1658"/>
      <c r="IGU348" s="1658"/>
      <c r="IGV348" s="1658"/>
      <c r="IGW348" s="1658"/>
      <c r="IGX348" s="1658"/>
      <c r="IGY348" s="1658"/>
      <c r="IGZ348" s="1658"/>
      <c r="IHA348" s="1658"/>
      <c r="IHB348" s="1658"/>
      <c r="IHC348" s="1658"/>
      <c r="IHD348" s="1658"/>
      <c r="IHE348" s="1658"/>
      <c r="IHF348" s="1658"/>
      <c r="IHG348" s="1658"/>
      <c r="IHH348" s="1658"/>
      <c r="IHI348" s="1658"/>
      <c r="IHJ348" s="1658"/>
      <c r="IHK348" s="1658"/>
      <c r="IHL348" s="1658"/>
      <c r="IHM348" s="1658"/>
      <c r="IHN348" s="1658"/>
      <c r="IHO348" s="1658"/>
      <c r="IHP348" s="1658"/>
      <c r="IHQ348" s="1658"/>
      <c r="IHR348" s="1658"/>
      <c r="IHS348" s="1658"/>
      <c r="IHT348" s="1658"/>
      <c r="IHU348" s="1658"/>
      <c r="IHV348" s="1658"/>
      <c r="IHW348" s="1658"/>
      <c r="IHX348" s="1658"/>
      <c r="IHY348" s="1658"/>
      <c r="IHZ348" s="1658"/>
      <c r="IIA348" s="1658"/>
      <c r="IIB348" s="1658"/>
      <c r="IIC348" s="1658"/>
      <c r="IID348" s="1658"/>
      <c r="IIE348" s="1658"/>
      <c r="IIF348" s="1658"/>
      <c r="IIG348" s="1658"/>
      <c r="IIH348" s="1658"/>
      <c r="III348" s="1658"/>
      <c r="IIJ348" s="1658"/>
      <c r="IIK348" s="1658"/>
      <c r="IIL348" s="1658"/>
      <c r="IIM348" s="1658"/>
      <c r="IIN348" s="1658"/>
      <c r="IIO348" s="1658"/>
      <c r="IIP348" s="1658"/>
      <c r="IIQ348" s="1658"/>
      <c r="IIR348" s="1658"/>
      <c r="IIS348" s="1658"/>
      <c r="IIT348" s="1658"/>
      <c r="IIU348" s="1658"/>
      <c r="IIV348" s="1658"/>
      <c r="IIW348" s="1658"/>
      <c r="IIX348" s="1658"/>
      <c r="IIY348" s="1658"/>
      <c r="IIZ348" s="1658"/>
      <c r="IJA348" s="1658"/>
      <c r="IJB348" s="1658"/>
      <c r="IJC348" s="1658"/>
      <c r="IJD348" s="1658"/>
      <c r="IJE348" s="1658"/>
      <c r="IJF348" s="1658"/>
      <c r="IJG348" s="1658"/>
      <c r="IJH348" s="1658"/>
      <c r="IJI348" s="1658"/>
      <c r="IJJ348" s="1658"/>
      <c r="IJK348" s="1658"/>
      <c r="IJL348" s="1658"/>
      <c r="IJM348" s="1658"/>
      <c r="IJN348" s="1658"/>
      <c r="IJO348" s="1658"/>
      <c r="IJP348" s="1658"/>
      <c r="IJQ348" s="1658"/>
      <c r="IJR348" s="1658"/>
      <c r="IJS348" s="1658"/>
      <c r="IJT348" s="1658"/>
      <c r="IJU348" s="1658"/>
      <c r="IJV348" s="1658"/>
      <c r="IJW348" s="1658"/>
      <c r="IJX348" s="1658"/>
      <c r="IJY348" s="1658"/>
      <c r="IJZ348" s="1658"/>
      <c r="IKA348" s="1658"/>
      <c r="IKB348" s="1658"/>
      <c r="IKC348" s="1658"/>
      <c r="IKD348" s="1658"/>
      <c r="IKE348" s="1658"/>
      <c r="IKF348" s="1658"/>
      <c r="IKG348" s="1658"/>
      <c r="IKH348" s="1658"/>
      <c r="IKI348" s="1658"/>
      <c r="IKJ348" s="1658"/>
      <c r="IKK348" s="1658"/>
      <c r="IKL348" s="1658"/>
      <c r="IKM348" s="1658"/>
      <c r="IKN348" s="1658"/>
      <c r="IKO348" s="1658"/>
      <c r="IKP348" s="1658"/>
      <c r="IKQ348" s="1658"/>
      <c r="IKR348" s="1658"/>
      <c r="IKS348" s="1658"/>
      <c r="IKT348" s="1658"/>
      <c r="IKU348" s="1658"/>
      <c r="IKV348" s="1658"/>
      <c r="IKW348" s="1658"/>
      <c r="IKX348" s="1658"/>
      <c r="IKY348" s="1658"/>
      <c r="IKZ348" s="1658"/>
      <c r="ILA348" s="1658"/>
      <c r="ILB348" s="1658"/>
      <c r="ILC348" s="1658"/>
      <c r="ILD348" s="1658"/>
      <c r="ILE348" s="1658"/>
      <c r="ILF348" s="1658"/>
      <c r="ILG348" s="1658"/>
      <c r="ILH348" s="1658"/>
      <c r="ILI348" s="1658"/>
      <c r="ILJ348" s="1658"/>
      <c r="ILK348" s="1658"/>
      <c r="ILL348" s="1658"/>
      <c r="ILM348" s="1658"/>
      <c r="ILN348" s="1658"/>
      <c r="ILO348" s="1658"/>
      <c r="ILP348" s="1658"/>
      <c r="ILQ348" s="1658"/>
      <c r="ILR348" s="1658"/>
      <c r="ILS348" s="1658"/>
      <c r="ILT348" s="1658"/>
      <c r="ILU348" s="1658"/>
      <c r="ILV348" s="1658"/>
      <c r="ILW348" s="1658"/>
      <c r="ILX348" s="1658"/>
      <c r="ILY348" s="1658"/>
      <c r="ILZ348" s="1658"/>
      <c r="IMA348" s="1658"/>
      <c r="IMB348" s="1658"/>
      <c r="IMC348" s="1658"/>
      <c r="IMD348" s="1658"/>
      <c r="IME348" s="1658"/>
      <c r="IMF348" s="1658"/>
      <c r="IMG348" s="1658"/>
      <c r="IMH348" s="1658"/>
      <c r="IMI348" s="1658"/>
      <c r="IMJ348" s="1658"/>
      <c r="IMK348" s="1658"/>
      <c r="IML348" s="1658"/>
      <c r="IMM348" s="1658"/>
      <c r="IMN348" s="1658"/>
      <c r="IMO348" s="1658"/>
      <c r="IMP348" s="1658"/>
      <c r="IMQ348" s="1658"/>
      <c r="IMR348" s="1658"/>
      <c r="IMS348" s="1658"/>
      <c r="IMT348" s="1658"/>
      <c r="IMU348" s="1658"/>
      <c r="IMV348" s="1658"/>
      <c r="IMW348" s="1658"/>
      <c r="IMX348" s="1658"/>
      <c r="IMY348" s="1658"/>
      <c r="IMZ348" s="1658"/>
      <c r="INA348" s="1658"/>
      <c r="INB348" s="1658"/>
      <c r="INC348" s="1658"/>
      <c r="IND348" s="1658"/>
      <c r="INE348" s="1658"/>
      <c r="INF348" s="1658"/>
      <c r="ING348" s="1658"/>
      <c r="INH348" s="1658"/>
      <c r="INI348" s="1658"/>
      <c r="INJ348" s="1658"/>
      <c r="INK348" s="1658"/>
      <c r="INL348" s="1658"/>
      <c r="INM348" s="1658"/>
      <c r="INN348" s="1658"/>
      <c r="INO348" s="1658"/>
      <c r="INP348" s="1658"/>
      <c r="INQ348" s="1658"/>
      <c r="INR348" s="1658"/>
      <c r="INS348" s="1658"/>
      <c r="INT348" s="1658"/>
      <c r="INU348" s="1658"/>
      <c r="INV348" s="1658"/>
      <c r="INW348" s="1658"/>
      <c r="INX348" s="1658"/>
      <c r="INY348" s="1658"/>
      <c r="INZ348" s="1658"/>
      <c r="IOA348" s="1658"/>
      <c r="IOB348" s="1658"/>
      <c r="IOC348" s="1658"/>
      <c r="IOD348" s="1658"/>
      <c r="IOE348" s="1658"/>
      <c r="IOF348" s="1658"/>
      <c r="IOG348" s="1658"/>
      <c r="IOH348" s="1658"/>
      <c r="IOI348" s="1658"/>
      <c r="IOJ348" s="1658"/>
      <c r="IOK348" s="1658"/>
      <c r="IOL348" s="1658"/>
      <c r="IOM348" s="1658"/>
      <c r="ION348" s="1658"/>
      <c r="IOO348" s="1658"/>
      <c r="IOP348" s="1658"/>
      <c r="IOQ348" s="1658"/>
      <c r="IOR348" s="1658"/>
      <c r="IOS348" s="1658"/>
      <c r="IOT348" s="1658"/>
      <c r="IOU348" s="1658"/>
      <c r="IOV348" s="1658"/>
      <c r="IOW348" s="1658"/>
      <c r="IOX348" s="1658"/>
      <c r="IOY348" s="1658"/>
      <c r="IOZ348" s="1658"/>
      <c r="IPA348" s="1658"/>
      <c r="IPB348" s="1658"/>
      <c r="IPC348" s="1658"/>
      <c r="IPD348" s="1658"/>
      <c r="IPE348" s="1658"/>
      <c r="IPF348" s="1658"/>
      <c r="IPG348" s="1658"/>
      <c r="IPH348" s="1658"/>
      <c r="IPI348" s="1658"/>
      <c r="IPJ348" s="1658"/>
      <c r="IPK348" s="1658"/>
      <c r="IPL348" s="1658"/>
      <c r="IPM348" s="1658"/>
      <c r="IPN348" s="1658"/>
      <c r="IPO348" s="1658"/>
      <c r="IPP348" s="1658"/>
      <c r="IPQ348" s="1658"/>
      <c r="IPR348" s="1658"/>
      <c r="IPS348" s="1658"/>
      <c r="IPT348" s="1658"/>
      <c r="IPU348" s="1658"/>
      <c r="IPV348" s="1658"/>
      <c r="IPW348" s="1658"/>
      <c r="IPX348" s="1658"/>
      <c r="IPY348" s="1658"/>
      <c r="IPZ348" s="1658"/>
      <c r="IQA348" s="1658"/>
      <c r="IQB348" s="1658"/>
      <c r="IQC348" s="1658"/>
      <c r="IQD348" s="1658"/>
      <c r="IQE348" s="1658"/>
      <c r="IQF348" s="1658"/>
      <c r="IQG348" s="1658"/>
      <c r="IQH348" s="1658"/>
      <c r="IQI348" s="1658"/>
      <c r="IQJ348" s="1658"/>
      <c r="IQK348" s="1658"/>
      <c r="IQL348" s="1658"/>
      <c r="IQM348" s="1658"/>
      <c r="IQN348" s="1658"/>
      <c r="IQO348" s="1658"/>
      <c r="IQP348" s="1658"/>
      <c r="IQQ348" s="1658"/>
      <c r="IQR348" s="1658"/>
      <c r="IQS348" s="1658"/>
      <c r="IQT348" s="1658"/>
      <c r="IQU348" s="1658"/>
      <c r="IQV348" s="1658"/>
      <c r="IQW348" s="1658"/>
      <c r="IQX348" s="1658"/>
      <c r="IQY348" s="1658"/>
      <c r="IQZ348" s="1658"/>
      <c r="IRA348" s="1658"/>
      <c r="IRB348" s="1658"/>
      <c r="IRC348" s="1658"/>
      <c r="IRD348" s="1658"/>
      <c r="IRE348" s="1658"/>
      <c r="IRF348" s="1658"/>
      <c r="IRG348" s="1658"/>
      <c r="IRH348" s="1658"/>
      <c r="IRI348" s="1658"/>
      <c r="IRJ348" s="1658"/>
      <c r="IRK348" s="1658"/>
      <c r="IRL348" s="1658"/>
      <c r="IRM348" s="1658"/>
      <c r="IRN348" s="1658"/>
      <c r="IRO348" s="1658"/>
      <c r="IRP348" s="1658"/>
      <c r="IRQ348" s="1658"/>
      <c r="IRR348" s="1658"/>
      <c r="IRS348" s="1658"/>
      <c r="IRT348" s="1658"/>
      <c r="IRU348" s="1658"/>
      <c r="IRV348" s="1658"/>
      <c r="IRW348" s="1658"/>
      <c r="IRX348" s="1658"/>
      <c r="IRY348" s="1658"/>
      <c r="IRZ348" s="1658"/>
      <c r="ISA348" s="1658"/>
      <c r="ISB348" s="1658"/>
      <c r="ISC348" s="1658"/>
      <c r="ISD348" s="1658"/>
      <c r="ISE348" s="1658"/>
      <c r="ISF348" s="1658"/>
      <c r="ISG348" s="1658"/>
      <c r="ISH348" s="1658"/>
      <c r="ISI348" s="1658"/>
      <c r="ISJ348" s="1658"/>
      <c r="ISK348" s="1658"/>
      <c r="ISL348" s="1658"/>
      <c r="ISM348" s="1658"/>
      <c r="ISN348" s="1658"/>
      <c r="ISO348" s="1658"/>
      <c r="ISP348" s="1658"/>
      <c r="ISQ348" s="1658"/>
      <c r="ISR348" s="1658"/>
      <c r="ISS348" s="1658"/>
      <c r="IST348" s="1658"/>
      <c r="ISU348" s="1658"/>
      <c r="ISV348" s="1658"/>
      <c r="ISW348" s="1658"/>
      <c r="ISX348" s="1658"/>
      <c r="ISY348" s="1658"/>
      <c r="ISZ348" s="1658"/>
      <c r="ITA348" s="1658"/>
      <c r="ITB348" s="1658"/>
      <c r="ITC348" s="1658"/>
      <c r="ITD348" s="1658"/>
      <c r="ITE348" s="1658"/>
      <c r="ITF348" s="1658"/>
      <c r="ITG348" s="1658"/>
      <c r="ITH348" s="1658"/>
      <c r="ITI348" s="1658"/>
      <c r="ITJ348" s="1658"/>
      <c r="ITK348" s="1658"/>
      <c r="ITL348" s="1658"/>
      <c r="ITM348" s="1658"/>
      <c r="ITN348" s="1658"/>
      <c r="ITO348" s="1658"/>
      <c r="ITP348" s="1658"/>
      <c r="ITQ348" s="1658"/>
      <c r="ITR348" s="1658"/>
      <c r="ITS348" s="1658"/>
      <c r="ITT348" s="1658"/>
      <c r="ITU348" s="1658"/>
      <c r="ITV348" s="1658"/>
      <c r="ITW348" s="1658"/>
      <c r="ITX348" s="1658"/>
      <c r="ITY348" s="1658"/>
      <c r="ITZ348" s="1658"/>
      <c r="IUA348" s="1658"/>
      <c r="IUB348" s="1658"/>
      <c r="IUC348" s="1658"/>
      <c r="IUD348" s="1658"/>
      <c r="IUE348" s="1658"/>
      <c r="IUF348" s="1658"/>
      <c r="IUG348" s="1658"/>
      <c r="IUH348" s="1658"/>
      <c r="IUI348" s="1658"/>
      <c r="IUJ348" s="1658"/>
      <c r="IUK348" s="1658"/>
      <c r="IUL348" s="1658"/>
      <c r="IUM348" s="1658"/>
      <c r="IUN348" s="1658"/>
      <c r="IUO348" s="1658"/>
      <c r="IUP348" s="1658"/>
      <c r="IUQ348" s="1658"/>
      <c r="IUR348" s="1658"/>
      <c r="IUS348" s="1658"/>
      <c r="IUT348" s="1658"/>
      <c r="IUU348" s="1658"/>
      <c r="IUV348" s="1658"/>
      <c r="IUW348" s="1658"/>
      <c r="IUX348" s="1658"/>
      <c r="IUY348" s="1658"/>
      <c r="IUZ348" s="1658"/>
      <c r="IVA348" s="1658"/>
      <c r="IVB348" s="1658"/>
      <c r="IVC348" s="1658"/>
      <c r="IVD348" s="1658"/>
      <c r="IVE348" s="1658"/>
      <c r="IVF348" s="1658"/>
      <c r="IVG348" s="1658"/>
      <c r="IVH348" s="1658"/>
      <c r="IVI348" s="1658"/>
      <c r="IVJ348" s="1658"/>
      <c r="IVK348" s="1658"/>
      <c r="IVL348" s="1658"/>
      <c r="IVM348" s="1658"/>
      <c r="IVN348" s="1658"/>
      <c r="IVO348" s="1658"/>
      <c r="IVP348" s="1658"/>
      <c r="IVQ348" s="1658"/>
      <c r="IVR348" s="1658"/>
      <c r="IVS348" s="1658"/>
      <c r="IVT348" s="1658"/>
      <c r="IVU348" s="1658"/>
      <c r="IVV348" s="1658"/>
      <c r="IVW348" s="1658"/>
      <c r="IVX348" s="1658"/>
      <c r="IVY348" s="1658"/>
      <c r="IVZ348" s="1658"/>
      <c r="IWA348" s="1658"/>
      <c r="IWB348" s="1658"/>
      <c r="IWC348" s="1658"/>
      <c r="IWD348" s="1658"/>
      <c r="IWE348" s="1658"/>
      <c r="IWF348" s="1658"/>
      <c r="IWG348" s="1658"/>
      <c r="IWH348" s="1658"/>
      <c r="IWI348" s="1658"/>
      <c r="IWJ348" s="1658"/>
      <c r="IWK348" s="1658"/>
      <c r="IWL348" s="1658"/>
      <c r="IWM348" s="1658"/>
      <c r="IWN348" s="1658"/>
      <c r="IWO348" s="1658"/>
      <c r="IWP348" s="1658"/>
      <c r="IWQ348" s="1658"/>
      <c r="IWR348" s="1658"/>
      <c r="IWS348" s="1658"/>
      <c r="IWT348" s="1658"/>
      <c r="IWU348" s="1658"/>
      <c r="IWV348" s="1658"/>
      <c r="IWW348" s="1658"/>
      <c r="IWX348" s="1658"/>
      <c r="IWY348" s="1658"/>
      <c r="IWZ348" s="1658"/>
      <c r="IXA348" s="1658"/>
      <c r="IXB348" s="1658"/>
      <c r="IXC348" s="1658"/>
      <c r="IXD348" s="1658"/>
      <c r="IXE348" s="1658"/>
      <c r="IXF348" s="1658"/>
      <c r="IXG348" s="1658"/>
      <c r="IXH348" s="1658"/>
      <c r="IXI348" s="1658"/>
      <c r="IXJ348" s="1658"/>
      <c r="IXK348" s="1658"/>
      <c r="IXL348" s="1658"/>
      <c r="IXM348" s="1658"/>
      <c r="IXN348" s="1658"/>
      <c r="IXO348" s="1658"/>
      <c r="IXP348" s="1658"/>
      <c r="IXQ348" s="1658"/>
      <c r="IXR348" s="1658"/>
      <c r="IXS348" s="1658"/>
      <c r="IXT348" s="1658"/>
      <c r="IXU348" s="1658"/>
      <c r="IXV348" s="1658"/>
      <c r="IXW348" s="1658"/>
      <c r="IXX348" s="1658"/>
      <c r="IXY348" s="1658"/>
      <c r="IXZ348" s="1658"/>
      <c r="IYA348" s="1658"/>
      <c r="IYB348" s="1658"/>
      <c r="IYC348" s="1658"/>
      <c r="IYD348" s="1658"/>
      <c r="IYE348" s="1658"/>
      <c r="IYF348" s="1658"/>
      <c r="IYG348" s="1658"/>
      <c r="IYH348" s="1658"/>
      <c r="IYI348" s="1658"/>
      <c r="IYJ348" s="1658"/>
      <c r="IYK348" s="1658"/>
      <c r="IYL348" s="1658"/>
      <c r="IYM348" s="1658"/>
      <c r="IYN348" s="1658"/>
      <c r="IYO348" s="1658"/>
      <c r="IYP348" s="1658"/>
      <c r="IYQ348" s="1658"/>
      <c r="IYR348" s="1658"/>
      <c r="IYS348" s="1658"/>
      <c r="IYT348" s="1658"/>
      <c r="IYU348" s="1658"/>
      <c r="IYV348" s="1658"/>
      <c r="IYW348" s="1658"/>
      <c r="IYX348" s="1658"/>
      <c r="IYY348" s="1658"/>
      <c r="IYZ348" s="1658"/>
      <c r="IZA348" s="1658"/>
      <c r="IZB348" s="1658"/>
      <c r="IZC348" s="1658"/>
      <c r="IZD348" s="1658"/>
      <c r="IZE348" s="1658"/>
      <c r="IZF348" s="1658"/>
      <c r="IZG348" s="1658"/>
      <c r="IZH348" s="1658"/>
      <c r="IZI348" s="1658"/>
      <c r="IZJ348" s="1658"/>
      <c r="IZK348" s="1658"/>
      <c r="IZL348" s="1658"/>
      <c r="IZM348" s="1658"/>
      <c r="IZN348" s="1658"/>
      <c r="IZO348" s="1658"/>
      <c r="IZP348" s="1658"/>
      <c r="IZQ348" s="1658"/>
      <c r="IZR348" s="1658"/>
      <c r="IZS348" s="1658"/>
      <c r="IZT348" s="1658"/>
      <c r="IZU348" s="1658"/>
      <c r="IZV348" s="1658"/>
      <c r="IZW348" s="1658"/>
      <c r="IZX348" s="1658"/>
      <c r="IZY348" s="1658"/>
      <c r="IZZ348" s="1658"/>
      <c r="JAA348" s="1658"/>
      <c r="JAB348" s="1658"/>
      <c r="JAC348" s="1658"/>
      <c r="JAD348" s="1658"/>
      <c r="JAE348" s="1658"/>
      <c r="JAF348" s="1658"/>
      <c r="JAG348" s="1658"/>
      <c r="JAH348" s="1658"/>
      <c r="JAI348" s="1658"/>
      <c r="JAJ348" s="1658"/>
      <c r="JAK348" s="1658"/>
      <c r="JAL348" s="1658"/>
      <c r="JAM348" s="1658"/>
      <c r="JAN348" s="1658"/>
      <c r="JAO348" s="1658"/>
      <c r="JAP348" s="1658"/>
      <c r="JAQ348" s="1658"/>
      <c r="JAR348" s="1658"/>
      <c r="JAS348" s="1658"/>
      <c r="JAT348" s="1658"/>
      <c r="JAU348" s="1658"/>
      <c r="JAV348" s="1658"/>
      <c r="JAW348" s="1658"/>
      <c r="JAX348" s="1658"/>
      <c r="JAY348" s="1658"/>
      <c r="JAZ348" s="1658"/>
      <c r="JBA348" s="1658"/>
      <c r="JBB348" s="1658"/>
      <c r="JBC348" s="1658"/>
      <c r="JBD348" s="1658"/>
      <c r="JBE348" s="1658"/>
      <c r="JBF348" s="1658"/>
      <c r="JBG348" s="1658"/>
      <c r="JBH348" s="1658"/>
      <c r="JBI348" s="1658"/>
      <c r="JBJ348" s="1658"/>
      <c r="JBK348" s="1658"/>
      <c r="JBL348" s="1658"/>
      <c r="JBM348" s="1658"/>
      <c r="JBN348" s="1658"/>
      <c r="JBO348" s="1658"/>
      <c r="JBP348" s="1658"/>
      <c r="JBQ348" s="1658"/>
      <c r="JBR348" s="1658"/>
      <c r="JBS348" s="1658"/>
      <c r="JBT348" s="1658"/>
      <c r="JBU348" s="1658"/>
      <c r="JBV348" s="1658"/>
      <c r="JBW348" s="1658"/>
      <c r="JBX348" s="1658"/>
      <c r="JBY348" s="1658"/>
      <c r="JBZ348" s="1658"/>
      <c r="JCA348" s="1658"/>
      <c r="JCB348" s="1658"/>
      <c r="JCC348" s="1658"/>
      <c r="JCD348" s="1658"/>
      <c r="JCE348" s="1658"/>
      <c r="JCF348" s="1658"/>
      <c r="JCG348" s="1658"/>
      <c r="JCH348" s="1658"/>
      <c r="JCI348" s="1658"/>
      <c r="JCJ348" s="1658"/>
      <c r="JCK348" s="1658"/>
      <c r="JCL348" s="1658"/>
      <c r="JCM348" s="1658"/>
      <c r="JCN348" s="1658"/>
      <c r="JCO348" s="1658"/>
      <c r="JCP348" s="1658"/>
      <c r="JCQ348" s="1658"/>
      <c r="JCR348" s="1658"/>
      <c r="JCS348" s="1658"/>
      <c r="JCT348" s="1658"/>
      <c r="JCU348" s="1658"/>
      <c r="JCV348" s="1658"/>
      <c r="JCW348" s="1658"/>
      <c r="JCX348" s="1658"/>
      <c r="JCY348" s="1658"/>
      <c r="JCZ348" s="1658"/>
      <c r="JDA348" s="1658"/>
      <c r="JDB348" s="1658"/>
      <c r="JDC348" s="1658"/>
      <c r="JDD348" s="1658"/>
      <c r="JDE348" s="1658"/>
      <c r="JDF348" s="1658"/>
      <c r="JDG348" s="1658"/>
      <c r="JDH348" s="1658"/>
      <c r="JDI348" s="1658"/>
      <c r="JDJ348" s="1658"/>
      <c r="JDK348" s="1658"/>
      <c r="JDL348" s="1658"/>
      <c r="JDM348" s="1658"/>
      <c r="JDN348" s="1658"/>
      <c r="JDO348" s="1658"/>
      <c r="JDP348" s="1658"/>
      <c r="JDQ348" s="1658"/>
      <c r="JDR348" s="1658"/>
      <c r="JDS348" s="1658"/>
      <c r="JDT348" s="1658"/>
      <c r="JDU348" s="1658"/>
      <c r="JDV348" s="1658"/>
      <c r="JDW348" s="1658"/>
      <c r="JDX348" s="1658"/>
      <c r="JDY348" s="1658"/>
      <c r="JDZ348" s="1658"/>
      <c r="JEA348" s="1658"/>
      <c r="JEB348" s="1658"/>
      <c r="JEC348" s="1658"/>
      <c r="JED348" s="1658"/>
      <c r="JEE348" s="1658"/>
      <c r="JEF348" s="1658"/>
      <c r="JEG348" s="1658"/>
      <c r="JEH348" s="1658"/>
      <c r="JEI348" s="1658"/>
      <c r="JEJ348" s="1658"/>
      <c r="JEK348" s="1658"/>
      <c r="JEL348" s="1658"/>
      <c r="JEM348" s="1658"/>
      <c r="JEN348" s="1658"/>
      <c r="JEO348" s="1658"/>
      <c r="JEP348" s="1658"/>
      <c r="JEQ348" s="1658"/>
      <c r="JER348" s="1658"/>
      <c r="JES348" s="1658"/>
      <c r="JET348" s="1658"/>
      <c r="JEU348" s="1658"/>
      <c r="JEV348" s="1658"/>
      <c r="JEW348" s="1658"/>
      <c r="JEX348" s="1658"/>
      <c r="JEY348" s="1658"/>
      <c r="JEZ348" s="1658"/>
      <c r="JFA348" s="1658"/>
      <c r="JFB348" s="1658"/>
      <c r="JFC348" s="1658"/>
      <c r="JFD348" s="1658"/>
      <c r="JFE348" s="1658"/>
      <c r="JFF348" s="1658"/>
      <c r="JFG348" s="1658"/>
      <c r="JFH348" s="1658"/>
      <c r="JFI348" s="1658"/>
      <c r="JFJ348" s="1658"/>
      <c r="JFK348" s="1658"/>
      <c r="JFL348" s="1658"/>
      <c r="JFM348" s="1658"/>
      <c r="JFN348" s="1658"/>
      <c r="JFO348" s="1658"/>
      <c r="JFP348" s="1658"/>
      <c r="JFQ348" s="1658"/>
      <c r="JFR348" s="1658"/>
      <c r="JFS348" s="1658"/>
      <c r="JFT348" s="1658"/>
      <c r="JFU348" s="1658"/>
      <c r="JFV348" s="1658"/>
      <c r="JFW348" s="1658"/>
      <c r="JFX348" s="1658"/>
      <c r="JFY348" s="1658"/>
      <c r="JFZ348" s="1658"/>
      <c r="JGA348" s="1658"/>
      <c r="JGB348" s="1658"/>
      <c r="JGC348" s="1658"/>
      <c r="JGD348" s="1658"/>
      <c r="JGE348" s="1658"/>
      <c r="JGF348" s="1658"/>
      <c r="JGG348" s="1658"/>
      <c r="JGH348" s="1658"/>
      <c r="JGI348" s="1658"/>
      <c r="JGJ348" s="1658"/>
      <c r="JGK348" s="1658"/>
      <c r="JGL348" s="1658"/>
      <c r="JGM348" s="1658"/>
      <c r="JGN348" s="1658"/>
      <c r="JGO348" s="1658"/>
      <c r="JGP348" s="1658"/>
      <c r="JGQ348" s="1658"/>
      <c r="JGR348" s="1658"/>
      <c r="JGS348" s="1658"/>
      <c r="JGT348" s="1658"/>
      <c r="JGU348" s="1658"/>
      <c r="JGV348" s="1658"/>
      <c r="JGW348" s="1658"/>
      <c r="JGX348" s="1658"/>
      <c r="JGY348" s="1658"/>
      <c r="JGZ348" s="1658"/>
      <c r="JHA348" s="1658"/>
      <c r="JHB348" s="1658"/>
      <c r="JHC348" s="1658"/>
      <c r="JHD348" s="1658"/>
      <c r="JHE348" s="1658"/>
      <c r="JHF348" s="1658"/>
      <c r="JHG348" s="1658"/>
      <c r="JHH348" s="1658"/>
      <c r="JHI348" s="1658"/>
      <c r="JHJ348" s="1658"/>
      <c r="JHK348" s="1658"/>
      <c r="JHL348" s="1658"/>
      <c r="JHM348" s="1658"/>
      <c r="JHN348" s="1658"/>
      <c r="JHO348" s="1658"/>
      <c r="JHP348" s="1658"/>
      <c r="JHQ348" s="1658"/>
      <c r="JHR348" s="1658"/>
      <c r="JHS348" s="1658"/>
      <c r="JHT348" s="1658"/>
      <c r="JHU348" s="1658"/>
      <c r="JHV348" s="1658"/>
      <c r="JHW348" s="1658"/>
      <c r="JHX348" s="1658"/>
      <c r="JHY348" s="1658"/>
      <c r="JHZ348" s="1658"/>
      <c r="JIA348" s="1658"/>
      <c r="JIB348" s="1658"/>
      <c r="JIC348" s="1658"/>
      <c r="JID348" s="1658"/>
      <c r="JIE348" s="1658"/>
      <c r="JIF348" s="1658"/>
      <c r="JIG348" s="1658"/>
      <c r="JIH348" s="1658"/>
      <c r="JII348" s="1658"/>
      <c r="JIJ348" s="1658"/>
      <c r="JIK348" s="1658"/>
      <c r="JIL348" s="1658"/>
      <c r="JIM348" s="1658"/>
      <c r="JIN348" s="1658"/>
      <c r="JIO348" s="1658"/>
      <c r="JIP348" s="1658"/>
      <c r="JIQ348" s="1658"/>
      <c r="JIR348" s="1658"/>
      <c r="JIS348" s="1658"/>
      <c r="JIT348" s="1658"/>
      <c r="JIU348" s="1658"/>
      <c r="JIV348" s="1658"/>
      <c r="JIW348" s="1658"/>
      <c r="JIX348" s="1658"/>
      <c r="JIY348" s="1658"/>
      <c r="JIZ348" s="1658"/>
      <c r="JJA348" s="1658"/>
      <c r="JJB348" s="1658"/>
      <c r="JJC348" s="1658"/>
      <c r="JJD348" s="1658"/>
      <c r="JJE348" s="1658"/>
      <c r="JJF348" s="1658"/>
      <c r="JJG348" s="1658"/>
      <c r="JJH348" s="1658"/>
      <c r="JJI348" s="1658"/>
      <c r="JJJ348" s="1658"/>
      <c r="JJK348" s="1658"/>
      <c r="JJL348" s="1658"/>
      <c r="JJM348" s="1658"/>
      <c r="JJN348" s="1658"/>
      <c r="JJO348" s="1658"/>
      <c r="JJP348" s="1658"/>
      <c r="JJQ348" s="1658"/>
      <c r="JJR348" s="1658"/>
      <c r="JJS348" s="1658"/>
      <c r="JJT348" s="1658"/>
      <c r="JJU348" s="1658"/>
      <c r="JJV348" s="1658"/>
      <c r="JJW348" s="1658"/>
      <c r="JJX348" s="1658"/>
      <c r="JJY348" s="1658"/>
      <c r="JJZ348" s="1658"/>
      <c r="JKA348" s="1658"/>
      <c r="JKB348" s="1658"/>
      <c r="JKC348" s="1658"/>
      <c r="JKD348" s="1658"/>
      <c r="JKE348" s="1658"/>
      <c r="JKF348" s="1658"/>
      <c r="JKG348" s="1658"/>
      <c r="JKH348" s="1658"/>
      <c r="JKI348" s="1658"/>
      <c r="JKJ348" s="1658"/>
      <c r="JKK348" s="1658"/>
      <c r="JKL348" s="1658"/>
      <c r="JKM348" s="1658"/>
      <c r="JKN348" s="1658"/>
      <c r="JKO348" s="1658"/>
      <c r="JKP348" s="1658"/>
      <c r="JKQ348" s="1658"/>
      <c r="JKR348" s="1658"/>
      <c r="JKS348" s="1658"/>
      <c r="JKT348" s="1658"/>
      <c r="JKU348" s="1658"/>
      <c r="JKV348" s="1658"/>
      <c r="JKW348" s="1658"/>
      <c r="JKX348" s="1658"/>
      <c r="JKY348" s="1658"/>
      <c r="JKZ348" s="1658"/>
      <c r="JLA348" s="1658"/>
      <c r="JLB348" s="1658"/>
      <c r="JLC348" s="1658"/>
      <c r="JLD348" s="1658"/>
      <c r="JLE348" s="1658"/>
      <c r="JLF348" s="1658"/>
      <c r="JLG348" s="1658"/>
      <c r="JLH348" s="1658"/>
      <c r="JLI348" s="1658"/>
      <c r="JLJ348" s="1658"/>
      <c r="JLK348" s="1658"/>
      <c r="JLL348" s="1658"/>
      <c r="JLM348" s="1658"/>
      <c r="JLN348" s="1658"/>
      <c r="JLO348" s="1658"/>
      <c r="JLP348" s="1658"/>
      <c r="JLQ348" s="1658"/>
      <c r="JLR348" s="1658"/>
      <c r="JLS348" s="1658"/>
      <c r="JLT348" s="1658"/>
      <c r="JLU348" s="1658"/>
      <c r="JLV348" s="1658"/>
      <c r="JLW348" s="1658"/>
      <c r="JLX348" s="1658"/>
      <c r="JLY348" s="1658"/>
      <c r="JLZ348" s="1658"/>
      <c r="JMA348" s="1658"/>
      <c r="JMB348" s="1658"/>
      <c r="JMC348" s="1658"/>
      <c r="JMD348" s="1658"/>
      <c r="JME348" s="1658"/>
      <c r="JMF348" s="1658"/>
      <c r="JMG348" s="1658"/>
      <c r="JMH348" s="1658"/>
      <c r="JMI348" s="1658"/>
      <c r="JMJ348" s="1658"/>
      <c r="JMK348" s="1658"/>
      <c r="JML348" s="1658"/>
      <c r="JMM348" s="1658"/>
      <c r="JMN348" s="1658"/>
      <c r="JMO348" s="1658"/>
      <c r="JMP348" s="1658"/>
      <c r="JMQ348" s="1658"/>
      <c r="JMR348" s="1658"/>
      <c r="JMS348" s="1658"/>
      <c r="JMT348" s="1658"/>
      <c r="JMU348" s="1658"/>
      <c r="JMV348" s="1658"/>
      <c r="JMW348" s="1658"/>
      <c r="JMX348" s="1658"/>
      <c r="JMY348" s="1658"/>
      <c r="JMZ348" s="1658"/>
      <c r="JNA348" s="1658"/>
      <c r="JNB348" s="1658"/>
      <c r="JNC348" s="1658"/>
      <c r="JND348" s="1658"/>
      <c r="JNE348" s="1658"/>
      <c r="JNF348" s="1658"/>
      <c r="JNG348" s="1658"/>
      <c r="JNH348" s="1658"/>
      <c r="JNI348" s="1658"/>
      <c r="JNJ348" s="1658"/>
      <c r="JNK348" s="1658"/>
      <c r="JNL348" s="1658"/>
      <c r="JNM348" s="1658"/>
      <c r="JNN348" s="1658"/>
      <c r="JNO348" s="1658"/>
      <c r="JNP348" s="1658"/>
      <c r="JNQ348" s="1658"/>
      <c r="JNR348" s="1658"/>
      <c r="JNS348" s="1658"/>
      <c r="JNT348" s="1658"/>
      <c r="JNU348" s="1658"/>
      <c r="JNV348" s="1658"/>
      <c r="JNW348" s="1658"/>
      <c r="JNX348" s="1658"/>
      <c r="JNY348" s="1658"/>
      <c r="JNZ348" s="1658"/>
      <c r="JOA348" s="1658"/>
      <c r="JOB348" s="1658"/>
      <c r="JOC348" s="1658"/>
      <c r="JOD348" s="1658"/>
      <c r="JOE348" s="1658"/>
      <c r="JOF348" s="1658"/>
      <c r="JOG348" s="1658"/>
      <c r="JOH348" s="1658"/>
      <c r="JOI348" s="1658"/>
      <c r="JOJ348" s="1658"/>
      <c r="JOK348" s="1658"/>
      <c r="JOL348" s="1658"/>
      <c r="JOM348" s="1658"/>
      <c r="JON348" s="1658"/>
      <c r="JOO348" s="1658"/>
      <c r="JOP348" s="1658"/>
      <c r="JOQ348" s="1658"/>
      <c r="JOR348" s="1658"/>
      <c r="JOS348" s="1658"/>
      <c r="JOT348" s="1658"/>
      <c r="JOU348" s="1658"/>
      <c r="JOV348" s="1658"/>
      <c r="JOW348" s="1658"/>
      <c r="JOX348" s="1658"/>
      <c r="JOY348" s="1658"/>
      <c r="JOZ348" s="1658"/>
      <c r="JPA348" s="1658"/>
      <c r="JPB348" s="1658"/>
      <c r="JPC348" s="1658"/>
      <c r="JPD348" s="1658"/>
      <c r="JPE348" s="1658"/>
      <c r="JPF348" s="1658"/>
      <c r="JPG348" s="1658"/>
      <c r="JPH348" s="1658"/>
      <c r="JPI348" s="1658"/>
      <c r="JPJ348" s="1658"/>
      <c r="JPK348" s="1658"/>
      <c r="JPL348" s="1658"/>
      <c r="JPM348" s="1658"/>
      <c r="JPN348" s="1658"/>
      <c r="JPO348" s="1658"/>
      <c r="JPP348" s="1658"/>
      <c r="JPQ348" s="1658"/>
      <c r="JPR348" s="1658"/>
      <c r="JPS348" s="1658"/>
      <c r="JPT348" s="1658"/>
      <c r="JPU348" s="1658"/>
      <c r="JPV348" s="1658"/>
      <c r="JPW348" s="1658"/>
      <c r="JPX348" s="1658"/>
      <c r="JPY348" s="1658"/>
      <c r="JPZ348" s="1658"/>
      <c r="JQA348" s="1658"/>
      <c r="JQB348" s="1658"/>
      <c r="JQC348" s="1658"/>
      <c r="JQD348" s="1658"/>
      <c r="JQE348" s="1658"/>
      <c r="JQF348" s="1658"/>
      <c r="JQG348" s="1658"/>
      <c r="JQH348" s="1658"/>
      <c r="JQI348" s="1658"/>
      <c r="JQJ348" s="1658"/>
      <c r="JQK348" s="1658"/>
      <c r="JQL348" s="1658"/>
      <c r="JQM348" s="1658"/>
      <c r="JQN348" s="1658"/>
      <c r="JQO348" s="1658"/>
      <c r="JQP348" s="1658"/>
      <c r="JQQ348" s="1658"/>
      <c r="JQR348" s="1658"/>
      <c r="JQS348" s="1658"/>
      <c r="JQT348" s="1658"/>
      <c r="JQU348" s="1658"/>
      <c r="JQV348" s="1658"/>
      <c r="JQW348" s="1658"/>
      <c r="JQX348" s="1658"/>
      <c r="JQY348" s="1658"/>
      <c r="JQZ348" s="1658"/>
      <c r="JRA348" s="1658"/>
      <c r="JRB348" s="1658"/>
      <c r="JRC348" s="1658"/>
      <c r="JRD348" s="1658"/>
      <c r="JRE348" s="1658"/>
      <c r="JRF348" s="1658"/>
      <c r="JRG348" s="1658"/>
      <c r="JRH348" s="1658"/>
      <c r="JRI348" s="1658"/>
      <c r="JRJ348" s="1658"/>
      <c r="JRK348" s="1658"/>
      <c r="JRL348" s="1658"/>
      <c r="JRM348" s="1658"/>
      <c r="JRN348" s="1658"/>
      <c r="JRO348" s="1658"/>
      <c r="JRP348" s="1658"/>
      <c r="JRQ348" s="1658"/>
      <c r="JRR348" s="1658"/>
      <c r="JRS348" s="1658"/>
      <c r="JRT348" s="1658"/>
      <c r="JRU348" s="1658"/>
      <c r="JRV348" s="1658"/>
      <c r="JRW348" s="1658"/>
      <c r="JRX348" s="1658"/>
      <c r="JRY348" s="1658"/>
      <c r="JRZ348" s="1658"/>
      <c r="JSA348" s="1658"/>
      <c r="JSB348" s="1658"/>
      <c r="JSC348" s="1658"/>
      <c r="JSD348" s="1658"/>
      <c r="JSE348" s="1658"/>
      <c r="JSF348" s="1658"/>
      <c r="JSG348" s="1658"/>
      <c r="JSH348" s="1658"/>
      <c r="JSI348" s="1658"/>
      <c r="JSJ348" s="1658"/>
      <c r="JSK348" s="1658"/>
      <c r="JSL348" s="1658"/>
      <c r="JSM348" s="1658"/>
      <c r="JSN348" s="1658"/>
      <c r="JSO348" s="1658"/>
      <c r="JSP348" s="1658"/>
      <c r="JSQ348" s="1658"/>
      <c r="JSR348" s="1658"/>
      <c r="JSS348" s="1658"/>
      <c r="JST348" s="1658"/>
      <c r="JSU348" s="1658"/>
      <c r="JSV348" s="1658"/>
      <c r="JSW348" s="1658"/>
      <c r="JSX348" s="1658"/>
      <c r="JSY348" s="1658"/>
      <c r="JSZ348" s="1658"/>
      <c r="JTA348" s="1658"/>
      <c r="JTB348" s="1658"/>
      <c r="JTC348" s="1658"/>
      <c r="JTD348" s="1658"/>
      <c r="JTE348" s="1658"/>
      <c r="JTF348" s="1658"/>
      <c r="JTG348" s="1658"/>
      <c r="JTH348" s="1658"/>
      <c r="JTI348" s="1658"/>
      <c r="JTJ348" s="1658"/>
      <c r="JTK348" s="1658"/>
      <c r="JTL348" s="1658"/>
      <c r="JTM348" s="1658"/>
      <c r="JTN348" s="1658"/>
      <c r="JTO348" s="1658"/>
      <c r="JTP348" s="1658"/>
      <c r="JTQ348" s="1658"/>
      <c r="JTR348" s="1658"/>
      <c r="JTS348" s="1658"/>
      <c r="JTT348" s="1658"/>
      <c r="JTU348" s="1658"/>
      <c r="JTV348" s="1658"/>
      <c r="JTW348" s="1658"/>
      <c r="JTX348" s="1658"/>
      <c r="JTY348" s="1658"/>
      <c r="JTZ348" s="1658"/>
      <c r="JUA348" s="1658"/>
      <c r="JUB348" s="1658"/>
      <c r="JUC348" s="1658"/>
      <c r="JUD348" s="1658"/>
      <c r="JUE348" s="1658"/>
      <c r="JUF348" s="1658"/>
      <c r="JUG348" s="1658"/>
      <c r="JUH348" s="1658"/>
      <c r="JUI348" s="1658"/>
      <c r="JUJ348" s="1658"/>
      <c r="JUK348" s="1658"/>
      <c r="JUL348" s="1658"/>
      <c r="JUM348" s="1658"/>
      <c r="JUN348" s="1658"/>
      <c r="JUO348" s="1658"/>
      <c r="JUP348" s="1658"/>
      <c r="JUQ348" s="1658"/>
      <c r="JUR348" s="1658"/>
      <c r="JUS348" s="1658"/>
      <c r="JUT348" s="1658"/>
      <c r="JUU348" s="1658"/>
      <c r="JUV348" s="1658"/>
      <c r="JUW348" s="1658"/>
      <c r="JUX348" s="1658"/>
      <c r="JUY348" s="1658"/>
      <c r="JUZ348" s="1658"/>
      <c r="JVA348" s="1658"/>
      <c r="JVB348" s="1658"/>
      <c r="JVC348" s="1658"/>
      <c r="JVD348" s="1658"/>
      <c r="JVE348" s="1658"/>
      <c r="JVF348" s="1658"/>
      <c r="JVG348" s="1658"/>
      <c r="JVH348" s="1658"/>
      <c r="JVI348" s="1658"/>
      <c r="JVJ348" s="1658"/>
      <c r="JVK348" s="1658"/>
      <c r="JVL348" s="1658"/>
      <c r="JVM348" s="1658"/>
      <c r="JVN348" s="1658"/>
      <c r="JVO348" s="1658"/>
      <c r="JVP348" s="1658"/>
      <c r="JVQ348" s="1658"/>
      <c r="JVR348" s="1658"/>
      <c r="JVS348" s="1658"/>
      <c r="JVT348" s="1658"/>
      <c r="JVU348" s="1658"/>
      <c r="JVV348" s="1658"/>
      <c r="JVW348" s="1658"/>
      <c r="JVX348" s="1658"/>
      <c r="JVY348" s="1658"/>
      <c r="JVZ348" s="1658"/>
      <c r="JWA348" s="1658"/>
      <c r="JWB348" s="1658"/>
      <c r="JWC348" s="1658"/>
      <c r="JWD348" s="1658"/>
      <c r="JWE348" s="1658"/>
      <c r="JWF348" s="1658"/>
      <c r="JWG348" s="1658"/>
      <c r="JWH348" s="1658"/>
      <c r="JWI348" s="1658"/>
      <c r="JWJ348" s="1658"/>
      <c r="JWK348" s="1658"/>
      <c r="JWL348" s="1658"/>
      <c r="JWM348" s="1658"/>
      <c r="JWN348" s="1658"/>
      <c r="JWO348" s="1658"/>
      <c r="JWP348" s="1658"/>
      <c r="JWQ348" s="1658"/>
      <c r="JWR348" s="1658"/>
      <c r="JWS348" s="1658"/>
      <c r="JWT348" s="1658"/>
      <c r="JWU348" s="1658"/>
      <c r="JWV348" s="1658"/>
      <c r="JWW348" s="1658"/>
      <c r="JWX348" s="1658"/>
      <c r="JWY348" s="1658"/>
      <c r="JWZ348" s="1658"/>
      <c r="JXA348" s="1658"/>
      <c r="JXB348" s="1658"/>
      <c r="JXC348" s="1658"/>
      <c r="JXD348" s="1658"/>
      <c r="JXE348" s="1658"/>
      <c r="JXF348" s="1658"/>
      <c r="JXG348" s="1658"/>
      <c r="JXH348" s="1658"/>
      <c r="JXI348" s="1658"/>
      <c r="JXJ348" s="1658"/>
      <c r="JXK348" s="1658"/>
      <c r="JXL348" s="1658"/>
      <c r="JXM348" s="1658"/>
      <c r="JXN348" s="1658"/>
      <c r="JXO348" s="1658"/>
      <c r="JXP348" s="1658"/>
      <c r="JXQ348" s="1658"/>
      <c r="JXR348" s="1658"/>
      <c r="JXS348" s="1658"/>
      <c r="JXT348" s="1658"/>
      <c r="JXU348" s="1658"/>
      <c r="JXV348" s="1658"/>
      <c r="JXW348" s="1658"/>
      <c r="JXX348" s="1658"/>
      <c r="JXY348" s="1658"/>
      <c r="JXZ348" s="1658"/>
      <c r="JYA348" s="1658"/>
      <c r="JYB348" s="1658"/>
      <c r="JYC348" s="1658"/>
      <c r="JYD348" s="1658"/>
      <c r="JYE348" s="1658"/>
      <c r="JYF348" s="1658"/>
      <c r="JYG348" s="1658"/>
      <c r="JYH348" s="1658"/>
      <c r="JYI348" s="1658"/>
      <c r="JYJ348" s="1658"/>
      <c r="JYK348" s="1658"/>
      <c r="JYL348" s="1658"/>
      <c r="JYM348" s="1658"/>
      <c r="JYN348" s="1658"/>
      <c r="JYO348" s="1658"/>
      <c r="JYP348" s="1658"/>
      <c r="JYQ348" s="1658"/>
      <c r="JYR348" s="1658"/>
      <c r="JYS348" s="1658"/>
      <c r="JYT348" s="1658"/>
      <c r="JYU348" s="1658"/>
      <c r="JYV348" s="1658"/>
      <c r="JYW348" s="1658"/>
      <c r="JYX348" s="1658"/>
      <c r="JYY348" s="1658"/>
      <c r="JYZ348" s="1658"/>
      <c r="JZA348" s="1658"/>
      <c r="JZB348" s="1658"/>
      <c r="JZC348" s="1658"/>
      <c r="JZD348" s="1658"/>
      <c r="JZE348" s="1658"/>
      <c r="JZF348" s="1658"/>
      <c r="JZG348" s="1658"/>
      <c r="JZH348" s="1658"/>
      <c r="JZI348" s="1658"/>
      <c r="JZJ348" s="1658"/>
      <c r="JZK348" s="1658"/>
      <c r="JZL348" s="1658"/>
      <c r="JZM348" s="1658"/>
      <c r="JZN348" s="1658"/>
      <c r="JZO348" s="1658"/>
      <c r="JZP348" s="1658"/>
      <c r="JZQ348" s="1658"/>
      <c r="JZR348" s="1658"/>
      <c r="JZS348" s="1658"/>
      <c r="JZT348" s="1658"/>
      <c r="JZU348" s="1658"/>
      <c r="JZV348" s="1658"/>
      <c r="JZW348" s="1658"/>
      <c r="JZX348" s="1658"/>
      <c r="JZY348" s="1658"/>
      <c r="JZZ348" s="1658"/>
      <c r="KAA348" s="1658"/>
      <c r="KAB348" s="1658"/>
      <c r="KAC348" s="1658"/>
      <c r="KAD348" s="1658"/>
      <c r="KAE348" s="1658"/>
      <c r="KAF348" s="1658"/>
      <c r="KAG348" s="1658"/>
      <c r="KAH348" s="1658"/>
      <c r="KAI348" s="1658"/>
      <c r="KAJ348" s="1658"/>
      <c r="KAK348" s="1658"/>
      <c r="KAL348" s="1658"/>
      <c r="KAM348" s="1658"/>
      <c r="KAN348" s="1658"/>
      <c r="KAO348" s="1658"/>
      <c r="KAP348" s="1658"/>
      <c r="KAQ348" s="1658"/>
      <c r="KAR348" s="1658"/>
      <c r="KAS348" s="1658"/>
      <c r="KAT348" s="1658"/>
      <c r="KAU348" s="1658"/>
      <c r="KAV348" s="1658"/>
      <c r="KAW348" s="1658"/>
      <c r="KAX348" s="1658"/>
      <c r="KAY348" s="1658"/>
      <c r="KAZ348" s="1658"/>
      <c r="KBA348" s="1658"/>
      <c r="KBB348" s="1658"/>
      <c r="KBC348" s="1658"/>
      <c r="KBD348" s="1658"/>
      <c r="KBE348" s="1658"/>
      <c r="KBF348" s="1658"/>
      <c r="KBG348" s="1658"/>
      <c r="KBH348" s="1658"/>
      <c r="KBI348" s="1658"/>
      <c r="KBJ348" s="1658"/>
      <c r="KBK348" s="1658"/>
      <c r="KBL348" s="1658"/>
      <c r="KBM348" s="1658"/>
      <c r="KBN348" s="1658"/>
      <c r="KBO348" s="1658"/>
      <c r="KBP348" s="1658"/>
      <c r="KBQ348" s="1658"/>
      <c r="KBR348" s="1658"/>
      <c r="KBS348" s="1658"/>
      <c r="KBT348" s="1658"/>
      <c r="KBU348" s="1658"/>
      <c r="KBV348" s="1658"/>
      <c r="KBW348" s="1658"/>
      <c r="KBX348" s="1658"/>
      <c r="KBY348" s="1658"/>
      <c r="KBZ348" s="1658"/>
      <c r="KCA348" s="1658"/>
      <c r="KCB348" s="1658"/>
      <c r="KCC348" s="1658"/>
      <c r="KCD348" s="1658"/>
      <c r="KCE348" s="1658"/>
      <c r="KCF348" s="1658"/>
      <c r="KCG348" s="1658"/>
      <c r="KCH348" s="1658"/>
      <c r="KCI348" s="1658"/>
      <c r="KCJ348" s="1658"/>
      <c r="KCK348" s="1658"/>
      <c r="KCL348" s="1658"/>
      <c r="KCM348" s="1658"/>
      <c r="KCN348" s="1658"/>
      <c r="KCO348" s="1658"/>
      <c r="KCP348" s="1658"/>
      <c r="KCQ348" s="1658"/>
      <c r="KCR348" s="1658"/>
      <c r="KCS348" s="1658"/>
      <c r="KCT348" s="1658"/>
      <c r="KCU348" s="1658"/>
      <c r="KCV348" s="1658"/>
      <c r="KCW348" s="1658"/>
      <c r="KCX348" s="1658"/>
      <c r="KCY348" s="1658"/>
      <c r="KCZ348" s="1658"/>
      <c r="KDA348" s="1658"/>
      <c r="KDB348" s="1658"/>
      <c r="KDC348" s="1658"/>
      <c r="KDD348" s="1658"/>
      <c r="KDE348" s="1658"/>
      <c r="KDF348" s="1658"/>
      <c r="KDG348" s="1658"/>
      <c r="KDH348" s="1658"/>
      <c r="KDI348" s="1658"/>
      <c r="KDJ348" s="1658"/>
      <c r="KDK348" s="1658"/>
      <c r="KDL348" s="1658"/>
      <c r="KDM348" s="1658"/>
      <c r="KDN348" s="1658"/>
      <c r="KDO348" s="1658"/>
      <c r="KDP348" s="1658"/>
      <c r="KDQ348" s="1658"/>
      <c r="KDR348" s="1658"/>
      <c r="KDS348" s="1658"/>
      <c r="KDT348" s="1658"/>
      <c r="KDU348" s="1658"/>
      <c r="KDV348" s="1658"/>
      <c r="KDW348" s="1658"/>
      <c r="KDX348" s="1658"/>
      <c r="KDY348" s="1658"/>
      <c r="KDZ348" s="1658"/>
      <c r="KEA348" s="1658"/>
      <c r="KEB348" s="1658"/>
      <c r="KEC348" s="1658"/>
      <c r="KED348" s="1658"/>
      <c r="KEE348" s="1658"/>
      <c r="KEF348" s="1658"/>
      <c r="KEG348" s="1658"/>
      <c r="KEH348" s="1658"/>
      <c r="KEI348" s="1658"/>
      <c r="KEJ348" s="1658"/>
      <c r="KEK348" s="1658"/>
      <c r="KEL348" s="1658"/>
      <c r="KEM348" s="1658"/>
      <c r="KEN348" s="1658"/>
      <c r="KEO348" s="1658"/>
      <c r="KEP348" s="1658"/>
      <c r="KEQ348" s="1658"/>
      <c r="KER348" s="1658"/>
      <c r="KES348" s="1658"/>
      <c r="KET348" s="1658"/>
      <c r="KEU348" s="1658"/>
      <c r="KEV348" s="1658"/>
      <c r="KEW348" s="1658"/>
      <c r="KEX348" s="1658"/>
      <c r="KEY348" s="1658"/>
      <c r="KEZ348" s="1658"/>
      <c r="KFA348" s="1658"/>
      <c r="KFB348" s="1658"/>
      <c r="KFC348" s="1658"/>
      <c r="KFD348" s="1658"/>
      <c r="KFE348" s="1658"/>
      <c r="KFF348" s="1658"/>
      <c r="KFG348" s="1658"/>
      <c r="KFH348" s="1658"/>
      <c r="KFI348" s="1658"/>
      <c r="KFJ348" s="1658"/>
      <c r="KFK348" s="1658"/>
      <c r="KFL348" s="1658"/>
      <c r="KFM348" s="1658"/>
      <c r="KFN348" s="1658"/>
      <c r="KFO348" s="1658"/>
      <c r="KFP348" s="1658"/>
      <c r="KFQ348" s="1658"/>
      <c r="KFR348" s="1658"/>
      <c r="KFS348" s="1658"/>
      <c r="KFT348" s="1658"/>
      <c r="KFU348" s="1658"/>
      <c r="KFV348" s="1658"/>
      <c r="KFW348" s="1658"/>
      <c r="KFX348" s="1658"/>
      <c r="KFY348" s="1658"/>
      <c r="KFZ348" s="1658"/>
      <c r="KGA348" s="1658"/>
      <c r="KGB348" s="1658"/>
      <c r="KGC348" s="1658"/>
      <c r="KGD348" s="1658"/>
      <c r="KGE348" s="1658"/>
      <c r="KGF348" s="1658"/>
      <c r="KGG348" s="1658"/>
      <c r="KGH348" s="1658"/>
      <c r="KGI348" s="1658"/>
      <c r="KGJ348" s="1658"/>
      <c r="KGK348" s="1658"/>
      <c r="KGL348" s="1658"/>
      <c r="KGM348" s="1658"/>
      <c r="KGN348" s="1658"/>
      <c r="KGO348" s="1658"/>
      <c r="KGP348" s="1658"/>
      <c r="KGQ348" s="1658"/>
      <c r="KGR348" s="1658"/>
      <c r="KGS348" s="1658"/>
      <c r="KGT348" s="1658"/>
      <c r="KGU348" s="1658"/>
      <c r="KGV348" s="1658"/>
      <c r="KGW348" s="1658"/>
      <c r="KGX348" s="1658"/>
      <c r="KGY348" s="1658"/>
      <c r="KGZ348" s="1658"/>
      <c r="KHA348" s="1658"/>
      <c r="KHB348" s="1658"/>
      <c r="KHC348" s="1658"/>
      <c r="KHD348" s="1658"/>
      <c r="KHE348" s="1658"/>
      <c r="KHF348" s="1658"/>
      <c r="KHG348" s="1658"/>
      <c r="KHH348" s="1658"/>
      <c r="KHI348" s="1658"/>
      <c r="KHJ348" s="1658"/>
      <c r="KHK348" s="1658"/>
      <c r="KHL348" s="1658"/>
      <c r="KHM348" s="1658"/>
      <c r="KHN348" s="1658"/>
      <c r="KHO348" s="1658"/>
      <c r="KHP348" s="1658"/>
      <c r="KHQ348" s="1658"/>
      <c r="KHR348" s="1658"/>
      <c r="KHS348" s="1658"/>
      <c r="KHT348" s="1658"/>
      <c r="KHU348" s="1658"/>
      <c r="KHV348" s="1658"/>
      <c r="KHW348" s="1658"/>
      <c r="KHX348" s="1658"/>
      <c r="KHY348" s="1658"/>
      <c r="KHZ348" s="1658"/>
      <c r="KIA348" s="1658"/>
      <c r="KIB348" s="1658"/>
      <c r="KIC348" s="1658"/>
      <c r="KID348" s="1658"/>
      <c r="KIE348" s="1658"/>
      <c r="KIF348" s="1658"/>
      <c r="KIG348" s="1658"/>
      <c r="KIH348" s="1658"/>
      <c r="KII348" s="1658"/>
      <c r="KIJ348" s="1658"/>
      <c r="KIK348" s="1658"/>
      <c r="KIL348" s="1658"/>
      <c r="KIM348" s="1658"/>
      <c r="KIN348" s="1658"/>
      <c r="KIO348" s="1658"/>
      <c r="KIP348" s="1658"/>
      <c r="KIQ348" s="1658"/>
      <c r="KIR348" s="1658"/>
      <c r="KIS348" s="1658"/>
      <c r="KIT348" s="1658"/>
      <c r="KIU348" s="1658"/>
      <c r="KIV348" s="1658"/>
      <c r="KIW348" s="1658"/>
      <c r="KIX348" s="1658"/>
      <c r="KIY348" s="1658"/>
      <c r="KIZ348" s="1658"/>
      <c r="KJA348" s="1658"/>
      <c r="KJB348" s="1658"/>
      <c r="KJC348" s="1658"/>
      <c r="KJD348" s="1658"/>
      <c r="KJE348" s="1658"/>
      <c r="KJF348" s="1658"/>
      <c r="KJG348" s="1658"/>
      <c r="KJH348" s="1658"/>
      <c r="KJI348" s="1658"/>
      <c r="KJJ348" s="1658"/>
      <c r="KJK348" s="1658"/>
      <c r="KJL348" s="1658"/>
      <c r="KJM348" s="1658"/>
      <c r="KJN348" s="1658"/>
      <c r="KJO348" s="1658"/>
      <c r="KJP348" s="1658"/>
      <c r="KJQ348" s="1658"/>
      <c r="KJR348" s="1658"/>
      <c r="KJS348" s="1658"/>
      <c r="KJT348" s="1658"/>
      <c r="KJU348" s="1658"/>
      <c r="KJV348" s="1658"/>
      <c r="KJW348" s="1658"/>
      <c r="KJX348" s="1658"/>
      <c r="KJY348" s="1658"/>
      <c r="KJZ348" s="1658"/>
      <c r="KKA348" s="1658"/>
      <c r="KKB348" s="1658"/>
      <c r="KKC348" s="1658"/>
      <c r="KKD348" s="1658"/>
      <c r="KKE348" s="1658"/>
      <c r="KKF348" s="1658"/>
      <c r="KKG348" s="1658"/>
      <c r="KKH348" s="1658"/>
      <c r="KKI348" s="1658"/>
      <c r="KKJ348" s="1658"/>
      <c r="KKK348" s="1658"/>
      <c r="KKL348" s="1658"/>
      <c r="KKM348" s="1658"/>
      <c r="KKN348" s="1658"/>
      <c r="KKO348" s="1658"/>
      <c r="KKP348" s="1658"/>
      <c r="KKQ348" s="1658"/>
      <c r="KKR348" s="1658"/>
      <c r="KKS348" s="1658"/>
      <c r="KKT348" s="1658"/>
      <c r="KKU348" s="1658"/>
      <c r="KKV348" s="1658"/>
      <c r="KKW348" s="1658"/>
      <c r="KKX348" s="1658"/>
      <c r="KKY348" s="1658"/>
      <c r="KKZ348" s="1658"/>
      <c r="KLA348" s="1658"/>
      <c r="KLB348" s="1658"/>
      <c r="KLC348" s="1658"/>
      <c r="KLD348" s="1658"/>
      <c r="KLE348" s="1658"/>
      <c r="KLF348" s="1658"/>
      <c r="KLG348" s="1658"/>
      <c r="KLH348" s="1658"/>
      <c r="KLI348" s="1658"/>
      <c r="KLJ348" s="1658"/>
      <c r="KLK348" s="1658"/>
      <c r="KLL348" s="1658"/>
      <c r="KLM348" s="1658"/>
      <c r="KLN348" s="1658"/>
      <c r="KLO348" s="1658"/>
      <c r="KLP348" s="1658"/>
      <c r="KLQ348" s="1658"/>
      <c r="KLR348" s="1658"/>
      <c r="KLS348" s="1658"/>
      <c r="KLT348" s="1658"/>
      <c r="KLU348" s="1658"/>
      <c r="KLV348" s="1658"/>
      <c r="KLW348" s="1658"/>
      <c r="KLX348" s="1658"/>
      <c r="KLY348" s="1658"/>
      <c r="KLZ348" s="1658"/>
      <c r="KMA348" s="1658"/>
      <c r="KMB348" s="1658"/>
      <c r="KMC348" s="1658"/>
      <c r="KMD348" s="1658"/>
      <c r="KME348" s="1658"/>
      <c r="KMF348" s="1658"/>
      <c r="KMG348" s="1658"/>
      <c r="KMH348" s="1658"/>
      <c r="KMI348" s="1658"/>
      <c r="KMJ348" s="1658"/>
      <c r="KMK348" s="1658"/>
      <c r="KML348" s="1658"/>
      <c r="KMM348" s="1658"/>
      <c r="KMN348" s="1658"/>
      <c r="KMO348" s="1658"/>
      <c r="KMP348" s="1658"/>
      <c r="KMQ348" s="1658"/>
      <c r="KMR348" s="1658"/>
      <c r="KMS348" s="1658"/>
      <c r="KMT348" s="1658"/>
      <c r="KMU348" s="1658"/>
      <c r="KMV348" s="1658"/>
      <c r="KMW348" s="1658"/>
      <c r="KMX348" s="1658"/>
      <c r="KMY348" s="1658"/>
      <c r="KMZ348" s="1658"/>
      <c r="KNA348" s="1658"/>
      <c r="KNB348" s="1658"/>
      <c r="KNC348" s="1658"/>
      <c r="KND348" s="1658"/>
      <c r="KNE348" s="1658"/>
      <c r="KNF348" s="1658"/>
      <c r="KNG348" s="1658"/>
      <c r="KNH348" s="1658"/>
      <c r="KNI348" s="1658"/>
      <c r="KNJ348" s="1658"/>
      <c r="KNK348" s="1658"/>
      <c r="KNL348" s="1658"/>
      <c r="KNM348" s="1658"/>
      <c r="KNN348" s="1658"/>
      <c r="KNO348" s="1658"/>
      <c r="KNP348" s="1658"/>
      <c r="KNQ348" s="1658"/>
      <c r="KNR348" s="1658"/>
      <c r="KNS348" s="1658"/>
      <c r="KNT348" s="1658"/>
      <c r="KNU348" s="1658"/>
      <c r="KNV348" s="1658"/>
      <c r="KNW348" s="1658"/>
      <c r="KNX348" s="1658"/>
      <c r="KNY348" s="1658"/>
      <c r="KNZ348" s="1658"/>
      <c r="KOA348" s="1658"/>
      <c r="KOB348" s="1658"/>
      <c r="KOC348" s="1658"/>
      <c r="KOD348" s="1658"/>
      <c r="KOE348" s="1658"/>
      <c r="KOF348" s="1658"/>
      <c r="KOG348" s="1658"/>
      <c r="KOH348" s="1658"/>
      <c r="KOI348" s="1658"/>
      <c r="KOJ348" s="1658"/>
      <c r="KOK348" s="1658"/>
      <c r="KOL348" s="1658"/>
      <c r="KOM348" s="1658"/>
      <c r="KON348" s="1658"/>
      <c r="KOO348" s="1658"/>
      <c r="KOP348" s="1658"/>
      <c r="KOQ348" s="1658"/>
      <c r="KOR348" s="1658"/>
      <c r="KOS348" s="1658"/>
      <c r="KOT348" s="1658"/>
      <c r="KOU348" s="1658"/>
      <c r="KOV348" s="1658"/>
      <c r="KOW348" s="1658"/>
      <c r="KOX348" s="1658"/>
      <c r="KOY348" s="1658"/>
      <c r="KOZ348" s="1658"/>
      <c r="KPA348" s="1658"/>
      <c r="KPB348" s="1658"/>
      <c r="KPC348" s="1658"/>
      <c r="KPD348" s="1658"/>
      <c r="KPE348" s="1658"/>
      <c r="KPF348" s="1658"/>
      <c r="KPG348" s="1658"/>
      <c r="KPH348" s="1658"/>
      <c r="KPI348" s="1658"/>
      <c r="KPJ348" s="1658"/>
      <c r="KPK348" s="1658"/>
      <c r="KPL348" s="1658"/>
      <c r="KPM348" s="1658"/>
      <c r="KPN348" s="1658"/>
      <c r="KPO348" s="1658"/>
      <c r="KPP348" s="1658"/>
      <c r="KPQ348" s="1658"/>
      <c r="KPR348" s="1658"/>
      <c r="KPS348" s="1658"/>
      <c r="KPT348" s="1658"/>
      <c r="KPU348" s="1658"/>
      <c r="KPV348" s="1658"/>
      <c r="KPW348" s="1658"/>
      <c r="KPX348" s="1658"/>
      <c r="KPY348" s="1658"/>
      <c r="KPZ348" s="1658"/>
      <c r="KQA348" s="1658"/>
      <c r="KQB348" s="1658"/>
      <c r="KQC348" s="1658"/>
      <c r="KQD348" s="1658"/>
      <c r="KQE348" s="1658"/>
      <c r="KQF348" s="1658"/>
      <c r="KQG348" s="1658"/>
      <c r="KQH348" s="1658"/>
      <c r="KQI348" s="1658"/>
      <c r="KQJ348" s="1658"/>
      <c r="KQK348" s="1658"/>
      <c r="KQL348" s="1658"/>
      <c r="KQM348" s="1658"/>
      <c r="KQN348" s="1658"/>
      <c r="KQO348" s="1658"/>
      <c r="KQP348" s="1658"/>
      <c r="KQQ348" s="1658"/>
      <c r="KQR348" s="1658"/>
      <c r="KQS348" s="1658"/>
      <c r="KQT348" s="1658"/>
      <c r="KQU348" s="1658"/>
      <c r="KQV348" s="1658"/>
      <c r="KQW348" s="1658"/>
      <c r="KQX348" s="1658"/>
      <c r="KQY348" s="1658"/>
      <c r="KQZ348" s="1658"/>
      <c r="KRA348" s="1658"/>
      <c r="KRB348" s="1658"/>
      <c r="KRC348" s="1658"/>
      <c r="KRD348" s="1658"/>
      <c r="KRE348" s="1658"/>
      <c r="KRF348" s="1658"/>
      <c r="KRG348" s="1658"/>
      <c r="KRH348" s="1658"/>
      <c r="KRI348" s="1658"/>
      <c r="KRJ348" s="1658"/>
      <c r="KRK348" s="1658"/>
      <c r="KRL348" s="1658"/>
      <c r="KRM348" s="1658"/>
      <c r="KRN348" s="1658"/>
      <c r="KRO348" s="1658"/>
      <c r="KRP348" s="1658"/>
      <c r="KRQ348" s="1658"/>
      <c r="KRR348" s="1658"/>
      <c r="KRS348" s="1658"/>
      <c r="KRT348" s="1658"/>
      <c r="KRU348" s="1658"/>
      <c r="KRV348" s="1658"/>
      <c r="KRW348" s="1658"/>
      <c r="KRX348" s="1658"/>
      <c r="KRY348" s="1658"/>
      <c r="KRZ348" s="1658"/>
      <c r="KSA348" s="1658"/>
      <c r="KSB348" s="1658"/>
      <c r="KSC348" s="1658"/>
      <c r="KSD348" s="1658"/>
      <c r="KSE348" s="1658"/>
      <c r="KSF348" s="1658"/>
      <c r="KSG348" s="1658"/>
      <c r="KSH348" s="1658"/>
      <c r="KSI348" s="1658"/>
      <c r="KSJ348" s="1658"/>
      <c r="KSK348" s="1658"/>
      <c r="KSL348" s="1658"/>
      <c r="KSM348" s="1658"/>
      <c r="KSN348" s="1658"/>
      <c r="KSO348" s="1658"/>
      <c r="KSP348" s="1658"/>
      <c r="KSQ348" s="1658"/>
      <c r="KSR348" s="1658"/>
      <c r="KSS348" s="1658"/>
      <c r="KST348" s="1658"/>
      <c r="KSU348" s="1658"/>
      <c r="KSV348" s="1658"/>
      <c r="KSW348" s="1658"/>
      <c r="KSX348" s="1658"/>
      <c r="KSY348" s="1658"/>
      <c r="KSZ348" s="1658"/>
      <c r="KTA348" s="1658"/>
      <c r="KTB348" s="1658"/>
      <c r="KTC348" s="1658"/>
      <c r="KTD348" s="1658"/>
      <c r="KTE348" s="1658"/>
      <c r="KTF348" s="1658"/>
      <c r="KTG348" s="1658"/>
      <c r="KTH348" s="1658"/>
      <c r="KTI348" s="1658"/>
      <c r="KTJ348" s="1658"/>
      <c r="KTK348" s="1658"/>
      <c r="KTL348" s="1658"/>
      <c r="KTM348" s="1658"/>
      <c r="KTN348" s="1658"/>
      <c r="KTO348" s="1658"/>
      <c r="KTP348" s="1658"/>
      <c r="KTQ348" s="1658"/>
      <c r="KTR348" s="1658"/>
      <c r="KTS348" s="1658"/>
      <c r="KTT348" s="1658"/>
      <c r="KTU348" s="1658"/>
      <c r="KTV348" s="1658"/>
      <c r="KTW348" s="1658"/>
      <c r="KTX348" s="1658"/>
      <c r="KTY348" s="1658"/>
      <c r="KTZ348" s="1658"/>
      <c r="KUA348" s="1658"/>
      <c r="KUB348" s="1658"/>
      <c r="KUC348" s="1658"/>
      <c r="KUD348" s="1658"/>
      <c r="KUE348" s="1658"/>
      <c r="KUF348" s="1658"/>
      <c r="KUG348" s="1658"/>
      <c r="KUH348" s="1658"/>
      <c r="KUI348" s="1658"/>
      <c r="KUJ348" s="1658"/>
      <c r="KUK348" s="1658"/>
      <c r="KUL348" s="1658"/>
      <c r="KUM348" s="1658"/>
      <c r="KUN348" s="1658"/>
      <c r="KUO348" s="1658"/>
      <c r="KUP348" s="1658"/>
      <c r="KUQ348" s="1658"/>
      <c r="KUR348" s="1658"/>
      <c r="KUS348" s="1658"/>
      <c r="KUT348" s="1658"/>
      <c r="KUU348" s="1658"/>
      <c r="KUV348" s="1658"/>
      <c r="KUW348" s="1658"/>
      <c r="KUX348" s="1658"/>
      <c r="KUY348" s="1658"/>
      <c r="KUZ348" s="1658"/>
      <c r="KVA348" s="1658"/>
      <c r="KVB348" s="1658"/>
      <c r="KVC348" s="1658"/>
      <c r="KVD348" s="1658"/>
      <c r="KVE348" s="1658"/>
      <c r="KVF348" s="1658"/>
      <c r="KVG348" s="1658"/>
      <c r="KVH348" s="1658"/>
      <c r="KVI348" s="1658"/>
      <c r="KVJ348" s="1658"/>
      <c r="KVK348" s="1658"/>
      <c r="KVL348" s="1658"/>
      <c r="KVM348" s="1658"/>
      <c r="KVN348" s="1658"/>
      <c r="KVO348" s="1658"/>
      <c r="KVP348" s="1658"/>
      <c r="KVQ348" s="1658"/>
      <c r="KVR348" s="1658"/>
      <c r="KVS348" s="1658"/>
      <c r="KVT348" s="1658"/>
      <c r="KVU348" s="1658"/>
      <c r="KVV348" s="1658"/>
      <c r="KVW348" s="1658"/>
      <c r="KVX348" s="1658"/>
      <c r="KVY348" s="1658"/>
      <c r="KVZ348" s="1658"/>
      <c r="KWA348" s="1658"/>
      <c r="KWB348" s="1658"/>
      <c r="KWC348" s="1658"/>
      <c r="KWD348" s="1658"/>
      <c r="KWE348" s="1658"/>
      <c r="KWF348" s="1658"/>
      <c r="KWG348" s="1658"/>
      <c r="KWH348" s="1658"/>
      <c r="KWI348" s="1658"/>
      <c r="KWJ348" s="1658"/>
      <c r="KWK348" s="1658"/>
      <c r="KWL348" s="1658"/>
      <c r="KWM348" s="1658"/>
      <c r="KWN348" s="1658"/>
      <c r="KWO348" s="1658"/>
      <c r="KWP348" s="1658"/>
      <c r="KWQ348" s="1658"/>
      <c r="KWR348" s="1658"/>
      <c r="KWS348" s="1658"/>
      <c r="KWT348" s="1658"/>
      <c r="KWU348" s="1658"/>
      <c r="KWV348" s="1658"/>
      <c r="KWW348" s="1658"/>
      <c r="KWX348" s="1658"/>
      <c r="KWY348" s="1658"/>
      <c r="KWZ348" s="1658"/>
      <c r="KXA348" s="1658"/>
      <c r="KXB348" s="1658"/>
      <c r="KXC348" s="1658"/>
      <c r="KXD348" s="1658"/>
      <c r="KXE348" s="1658"/>
      <c r="KXF348" s="1658"/>
      <c r="KXG348" s="1658"/>
      <c r="KXH348" s="1658"/>
      <c r="KXI348" s="1658"/>
      <c r="KXJ348" s="1658"/>
      <c r="KXK348" s="1658"/>
      <c r="KXL348" s="1658"/>
      <c r="KXM348" s="1658"/>
      <c r="KXN348" s="1658"/>
      <c r="KXO348" s="1658"/>
      <c r="KXP348" s="1658"/>
      <c r="KXQ348" s="1658"/>
      <c r="KXR348" s="1658"/>
      <c r="KXS348" s="1658"/>
      <c r="KXT348" s="1658"/>
      <c r="KXU348" s="1658"/>
      <c r="KXV348" s="1658"/>
      <c r="KXW348" s="1658"/>
      <c r="KXX348" s="1658"/>
      <c r="KXY348" s="1658"/>
      <c r="KXZ348" s="1658"/>
      <c r="KYA348" s="1658"/>
      <c r="KYB348" s="1658"/>
      <c r="KYC348" s="1658"/>
      <c r="KYD348" s="1658"/>
      <c r="KYE348" s="1658"/>
      <c r="KYF348" s="1658"/>
      <c r="KYG348" s="1658"/>
      <c r="KYH348" s="1658"/>
      <c r="KYI348" s="1658"/>
      <c r="KYJ348" s="1658"/>
      <c r="KYK348" s="1658"/>
      <c r="KYL348" s="1658"/>
      <c r="KYM348" s="1658"/>
      <c r="KYN348" s="1658"/>
      <c r="KYO348" s="1658"/>
      <c r="KYP348" s="1658"/>
      <c r="KYQ348" s="1658"/>
      <c r="KYR348" s="1658"/>
      <c r="KYS348" s="1658"/>
      <c r="KYT348" s="1658"/>
      <c r="KYU348" s="1658"/>
      <c r="KYV348" s="1658"/>
      <c r="KYW348" s="1658"/>
      <c r="KYX348" s="1658"/>
      <c r="KYY348" s="1658"/>
      <c r="KYZ348" s="1658"/>
      <c r="KZA348" s="1658"/>
      <c r="KZB348" s="1658"/>
      <c r="KZC348" s="1658"/>
      <c r="KZD348" s="1658"/>
      <c r="KZE348" s="1658"/>
      <c r="KZF348" s="1658"/>
      <c r="KZG348" s="1658"/>
      <c r="KZH348" s="1658"/>
      <c r="KZI348" s="1658"/>
      <c r="KZJ348" s="1658"/>
      <c r="KZK348" s="1658"/>
      <c r="KZL348" s="1658"/>
      <c r="KZM348" s="1658"/>
      <c r="KZN348" s="1658"/>
      <c r="KZO348" s="1658"/>
      <c r="KZP348" s="1658"/>
      <c r="KZQ348" s="1658"/>
      <c r="KZR348" s="1658"/>
      <c r="KZS348" s="1658"/>
      <c r="KZT348" s="1658"/>
      <c r="KZU348" s="1658"/>
      <c r="KZV348" s="1658"/>
      <c r="KZW348" s="1658"/>
      <c r="KZX348" s="1658"/>
      <c r="KZY348" s="1658"/>
      <c r="KZZ348" s="1658"/>
      <c r="LAA348" s="1658"/>
      <c r="LAB348" s="1658"/>
      <c r="LAC348" s="1658"/>
      <c r="LAD348" s="1658"/>
      <c r="LAE348" s="1658"/>
      <c r="LAF348" s="1658"/>
      <c r="LAG348" s="1658"/>
      <c r="LAH348" s="1658"/>
      <c r="LAI348" s="1658"/>
      <c r="LAJ348" s="1658"/>
      <c r="LAK348" s="1658"/>
      <c r="LAL348" s="1658"/>
      <c r="LAM348" s="1658"/>
      <c r="LAN348" s="1658"/>
      <c r="LAO348" s="1658"/>
      <c r="LAP348" s="1658"/>
      <c r="LAQ348" s="1658"/>
      <c r="LAR348" s="1658"/>
      <c r="LAS348" s="1658"/>
      <c r="LAT348" s="1658"/>
      <c r="LAU348" s="1658"/>
      <c r="LAV348" s="1658"/>
      <c r="LAW348" s="1658"/>
      <c r="LAX348" s="1658"/>
      <c r="LAY348" s="1658"/>
      <c r="LAZ348" s="1658"/>
      <c r="LBA348" s="1658"/>
      <c r="LBB348" s="1658"/>
      <c r="LBC348" s="1658"/>
      <c r="LBD348" s="1658"/>
      <c r="LBE348" s="1658"/>
      <c r="LBF348" s="1658"/>
      <c r="LBG348" s="1658"/>
      <c r="LBH348" s="1658"/>
      <c r="LBI348" s="1658"/>
      <c r="LBJ348" s="1658"/>
      <c r="LBK348" s="1658"/>
      <c r="LBL348" s="1658"/>
      <c r="LBM348" s="1658"/>
      <c r="LBN348" s="1658"/>
      <c r="LBO348" s="1658"/>
      <c r="LBP348" s="1658"/>
      <c r="LBQ348" s="1658"/>
      <c r="LBR348" s="1658"/>
      <c r="LBS348" s="1658"/>
      <c r="LBT348" s="1658"/>
      <c r="LBU348" s="1658"/>
      <c r="LBV348" s="1658"/>
      <c r="LBW348" s="1658"/>
      <c r="LBX348" s="1658"/>
      <c r="LBY348" s="1658"/>
      <c r="LBZ348" s="1658"/>
      <c r="LCA348" s="1658"/>
      <c r="LCB348" s="1658"/>
      <c r="LCC348" s="1658"/>
      <c r="LCD348" s="1658"/>
      <c r="LCE348" s="1658"/>
      <c r="LCF348" s="1658"/>
      <c r="LCG348" s="1658"/>
      <c r="LCH348" s="1658"/>
      <c r="LCI348" s="1658"/>
      <c r="LCJ348" s="1658"/>
      <c r="LCK348" s="1658"/>
      <c r="LCL348" s="1658"/>
      <c r="LCM348" s="1658"/>
      <c r="LCN348" s="1658"/>
      <c r="LCO348" s="1658"/>
      <c r="LCP348" s="1658"/>
      <c r="LCQ348" s="1658"/>
      <c r="LCR348" s="1658"/>
      <c r="LCS348" s="1658"/>
      <c r="LCT348" s="1658"/>
      <c r="LCU348" s="1658"/>
      <c r="LCV348" s="1658"/>
      <c r="LCW348" s="1658"/>
      <c r="LCX348" s="1658"/>
      <c r="LCY348" s="1658"/>
      <c r="LCZ348" s="1658"/>
      <c r="LDA348" s="1658"/>
      <c r="LDB348" s="1658"/>
      <c r="LDC348" s="1658"/>
      <c r="LDD348" s="1658"/>
      <c r="LDE348" s="1658"/>
      <c r="LDF348" s="1658"/>
      <c r="LDG348" s="1658"/>
      <c r="LDH348" s="1658"/>
      <c r="LDI348" s="1658"/>
      <c r="LDJ348" s="1658"/>
      <c r="LDK348" s="1658"/>
      <c r="LDL348" s="1658"/>
      <c r="LDM348" s="1658"/>
      <c r="LDN348" s="1658"/>
      <c r="LDO348" s="1658"/>
      <c r="LDP348" s="1658"/>
      <c r="LDQ348" s="1658"/>
      <c r="LDR348" s="1658"/>
      <c r="LDS348" s="1658"/>
      <c r="LDT348" s="1658"/>
      <c r="LDU348" s="1658"/>
      <c r="LDV348" s="1658"/>
      <c r="LDW348" s="1658"/>
      <c r="LDX348" s="1658"/>
      <c r="LDY348" s="1658"/>
      <c r="LDZ348" s="1658"/>
      <c r="LEA348" s="1658"/>
      <c r="LEB348" s="1658"/>
      <c r="LEC348" s="1658"/>
      <c r="LED348" s="1658"/>
      <c r="LEE348" s="1658"/>
      <c r="LEF348" s="1658"/>
      <c r="LEG348" s="1658"/>
      <c r="LEH348" s="1658"/>
      <c r="LEI348" s="1658"/>
      <c r="LEJ348" s="1658"/>
      <c r="LEK348" s="1658"/>
      <c r="LEL348" s="1658"/>
      <c r="LEM348" s="1658"/>
      <c r="LEN348" s="1658"/>
      <c r="LEO348" s="1658"/>
      <c r="LEP348" s="1658"/>
      <c r="LEQ348" s="1658"/>
      <c r="LER348" s="1658"/>
      <c r="LES348" s="1658"/>
      <c r="LET348" s="1658"/>
      <c r="LEU348" s="1658"/>
      <c r="LEV348" s="1658"/>
      <c r="LEW348" s="1658"/>
      <c r="LEX348" s="1658"/>
      <c r="LEY348" s="1658"/>
      <c r="LEZ348" s="1658"/>
      <c r="LFA348" s="1658"/>
      <c r="LFB348" s="1658"/>
      <c r="LFC348" s="1658"/>
      <c r="LFD348" s="1658"/>
      <c r="LFE348" s="1658"/>
      <c r="LFF348" s="1658"/>
      <c r="LFG348" s="1658"/>
      <c r="LFH348" s="1658"/>
      <c r="LFI348" s="1658"/>
      <c r="LFJ348" s="1658"/>
      <c r="LFK348" s="1658"/>
      <c r="LFL348" s="1658"/>
      <c r="LFM348" s="1658"/>
      <c r="LFN348" s="1658"/>
      <c r="LFO348" s="1658"/>
      <c r="LFP348" s="1658"/>
      <c r="LFQ348" s="1658"/>
      <c r="LFR348" s="1658"/>
      <c r="LFS348" s="1658"/>
      <c r="LFT348" s="1658"/>
      <c r="LFU348" s="1658"/>
      <c r="LFV348" s="1658"/>
      <c r="LFW348" s="1658"/>
      <c r="LFX348" s="1658"/>
      <c r="LFY348" s="1658"/>
      <c r="LFZ348" s="1658"/>
      <c r="LGA348" s="1658"/>
      <c r="LGB348" s="1658"/>
      <c r="LGC348" s="1658"/>
      <c r="LGD348" s="1658"/>
      <c r="LGE348" s="1658"/>
      <c r="LGF348" s="1658"/>
      <c r="LGG348" s="1658"/>
      <c r="LGH348" s="1658"/>
      <c r="LGI348" s="1658"/>
      <c r="LGJ348" s="1658"/>
      <c r="LGK348" s="1658"/>
      <c r="LGL348" s="1658"/>
      <c r="LGM348" s="1658"/>
      <c r="LGN348" s="1658"/>
      <c r="LGO348" s="1658"/>
      <c r="LGP348" s="1658"/>
      <c r="LGQ348" s="1658"/>
      <c r="LGR348" s="1658"/>
      <c r="LGS348" s="1658"/>
      <c r="LGT348" s="1658"/>
      <c r="LGU348" s="1658"/>
      <c r="LGV348" s="1658"/>
      <c r="LGW348" s="1658"/>
      <c r="LGX348" s="1658"/>
      <c r="LGY348" s="1658"/>
      <c r="LGZ348" s="1658"/>
      <c r="LHA348" s="1658"/>
      <c r="LHB348" s="1658"/>
      <c r="LHC348" s="1658"/>
      <c r="LHD348" s="1658"/>
      <c r="LHE348" s="1658"/>
      <c r="LHF348" s="1658"/>
      <c r="LHG348" s="1658"/>
      <c r="LHH348" s="1658"/>
      <c r="LHI348" s="1658"/>
      <c r="LHJ348" s="1658"/>
      <c r="LHK348" s="1658"/>
      <c r="LHL348" s="1658"/>
      <c r="LHM348" s="1658"/>
      <c r="LHN348" s="1658"/>
      <c r="LHO348" s="1658"/>
      <c r="LHP348" s="1658"/>
      <c r="LHQ348" s="1658"/>
      <c r="LHR348" s="1658"/>
      <c r="LHS348" s="1658"/>
      <c r="LHT348" s="1658"/>
      <c r="LHU348" s="1658"/>
      <c r="LHV348" s="1658"/>
      <c r="LHW348" s="1658"/>
      <c r="LHX348" s="1658"/>
      <c r="LHY348" s="1658"/>
      <c r="LHZ348" s="1658"/>
      <c r="LIA348" s="1658"/>
      <c r="LIB348" s="1658"/>
      <c r="LIC348" s="1658"/>
      <c r="LID348" s="1658"/>
      <c r="LIE348" s="1658"/>
      <c r="LIF348" s="1658"/>
      <c r="LIG348" s="1658"/>
      <c r="LIH348" s="1658"/>
      <c r="LII348" s="1658"/>
      <c r="LIJ348" s="1658"/>
      <c r="LIK348" s="1658"/>
      <c r="LIL348" s="1658"/>
      <c r="LIM348" s="1658"/>
      <c r="LIN348" s="1658"/>
      <c r="LIO348" s="1658"/>
      <c r="LIP348" s="1658"/>
      <c r="LIQ348" s="1658"/>
      <c r="LIR348" s="1658"/>
      <c r="LIS348" s="1658"/>
      <c r="LIT348" s="1658"/>
      <c r="LIU348" s="1658"/>
      <c r="LIV348" s="1658"/>
      <c r="LIW348" s="1658"/>
      <c r="LIX348" s="1658"/>
      <c r="LIY348" s="1658"/>
      <c r="LIZ348" s="1658"/>
      <c r="LJA348" s="1658"/>
      <c r="LJB348" s="1658"/>
      <c r="LJC348" s="1658"/>
      <c r="LJD348" s="1658"/>
      <c r="LJE348" s="1658"/>
      <c r="LJF348" s="1658"/>
      <c r="LJG348" s="1658"/>
      <c r="LJH348" s="1658"/>
      <c r="LJI348" s="1658"/>
      <c r="LJJ348" s="1658"/>
      <c r="LJK348" s="1658"/>
      <c r="LJL348" s="1658"/>
      <c r="LJM348" s="1658"/>
      <c r="LJN348" s="1658"/>
      <c r="LJO348" s="1658"/>
      <c r="LJP348" s="1658"/>
      <c r="LJQ348" s="1658"/>
      <c r="LJR348" s="1658"/>
      <c r="LJS348" s="1658"/>
      <c r="LJT348" s="1658"/>
      <c r="LJU348" s="1658"/>
      <c r="LJV348" s="1658"/>
      <c r="LJW348" s="1658"/>
      <c r="LJX348" s="1658"/>
      <c r="LJY348" s="1658"/>
      <c r="LJZ348" s="1658"/>
      <c r="LKA348" s="1658"/>
      <c r="LKB348" s="1658"/>
      <c r="LKC348" s="1658"/>
      <c r="LKD348" s="1658"/>
      <c r="LKE348" s="1658"/>
      <c r="LKF348" s="1658"/>
      <c r="LKG348" s="1658"/>
      <c r="LKH348" s="1658"/>
      <c r="LKI348" s="1658"/>
      <c r="LKJ348" s="1658"/>
      <c r="LKK348" s="1658"/>
      <c r="LKL348" s="1658"/>
      <c r="LKM348" s="1658"/>
      <c r="LKN348" s="1658"/>
      <c r="LKO348" s="1658"/>
      <c r="LKP348" s="1658"/>
      <c r="LKQ348" s="1658"/>
      <c r="LKR348" s="1658"/>
      <c r="LKS348" s="1658"/>
      <c r="LKT348" s="1658"/>
      <c r="LKU348" s="1658"/>
      <c r="LKV348" s="1658"/>
      <c r="LKW348" s="1658"/>
      <c r="LKX348" s="1658"/>
      <c r="LKY348" s="1658"/>
      <c r="LKZ348" s="1658"/>
      <c r="LLA348" s="1658"/>
      <c r="LLB348" s="1658"/>
      <c r="LLC348" s="1658"/>
      <c r="LLD348" s="1658"/>
      <c r="LLE348" s="1658"/>
      <c r="LLF348" s="1658"/>
      <c r="LLG348" s="1658"/>
      <c r="LLH348" s="1658"/>
      <c r="LLI348" s="1658"/>
      <c r="LLJ348" s="1658"/>
      <c r="LLK348" s="1658"/>
      <c r="LLL348" s="1658"/>
      <c r="LLM348" s="1658"/>
      <c r="LLN348" s="1658"/>
      <c r="LLO348" s="1658"/>
      <c r="LLP348" s="1658"/>
      <c r="LLQ348" s="1658"/>
      <c r="LLR348" s="1658"/>
      <c r="LLS348" s="1658"/>
      <c r="LLT348" s="1658"/>
      <c r="LLU348" s="1658"/>
      <c r="LLV348" s="1658"/>
      <c r="LLW348" s="1658"/>
      <c r="LLX348" s="1658"/>
      <c r="LLY348" s="1658"/>
      <c r="LLZ348" s="1658"/>
      <c r="LMA348" s="1658"/>
      <c r="LMB348" s="1658"/>
      <c r="LMC348" s="1658"/>
      <c r="LMD348" s="1658"/>
      <c r="LME348" s="1658"/>
      <c r="LMF348" s="1658"/>
      <c r="LMG348" s="1658"/>
      <c r="LMH348" s="1658"/>
      <c r="LMI348" s="1658"/>
      <c r="LMJ348" s="1658"/>
      <c r="LMK348" s="1658"/>
      <c r="LML348" s="1658"/>
      <c r="LMM348" s="1658"/>
      <c r="LMN348" s="1658"/>
      <c r="LMO348" s="1658"/>
      <c r="LMP348" s="1658"/>
      <c r="LMQ348" s="1658"/>
      <c r="LMR348" s="1658"/>
      <c r="LMS348" s="1658"/>
      <c r="LMT348" s="1658"/>
      <c r="LMU348" s="1658"/>
      <c r="LMV348" s="1658"/>
      <c r="LMW348" s="1658"/>
      <c r="LMX348" s="1658"/>
      <c r="LMY348" s="1658"/>
      <c r="LMZ348" s="1658"/>
      <c r="LNA348" s="1658"/>
      <c r="LNB348" s="1658"/>
      <c r="LNC348" s="1658"/>
      <c r="LND348" s="1658"/>
      <c r="LNE348" s="1658"/>
      <c r="LNF348" s="1658"/>
      <c r="LNG348" s="1658"/>
      <c r="LNH348" s="1658"/>
      <c r="LNI348" s="1658"/>
      <c r="LNJ348" s="1658"/>
      <c r="LNK348" s="1658"/>
      <c r="LNL348" s="1658"/>
      <c r="LNM348" s="1658"/>
      <c r="LNN348" s="1658"/>
      <c r="LNO348" s="1658"/>
      <c r="LNP348" s="1658"/>
      <c r="LNQ348" s="1658"/>
      <c r="LNR348" s="1658"/>
      <c r="LNS348" s="1658"/>
      <c r="LNT348" s="1658"/>
      <c r="LNU348" s="1658"/>
      <c r="LNV348" s="1658"/>
      <c r="LNW348" s="1658"/>
      <c r="LNX348" s="1658"/>
      <c r="LNY348" s="1658"/>
      <c r="LNZ348" s="1658"/>
      <c r="LOA348" s="1658"/>
      <c r="LOB348" s="1658"/>
      <c r="LOC348" s="1658"/>
      <c r="LOD348" s="1658"/>
      <c r="LOE348" s="1658"/>
      <c r="LOF348" s="1658"/>
      <c r="LOG348" s="1658"/>
      <c r="LOH348" s="1658"/>
      <c r="LOI348" s="1658"/>
      <c r="LOJ348" s="1658"/>
      <c r="LOK348" s="1658"/>
      <c r="LOL348" s="1658"/>
      <c r="LOM348" s="1658"/>
      <c r="LON348" s="1658"/>
      <c r="LOO348" s="1658"/>
      <c r="LOP348" s="1658"/>
      <c r="LOQ348" s="1658"/>
      <c r="LOR348" s="1658"/>
      <c r="LOS348" s="1658"/>
      <c r="LOT348" s="1658"/>
      <c r="LOU348" s="1658"/>
      <c r="LOV348" s="1658"/>
      <c r="LOW348" s="1658"/>
      <c r="LOX348" s="1658"/>
      <c r="LOY348" s="1658"/>
      <c r="LOZ348" s="1658"/>
      <c r="LPA348" s="1658"/>
      <c r="LPB348" s="1658"/>
      <c r="LPC348" s="1658"/>
      <c r="LPD348" s="1658"/>
      <c r="LPE348" s="1658"/>
      <c r="LPF348" s="1658"/>
      <c r="LPG348" s="1658"/>
      <c r="LPH348" s="1658"/>
      <c r="LPI348" s="1658"/>
      <c r="LPJ348" s="1658"/>
      <c r="LPK348" s="1658"/>
      <c r="LPL348" s="1658"/>
      <c r="LPM348" s="1658"/>
      <c r="LPN348" s="1658"/>
      <c r="LPO348" s="1658"/>
      <c r="LPP348" s="1658"/>
      <c r="LPQ348" s="1658"/>
      <c r="LPR348" s="1658"/>
      <c r="LPS348" s="1658"/>
      <c r="LPT348" s="1658"/>
      <c r="LPU348" s="1658"/>
      <c r="LPV348" s="1658"/>
      <c r="LPW348" s="1658"/>
      <c r="LPX348" s="1658"/>
      <c r="LPY348" s="1658"/>
      <c r="LPZ348" s="1658"/>
      <c r="LQA348" s="1658"/>
      <c r="LQB348" s="1658"/>
      <c r="LQC348" s="1658"/>
      <c r="LQD348" s="1658"/>
      <c r="LQE348" s="1658"/>
      <c r="LQF348" s="1658"/>
      <c r="LQG348" s="1658"/>
      <c r="LQH348" s="1658"/>
      <c r="LQI348" s="1658"/>
      <c r="LQJ348" s="1658"/>
      <c r="LQK348" s="1658"/>
      <c r="LQL348" s="1658"/>
      <c r="LQM348" s="1658"/>
      <c r="LQN348" s="1658"/>
      <c r="LQO348" s="1658"/>
      <c r="LQP348" s="1658"/>
      <c r="LQQ348" s="1658"/>
      <c r="LQR348" s="1658"/>
      <c r="LQS348" s="1658"/>
      <c r="LQT348" s="1658"/>
      <c r="LQU348" s="1658"/>
      <c r="LQV348" s="1658"/>
      <c r="LQW348" s="1658"/>
      <c r="LQX348" s="1658"/>
      <c r="LQY348" s="1658"/>
      <c r="LQZ348" s="1658"/>
      <c r="LRA348" s="1658"/>
      <c r="LRB348" s="1658"/>
      <c r="LRC348" s="1658"/>
      <c r="LRD348" s="1658"/>
      <c r="LRE348" s="1658"/>
      <c r="LRF348" s="1658"/>
      <c r="LRG348" s="1658"/>
      <c r="LRH348" s="1658"/>
      <c r="LRI348" s="1658"/>
      <c r="LRJ348" s="1658"/>
      <c r="LRK348" s="1658"/>
      <c r="LRL348" s="1658"/>
      <c r="LRM348" s="1658"/>
      <c r="LRN348" s="1658"/>
      <c r="LRO348" s="1658"/>
      <c r="LRP348" s="1658"/>
      <c r="LRQ348" s="1658"/>
      <c r="LRR348" s="1658"/>
      <c r="LRS348" s="1658"/>
      <c r="LRT348" s="1658"/>
      <c r="LRU348" s="1658"/>
      <c r="LRV348" s="1658"/>
      <c r="LRW348" s="1658"/>
      <c r="LRX348" s="1658"/>
      <c r="LRY348" s="1658"/>
      <c r="LRZ348" s="1658"/>
      <c r="LSA348" s="1658"/>
      <c r="LSB348" s="1658"/>
      <c r="LSC348" s="1658"/>
      <c r="LSD348" s="1658"/>
      <c r="LSE348" s="1658"/>
      <c r="LSF348" s="1658"/>
      <c r="LSG348" s="1658"/>
      <c r="LSH348" s="1658"/>
      <c r="LSI348" s="1658"/>
      <c r="LSJ348" s="1658"/>
      <c r="LSK348" s="1658"/>
      <c r="LSL348" s="1658"/>
      <c r="LSM348" s="1658"/>
      <c r="LSN348" s="1658"/>
      <c r="LSO348" s="1658"/>
      <c r="LSP348" s="1658"/>
      <c r="LSQ348" s="1658"/>
      <c r="LSR348" s="1658"/>
      <c r="LSS348" s="1658"/>
      <c r="LST348" s="1658"/>
      <c r="LSU348" s="1658"/>
      <c r="LSV348" s="1658"/>
      <c r="LSW348" s="1658"/>
      <c r="LSX348" s="1658"/>
      <c r="LSY348" s="1658"/>
      <c r="LSZ348" s="1658"/>
      <c r="LTA348" s="1658"/>
      <c r="LTB348" s="1658"/>
      <c r="LTC348" s="1658"/>
      <c r="LTD348" s="1658"/>
      <c r="LTE348" s="1658"/>
      <c r="LTF348" s="1658"/>
      <c r="LTG348" s="1658"/>
      <c r="LTH348" s="1658"/>
      <c r="LTI348" s="1658"/>
      <c r="LTJ348" s="1658"/>
      <c r="LTK348" s="1658"/>
      <c r="LTL348" s="1658"/>
      <c r="LTM348" s="1658"/>
      <c r="LTN348" s="1658"/>
      <c r="LTO348" s="1658"/>
      <c r="LTP348" s="1658"/>
      <c r="LTQ348" s="1658"/>
      <c r="LTR348" s="1658"/>
      <c r="LTS348" s="1658"/>
      <c r="LTT348" s="1658"/>
      <c r="LTU348" s="1658"/>
      <c r="LTV348" s="1658"/>
      <c r="LTW348" s="1658"/>
      <c r="LTX348" s="1658"/>
      <c r="LTY348" s="1658"/>
      <c r="LTZ348" s="1658"/>
      <c r="LUA348" s="1658"/>
      <c r="LUB348" s="1658"/>
      <c r="LUC348" s="1658"/>
      <c r="LUD348" s="1658"/>
      <c r="LUE348" s="1658"/>
      <c r="LUF348" s="1658"/>
      <c r="LUG348" s="1658"/>
      <c r="LUH348" s="1658"/>
      <c r="LUI348" s="1658"/>
      <c r="LUJ348" s="1658"/>
      <c r="LUK348" s="1658"/>
      <c r="LUL348" s="1658"/>
      <c r="LUM348" s="1658"/>
      <c r="LUN348" s="1658"/>
      <c r="LUO348" s="1658"/>
      <c r="LUP348" s="1658"/>
      <c r="LUQ348" s="1658"/>
      <c r="LUR348" s="1658"/>
      <c r="LUS348" s="1658"/>
      <c r="LUT348" s="1658"/>
      <c r="LUU348" s="1658"/>
      <c r="LUV348" s="1658"/>
      <c r="LUW348" s="1658"/>
      <c r="LUX348" s="1658"/>
      <c r="LUY348" s="1658"/>
      <c r="LUZ348" s="1658"/>
      <c r="LVA348" s="1658"/>
      <c r="LVB348" s="1658"/>
      <c r="LVC348" s="1658"/>
      <c r="LVD348" s="1658"/>
      <c r="LVE348" s="1658"/>
      <c r="LVF348" s="1658"/>
      <c r="LVG348" s="1658"/>
      <c r="LVH348" s="1658"/>
      <c r="LVI348" s="1658"/>
      <c r="LVJ348" s="1658"/>
      <c r="LVK348" s="1658"/>
      <c r="LVL348" s="1658"/>
      <c r="LVM348" s="1658"/>
      <c r="LVN348" s="1658"/>
      <c r="LVO348" s="1658"/>
      <c r="LVP348" s="1658"/>
      <c r="LVQ348" s="1658"/>
      <c r="LVR348" s="1658"/>
      <c r="LVS348" s="1658"/>
      <c r="LVT348" s="1658"/>
      <c r="LVU348" s="1658"/>
      <c r="LVV348" s="1658"/>
      <c r="LVW348" s="1658"/>
      <c r="LVX348" s="1658"/>
      <c r="LVY348" s="1658"/>
      <c r="LVZ348" s="1658"/>
      <c r="LWA348" s="1658"/>
      <c r="LWB348" s="1658"/>
      <c r="LWC348" s="1658"/>
      <c r="LWD348" s="1658"/>
      <c r="LWE348" s="1658"/>
      <c r="LWF348" s="1658"/>
      <c r="LWG348" s="1658"/>
      <c r="LWH348" s="1658"/>
      <c r="LWI348" s="1658"/>
      <c r="LWJ348" s="1658"/>
      <c r="LWK348" s="1658"/>
      <c r="LWL348" s="1658"/>
      <c r="LWM348" s="1658"/>
      <c r="LWN348" s="1658"/>
      <c r="LWO348" s="1658"/>
      <c r="LWP348" s="1658"/>
      <c r="LWQ348" s="1658"/>
      <c r="LWR348" s="1658"/>
      <c r="LWS348" s="1658"/>
      <c r="LWT348" s="1658"/>
      <c r="LWU348" s="1658"/>
      <c r="LWV348" s="1658"/>
      <c r="LWW348" s="1658"/>
      <c r="LWX348" s="1658"/>
      <c r="LWY348" s="1658"/>
      <c r="LWZ348" s="1658"/>
      <c r="LXA348" s="1658"/>
      <c r="LXB348" s="1658"/>
      <c r="LXC348" s="1658"/>
      <c r="LXD348" s="1658"/>
      <c r="LXE348" s="1658"/>
      <c r="LXF348" s="1658"/>
      <c r="LXG348" s="1658"/>
      <c r="LXH348" s="1658"/>
      <c r="LXI348" s="1658"/>
      <c r="LXJ348" s="1658"/>
      <c r="LXK348" s="1658"/>
      <c r="LXL348" s="1658"/>
      <c r="LXM348" s="1658"/>
      <c r="LXN348" s="1658"/>
      <c r="LXO348" s="1658"/>
      <c r="LXP348" s="1658"/>
      <c r="LXQ348" s="1658"/>
      <c r="LXR348" s="1658"/>
      <c r="LXS348" s="1658"/>
      <c r="LXT348" s="1658"/>
      <c r="LXU348" s="1658"/>
      <c r="LXV348" s="1658"/>
      <c r="LXW348" s="1658"/>
      <c r="LXX348" s="1658"/>
      <c r="LXY348" s="1658"/>
      <c r="LXZ348" s="1658"/>
      <c r="LYA348" s="1658"/>
      <c r="LYB348" s="1658"/>
      <c r="LYC348" s="1658"/>
      <c r="LYD348" s="1658"/>
      <c r="LYE348" s="1658"/>
      <c r="LYF348" s="1658"/>
      <c r="LYG348" s="1658"/>
      <c r="LYH348" s="1658"/>
      <c r="LYI348" s="1658"/>
      <c r="LYJ348" s="1658"/>
      <c r="LYK348" s="1658"/>
      <c r="LYL348" s="1658"/>
      <c r="LYM348" s="1658"/>
      <c r="LYN348" s="1658"/>
      <c r="LYO348" s="1658"/>
      <c r="LYP348" s="1658"/>
      <c r="LYQ348" s="1658"/>
      <c r="LYR348" s="1658"/>
      <c r="LYS348" s="1658"/>
      <c r="LYT348" s="1658"/>
      <c r="LYU348" s="1658"/>
      <c r="LYV348" s="1658"/>
      <c r="LYW348" s="1658"/>
      <c r="LYX348" s="1658"/>
      <c r="LYY348" s="1658"/>
      <c r="LYZ348" s="1658"/>
      <c r="LZA348" s="1658"/>
      <c r="LZB348" s="1658"/>
      <c r="LZC348" s="1658"/>
      <c r="LZD348" s="1658"/>
      <c r="LZE348" s="1658"/>
      <c r="LZF348" s="1658"/>
      <c r="LZG348" s="1658"/>
      <c r="LZH348" s="1658"/>
      <c r="LZI348" s="1658"/>
      <c r="LZJ348" s="1658"/>
      <c r="LZK348" s="1658"/>
      <c r="LZL348" s="1658"/>
      <c r="LZM348" s="1658"/>
      <c r="LZN348" s="1658"/>
      <c r="LZO348" s="1658"/>
      <c r="LZP348" s="1658"/>
      <c r="LZQ348" s="1658"/>
      <c r="LZR348" s="1658"/>
      <c r="LZS348" s="1658"/>
      <c r="LZT348" s="1658"/>
      <c r="LZU348" s="1658"/>
      <c r="LZV348" s="1658"/>
      <c r="LZW348" s="1658"/>
      <c r="LZX348" s="1658"/>
      <c r="LZY348" s="1658"/>
      <c r="LZZ348" s="1658"/>
      <c r="MAA348" s="1658"/>
      <c r="MAB348" s="1658"/>
      <c r="MAC348" s="1658"/>
      <c r="MAD348" s="1658"/>
      <c r="MAE348" s="1658"/>
      <c r="MAF348" s="1658"/>
      <c r="MAG348" s="1658"/>
      <c r="MAH348" s="1658"/>
      <c r="MAI348" s="1658"/>
      <c r="MAJ348" s="1658"/>
      <c r="MAK348" s="1658"/>
      <c r="MAL348" s="1658"/>
      <c r="MAM348" s="1658"/>
      <c r="MAN348" s="1658"/>
      <c r="MAO348" s="1658"/>
      <c r="MAP348" s="1658"/>
      <c r="MAQ348" s="1658"/>
      <c r="MAR348" s="1658"/>
      <c r="MAS348" s="1658"/>
      <c r="MAT348" s="1658"/>
      <c r="MAU348" s="1658"/>
      <c r="MAV348" s="1658"/>
      <c r="MAW348" s="1658"/>
      <c r="MAX348" s="1658"/>
      <c r="MAY348" s="1658"/>
      <c r="MAZ348" s="1658"/>
      <c r="MBA348" s="1658"/>
      <c r="MBB348" s="1658"/>
      <c r="MBC348" s="1658"/>
      <c r="MBD348" s="1658"/>
      <c r="MBE348" s="1658"/>
      <c r="MBF348" s="1658"/>
      <c r="MBG348" s="1658"/>
      <c r="MBH348" s="1658"/>
      <c r="MBI348" s="1658"/>
      <c r="MBJ348" s="1658"/>
      <c r="MBK348" s="1658"/>
      <c r="MBL348" s="1658"/>
      <c r="MBM348" s="1658"/>
      <c r="MBN348" s="1658"/>
      <c r="MBO348" s="1658"/>
      <c r="MBP348" s="1658"/>
      <c r="MBQ348" s="1658"/>
      <c r="MBR348" s="1658"/>
      <c r="MBS348" s="1658"/>
      <c r="MBT348" s="1658"/>
      <c r="MBU348" s="1658"/>
      <c r="MBV348" s="1658"/>
      <c r="MBW348" s="1658"/>
      <c r="MBX348" s="1658"/>
      <c r="MBY348" s="1658"/>
      <c r="MBZ348" s="1658"/>
      <c r="MCA348" s="1658"/>
      <c r="MCB348" s="1658"/>
      <c r="MCC348" s="1658"/>
      <c r="MCD348" s="1658"/>
      <c r="MCE348" s="1658"/>
      <c r="MCF348" s="1658"/>
      <c r="MCG348" s="1658"/>
      <c r="MCH348" s="1658"/>
      <c r="MCI348" s="1658"/>
      <c r="MCJ348" s="1658"/>
      <c r="MCK348" s="1658"/>
      <c r="MCL348" s="1658"/>
      <c r="MCM348" s="1658"/>
      <c r="MCN348" s="1658"/>
      <c r="MCO348" s="1658"/>
      <c r="MCP348" s="1658"/>
      <c r="MCQ348" s="1658"/>
      <c r="MCR348" s="1658"/>
      <c r="MCS348" s="1658"/>
      <c r="MCT348" s="1658"/>
      <c r="MCU348" s="1658"/>
      <c r="MCV348" s="1658"/>
      <c r="MCW348" s="1658"/>
      <c r="MCX348" s="1658"/>
      <c r="MCY348" s="1658"/>
      <c r="MCZ348" s="1658"/>
      <c r="MDA348" s="1658"/>
      <c r="MDB348" s="1658"/>
      <c r="MDC348" s="1658"/>
      <c r="MDD348" s="1658"/>
      <c r="MDE348" s="1658"/>
      <c r="MDF348" s="1658"/>
      <c r="MDG348" s="1658"/>
      <c r="MDH348" s="1658"/>
      <c r="MDI348" s="1658"/>
      <c r="MDJ348" s="1658"/>
      <c r="MDK348" s="1658"/>
      <c r="MDL348" s="1658"/>
      <c r="MDM348" s="1658"/>
      <c r="MDN348" s="1658"/>
      <c r="MDO348" s="1658"/>
      <c r="MDP348" s="1658"/>
      <c r="MDQ348" s="1658"/>
      <c r="MDR348" s="1658"/>
      <c r="MDS348" s="1658"/>
      <c r="MDT348" s="1658"/>
      <c r="MDU348" s="1658"/>
      <c r="MDV348" s="1658"/>
      <c r="MDW348" s="1658"/>
      <c r="MDX348" s="1658"/>
      <c r="MDY348" s="1658"/>
      <c r="MDZ348" s="1658"/>
      <c r="MEA348" s="1658"/>
      <c r="MEB348" s="1658"/>
      <c r="MEC348" s="1658"/>
      <c r="MED348" s="1658"/>
      <c r="MEE348" s="1658"/>
      <c r="MEF348" s="1658"/>
      <c r="MEG348" s="1658"/>
      <c r="MEH348" s="1658"/>
      <c r="MEI348" s="1658"/>
      <c r="MEJ348" s="1658"/>
      <c r="MEK348" s="1658"/>
      <c r="MEL348" s="1658"/>
      <c r="MEM348" s="1658"/>
      <c r="MEN348" s="1658"/>
      <c r="MEO348" s="1658"/>
      <c r="MEP348" s="1658"/>
      <c r="MEQ348" s="1658"/>
      <c r="MER348" s="1658"/>
      <c r="MES348" s="1658"/>
      <c r="MET348" s="1658"/>
      <c r="MEU348" s="1658"/>
      <c r="MEV348" s="1658"/>
      <c r="MEW348" s="1658"/>
      <c r="MEX348" s="1658"/>
      <c r="MEY348" s="1658"/>
      <c r="MEZ348" s="1658"/>
      <c r="MFA348" s="1658"/>
      <c r="MFB348" s="1658"/>
      <c r="MFC348" s="1658"/>
      <c r="MFD348" s="1658"/>
      <c r="MFE348" s="1658"/>
      <c r="MFF348" s="1658"/>
      <c r="MFG348" s="1658"/>
      <c r="MFH348" s="1658"/>
      <c r="MFI348" s="1658"/>
      <c r="MFJ348" s="1658"/>
      <c r="MFK348" s="1658"/>
      <c r="MFL348" s="1658"/>
      <c r="MFM348" s="1658"/>
      <c r="MFN348" s="1658"/>
      <c r="MFO348" s="1658"/>
      <c r="MFP348" s="1658"/>
      <c r="MFQ348" s="1658"/>
      <c r="MFR348" s="1658"/>
      <c r="MFS348" s="1658"/>
      <c r="MFT348" s="1658"/>
      <c r="MFU348" s="1658"/>
      <c r="MFV348" s="1658"/>
      <c r="MFW348" s="1658"/>
      <c r="MFX348" s="1658"/>
      <c r="MFY348" s="1658"/>
      <c r="MFZ348" s="1658"/>
      <c r="MGA348" s="1658"/>
      <c r="MGB348" s="1658"/>
      <c r="MGC348" s="1658"/>
      <c r="MGD348" s="1658"/>
      <c r="MGE348" s="1658"/>
      <c r="MGF348" s="1658"/>
      <c r="MGG348" s="1658"/>
      <c r="MGH348" s="1658"/>
      <c r="MGI348" s="1658"/>
      <c r="MGJ348" s="1658"/>
      <c r="MGK348" s="1658"/>
      <c r="MGL348" s="1658"/>
      <c r="MGM348" s="1658"/>
      <c r="MGN348" s="1658"/>
      <c r="MGO348" s="1658"/>
      <c r="MGP348" s="1658"/>
      <c r="MGQ348" s="1658"/>
      <c r="MGR348" s="1658"/>
      <c r="MGS348" s="1658"/>
      <c r="MGT348" s="1658"/>
      <c r="MGU348" s="1658"/>
      <c r="MGV348" s="1658"/>
      <c r="MGW348" s="1658"/>
      <c r="MGX348" s="1658"/>
      <c r="MGY348" s="1658"/>
      <c r="MGZ348" s="1658"/>
      <c r="MHA348" s="1658"/>
      <c r="MHB348" s="1658"/>
      <c r="MHC348" s="1658"/>
      <c r="MHD348" s="1658"/>
      <c r="MHE348" s="1658"/>
      <c r="MHF348" s="1658"/>
      <c r="MHG348" s="1658"/>
      <c r="MHH348" s="1658"/>
      <c r="MHI348" s="1658"/>
      <c r="MHJ348" s="1658"/>
      <c r="MHK348" s="1658"/>
      <c r="MHL348" s="1658"/>
      <c r="MHM348" s="1658"/>
      <c r="MHN348" s="1658"/>
      <c r="MHO348" s="1658"/>
      <c r="MHP348" s="1658"/>
      <c r="MHQ348" s="1658"/>
      <c r="MHR348" s="1658"/>
      <c r="MHS348" s="1658"/>
      <c r="MHT348" s="1658"/>
      <c r="MHU348" s="1658"/>
      <c r="MHV348" s="1658"/>
      <c r="MHW348" s="1658"/>
      <c r="MHX348" s="1658"/>
      <c r="MHY348" s="1658"/>
      <c r="MHZ348" s="1658"/>
      <c r="MIA348" s="1658"/>
      <c r="MIB348" s="1658"/>
      <c r="MIC348" s="1658"/>
      <c r="MID348" s="1658"/>
      <c r="MIE348" s="1658"/>
      <c r="MIF348" s="1658"/>
      <c r="MIG348" s="1658"/>
      <c r="MIH348" s="1658"/>
      <c r="MII348" s="1658"/>
      <c r="MIJ348" s="1658"/>
      <c r="MIK348" s="1658"/>
      <c r="MIL348" s="1658"/>
      <c r="MIM348" s="1658"/>
      <c r="MIN348" s="1658"/>
      <c r="MIO348" s="1658"/>
      <c r="MIP348" s="1658"/>
      <c r="MIQ348" s="1658"/>
      <c r="MIR348" s="1658"/>
      <c r="MIS348" s="1658"/>
      <c r="MIT348" s="1658"/>
      <c r="MIU348" s="1658"/>
      <c r="MIV348" s="1658"/>
      <c r="MIW348" s="1658"/>
      <c r="MIX348" s="1658"/>
      <c r="MIY348" s="1658"/>
      <c r="MIZ348" s="1658"/>
      <c r="MJA348" s="1658"/>
      <c r="MJB348" s="1658"/>
      <c r="MJC348" s="1658"/>
      <c r="MJD348" s="1658"/>
      <c r="MJE348" s="1658"/>
      <c r="MJF348" s="1658"/>
      <c r="MJG348" s="1658"/>
      <c r="MJH348" s="1658"/>
      <c r="MJI348" s="1658"/>
      <c r="MJJ348" s="1658"/>
      <c r="MJK348" s="1658"/>
      <c r="MJL348" s="1658"/>
      <c r="MJM348" s="1658"/>
      <c r="MJN348" s="1658"/>
      <c r="MJO348" s="1658"/>
      <c r="MJP348" s="1658"/>
      <c r="MJQ348" s="1658"/>
      <c r="MJR348" s="1658"/>
      <c r="MJS348" s="1658"/>
      <c r="MJT348" s="1658"/>
      <c r="MJU348" s="1658"/>
      <c r="MJV348" s="1658"/>
      <c r="MJW348" s="1658"/>
      <c r="MJX348" s="1658"/>
      <c r="MJY348" s="1658"/>
      <c r="MJZ348" s="1658"/>
      <c r="MKA348" s="1658"/>
      <c r="MKB348" s="1658"/>
      <c r="MKC348" s="1658"/>
      <c r="MKD348" s="1658"/>
      <c r="MKE348" s="1658"/>
      <c r="MKF348" s="1658"/>
      <c r="MKG348" s="1658"/>
      <c r="MKH348" s="1658"/>
      <c r="MKI348" s="1658"/>
      <c r="MKJ348" s="1658"/>
      <c r="MKK348" s="1658"/>
      <c r="MKL348" s="1658"/>
      <c r="MKM348" s="1658"/>
      <c r="MKN348" s="1658"/>
      <c r="MKO348" s="1658"/>
      <c r="MKP348" s="1658"/>
      <c r="MKQ348" s="1658"/>
      <c r="MKR348" s="1658"/>
      <c r="MKS348" s="1658"/>
      <c r="MKT348" s="1658"/>
      <c r="MKU348" s="1658"/>
      <c r="MKV348" s="1658"/>
      <c r="MKW348" s="1658"/>
      <c r="MKX348" s="1658"/>
      <c r="MKY348" s="1658"/>
      <c r="MKZ348" s="1658"/>
      <c r="MLA348" s="1658"/>
      <c r="MLB348" s="1658"/>
      <c r="MLC348" s="1658"/>
      <c r="MLD348" s="1658"/>
      <c r="MLE348" s="1658"/>
      <c r="MLF348" s="1658"/>
      <c r="MLG348" s="1658"/>
      <c r="MLH348" s="1658"/>
      <c r="MLI348" s="1658"/>
      <c r="MLJ348" s="1658"/>
      <c r="MLK348" s="1658"/>
      <c r="MLL348" s="1658"/>
      <c r="MLM348" s="1658"/>
      <c r="MLN348" s="1658"/>
      <c r="MLO348" s="1658"/>
      <c r="MLP348" s="1658"/>
      <c r="MLQ348" s="1658"/>
      <c r="MLR348" s="1658"/>
      <c r="MLS348" s="1658"/>
      <c r="MLT348" s="1658"/>
      <c r="MLU348" s="1658"/>
      <c r="MLV348" s="1658"/>
      <c r="MLW348" s="1658"/>
      <c r="MLX348" s="1658"/>
      <c r="MLY348" s="1658"/>
      <c r="MLZ348" s="1658"/>
      <c r="MMA348" s="1658"/>
      <c r="MMB348" s="1658"/>
      <c r="MMC348" s="1658"/>
      <c r="MMD348" s="1658"/>
      <c r="MME348" s="1658"/>
      <c r="MMF348" s="1658"/>
      <c r="MMG348" s="1658"/>
      <c r="MMH348" s="1658"/>
      <c r="MMI348" s="1658"/>
      <c r="MMJ348" s="1658"/>
      <c r="MMK348" s="1658"/>
      <c r="MML348" s="1658"/>
      <c r="MMM348" s="1658"/>
      <c r="MMN348" s="1658"/>
      <c r="MMO348" s="1658"/>
      <c r="MMP348" s="1658"/>
      <c r="MMQ348" s="1658"/>
      <c r="MMR348" s="1658"/>
      <c r="MMS348" s="1658"/>
      <c r="MMT348" s="1658"/>
      <c r="MMU348" s="1658"/>
      <c r="MMV348" s="1658"/>
      <c r="MMW348" s="1658"/>
      <c r="MMX348" s="1658"/>
      <c r="MMY348" s="1658"/>
      <c r="MMZ348" s="1658"/>
      <c r="MNA348" s="1658"/>
      <c r="MNB348" s="1658"/>
      <c r="MNC348" s="1658"/>
      <c r="MND348" s="1658"/>
      <c r="MNE348" s="1658"/>
      <c r="MNF348" s="1658"/>
      <c r="MNG348" s="1658"/>
      <c r="MNH348" s="1658"/>
      <c r="MNI348" s="1658"/>
      <c r="MNJ348" s="1658"/>
      <c r="MNK348" s="1658"/>
      <c r="MNL348" s="1658"/>
      <c r="MNM348" s="1658"/>
      <c r="MNN348" s="1658"/>
      <c r="MNO348" s="1658"/>
      <c r="MNP348" s="1658"/>
      <c r="MNQ348" s="1658"/>
      <c r="MNR348" s="1658"/>
      <c r="MNS348" s="1658"/>
      <c r="MNT348" s="1658"/>
      <c r="MNU348" s="1658"/>
      <c r="MNV348" s="1658"/>
      <c r="MNW348" s="1658"/>
      <c r="MNX348" s="1658"/>
      <c r="MNY348" s="1658"/>
      <c r="MNZ348" s="1658"/>
      <c r="MOA348" s="1658"/>
      <c r="MOB348" s="1658"/>
      <c r="MOC348" s="1658"/>
      <c r="MOD348" s="1658"/>
      <c r="MOE348" s="1658"/>
      <c r="MOF348" s="1658"/>
      <c r="MOG348" s="1658"/>
      <c r="MOH348" s="1658"/>
      <c r="MOI348" s="1658"/>
      <c r="MOJ348" s="1658"/>
      <c r="MOK348" s="1658"/>
      <c r="MOL348" s="1658"/>
      <c r="MOM348" s="1658"/>
      <c r="MON348" s="1658"/>
      <c r="MOO348" s="1658"/>
      <c r="MOP348" s="1658"/>
      <c r="MOQ348" s="1658"/>
      <c r="MOR348" s="1658"/>
      <c r="MOS348" s="1658"/>
      <c r="MOT348" s="1658"/>
      <c r="MOU348" s="1658"/>
      <c r="MOV348" s="1658"/>
      <c r="MOW348" s="1658"/>
      <c r="MOX348" s="1658"/>
      <c r="MOY348" s="1658"/>
      <c r="MOZ348" s="1658"/>
      <c r="MPA348" s="1658"/>
      <c r="MPB348" s="1658"/>
      <c r="MPC348" s="1658"/>
      <c r="MPD348" s="1658"/>
      <c r="MPE348" s="1658"/>
      <c r="MPF348" s="1658"/>
      <c r="MPG348" s="1658"/>
      <c r="MPH348" s="1658"/>
      <c r="MPI348" s="1658"/>
      <c r="MPJ348" s="1658"/>
      <c r="MPK348" s="1658"/>
      <c r="MPL348" s="1658"/>
      <c r="MPM348" s="1658"/>
      <c r="MPN348" s="1658"/>
      <c r="MPO348" s="1658"/>
      <c r="MPP348" s="1658"/>
      <c r="MPQ348" s="1658"/>
      <c r="MPR348" s="1658"/>
      <c r="MPS348" s="1658"/>
      <c r="MPT348" s="1658"/>
      <c r="MPU348" s="1658"/>
      <c r="MPV348" s="1658"/>
      <c r="MPW348" s="1658"/>
      <c r="MPX348" s="1658"/>
      <c r="MPY348" s="1658"/>
      <c r="MPZ348" s="1658"/>
      <c r="MQA348" s="1658"/>
      <c r="MQB348" s="1658"/>
      <c r="MQC348" s="1658"/>
      <c r="MQD348" s="1658"/>
      <c r="MQE348" s="1658"/>
      <c r="MQF348" s="1658"/>
      <c r="MQG348" s="1658"/>
      <c r="MQH348" s="1658"/>
      <c r="MQI348" s="1658"/>
      <c r="MQJ348" s="1658"/>
      <c r="MQK348" s="1658"/>
      <c r="MQL348" s="1658"/>
      <c r="MQM348" s="1658"/>
      <c r="MQN348" s="1658"/>
      <c r="MQO348" s="1658"/>
      <c r="MQP348" s="1658"/>
      <c r="MQQ348" s="1658"/>
      <c r="MQR348" s="1658"/>
      <c r="MQS348" s="1658"/>
      <c r="MQT348" s="1658"/>
      <c r="MQU348" s="1658"/>
      <c r="MQV348" s="1658"/>
      <c r="MQW348" s="1658"/>
      <c r="MQX348" s="1658"/>
      <c r="MQY348" s="1658"/>
      <c r="MQZ348" s="1658"/>
      <c r="MRA348" s="1658"/>
      <c r="MRB348" s="1658"/>
      <c r="MRC348" s="1658"/>
      <c r="MRD348" s="1658"/>
      <c r="MRE348" s="1658"/>
      <c r="MRF348" s="1658"/>
      <c r="MRG348" s="1658"/>
      <c r="MRH348" s="1658"/>
      <c r="MRI348" s="1658"/>
      <c r="MRJ348" s="1658"/>
      <c r="MRK348" s="1658"/>
      <c r="MRL348" s="1658"/>
      <c r="MRM348" s="1658"/>
      <c r="MRN348" s="1658"/>
      <c r="MRO348" s="1658"/>
      <c r="MRP348" s="1658"/>
      <c r="MRQ348" s="1658"/>
      <c r="MRR348" s="1658"/>
      <c r="MRS348" s="1658"/>
      <c r="MRT348" s="1658"/>
      <c r="MRU348" s="1658"/>
      <c r="MRV348" s="1658"/>
      <c r="MRW348" s="1658"/>
      <c r="MRX348" s="1658"/>
      <c r="MRY348" s="1658"/>
      <c r="MRZ348" s="1658"/>
      <c r="MSA348" s="1658"/>
      <c r="MSB348" s="1658"/>
      <c r="MSC348" s="1658"/>
      <c r="MSD348" s="1658"/>
      <c r="MSE348" s="1658"/>
      <c r="MSF348" s="1658"/>
      <c r="MSG348" s="1658"/>
      <c r="MSH348" s="1658"/>
      <c r="MSI348" s="1658"/>
      <c r="MSJ348" s="1658"/>
      <c r="MSK348" s="1658"/>
      <c r="MSL348" s="1658"/>
      <c r="MSM348" s="1658"/>
      <c r="MSN348" s="1658"/>
      <c r="MSO348" s="1658"/>
      <c r="MSP348" s="1658"/>
      <c r="MSQ348" s="1658"/>
      <c r="MSR348" s="1658"/>
      <c r="MSS348" s="1658"/>
      <c r="MST348" s="1658"/>
      <c r="MSU348" s="1658"/>
      <c r="MSV348" s="1658"/>
      <c r="MSW348" s="1658"/>
      <c r="MSX348" s="1658"/>
      <c r="MSY348" s="1658"/>
      <c r="MSZ348" s="1658"/>
      <c r="MTA348" s="1658"/>
      <c r="MTB348" s="1658"/>
      <c r="MTC348" s="1658"/>
      <c r="MTD348" s="1658"/>
      <c r="MTE348" s="1658"/>
      <c r="MTF348" s="1658"/>
      <c r="MTG348" s="1658"/>
      <c r="MTH348" s="1658"/>
      <c r="MTI348" s="1658"/>
      <c r="MTJ348" s="1658"/>
      <c r="MTK348" s="1658"/>
      <c r="MTL348" s="1658"/>
      <c r="MTM348" s="1658"/>
      <c r="MTN348" s="1658"/>
      <c r="MTO348" s="1658"/>
      <c r="MTP348" s="1658"/>
      <c r="MTQ348" s="1658"/>
      <c r="MTR348" s="1658"/>
      <c r="MTS348" s="1658"/>
      <c r="MTT348" s="1658"/>
      <c r="MTU348" s="1658"/>
      <c r="MTV348" s="1658"/>
      <c r="MTW348" s="1658"/>
      <c r="MTX348" s="1658"/>
      <c r="MTY348" s="1658"/>
      <c r="MTZ348" s="1658"/>
      <c r="MUA348" s="1658"/>
      <c r="MUB348" s="1658"/>
      <c r="MUC348" s="1658"/>
      <c r="MUD348" s="1658"/>
      <c r="MUE348" s="1658"/>
      <c r="MUF348" s="1658"/>
      <c r="MUG348" s="1658"/>
      <c r="MUH348" s="1658"/>
      <c r="MUI348" s="1658"/>
      <c r="MUJ348" s="1658"/>
      <c r="MUK348" s="1658"/>
      <c r="MUL348" s="1658"/>
      <c r="MUM348" s="1658"/>
      <c r="MUN348" s="1658"/>
      <c r="MUO348" s="1658"/>
      <c r="MUP348" s="1658"/>
      <c r="MUQ348" s="1658"/>
      <c r="MUR348" s="1658"/>
      <c r="MUS348" s="1658"/>
      <c r="MUT348" s="1658"/>
      <c r="MUU348" s="1658"/>
      <c r="MUV348" s="1658"/>
      <c r="MUW348" s="1658"/>
      <c r="MUX348" s="1658"/>
      <c r="MUY348" s="1658"/>
      <c r="MUZ348" s="1658"/>
      <c r="MVA348" s="1658"/>
      <c r="MVB348" s="1658"/>
      <c r="MVC348" s="1658"/>
      <c r="MVD348" s="1658"/>
      <c r="MVE348" s="1658"/>
      <c r="MVF348" s="1658"/>
      <c r="MVG348" s="1658"/>
      <c r="MVH348" s="1658"/>
      <c r="MVI348" s="1658"/>
      <c r="MVJ348" s="1658"/>
      <c r="MVK348" s="1658"/>
      <c r="MVL348" s="1658"/>
      <c r="MVM348" s="1658"/>
      <c r="MVN348" s="1658"/>
      <c r="MVO348" s="1658"/>
      <c r="MVP348" s="1658"/>
      <c r="MVQ348" s="1658"/>
      <c r="MVR348" s="1658"/>
      <c r="MVS348" s="1658"/>
      <c r="MVT348" s="1658"/>
      <c r="MVU348" s="1658"/>
      <c r="MVV348" s="1658"/>
      <c r="MVW348" s="1658"/>
      <c r="MVX348" s="1658"/>
      <c r="MVY348" s="1658"/>
      <c r="MVZ348" s="1658"/>
      <c r="MWA348" s="1658"/>
      <c r="MWB348" s="1658"/>
      <c r="MWC348" s="1658"/>
      <c r="MWD348" s="1658"/>
      <c r="MWE348" s="1658"/>
      <c r="MWF348" s="1658"/>
      <c r="MWG348" s="1658"/>
      <c r="MWH348" s="1658"/>
      <c r="MWI348" s="1658"/>
      <c r="MWJ348" s="1658"/>
      <c r="MWK348" s="1658"/>
      <c r="MWL348" s="1658"/>
      <c r="MWM348" s="1658"/>
      <c r="MWN348" s="1658"/>
      <c r="MWO348" s="1658"/>
      <c r="MWP348" s="1658"/>
      <c r="MWQ348" s="1658"/>
      <c r="MWR348" s="1658"/>
      <c r="MWS348" s="1658"/>
      <c r="MWT348" s="1658"/>
      <c r="MWU348" s="1658"/>
      <c r="MWV348" s="1658"/>
      <c r="MWW348" s="1658"/>
      <c r="MWX348" s="1658"/>
      <c r="MWY348" s="1658"/>
      <c r="MWZ348" s="1658"/>
      <c r="MXA348" s="1658"/>
      <c r="MXB348" s="1658"/>
      <c r="MXC348" s="1658"/>
      <c r="MXD348" s="1658"/>
      <c r="MXE348" s="1658"/>
      <c r="MXF348" s="1658"/>
      <c r="MXG348" s="1658"/>
      <c r="MXH348" s="1658"/>
      <c r="MXI348" s="1658"/>
      <c r="MXJ348" s="1658"/>
      <c r="MXK348" s="1658"/>
      <c r="MXL348" s="1658"/>
      <c r="MXM348" s="1658"/>
      <c r="MXN348" s="1658"/>
      <c r="MXO348" s="1658"/>
      <c r="MXP348" s="1658"/>
      <c r="MXQ348" s="1658"/>
      <c r="MXR348" s="1658"/>
      <c r="MXS348" s="1658"/>
      <c r="MXT348" s="1658"/>
      <c r="MXU348" s="1658"/>
      <c r="MXV348" s="1658"/>
      <c r="MXW348" s="1658"/>
      <c r="MXX348" s="1658"/>
      <c r="MXY348" s="1658"/>
      <c r="MXZ348" s="1658"/>
      <c r="MYA348" s="1658"/>
      <c r="MYB348" s="1658"/>
      <c r="MYC348" s="1658"/>
      <c r="MYD348" s="1658"/>
      <c r="MYE348" s="1658"/>
      <c r="MYF348" s="1658"/>
      <c r="MYG348" s="1658"/>
      <c r="MYH348" s="1658"/>
      <c r="MYI348" s="1658"/>
      <c r="MYJ348" s="1658"/>
      <c r="MYK348" s="1658"/>
      <c r="MYL348" s="1658"/>
      <c r="MYM348" s="1658"/>
      <c r="MYN348" s="1658"/>
      <c r="MYO348" s="1658"/>
      <c r="MYP348" s="1658"/>
      <c r="MYQ348" s="1658"/>
      <c r="MYR348" s="1658"/>
      <c r="MYS348" s="1658"/>
      <c r="MYT348" s="1658"/>
      <c r="MYU348" s="1658"/>
      <c r="MYV348" s="1658"/>
      <c r="MYW348" s="1658"/>
      <c r="MYX348" s="1658"/>
      <c r="MYY348" s="1658"/>
      <c r="MYZ348" s="1658"/>
      <c r="MZA348" s="1658"/>
      <c r="MZB348" s="1658"/>
      <c r="MZC348" s="1658"/>
      <c r="MZD348" s="1658"/>
      <c r="MZE348" s="1658"/>
      <c r="MZF348" s="1658"/>
      <c r="MZG348" s="1658"/>
      <c r="MZH348" s="1658"/>
      <c r="MZI348" s="1658"/>
      <c r="MZJ348" s="1658"/>
      <c r="MZK348" s="1658"/>
      <c r="MZL348" s="1658"/>
      <c r="MZM348" s="1658"/>
      <c r="MZN348" s="1658"/>
      <c r="MZO348" s="1658"/>
      <c r="MZP348" s="1658"/>
      <c r="MZQ348" s="1658"/>
      <c r="MZR348" s="1658"/>
      <c r="MZS348" s="1658"/>
      <c r="MZT348" s="1658"/>
      <c r="MZU348" s="1658"/>
      <c r="MZV348" s="1658"/>
      <c r="MZW348" s="1658"/>
      <c r="MZX348" s="1658"/>
      <c r="MZY348" s="1658"/>
      <c r="MZZ348" s="1658"/>
      <c r="NAA348" s="1658"/>
      <c r="NAB348" s="1658"/>
      <c r="NAC348" s="1658"/>
      <c r="NAD348" s="1658"/>
      <c r="NAE348" s="1658"/>
      <c r="NAF348" s="1658"/>
      <c r="NAG348" s="1658"/>
      <c r="NAH348" s="1658"/>
      <c r="NAI348" s="1658"/>
      <c r="NAJ348" s="1658"/>
      <c r="NAK348" s="1658"/>
      <c r="NAL348" s="1658"/>
      <c r="NAM348" s="1658"/>
      <c r="NAN348" s="1658"/>
      <c r="NAO348" s="1658"/>
      <c r="NAP348" s="1658"/>
      <c r="NAQ348" s="1658"/>
      <c r="NAR348" s="1658"/>
      <c r="NAS348" s="1658"/>
      <c r="NAT348" s="1658"/>
      <c r="NAU348" s="1658"/>
      <c r="NAV348" s="1658"/>
      <c r="NAW348" s="1658"/>
      <c r="NAX348" s="1658"/>
      <c r="NAY348" s="1658"/>
      <c r="NAZ348" s="1658"/>
      <c r="NBA348" s="1658"/>
      <c r="NBB348" s="1658"/>
      <c r="NBC348" s="1658"/>
      <c r="NBD348" s="1658"/>
      <c r="NBE348" s="1658"/>
      <c r="NBF348" s="1658"/>
      <c r="NBG348" s="1658"/>
      <c r="NBH348" s="1658"/>
      <c r="NBI348" s="1658"/>
      <c r="NBJ348" s="1658"/>
      <c r="NBK348" s="1658"/>
      <c r="NBL348" s="1658"/>
      <c r="NBM348" s="1658"/>
      <c r="NBN348" s="1658"/>
      <c r="NBO348" s="1658"/>
      <c r="NBP348" s="1658"/>
      <c r="NBQ348" s="1658"/>
      <c r="NBR348" s="1658"/>
      <c r="NBS348" s="1658"/>
      <c r="NBT348" s="1658"/>
      <c r="NBU348" s="1658"/>
      <c r="NBV348" s="1658"/>
      <c r="NBW348" s="1658"/>
      <c r="NBX348" s="1658"/>
      <c r="NBY348" s="1658"/>
      <c r="NBZ348" s="1658"/>
      <c r="NCA348" s="1658"/>
      <c r="NCB348" s="1658"/>
      <c r="NCC348" s="1658"/>
      <c r="NCD348" s="1658"/>
      <c r="NCE348" s="1658"/>
      <c r="NCF348" s="1658"/>
      <c r="NCG348" s="1658"/>
      <c r="NCH348" s="1658"/>
      <c r="NCI348" s="1658"/>
      <c r="NCJ348" s="1658"/>
      <c r="NCK348" s="1658"/>
      <c r="NCL348" s="1658"/>
      <c r="NCM348" s="1658"/>
      <c r="NCN348" s="1658"/>
      <c r="NCO348" s="1658"/>
      <c r="NCP348" s="1658"/>
      <c r="NCQ348" s="1658"/>
      <c r="NCR348" s="1658"/>
      <c r="NCS348" s="1658"/>
      <c r="NCT348" s="1658"/>
      <c r="NCU348" s="1658"/>
      <c r="NCV348" s="1658"/>
      <c r="NCW348" s="1658"/>
      <c r="NCX348" s="1658"/>
      <c r="NCY348" s="1658"/>
      <c r="NCZ348" s="1658"/>
      <c r="NDA348" s="1658"/>
      <c r="NDB348" s="1658"/>
      <c r="NDC348" s="1658"/>
      <c r="NDD348" s="1658"/>
      <c r="NDE348" s="1658"/>
      <c r="NDF348" s="1658"/>
      <c r="NDG348" s="1658"/>
      <c r="NDH348" s="1658"/>
      <c r="NDI348" s="1658"/>
      <c r="NDJ348" s="1658"/>
      <c r="NDK348" s="1658"/>
      <c r="NDL348" s="1658"/>
      <c r="NDM348" s="1658"/>
      <c r="NDN348" s="1658"/>
      <c r="NDO348" s="1658"/>
      <c r="NDP348" s="1658"/>
      <c r="NDQ348" s="1658"/>
      <c r="NDR348" s="1658"/>
      <c r="NDS348" s="1658"/>
      <c r="NDT348" s="1658"/>
      <c r="NDU348" s="1658"/>
      <c r="NDV348" s="1658"/>
      <c r="NDW348" s="1658"/>
      <c r="NDX348" s="1658"/>
      <c r="NDY348" s="1658"/>
      <c r="NDZ348" s="1658"/>
      <c r="NEA348" s="1658"/>
      <c r="NEB348" s="1658"/>
      <c r="NEC348" s="1658"/>
      <c r="NED348" s="1658"/>
      <c r="NEE348" s="1658"/>
      <c r="NEF348" s="1658"/>
      <c r="NEG348" s="1658"/>
      <c r="NEH348" s="1658"/>
      <c r="NEI348" s="1658"/>
      <c r="NEJ348" s="1658"/>
      <c r="NEK348" s="1658"/>
      <c r="NEL348" s="1658"/>
      <c r="NEM348" s="1658"/>
      <c r="NEN348" s="1658"/>
      <c r="NEO348" s="1658"/>
      <c r="NEP348" s="1658"/>
      <c r="NEQ348" s="1658"/>
      <c r="NER348" s="1658"/>
      <c r="NES348" s="1658"/>
      <c r="NET348" s="1658"/>
      <c r="NEU348" s="1658"/>
      <c r="NEV348" s="1658"/>
      <c r="NEW348" s="1658"/>
      <c r="NEX348" s="1658"/>
      <c r="NEY348" s="1658"/>
      <c r="NEZ348" s="1658"/>
      <c r="NFA348" s="1658"/>
      <c r="NFB348" s="1658"/>
      <c r="NFC348" s="1658"/>
      <c r="NFD348" s="1658"/>
      <c r="NFE348" s="1658"/>
      <c r="NFF348" s="1658"/>
      <c r="NFG348" s="1658"/>
      <c r="NFH348" s="1658"/>
      <c r="NFI348" s="1658"/>
      <c r="NFJ348" s="1658"/>
      <c r="NFK348" s="1658"/>
      <c r="NFL348" s="1658"/>
      <c r="NFM348" s="1658"/>
      <c r="NFN348" s="1658"/>
      <c r="NFO348" s="1658"/>
      <c r="NFP348" s="1658"/>
      <c r="NFQ348" s="1658"/>
      <c r="NFR348" s="1658"/>
      <c r="NFS348" s="1658"/>
      <c r="NFT348" s="1658"/>
      <c r="NFU348" s="1658"/>
      <c r="NFV348" s="1658"/>
      <c r="NFW348" s="1658"/>
      <c r="NFX348" s="1658"/>
      <c r="NFY348" s="1658"/>
      <c r="NFZ348" s="1658"/>
      <c r="NGA348" s="1658"/>
      <c r="NGB348" s="1658"/>
      <c r="NGC348" s="1658"/>
      <c r="NGD348" s="1658"/>
      <c r="NGE348" s="1658"/>
      <c r="NGF348" s="1658"/>
      <c r="NGG348" s="1658"/>
      <c r="NGH348" s="1658"/>
      <c r="NGI348" s="1658"/>
      <c r="NGJ348" s="1658"/>
      <c r="NGK348" s="1658"/>
      <c r="NGL348" s="1658"/>
      <c r="NGM348" s="1658"/>
      <c r="NGN348" s="1658"/>
      <c r="NGO348" s="1658"/>
      <c r="NGP348" s="1658"/>
      <c r="NGQ348" s="1658"/>
      <c r="NGR348" s="1658"/>
      <c r="NGS348" s="1658"/>
      <c r="NGT348" s="1658"/>
      <c r="NGU348" s="1658"/>
      <c r="NGV348" s="1658"/>
      <c r="NGW348" s="1658"/>
      <c r="NGX348" s="1658"/>
      <c r="NGY348" s="1658"/>
      <c r="NGZ348" s="1658"/>
      <c r="NHA348" s="1658"/>
      <c r="NHB348" s="1658"/>
      <c r="NHC348" s="1658"/>
      <c r="NHD348" s="1658"/>
      <c r="NHE348" s="1658"/>
      <c r="NHF348" s="1658"/>
      <c r="NHG348" s="1658"/>
      <c r="NHH348" s="1658"/>
      <c r="NHI348" s="1658"/>
      <c r="NHJ348" s="1658"/>
      <c r="NHK348" s="1658"/>
      <c r="NHL348" s="1658"/>
      <c r="NHM348" s="1658"/>
      <c r="NHN348" s="1658"/>
      <c r="NHO348" s="1658"/>
      <c r="NHP348" s="1658"/>
      <c r="NHQ348" s="1658"/>
      <c r="NHR348" s="1658"/>
      <c r="NHS348" s="1658"/>
      <c r="NHT348" s="1658"/>
      <c r="NHU348" s="1658"/>
      <c r="NHV348" s="1658"/>
      <c r="NHW348" s="1658"/>
      <c r="NHX348" s="1658"/>
      <c r="NHY348" s="1658"/>
      <c r="NHZ348" s="1658"/>
      <c r="NIA348" s="1658"/>
      <c r="NIB348" s="1658"/>
      <c r="NIC348" s="1658"/>
      <c r="NID348" s="1658"/>
      <c r="NIE348" s="1658"/>
      <c r="NIF348" s="1658"/>
      <c r="NIG348" s="1658"/>
      <c r="NIH348" s="1658"/>
      <c r="NII348" s="1658"/>
      <c r="NIJ348" s="1658"/>
      <c r="NIK348" s="1658"/>
      <c r="NIL348" s="1658"/>
      <c r="NIM348" s="1658"/>
      <c r="NIN348" s="1658"/>
      <c r="NIO348" s="1658"/>
      <c r="NIP348" s="1658"/>
      <c r="NIQ348" s="1658"/>
      <c r="NIR348" s="1658"/>
      <c r="NIS348" s="1658"/>
      <c r="NIT348" s="1658"/>
      <c r="NIU348" s="1658"/>
      <c r="NIV348" s="1658"/>
      <c r="NIW348" s="1658"/>
      <c r="NIX348" s="1658"/>
      <c r="NIY348" s="1658"/>
      <c r="NIZ348" s="1658"/>
      <c r="NJA348" s="1658"/>
      <c r="NJB348" s="1658"/>
      <c r="NJC348" s="1658"/>
      <c r="NJD348" s="1658"/>
      <c r="NJE348" s="1658"/>
      <c r="NJF348" s="1658"/>
      <c r="NJG348" s="1658"/>
      <c r="NJH348" s="1658"/>
      <c r="NJI348" s="1658"/>
      <c r="NJJ348" s="1658"/>
      <c r="NJK348" s="1658"/>
      <c r="NJL348" s="1658"/>
      <c r="NJM348" s="1658"/>
      <c r="NJN348" s="1658"/>
      <c r="NJO348" s="1658"/>
      <c r="NJP348" s="1658"/>
      <c r="NJQ348" s="1658"/>
      <c r="NJR348" s="1658"/>
      <c r="NJS348" s="1658"/>
      <c r="NJT348" s="1658"/>
      <c r="NJU348" s="1658"/>
      <c r="NJV348" s="1658"/>
      <c r="NJW348" s="1658"/>
      <c r="NJX348" s="1658"/>
      <c r="NJY348" s="1658"/>
      <c r="NJZ348" s="1658"/>
      <c r="NKA348" s="1658"/>
      <c r="NKB348" s="1658"/>
      <c r="NKC348" s="1658"/>
      <c r="NKD348" s="1658"/>
      <c r="NKE348" s="1658"/>
      <c r="NKF348" s="1658"/>
      <c r="NKG348" s="1658"/>
      <c r="NKH348" s="1658"/>
      <c r="NKI348" s="1658"/>
      <c r="NKJ348" s="1658"/>
      <c r="NKK348" s="1658"/>
      <c r="NKL348" s="1658"/>
      <c r="NKM348" s="1658"/>
      <c r="NKN348" s="1658"/>
      <c r="NKO348" s="1658"/>
      <c r="NKP348" s="1658"/>
      <c r="NKQ348" s="1658"/>
      <c r="NKR348" s="1658"/>
      <c r="NKS348" s="1658"/>
      <c r="NKT348" s="1658"/>
      <c r="NKU348" s="1658"/>
      <c r="NKV348" s="1658"/>
      <c r="NKW348" s="1658"/>
      <c r="NKX348" s="1658"/>
      <c r="NKY348" s="1658"/>
      <c r="NKZ348" s="1658"/>
      <c r="NLA348" s="1658"/>
      <c r="NLB348" s="1658"/>
      <c r="NLC348" s="1658"/>
      <c r="NLD348" s="1658"/>
      <c r="NLE348" s="1658"/>
      <c r="NLF348" s="1658"/>
      <c r="NLG348" s="1658"/>
      <c r="NLH348" s="1658"/>
      <c r="NLI348" s="1658"/>
      <c r="NLJ348" s="1658"/>
      <c r="NLK348" s="1658"/>
      <c r="NLL348" s="1658"/>
      <c r="NLM348" s="1658"/>
      <c r="NLN348" s="1658"/>
      <c r="NLO348" s="1658"/>
      <c r="NLP348" s="1658"/>
      <c r="NLQ348" s="1658"/>
      <c r="NLR348" s="1658"/>
      <c r="NLS348" s="1658"/>
      <c r="NLT348" s="1658"/>
      <c r="NLU348" s="1658"/>
      <c r="NLV348" s="1658"/>
      <c r="NLW348" s="1658"/>
      <c r="NLX348" s="1658"/>
      <c r="NLY348" s="1658"/>
      <c r="NLZ348" s="1658"/>
      <c r="NMA348" s="1658"/>
      <c r="NMB348" s="1658"/>
      <c r="NMC348" s="1658"/>
      <c r="NMD348" s="1658"/>
      <c r="NME348" s="1658"/>
      <c r="NMF348" s="1658"/>
      <c r="NMG348" s="1658"/>
      <c r="NMH348" s="1658"/>
      <c r="NMI348" s="1658"/>
      <c r="NMJ348" s="1658"/>
      <c r="NMK348" s="1658"/>
      <c r="NML348" s="1658"/>
      <c r="NMM348" s="1658"/>
      <c r="NMN348" s="1658"/>
      <c r="NMO348" s="1658"/>
      <c r="NMP348" s="1658"/>
      <c r="NMQ348" s="1658"/>
      <c r="NMR348" s="1658"/>
      <c r="NMS348" s="1658"/>
      <c r="NMT348" s="1658"/>
      <c r="NMU348" s="1658"/>
      <c r="NMV348" s="1658"/>
      <c r="NMW348" s="1658"/>
      <c r="NMX348" s="1658"/>
      <c r="NMY348" s="1658"/>
      <c r="NMZ348" s="1658"/>
      <c r="NNA348" s="1658"/>
      <c r="NNB348" s="1658"/>
      <c r="NNC348" s="1658"/>
      <c r="NND348" s="1658"/>
      <c r="NNE348" s="1658"/>
      <c r="NNF348" s="1658"/>
      <c r="NNG348" s="1658"/>
      <c r="NNH348" s="1658"/>
      <c r="NNI348" s="1658"/>
      <c r="NNJ348" s="1658"/>
      <c r="NNK348" s="1658"/>
      <c r="NNL348" s="1658"/>
      <c r="NNM348" s="1658"/>
      <c r="NNN348" s="1658"/>
      <c r="NNO348" s="1658"/>
      <c r="NNP348" s="1658"/>
      <c r="NNQ348" s="1658"/>
      <c r="NNR348" s="1658"/>
      <c r="NNS348" s="1658"/>
      <c r="NNT348" s="1658"/>
      <c r="NNU348" s="1658"/>
      <c r="NNV348" s="1658"/>
      <c r="NNW348" s="1658"/>
      <c r="NNX348" s="1658"/>
      <c r="NNY348" s="1658"/>
      <c r="NNZ348" s="1658"/>
      <c r="NOA348" s="1658"/>
      <c r="NOB348" s="1658"/>
      <c r="NOC348" s="1658"/>
      <c r="NOD348" s="1658"/>
      <c r="NOE348" s="1658"/>
      <c r="NOF348" s="1658"/>
      <c r="NOG348" s="1658"/>
      <c r="NOH348" s="1658"/>
      <c r="NOI348" s="1658"/>
      <c r="NOJ348" s="1658"/>
      <c r="NOK348" s="1658"/>
      <c r="NOL348" s="1658"/>
      <c r="NOM348" s="1658"/>
      <c r="NON348" s="1658"/>
      <c r="NOO348" s="1658"/>
      <c r="NOP348" s="1658"/>
      <c r="NOQ348" s="1658"/>
      <c r="NOR348" s="1658"/>
      <c r="NOS348" s="1658"/>
      <c r="NOT348" s="1658"/>
      <c r="NOU348" s="1658"/>
      <c r="NOV348" s="1658"/>
      <c r="NOW348" s="1658"/>
      <c r="NOX348" s="1658"/>
      <c r="NOY348" s="1658"/>
      <c r="NOZ348" s="1658"/>
      <c r="NPA348" s="1658"/>
      <c r="NPB348" s="1658"/>
      <c r="NPC348" s="1658"/>
      <c r="NPD348" s="1658"/>
      <c r="NPE348" s="1658"/>
      <c r="NPF348" s="1658"/>
      <c r="NPG348" s="1658"/>
      <c r="NPH348" s="1658"/>
      <c r="NPI348" s="1658"/>
      <c r="NPJ348" s="1658"/>
      <c r="NPK348" s="1658"/>
      <c r="NPL348" s="1658"/>
      <c r="NPM348" s="1658"/>
      <c r="NPN348" s="1658"/>
      <c r="NPO348" s="1658"/>
      <c r="NPP348" s="1658"/>
      <c r="NPQ348" s="1658"/>
      <c r="NPR348" s="1658"/>
      <c r="NPS348" s="1658"/>
      <c r="NPT348" s="1658"/>
      <c r="NPU348" s="1658"/>
      <c r="NPV348" s="1658"/>
      <c r="NPW348" s="1658"/>
      <c r="NPX348" s="1658"/>
      <c r="NPY348" s="1658"/>
      <c r="NPZ348" s="1658"/>
      <c r="NQA348" s="1658"/>
      <c r="NQB348" s="1658"/>
      <c r="NQC348" s="1658"/>
      <c r="NQD348" s="1658"/>
      <c r="NQE348" s="1658"/>
      <c r="NQF348" s="1658"/>
      <c r="NQG348" s="1658"/>
      <c r="NQH348" s="1658"/>
      <c r="NQI348" s="1658"/>
      <c r="NQJ348" s="1658"/>
      <c r="NQK348" s="1658"/>
      <c r="NQL348" s="1658"/>
      <c r="NQM348" s="1658"/>
      <c r="NQN348" s="1658"/>
      <c r="NQO348" s="1658"/>
      <c r="NQP348" s="1658"/>
      <c r="NQQ348" s="1658"/>
      <c r="NQR348" s="1658"/>
      <c r="NQS348" s="1658"/>
      <c r="NQT348" s="1658"/>
      <c r="NQU348" s="1658"/>
      <c r="NQV348" s="1658"/>
      <c r="NQW348" s="1658"/>
      <c r="NQX348" s="1658"/>
      <c r="NQY348" s="1658"/>
      <c r="NQZ348" s="1658"/>
      <c r="NRA348" s="1658"/>
      <c r="NRB348" s="1658"/>
      <c r="NRC348" s="1658"/>
      <c r="NRD348" s="1658"/>
      <c r="NRE348" s="1658"/>
      <c r="NRF348" s="1658"/>
      <c r="NRG348" s="1658"/>
      <c r="NRH348" s="1658"/>
      <c r="NRI348" s="1658"/>
      <c r="NRJ348" s="1658"/>
      <c r="NRK348" s="1658"/>
      <c r="NRL348" s="1658"/>
      <c r="NRM348" s="1658"/>
      <c r="NRN348" s="1658"/>
      <c r="NRO348" s="1658"/>
      <c r="NRP348" s="1658"/>
      <c r="NRQ348" s="1658"/>
      <c r="NRR348" s="1658"/>
      <c r="NRS348" s="1658"/>
      <c r="NRT348" s="1658"/>
      <c r="NRU348" s="1658"/>
      <c r="NRV348" s="1658"/>
      <c r="NRW348" s="1658"/>
      <c r="NRX348" s="1658"/>
      <c r="NRY348" s="1658"/>
      <c r="NRZ348" s="1658"/>
      <c r="NSA348" s="1658"/>
      <c r="NSB348" s="1658"/>
      <c r="NSC348" s="1658"/>
      <c r="NSD348" s="1658"/>
      <c r="NSE348" s="1658"/>
      <c r="NSF348" s="1658"/>
      <c r="NSG348" s="1658"/>
      <c r="NSH348" s="1658"/>
      <c r="NSI348" s="1658"/>
      <c r="NSJ348" s="1658"/>
      <c r="NSK348" s="1658"/>
      <c r="NSL348" s="1658"/>
      <c r="NSM348" s="1658"/>
      <c r="NSN348" s="1658"/>
      <c r="NSO348" s="1658"/>
      <c r="NSP348" s="1658"/>
      <c r="NSQ348" s="1658"/>
      <c r="NSR348" s="1658"/>
      <c r="NSS348" s="1658"/>
      <c r="NST348" s="1658"/>
      <c r="NSU348" s="1658"/>
      <c r="NSV348" s="1658"/>
      <c r="NSW348" s="1658"/>
      <c r="NSX348" s="1658"/>
      <c r="NSY348" s="1658"/>
      <c r="NSZ348" s="1658"/>
      <c r="NTA348" s="1658"/>
      <c r="NTB348" s="1658"/>
      <c r="NTC348" s="1658"/>
      <c r="NTD348" s="1658"/>
      <c r="NTE348" s="1658"/>
      <c r="NTF348" s="1658"/>
      <c r="NTG348" s="1658"/>
      <c r="NTH348" s="1658"/>
      <c r="NTI348" s="1658"/>
      <c r="NTJ348" s="1658"/>
      <c r="NTK348" s="1658"/>
      <c r="NTL348" s="1658"/>
      <c r="NTM348" s="1658"/>
      <c r="NTN348" s="1658"/>
      <c r="NTO348" s="1658"/>
      <c r="NTP348" s="1658"/>
      <c r="NTQ348" s="1658"/>
      <c r="NTR348" s="1658"/>
      <c r="NTS348" s="1658"/>
      <c r="NTT348" s="1658"/>
      <c r="NTU348" s="1658"/>
      <c r="NTV348" s="1658"/>
      <c r="NTW348" s="1658"/>
      <c r="NTX348" s="1658"/>
      <c r="NTY348" s="1658"/>
      <c r="NTZ348" s="1658"/>
      <c r="NUA348" s="1658"/>
      <c r="NUB348" s="1658"/>
      <c r="NUC348" s="1658"/>
      <c r="NUD348" s="1658"/>
      <c r="NUE348" s="1658"/>
      <c r="NUF348" s="1658"/>
      <c r="NUG348" s="1658"/>
      <c r="NUH348" s="1658"/>
      <c r="NUI348" s="1658"/>
      <c r="NUJ348" s="1658"/>
      <c r="NUK348" s="1658"/>
      <c r="NUL348" s="1658"/>
      <c r="NUM348" s="1658"/>
      <c r="NUN348" s="1658"/>
      <c r="NUO348" s="1658"/>
      <c r="NUP348" s="1658"/>
      <c r="NUQ348" s="1658"/>
      <c r="NUR348" s="1658"/>
      <c r="NUS348" s="1658"/>
      <c r="NUT348" s="1658"/>
      <c r="NUU348" s="1658"/>
      <c r="NUV348" s="1658"/>
      <c r="NUW348" s="1658"/>
      <c r="NUX348" s="1658"/>
      <c r="NUY348" s="1658"/>
      <c r="NUZ348" s="1658"/>
      <c r="NVA348" s="1658"/>
      <c r="NVB348" s="1658"/>
      <c r="NVC348" s="1658"/>
      <c r="NVD348" s="1658"/>
      <c r="NVE348" s="1658"/>
      <c r="NVF348" s="1658"/>
      <c r="NVG348" s="1658"/>
      <c r="NVH348" s="1658"/>
      <c r="NVI348" s="1658"/>
      <c r="NVJ348" s="1658"/>
      <c r="NVK348" s="1658"/>
      <c r="NVL348" s="1658"/>
      <c r="NVM348" s="1658"/>
      <c r="NVN348" s="1658"/>
      <c r="NVO348" s="1658"/>
      <c r="NVP348" s="1658"/>
      <c r="NVQ348" s="1658"/>
      <c r="NVR348" s="1658"/>
      <c r="NVS348" s="1658"/>
      <c r="NVT348" s="1658"/>
      <c r="NVU348" s="1658"/>
      <c r="NVV348" s="1658"/>
      <c r="NVW348" s="1658"/>
      <c r="NVX348" s="1658"/>
      <c r="NVY348" s="1658"/>
      <c r="NVZ348" s="1658"/>
      <c r="NWA348" s="1658"/>
      <c r="NWB348" s="1658"/>
      <c r="NWC348" s="1658"/>
      <c r="NWD348" s="1658"/>
      <c r="NWE348" s="1658"/>
      <c r="NWF348" s="1658"/>
      <c r="NWG348" s="1658"/>
      <c r="NWH348" s="1658"/>
      <c r="NWI348" s="1658"/>
      <c r="NWJ348" s="1658"/>
      <c r="NWK348" s="1658"/>
      <c r="NWL348" s="1658"/>
      <c r="NWM348" s="1658"/>
      <c r="NWN348" s="1658"/>
      <c r="NWO348" s="1658"/>
      <c r="NWP348" s="1658"/>
      <c r="NWQ348" s="1658"/>
      <c r="NWR348" s="1658"/>
      <c r="NWS348" s="1658"/>
      <c r="NWT348" s="1658"/>
      <c r="NWU348" s="1658"/>
      <c r="NWV348" s="1658"/>
      <c r="NWW348" s="1658"/>
      <c r="NWX348" s="1658"/>
      <c r="NWY348" s="1658"/>
      <c r="NWZ348" s="1658"/>
      <c r="NXA348" s="1658"/>
      <c r="NXB348" s="1658"/>
      <c r="NXC348" s="1658"/>
      <c r="NXD348" s="1658"/>
      <c r="NXE348" s="1658"/>
      <c r="NXF348" s="1658"/>
      <c r="NXG348" s="1658"/>
      <c r="NXH348" s="1658"/>
      <c r="NXI348" s="1658"/>
      <c r="NXJ348" s="1658"/>
      <c r="NXK348" s="1658"/>
      <c r="NXL348" s="1658"/>
      <c r="NXM348" s="1658"/>
      <c r="NXN348" s="1658"/>
      <c r="NXO348" s="1658"/>
      <c r="NXP348" s="1658"/>
      <c r="NXQ348" s="1658"/>
      <c r="NXR348" s="1658"/>
      <c r="NXS348" s="1658"/>
      <c r="NXT348" s="1658"/>
      <c r="NXU348" s="1658"/>
      <c r="NXV348" s="1658"/>
      <c r="NXW348" s="1658"/>
      <c r="NXX348" s="1658"/>
      <c r="NXY348" s="1658"/>
      <c r="NXZ348" s="1658"/>
      <c r="NYA348" s="1658"/>
      <c r="NYB348" s="1658"/>
      <c r="NYC348" s="1658"/>
      <c r="NYD348" s="1658"/>
      <c r="NYE348" s="1658"/>
      <c r="NYF348" s="1658"/>
      <c r="NYG348" s="1658"/>
      <c r="NYH348" s="1658"/>
      <c r="NYI348" s="1658"/>
      <c r="NYJ348" s="1658"/>
      <c r="NYK348" s="1658"/>
      <c r="NYL348" s="1658"/>
      <c r="NYM348" s="1658"/>
      <c r="NYN348" s="1658"/>
      <c r="NYO348" s="1658"/>
      <c r="NYP348" s="1658"/>
      <c r="NYQ348" s="1658"/>
      <c r="NYR348" s="1658"/>
      <c r="NYS348" s="1658"/>
      <c r="NYT348" s="1658"/>
      <c r="NYU348" s="1658"/>
      <c r="NYV348" s="1658"/>
      <c r="NYW348" s="1658"/>
      <c r="NYX348" s="1658"/>
      <c r="NYY348" s="1658"/>
      <c r="NYZ348" s="1658"/>
      <c r="NZA348" s="1658"/>
      <c r="NZB348" s="1658"/>
      <c r="NZC348" s="1658"/>
      <c r="NZD348" s="1658"/>
      <c r="NZE348" s="1658"/>
      <c r="NZF348" s="1658"/>
      <c r="NZG348" s="1658"/>
      <c r="NZH348" s="1658"/>
      <c r="NZI348" s="1658"/>
      <c r="NZJ348" s="1658"/>
      <c r="NZK348" s="1658"/>
      <c r="NZL348" s="1658"/>
      <c r="NZM348" s="1658"/>
      <c r="NZN348" s="1658"/>
      <c r="NZO348" s="1658"/>
      <c r="NZP348" s="1658"/>
      <c r="NZQ348" s="1658"/>
      <c r="NZR348" s="1658"/>
      <c r="NZS348" s="1658"/>
      <c r="NZT348" s="1658"/>
      <c r="NZU348" s="1658"/>
      <c r="NZV348" s="1658"/>
      <c r="NZW348" s="1658"/>
      <c r="NZX348" s="1658"/>
      <c r="NZY348" s="1658"/>
      <c r="NZZ348" s="1658"/>
      <c r="OAA348" s="1658"/>
      <c r="OAB348" s="1658"/>
      <c r="OAC348" s="1658"/>
      <c r="OAD348" s="1658"/>
      <c r="OAE348" s="1658"/>
      <c r="OAF348" s="1658"/>
      <c r="OAG348" s="1658"/>
      <c r="OAH348" s="1658"/>
      <c r="OAI348" s="1658"/>
      <c r="OAJ348" s="1658"/>
      <c r="OAK348" s="1658"/>
      <c r="OAL348" s="1658"/>
      <c r="OAM348" s="1658"/>
      <c r="OAN348" s="1658"/>
      <c r="OAO348" s="1658"/>
      <c r="OAP348" s="1658"/>
      <c r="OAQ348" s="1658"/>
      <c r="OAR348" s="1658"/>
      <c r="OAS348" s="1658"/>
      <c r="OAT348" s="1658"/>
      <c r="OAU348" s="1658"/>
      <c r="OAV348" s="1658"/>
      <c r="OAW348" s="1658"/>
      <c r="OAX348" s="1658"/>
      <c r="OAY348" s="1658"/>
      <c r="OAZ348" s="1658"/>
      <c r="OBA348" s="1658"/>
      <c r="OBB348" s="1658"/>
      <c r="OBC348" s="1658"/>
      <c r="OBD348" s="1658"/>
      <c r="OBE348" s="1658"/>
      <c r="OBF348" s="1658"/>
      <c r="OBG348" s="1658"/>
      <c r="OBH348" s="1658"/>
      <c r="OBI348" s="1658"/>
      <c r="OBJ348" s="1658"/>
      <c r="OBK348" s="1658"/>
      <c r="OBL348" s="1658"/>
      <c r="OBM348" s="1658"/>
      <c r="OBN348" s="1658"/>
      <c r="OBO348" s="1658"/>
      <c r="OBP348" s="1658"/>
      <c r="OBQ348" s="1658"/>
      <c r="OBR348" s="1658"/>
      <c r="OBS348" s="1658"/>
      <c r="OBT348" s="1658"/>
      <c r="OBU348" s="1658"/>
      <c r="OBV348" s="1658"/>
      <c r="OBW348" s="1658"/>
      <c r="OBX348" s="1658"/>
      <c r="OBY348" s="1658"/>
      <c r="OBZ348" s="1658"/>
      <c r="OCA348" s="1658"/>
      <c r="OCB348" s="1658"/>
      <c r="OCC348" s="1658"/>
      <c r="OCD348" s="1658"/>
      <c r="OCE348" s="1658"/>
      <c r="OCF348" s="1658"/>
      <c r="OCG348" s="1658"/>
      <c r="OCH348" s="1658"/>
      <c r="OCI348" s="1658"/>
      <c r="OCJ348" s="1658"/>
      <c r="OCK348" s="1658"/>
      <c r="OCL348" s="1658"/>
      <c r="OCM348" s="1658"/>
      <c r="OCN348" s="1658"/>
      <c r="OCO348" s="1658"/>
      <c r="OCP348" s="1658"/>
      <c r="OCQ348" s="1658"/>
      <c r="OCR348" s="1658"/>
      <c r="OCS348" s="1658"/>
      <c r="OCT348" s="1658"/>
      <c r="OCU348" s="1658"/>
      <c r="OCV348" s="1658"/>
      <c r="OCW348" s="1658"/>
      <c r="OCX348" s="1658"/>
      <c r="OCY348" s="1658"/>
      <c r="OCZ348" s="1658"/>
      <c r="ODA348" s="1658"/>
      <c r="ODB348" s="1658"/>
      <c r="ODC348" s="1658"/>
      <c r="ODD348" s="1658"/>
      <c r="ODE348" s="1658"/>
      <c r="ODF348" s="1658"/>
      <c r="ODG348" s="1658"/>
      <c r="ODH348" s="1658"/>
      <c r="ODI348" s="1658"/>
      <c r="ODJ348" s="1658"/>
      <c r="ODK348" s="1658"/>
      <c r="ODL348" s="1658"/>
      <c r="ODM348" s="1658"/>
      <c r="ODN348" s="1658"/>
      <c r="ODO348" s="1658"/>
      <c r="ODP348" s="1658"/>
      <c r="ODQ348" s="1658"/>
      <c r="ODR348" s="1658"/>
      <c r="ODS348" s="1658"/>
      <c r="ODT348" s="1658"/>
      <c r="ODU348" s="1658"/>
      <c r="ODV348" s="1658"/>
      <c r="ODW348" s="1658"/>
      <c r="ODX348" s="1658"/>
      <c r="ODY348" s="1658"/>
      <c r="ODZ348" s="1658"/>
      <c r="OEA348" s="1658"/>
      <c r="OEB348" s="1658"/>
      <c r="OEC348" s="1658"/>
      <c r="OED348" s="1658"/>
      <c r="OEE348" s="1658"/>
      <c r="OEF348" s="1658"/>
      <c r="OEG348" s="1658"/>
      <c r="OEH348" s="1658"/>
      <c r="OEI348" s="1658"/>
      <c r="OEJ348" s="1658"/>
      <c r="OEK348" s="1658"/>
      <c r="OEL348" s="1658"/>
      <c r="OEM348" s="1658"/>
      <c r="OEN348" s="1658"/>
      <c r="OEO348" s="1658"/>
      <c r="OEP348" s="1658"/>
      <c r="OEQ348" s="1658"/>
      <c r="OER348" s="1658"/>
      <c r="OES348" s="1658"/>
      <c r="OET348" s="1658"/>
      <c r="OEU348" s="1658"/>
      <c r="OEV348" s="1658"/>
      <c r="OEW348" s="1658"/>
      <c r="OEX348" s="1658"/>
      <c r="OEY348" s="1658"/>
      <c r="OEZ348" s="1658"/>
      <c r="OFA348" s="1658"/>
      <c r="OFB348" s="1658"/>
      <c r="OFC348" s="1658"/>
      <c r="OFD348" s="1658"/>
      <c r="OFE348" s="1658"/>
      <c r="OFF348" s="1658"/>
      <c r="OFG348" s="1658"/>
      <c r="OFH348" s="1658"/>
      <c r="OFI348" s="1658"/>
      <c r="OFJ348" s="1658"/>
      <c r="OFK348" s="1658"/>
      <c r="OFL348" s="1658"/>
      <c r="OFM348" s="1658"/>
      <c r="OFN348" s="1658"/>
      <c r="OFO348" s="1658"/>
      <c r="OFP348" s="1658"/>
      <c r="OFQ348" s="1658"/>
      <c r="OFR348" s="1658"/>
      <c r="OFS348" s="1658"/>
      <c r="OFT348" s="1658"/>
      <c r="OFU348" s="1658"/>
      <c r="OFV348" s="1658"/>
      <c r="OFW348" s="1658"/>
      <c r="OFX348" s="1658"/>
      <c r="OFY348" s="1658"/>
      <c r="OFZ348" s="1658"/>
      <c r="OGA348" s="1658"/>
      <c r="OGB348" s="1658"/>
      <c r="OGC348" s="1658"/>
      <c r="OGD348" s="1658"/>
      <c r="OGE348" s="1658"/>
      <c r="OGF348" s="1658"/>
      <c r="OGG348" s="1658"/>
      <c r="OGH348" s="1658"/>
      <c r="OGI348" s="1658"/>
      <c r="OGJ348" s="1658"/>
      <c r="OGK348" s="1658"/>
      <c r="OGL348" s="1658"/>
      <c r="OGM348" s="1658"/>
      <c r="OGN348" s="1658"/>
      <c r="OGO348" s="1658"/>
      <c r="OGP348" s="1658"/>
      <c r="OGQ348" s="1658"/>
      <c r="OGR348" s="1658"/>
      <c r="OGS348" s="1658"/>
      <c r="OGT348" s="1658"/>
      <c r="OGU348" s="1658"/>
      <c r="OGV348" s="1658"/>
      <c r="OGW348" s="1658"/>
      <c r="OGX348" s="1658"/>
      <c r="OGY348" s="1658"/>
      <c r="OGZ348" s="1658"/>
      <c r="OHA348" s="1658"/>
      <c r="OHB348" s="1658"/>
      <c r="OHC348" s="1658"/>
      <c r="OHD348" s="1658"/>
      <c r="OHE348" s="1658"/>
      <c r="OHF348" s="1658"/>
      <c r="OHG348" s="1658"/>
      <c r="OHH348" s="1658"/>
      <c r="OHI348" s="1658"/>
      <c r="OHJ348" s="1658"/>
      <c r="OHK348" s="1658"/>
      <c r="OHL348" s="1658"/>
      <c r="OHM348" s="1658"/>
      <c r="OHN348" s="1658"/>
      <c r="OHO348" s="1658"/>
      <c r="OHP348" s="1658"/>
      <c r="OHQ348" s="1658"/>
      <c r="OHR348" s="1658"/>
      <c r="OHS348" s="1658"/>
      <c r="OHT348" s="1658"/>
      <c r="OHU348" s="1658"/>
      <c r="OHV348" s="1658"/>
      <c r="OHW348" s="1658"/>
      <c r="OHX348" s="1658"/>
      <c r="OHY348" s="1658"/>
      <c r="OHZ348" s="1658"/>
      <c r="OIA348" s="1658"/>
      <c r="OIB348" s="1658"/>
      <c r="OIC348" s="1658"/>
      <c r="OID348" s="1658"/>
      <c r="OIE348" s="1658"/>
      <c r="OIF348" s="1658"/>
      <c r="OIG348" s="1658"/>
      <c r="OIH348" s="1658"/>
      <c r="OII348" s="1658"/>
      <c r="OIJ348" s="1658"/>
      <c r="OIK348" s="1658"/>
      <c r="OIL348" s="1658"/>
      <c r="OIM348" s="1658"/>
      <c r="OIN348" s="1658"/>
      <c r="OIO348" s="1658"/>
      <c r="OIP348" s="1658"/>
      <c r="OIQ348" s="1658"/>
      <c r="OIR348" s="1658"/>
      <c r="OIS348" s="1658"/>
      <c r="OIT348" s="1658"/>
      <c r="OIU348" s="1658"/>
      <c r="OIV348" s="1658"/>
      <c r="OIW348" s="1658"/>
      <c r="OIX348" s="1658"/>
      <c r="OIY348" s="1658"/>
      <c r="OIZ348" s="1658"/>
      <c r="OJA348" s="1658"/>
      <c r="OJB348" s="1658"/>
      <c r="OJC348" s="1658"/>
      <c r="OJD348" s="1658"/>
      <c r="OJE348" s="1658"/>
      <c r="OJF348" s="1658"/>
      <c r="OJG348" s="1658"/>
      <c r="OJH348" s="1658"/>
      <c r="OJI348" s="1658"/>
      <c r="OJJ348" s="1658"/>
      <c r="OJK348" s="1658"/>
      <c r="OJL348" s="1658"/>
      <c r="OJM348" s="1658"/>
      <c r="OJN348" s="1658"/>
      <c r="OJO348" s="1658"/>
      <c r="OJP348" s="1658"/>
      <c r="OJQ348" s="1658"/>
      <c r="OJR348" s="1658"/>
      <c r="OJS348" s="1658"/>
      <c r="OJT348" s="1658"/>
      <c r="OJU348" s="1658"/>
      <c r="OJV348" s="1658"/>
      <c r="OJW348" s="1658"/>
      <c r="OJX348" s="1658"/>
      <c r="OJY348" s="1658"/>
      <c r="OJZ348" s="1658"/>
      <c r="OKA348" s="1658"/>
      <c r="OKB348" s="1658"/>
      <c r="OKC348" s="1658"/>
      <c r="OKD348" s="1658"/>
      <c r="OKE348" s="1658"/>
      <c r="OKF348" s="1658"/>
      <c r="OKG348" s="1658"/>
      <c r="OKH348" s="1658"/>
      <c r="OKI348" s="1658"/>
      <c r="OKJ348" s="1658"/>
      <c r="OKK348" s="1658"/>
      <c r="OKL348" s="1658"/>
      <c r="OKM348" s="1658"/>
      <c r="OKN348" s="1658"/>
      <c r="OKO348" s="1658"/>
      <c r="OKP348" s="1658"/>
      <c r="OKQ348" s="1658"/>
      <c r="OKR348" s="1658"/>
      <c r="OKS348" s="1658"/>
      <c r="OKT348" s="1658"/>
      <c r="OKU348" s="1658"/>
      <c r="OKV348" s="1658"/>
      <c r="OKW348" s="1658"/>
      <c r="OKX348" s="1658"/>
      <c r="OKY348" s="1658"/>
      <c r="OKZ348" s="1658"/>
      <c r="OLA348" s="1658"/>
      <c r="OLB348" s="1658"/>
      <c r="OLC348" s="1658"/>
      <c r="OLD348" s="1658"/>
      <c r="OLE348" s="1658"/>
      <c r="OLF348" s="1658"/>
      <c r="OLG348" s="1658"/>
      <c r="OLH348" s="1658"/>
      <c r="OLI348" s="1658"/>
      <c r="OLJ348" s="1658"/>
      <c r="OLK348" s="1658"/>
      <c r="OLL348" s="1658"/>
      <c r="OLM348" s="1658"/>
      <c r="OLN348" s="1658"/>
      <c r="OLO348" s="1658"/>
      <c r="OLP348" s="1658"/>
      <c r="OLQ348" s="1658"/>
      <c r="OLR348" s="1658"/>
      <c r="OLS348" s="1658"/>
      <c r="OLT348" s="1658"/>
      <c r="OLU348" s="1658"/>
      <c r="OLV348" s="1658"/>
      <c r="OLW348" s="1658"/>
      <c r="OLX348" s="1658"/>
      <c r="OLY348" s="1658"/>
      <c r="OLZ348" s="1658"/>
      <c r="OMA348" s="1658"/>
      <c r="OMB348" s="1658"/>
      <c r="OMC348" s="1658"/>
      <c r="OMD348" s="1658"/>
      <c r="OME348" s="1658"/>
      <c r="OMF348" s="1658"/>
      <c r="OMG348" s="1658"/>
      <c r="OMH348" s="1658"/>
      <c r="OMI348" s="1658"/>
      <c r="OMJ348" s="1658"/>
      <c r="OMK348" s="1658"/>
      <c r="OML348" s="1658"/>
      <c r="OMM348" s="1658"/>
      <c r="OMN348" s="1658"/>
      <c r="OMO348" s="1658"/>
      <c r="OMP348" s="1658"/>
      <c r="OMQ348" s="1658"/>
      <c r="OMR348" s="1658"/>
      <c r="OMS348" s="1658"/>
      <c r="OMT348" s="1658"/>
      <c r="OMU348" s="1658"/>
      <c r="OMV348" s="1658"/>
      <c r="OMW348" s="1658"/>
      <c r="OMX348" s="1658"/>
      <c r="OMY348" s="1658"/>
      <c r="OMZ348" s="1658"/>
      <c r="ONA348" s="1658"/>
      <c r="ONB348" s="1658"/>
      <c r="ONC348" s="1658"/>
      <c r="OND348" s="1658"/>
      <c r="ONE348" s="1658"/>
      <c r="ONF348" s="1658"/>
      <c r="ONG348" s="1658"/>
      <c r="ONH348" s="1658"/>
      <c r="ONI348" s="1658"/>
      <c r="ONJ348" s="1658"/>
      <c r="ONK348" s="1658"/>
      <c r="ONL348" s="1658"/>
      <c r="ONM348" s="1658"/>
      <c r="ONN348" s="1658"/>
      <c r="ONO348" s="1658"/>
      <c r="ONP348" s="1658"/>
      <c r="ONQ348" s="1658"/>
      <c r="ONR348" s="1658"/>
      <c r="ONS348" s="1658"/>
      <c r="ONT348" s="1658"/>
      <c r="ONU348" s="1658"/>
      <c r="ONV348" s="1658"/>
      <c r="ONW348" s="1658"/>
      <c r="ONX348" s="1658"/>
      <c r="ONY348" s="1658"/>
      <c r="ONZ348" s="1658"/>
      <c r="OOA348" s="1658"/>
      <c r="OOB348" s="1658"/>
      <c r="OOC348" s="1658"/>
      <c r="OOD348" s="1658"/>
      <c r="OOE348" s="1658"/>
      <c r="OOF348" s="1658"/>
      <c r="OOG348" s="1658"/>
      <c r="OOH348" s="1658"/>
      <c r="OOI348" s="1658"/>
      <c r="OOJ348" s="1658"/>
      <c r="OOK348" s="1658"/>
      <c r="OOL348" s="1658"/>
      <c r="OOM348" s="1658"/>
      <c r="OON348" s="1658"/>
      <c r="OOO348" s="1658"/>
      <c r="OOP348" s="1658"/>
      <c r="OOQ348" s="1658"/>
      <c r="OOR348" s="1658"/>
      <c r="OOS348" s="1658"/>
      <c r="OOT348" s="1658"/>
      <c r="OOU348" s="1658"/>
      <c r="OOV348" s="1658"/>
      <c r="OOW348" s="1658"/>
      <c r="OOX348" s="1658"/>
      <c r="OOY348" s="1658"/>
      <c r="OOZ348" s="1658"/>
      <c r="OPA348" s="1658"/>
      <c r="OPB348" s="1658"/>
      <c r="OPC348" s="1658"/>
      <c r="OPD348" s="1658"/>
      <c r="OPE348" s="1658"/>
      <c r="OPF348" s="1658"/>
      <c r="OPG348" s="1658"/>
      <c r="OPH348" s="1658"/>
      <c r="OPI348" s="1658"/>
      <c r="OPJ348" s="1658"/>
      <c r="OPK348" s="1658"/>
      <c r="OPL348" s="1658"/>
      <c r="OPM348" s="1658"/>
      <c r="OPN348" s="1658"/>
      <c r="OPO348" s="1658"/>
      <c r="OPP348" s="1658"/>
      <c r="OPQ348" s="1658"/>
      <c r="OPR348" s="1658"/>
      <c r="OPS348" s="1658"/>
      <c r="OPT348" s="1658"/>
      <c r="OPU348" s="1658"/>
      <c r="OPV348" s="1658"/>
      <c r="OPW348" s="1658"/>
      <c r="OPX348" s="1658"/>
      <c r="OPY348" s="1658"/>
      <c r="OPZ348" s="1658"/>
      <c r="OQA348" s="1658"/>
      <c r="OQB348" s="1658"/>
      <c r="OQC348" s="1658"/>
      <c r="OQD348" s="1658"/>
      <c r="OQE348" s="1658"/>
      <c r="OQF348" s="1658"/>
      <c r="OQG348" s="1658"/>
      <c r="OQH348" s="1658"/>
      <c r="OQI348" s="1658"/>
      <c r="OQJ348" s="1658"/>
      <c r="OQK348" s="1658"/>
      <c r="OQL348" s="1658"/>
      <c r="OQM348" s="1658"/>
      <c r="OQN348" s="1658"/>
      <c r="OQO348" s="1658"/>
      <c r="OQP348" s="1658"/>
      <c r="OQQ348" s="1658"/>
      <c r="OQR348" s="1658"/>
      <c r="OQS348" s="1658"/>
      <c r="OQT348" s="1658"/>
      <c r="OQU348" s="1658"/>
      <c r="OQV348" s="1658"/>
      <c r="OQW348" s="1658"/>
      <c r="OQX348" s="1658"/>
      <c r="OQY348" s="1658"/>
      <c r="OQZ348" s="1658"/>
      <c r="ORA348" s="1658"/>
      <c r="ORB348" s="1658"/>
      <c r="ORC348" s="1658"/>
      <c r="ORD348" s="1658"/>
      <c r="ORE348" s="1658"/>
      <c r="ORF348" s="1658"/>
      <c r="ORG348" s="1658"/>
      <c r="ORH348" s="1658"/>
      <c r="ORI348" s="1658"/>
      <c r="ORJ348" s="1658"/>
      <c r="ORK348" s="1658"/>
      <c r="ORL348" s="1658"/>
      <c r="ORM348" s="1658"/>
      <c r="ORN348" s="1658"/>
      <c r="ORO348" s="1658"/>
      <c r="ORP348" s="1658"/>
      <c r="ORQ348" s="1658"/>
      <c r="ORR348" s="1658"/>
      <c r="ORS348" s="1658"/>
      <c r="ORT348" s="1658"/>
      <c r="ORU348" s="1658"/>
      <c r="ORV348" s="1658"/>
      <c r="ORW348" s="1658"/>
      <c r="ORX348" s="1658"/>
      <c r="ORY348" s="1658"/>
      <c r="ORZ348" s="1658"/>
      <c r="OSA348" s="1658"/>
      <c r="OSB348" s="1658"/>
      <c r="OSC348" s="1658"/>
      <c r="OSD348" s="1658"/>
      <c r="OSE348" s="1658"/>
      <c r="OSF348" s="1658"/>
      <c r="OSG348" s="1658"/>
      <c r="OSH348" s="1658"/>
      <c r="OSI348" s="1658"/>
      <c r="OSJ348" s="1658"/>
      <c r="OSK348" s="1658"/>
      <c r="OSL348" s="1658"/>
      <c r="OSM348" s="1658"/>
      <c r="OSN348" s="1658"/>
      <c r="OSO348" s="1658"/>
      <c r="OSP348" s="1658"/>
      <c r="OSQ348" s="1658"/>
      <c r="OSR348" s="1658"/>
      <c r="OSS348" s="1658"/>
      <c r="OST348" s="1658"/>
      <c r="OSU348" s="1658"/>
      <c r="OSV348" s="1658"/>
      <c r="OSW348" s="1658"/>
      <c r="OSX348" s="1658"/>
      <c r="OSY348" s="1658"/>
      <c r="OSZ348" s="1658"/>
      <c r="OTA348" s="1658"/>
      <c r="OTB348" s="1658"/>
      <c r="OTC348" s="1658"/>
      <c r="OTD348" s="1658"/>
      <c r="OTE348" s="1658"/>
      <c r="OTF348" s="1658"/>
      <c r="OTG348" s="1658"/>
      <c r="OTH348" s="1658"/>
      <c r="OTI348" s="1658"/>
      <c r="OTJ348" s="1658"/>
      <c r="OTK348" s="1658"/>
      <c r="OTL348" s="1658"/>
      <c r="OTM348" s="1658"/>
      <c r="OTN348" s="1658"/>
      <c r="OTO348" s="1658"/>
      <c r="OTP348" s="1658"/>
      <c r="OTQ348" s="1658"/>
      <c r="OTR348" s="1658"/>
      <c r="OTS348" s="1658"/>
      <c r="OTT348" s="1658"/>
      <c r="OTU348" s="1658"/>
      <c r="OTV348" s="1658"/>
      <c r="OTW348" s="1658"/>
      <c r="OTX348" s="1658"/>
      <c r="OTY348" s="1658"/>
      <c r="OTZ348" s="1658"/>
      <c r="OUA348" s="1658"/>
      <c r="OUB348" s="1658"/>
      <c r="OUC348" s="1658"/>
      <c r="OUD348" s="1658"/>
      <c r="OUE348" s="1658"/>
      <c r="OUF348" s="1658"/>
      <c r="OUG348" s="1658"/>
      <c r="OUH348" s="1658"/>
      <c r="OUI348" s="1658"/>
      <c r="OUJ348" s="1658"/>
      <c r="OUK348" s="1658"/>
      <c r="OUL348" s="1658"/>
      <c r="OUM348" s="1658"/>
      <c r="OUN348" s="1658"/>
      <c r="OUO348" s="1658"/>
      <c r="OUP348" s="1658"/>
      <c r="OUQ348" s="1658"/>
      <c r="OUR348" s="1658"/>
      <c r="OUS348" s="1658"/>
      <c r="OUT348" s="1658"/>
      <c r="OUU348" s="1658"/>
      <c r="OUV348" s="1658"/>
      <c r="OUW348" s="1658"/>
      <c r="OUX348" s="1658"/>
      <c r="OUY348" s="1658"/>
      <c r="OUZ348" s="1658"/>
      <c r="OVA348" s="1658"/>
      <c r="OVB348" s="1658"/>
      <c r="OVC348" s="1658"/>
      <c r="OVD348" s="1658"/>
      <c r="OVE348" s="1658"/>
      <c r="OVF348" s="1658"/>
      <c r="OVG348" s="1658"/>
      <c r="OVH348" s="1658"/>
      <c r="OVI348" s="1658"/>
      <c r="OVJ348" s="1658"/>
      <c r="OVK348" s="1658"/>
      <c r="OVL348" s="1658"/>
      <c r="OVM348" s="1658"/>
      <c r="OVN348" s="1658"/>
      <c r="OVO348" s="1658"/>
      <c r="OVP348" s="1658"/>
      <c r="OVQ348" s="1658"/>
      <c r="OVR348" s="1658"/>
      <c r="OVS348" s="1658"/>
      <c r="OVT348" s="1658"/>
      <c r="OVU348" s="1658"/>
      <c r="OVV348" s="1658"/>
      <c r="OVW348" s="1658"/>
      <c r="OVX348" s="1658"/>
      <c r="OVY348" s="1658"/>
      <c r="OVZ348" s="1658"/>
      <c r="OWA348" s="1658"/>
      <c r="OWB348" s="1658"/>
      <c r="OWC348" s="1658"/>
      <c r="OWD348" s="1658"/>
      <c r="OWE348" s="1658"/>
      <c r="OWF348" s="1658"/>
      <c r="OWG348" s="1658"/>
      <c r="OWH348" s="1658"/>
      <c r="OWI348" s="1658"/>
      <c r="OWJ348" s="1658"/>
      <c r="OWK348" s="1658"/>
      <c r="OWL348" s="1658"/>
      <c r="OWM348" s="1658"/>
      <c r="OWN348" s="1658"/>
      <c r="OWO348" s="1658"/>
      <c r="OWP348" s="1658"/>
      <c r="OWQ348" s="1658"/>
      <c r="OWR348" s="1658"/>
      <c r="OWS348" s="1658"/>
      <c r="OWT348" s="1658"/>
      <c r="OWU348" s="1658"/>
      <c r="OWV348" s="1658"/>
      <c r="OWW348" s="1658"/>
      <c r="OWX348" s="1658"/>
      <c r="OWY348" s="1658"/>
      <c r="OWZ348" s="1658"/>
      <c r="OXA348" s="1658"/>
      <c r="OXB348" s="1658"/>
      <c r="OXC348" s="1658"/>
      <c r="OXD348" s="1658"/>
      <c r="OXE348" s="1658"/>
      <c r="OXF348" s="1658"/>
      <c r="OXG348" s="1658"/>
      <c r="OXH348" s="1658"/>
      <c r="OXI348" s="1658"/>
      <c r="OXJ348" s="1658"/>
      <c r="OXK348" s="1658"/>
      <c r="OXL348" s="1658"/>
      <c r="OXM348" s="1658"/>
      <c r="OXN348" s="1658"/>
      <c r="OXO348" s="1658"/>
      <c r="OXP348" s="1658"/>
      <c r="OXQ348" s="1658"/>
      <c r="OXR348" s="1658"/>
      <c r="OXS348" s="1658"/>
      <c r="OXT348" s="1658"/>
      <c r="OXU348" s="1658"/>
      <c r="OXV348" s="1658"/>
      <c r="OXW348" s="1658"/>
      <c r="OXX348" s="1658"/>
      <c r="OXY348" s="1658"/>
      <c r="OXZ348" s="1658"/>
      <c r="OYA348" s="1658"/>
      <c r="OYB348" s="1658"/>
      <c r="OYC348" s="1658"/>
      <c r="OYD348" s="1658"/>
      <c r="OYE348" s="1658"/>
      <c r="OYF348" s="1658"/>
      <c r="OYG348" s="1658"/>
      <c r="OYH348" s="1658"/>
      <c r="OYI348" s="1658"/>
      <c r="OYJ348" s="1658"/>
      <c r="OYK348" s="1658"/>
      <c r="OYL348" s="1658"/>
      <c r="OYM348" s="1658"/>
      <c r="OYN348" s="1658"/>
      <c r="OYO348" s="1658"/>
      <c r="OYP348" s="1658"/>
      <c r="OYQ348" s="1658"/>
      <c r="OYR348" s="1658"/>
      <c r="OYS348" s="1658"/>
      <c r="OYT348" s="1658"/>
      <c r="OYU348" s="1658"/>
      <c r="OYV348" s="1658"/>
      <c r="OYW348" s="1658"/>
      <c r="OYX348" s="1658"/>
      <c r="OYY348" s="1658"/>
      <c r="OYZ348" s="1658"/>
      <c r="OZA348" s="1658"/>
      <c r="OZB348" s="1658"/>
      <c r="OZC348" s="1658"/>
      <c r="OZD348" s="1658"/>
      <c r="OZE348" s="1658"/>
      <c r="OZF348" s="1658"/>
      <c r="OZG348" s="1658"/>
      <c r="OZH348" s="1658"/>
      <c r="OZI348" s="1658"/>
      <c r="OZJ348" s="1658"/>
      <c r="OZK348" s="1658"/>
      <c r="OZL348" s="1658"/>
      <c r="OZM348" s="1658"/>
      <c r="OZN348" s="1658"/>
      <c r="OZO348" s="1658"/>
      <c r="OZP348" s="1658"/>
      <c r="OZQ348" s="1658"/>
      <c r="OZR348" s="1658"/>
      <c r="OZS348" s="1658"/>
      <c r="OZT348" s="1658"/>
      <c r="OZU348" s="1658"/>
      <c r="OZV348" s="1658"/>
      <c r="OZW348" s="1658"/>
      <c r="OZX348" s="1658"/>
      <c r="OZY348" s="1658"/>
      <c r="OZZ348" s="1658"/>
      <c r="PAA348" s="1658"/>
      <c r="PAB348" s="1658"/>
      <c r="PAC348" s="1658"/>
      <c r="PAD348" s="1658"/>
      <c r="PAE348" s="1658"/>
      <c r="PAF348" s="1658"/>
      <c r="PAG348" s="1658"/>
      <c r="PAH348" s="1658"/>
      <c r="PAI348" s="1658"/>
      <c r="PAJ348" s="1658"/>
      <c r="PAK348" s="1658"/>
      <c r="PAL348" s="1658"/>
      <c r="PAM348" s="1658"/>
      <c r="PAN348" s="1658"/>
      <c r="PAO348" s="1658"/>
      <c r="PAP348" s="1658"/>
      <c r="PAQ348" s="1658"/>
      <c r="PAR348" s="1658"/>
      <c r="PAS348" s="1658"/>
      <c r="PAT348" s="1658"/>
      <c r="PAU348" s="1658"/>
      <c r="PAV348" s="1658"/>
      <c r="PAW348" s="1658"/>
      <c r="PAX348" s="1658"/>
      <c r="PAY348" s="1658"/>
      <c r="PAZ348" s="1658"/>
      <c r="PBA348" s="1658"/>
      <c r="PBB348" s="1658"/>
      <c r="PBC348" s="1658"/>
      <c r="PBD348" s="1658"/>
      <c r="PBE348" s="1658"/>
      <c r="PBF348" s="1658"/>
      <c r="PBG348" s="1658"/>
      <c r="PBH348" s="1658"/>
      <c r="PBI348" s="1658"/>
      <c r="PBJ348" s="1658"/>
      <c r="PBK348" s="1658"/>
      <c r="PBL348" s="1658"/>
      <c r="PBM348" s="1658"/>
      <c r="PBN348" s="1658"/>
      <c r="PBO348" s="1658"/>
      <c r="PBP348" s="1658"/>
      <c r="PBQ348" s="1658"/>
      <c r="PBR348" s="1658"/>
      <c r="PBS348" s="1658"/>
      <c r="PBT348" s="1658"/>
      <c r="PBU348" s="1658"/>
      <c r="PBV348" s="1658"/>
      <c r="PBW348" s="1658"/>
      <c r="PBX348" s="1658"/>
      <c r="PBY348" s="1658"/>
      <c r="PBZ348" s="1658"/>
      <c r="PCA348" s="1658"/>
      <c r="PCB348" s="1658"/>
      <c r="PCC348" s="1658"/>
      <c r="PCD348" s="1658"/>
      <c r="PCE348" s="1658"/>
      <c r="PCF348" s="1658"/>
      <c r="PCG348" s="1658"/>
      <c r="PCH348" s="1658"/>
      <c r="PCI348" s="1658"/>
      <c r="PCJ348" s="1658"/>
      <c r="PCK348" s="1658"/>
      <c r="PCL348" s="1658"/>
      <c r="PCM348" s="1658"/>
      <c r="PCN348" s="1658"/>
      <c r="PCO348" s="1658"/>
      <c r="PCP348" s="1658"/>
      <c r="PCQ348" s="1658"/>
      <c r="PCR348" s="1658"/>
      <c r="PCS348" s="1658"/>
      <c r="PCT348" s="1658"/>
      <c r="PCU348" s="1658"/>
      <c r="PCV348" s="1658"/>
      <c r="PCW348" s="1658"/>
      <c r="PCX348" s="1658"/>
      <c r="PCY348" s="1658"/>
      <c r="PCZ348" s="1658"/>
      <c r="PDA348" s="1658"/>
      <c r="PDB348" s="1658"/>
      <c r="PDC348" s="1658"/>
      <c r="PDD348" s="1658"/>
      <c r="PDE348" s="1658"/>
      <c r="PDF348" s="1658"/>
      <c r="PDG348" s="1658"/>
      <c r="PDH348" s="1658"/>
      <c r="PDI348" s="1658"/>
      <c r="PDJ348" s="1658"/>
      <c r="PDK348" s="1658"/>
      <c r="PDL348" s="1658"/>
      <c r="PDM348" s="1658"/>
      <c r="PDN348" s="1658"/>
      <c r="PDO348" s="1658"/>
      <c r="PDP348" s="1658"/>
      <c r="PDQ348" s="1658"/>
      <c r="PDR348" s="1658"/>
      <c r="PDS348" s="1658"/>
      <c r="PDT348" s="1658"/>
      <c r="PDU348" s="1658"/>
      <c r="PDV348" s="1658"/>
      <c r="PDW348" s="1658"/>
      <c r="PDX348" s="1658"/>
      <c r="PDY348" s="1658"/>
      <c r="PDZ348" s="1658"/>
      <c r="PEA348" s="1658"/>
      <c r="PEB348" s="1658"/>
      <c r="PEC348" s="1658"/>
      <c r="PED348" s="1658"/>
      <c r="PEE348" s="1658"/>
      <c r="PEF348" s="1658"/>
      <c r="PEG348" s="1658"/>
      <c r="PEH348" s="1658"/>
      <c r="PEI348" s="1658"/>
      <c r="PEJ348" s="1658"/>
      <c r="PEK348" s="1658"/>
      <c r="PEL348" s="1658"/>
      <c r="PEM348" s="1658"/>
      <c r="PEN348" s="1658"/>
      <c r="PEO348" s="1658"/>
      <c r="PEP348" s="1658"/>
      <c r="PEQ348" s="1658"/>
      <c r="PER348" s="1658"/>
      <c r="PES348" s="1658"/>
      <c r="PET348" s="1658"/>
      <c r="PEU348" s="1658"/>
      <c r="PEV348" s="1658"/>
      <c r="PEW348" s="1658"/>
      <c r="PEX348" s="1658"/>
      <c r="PEY348" s="1658"/>
      <c r="PEZ348" s="1658"/>
      <c r="PFA348" s="1658"/>
      <c r="PFB348" s="1658"/>
      <c r="PFC348" s="1658"/>
      <c r="PFD348" s="1658"/>
      <c r="PFE348" s="1658"/>
      <c r="PFF348" s="1658"/>
      <c r="PFG348" s="1658"/>
      <c r="PFH348" s="1658"/>
      <c r="PFI348" s="1658"/>
      <c r="PFJ348" s="1658"/>
      <c r="PFK348" s="1658"/>
      <c r="PFL348" s="1658"/>
      <c r="PFM348" s="1658"/>
      <c r="PFN348" s="1658"/>
      <c r="PFO348" s="1658"/>
      <c r="PFP348" s="1658"/>
      <c r="PFQ348" s="1658"/>
      <c r="PFR348" s="1658"/>
      <c r="PFS348" s="1658"/>
      <c r="PFT348" s="1658"/>
      <c r="PFU348" s="1658"/>
      <c r="PFV348" s="1658"/>
      <c r="PFW348" s="1658"/>
      <c r="PFX348" s="1658"/>
      <c r="PFY348" s="1658"/>
      <c r="PFZ348" s="1658"/>
      <c r="PGA348" s="1658"/>
      <c r="PGB348" s="1658"/>
      <c r="PGC348" s="1658"/>
      <c r="PGD348" s="1658"/>
      <c r="PGE348" s="1658"/>
      <c r="PGF348" s="1658"/>
      <c r="PGG348" s="1658"/>
      <c r="PGH348" s="1658"/>
      <c r="PGI348" s="1658"/>
      <c r="PGJ348" s="1658"/>
      <c r="PGK348" s="1658"/>
      <c r="PGL348" s="1658"/>
      <c r="PGM348" s="1658"/>
      <c r="PGN348" s="1658"/>
      <c r="PGO348" s="1658"/>
      <c r="PGP348" s="1658"/>
      <c r="PGQ348" s="1658"/>
      <c r="PGR348" s="1658"/>
      <c r="PGS348" s="1658"/>
      <c r="PGT348" s="1658"/>
      <c r="PGU348" s="1658"/>
      <c r="PGV348" s="1658"/>
      <c r="PGW348" s="1658"/>
      <c r="PGX348" s="1658"/>
      <c r="PGY348" s="1658"/>
      <c r="PGZ348" s="1658"/>
      <c r="PHA348" s="1658"/>
      <c r="PHB348" s="1658"/>
      <c r="PHC348" s="1658"/>
      <c r="PHD348" s="1658"/>
      <c r="PHE348" s="1658"/>
      <c r="PHF348" s="1658"/>
      <c r="PHG348" s="1658"/>
      <c r="PHH348" s="1658"/>
      <c r="PHI348" s="1658"/>
      <c r="PHJ348" s="1658"/>
      <c r="PHK348" s="1658"/>
      <c r="PHL348" s="1658"/>
      <c r="PHM348" s="1658"/>
      <c r="PHN348" s="1658"/>
      <c r="PHO348" s="1658"/>
      <c r="PHP348" s="1658"/>
      <c r="PHQ348" s="1658"/>
      <c r="PHR348" s="1658"/>
      <c r="PHS348" s="1658"/>
      <c r="PHT348" s="1658"/>
      <c r="PHU348" s="1658"/>
      <c r="PHV348" s="1658"/>
      <c r="PHW348" s="1658"/>
      <c r="PHX348" s="1658"/>
      <c r="PHY348" s="1658"/>
      <c r="PHZ348" s="1658"/>
      <c r="PIA348" s="1658"/>
      <c r="PIB348" s="1658"/>
      <c r="PIC348" s="1658"/>
      <c r="PID348" s="1658"/>
      <c r="PIE348" s="1658"/>
      <c r="PIF348" s="1658"/>
      <c r="PIG348" s="1658"/>
      <c r="PIH348" s="1658"/>
      <c r="PII348" s="1658"/>
      <c r="PIJ348" s="1658"/>
      <c r="PIK348" s="1658"/>
      <c r="PIL348" s="1658"/>
      <c r="PIM348" s="1658"/>
      <c r="PIN348" s="1658"/>
      <c r="PIO348" s="1658"/>
      <c r="PIP348" s="1658"/>
      <c r="PIQ348" s="1658"/>
      <c r="PIR348" s="1658"/>
      <c r="PIS348" s="1658"/>
      <c r="PIT348" s="1658"/>
      <c r="PIU348" s="1658"/>
      <c r="PIV348" s="1658"/>
      <c r="PIW348" s="1658"/>
      <c r="PIX348" s="1658"/>
      <c r="PIY348" s="1658"/>
      <c r="PIZ348" s="1658"/>
      <c r="PJA348" s="1658"/>
      <c r="PJB348" s="1658"/>
      <c r="PJC348" s="1658"/>
      <c r="PJD348" s="1658"/>
      <c r="PJE348" s="1658"/>
      <c r="PJF348" s="1658"/>
      <c r="PJG348" s="1658"/>
      <c r="PJH348" s="1658"/>
      <c r="PJI348" s="1658"/>
      <c r="PJJ348" s="1658"/>
      <c r="PJK348" s="1658"/>
      <c r="PJL348" s="1658"/>
      <c r="PJM348" s="1658"/>
      <c r="PJN348" s="1658"/>
      <c r="PJO348" s="1658"/>
      <c r="PJP348" s="1658"/>
      <c r="PJQ348" s="1658"/>
      <c r="PJR348" s="1658"/>
      <c r="PJS348" s="1658"/>
      <c r="PJT348" s="1658"/>
      <c r="PJU348" s="1658"/>
      <c r="PJV348" s="1658"/>
      <c r="PJW348" s="1658"/>
      <c r="PJX348" s="1658"/>
      <c r="PJY348" s="1658"/>
      <c r="PJZ348" s="1658"/>
      <c r="PKA348" s="1658"/>
      <c r="PKB348" s="1658"/>
      <c r="PKC348" s="1658"/>
      <c r="PKD348" s="1658"/>
      <c r="PKE348" s="1658"/>
      <c r="PKF348" s="1658"/>
      <c r="PKG348" s="1658"/>
      <c r="PKH348" s="1658"/>
      <c r="PKI348" s="1658"/>
      <c r="PKJ348" s="1658"/>
      <c r="PKK348" s="1658"/>
      <c r="PKL348" s="1658"/>
      <c r="PKM348" s="1658"/>
      <c r="PKN348" s="1658"/>
      <c r="PKO348" s="1658"/>
      <c r="PKP348" s="1658"/>
      <c r="PKQ348" s="1658"/>
      <c r="PKR348" s="1658"/>
      <c r="PKS348" s="1658"/>
      <c r="PKT348" s="1658"/>
      <c r="PKU348" s="1658"/>
      <c r="PKV348" s="1658"/>
      <c r="PKW348" s="1658"/>
      <c r="PKX348" s="1658"/>
      <c r="PKY348" s="1658"/>
      <c r="PKZ348" s="1658"/>
      <c r="PLA348" s="1658"/>
      <c r="PLB348" s="1658"/>
      <c r="PLC348" s="1658"/>
      <c r="PLD348" s="1658"/>
      <c r="PLE348" s="1658"/>
      <c r="PLF348" s="1658"/>
      <c r="PLG348" s="1658"/>
      <c r="PLH348" s="1658"/>
      <c r="PLI348" s="1658"/>
      <c r="PLJ348" s="1658"/>
      <c r="PLK348" s="1658"/>
      <c r="PLL348" s="1658"/>
      <c r="PLM348" s="1658"/>
      <c r="PLN348" s="1658"/>
      <c r="PLO348" s="1658"/>
      <c r="PLP348" s="1658"/>
      <c r="PLQ348" s="1658"/>
      <c r="PLR348" s="1658"/>
      <c r="PLS348" s="1658"/>
      <c r="PLT348" s="1658"/>
      <c r="PLU348" s="1658"/>
      <c r="PLV348" s="1658"/>
      <c r="PLW348" s="1658"/>
      <c r="PLX348" s="1658"/>
      <c r="PLY348" s="1658"/>
      <c r="PLZ348" s="1658"/>
      <c r="PMA348" s="1658"/>
      <c r="PMB348" s="1658"/>
      <c r="PMC348" s="1658"/>
      <c r="PMD348" s="1658"/>
      <c r="PME348" s="1658"/>
      <c r="PMF348" s="1658"/>
      <c r="PMG348" s="1658"/>
      <c r="PMH348" s="1658"/>
      <c r="PMI348" s="1658"/>
      <c r="PMJ348" s="1658"/>
      <c r="PMK348" s="1658"/>
      <c r="PML348" s="1658"/>
      <c r="PMM348" s="1658"/>
      <c r="PMN348" s="1658"/>
      <c r="PMO348" s="1658"/>
      <c r="PMP348" s="1658"/>
      <c r="PMQ348" s="1658"/>
      <c r="PMR348" s="1658"/>
      <c r="PMS348" s="1658"/>
      <c r="PMT348" s="1658"/>
      <c r="PMU348" s="1658"/>
      <c r="PMV348" s="1658"/>
      <c r="PMW348" s="1658"/>
      <c r="PMX348" s="1658"/>
      <c r="PMY348" s="1658"/>
      <c r="PMZ348" s="1658"/>
      <c r="PNA348" s="1658"/>
      <c r="PNB348" s="1658"/>
      <c r="PNC348" s="1658"/>
      <c r="PND348" s="1658"/>
      <c r="PNE348" s="1658"/>
      <c r="PNF348" s="1658"/>
      <c r="PNG348" s="1658"/>
      <c r="PNH348" s="1658"/>
      <c r="PNI348" s="1658"/>
      <c r="PNJ348" s="1658"/>
      <c r="PNK348" s="1658"/>
      <c r="PNL348" s="1658"/>
      <c r="PNM348" s="1658"/>
      <c r="PNN348" s="1658"/>
      <c r="PNO348" s="1658"/>
      <c r="PNP348" s="1658"/>
      <c r="PNQ348" s="1658"/>
      <c r="PNR348" s="1658"/>
      <c r="PNS348" s="1658"/>
      <c r="PNT348" s="1658"/>
      <c r="PNU348" s="1658"/>
      <c r="PNV348" s="1658"/>
      <c r="PNW348" s="1658"/>
      <c r="PNX348" s="1658"/>
      <c r="PNY348" s="1658"/>
      <c r="PNZ348" s="1658"/>
      <c r="POA348" s="1658"/>
      <c r="POB348" s="1658"/>
      <c r="POC348" s="1658"/>
      <c r="POD348" s="1658"/>
      <c r="POE348" s="1658"/>
      <c r="POF348" s="1658"/>
      <c r="POG348" s="1658"/>
      <c r="POH348" s="1658"/>
      <c r="POI348" s="1658"/>
      <c r="POJ348" s="1658"/>
      <c r="POK348" s="1658"/>
      <c r="POL348" s="1658"/>
      <c r="POM348" s="1658"/>
      <c r="PON348" s="1658"/>
      <c r="POO348" s="1658"/>
      <c r="POP348" s="1658"/>
      <c r="POQ348" s="1658"/>
      <c r="POR348" s="1658"/>
      <c r="POS348" s="1658"/>
      <c r="POT348" s="1658"/>
      <c r="POU348" s="1658"/>
      <c r="POV348" s="1658"/>
      <c r="POW348" s="1658"/>
      <c r="POX348" s="1658"/>
      <c r="POY348" s="1658"/>
      <c r="POZ348" s="1658"/>
      <c r="PPA348" s="1658"/>
      <c r="PPB348" s="1658"/>
      <c r="PPC348" s="1658"/>
      <c r="PPD348" s="1658"/>
      <c r="PPE348" s="1658"/>
      <c r="PPF348" s="1658"/>
      <c r="PPG348" s="1658"/>
      <c r="PPH348" s="1658"/>
      <c r="PPI348" s="1658"/>
      <c r="PPJ348" s="1658"/>
      <c r="PPK348" s="1658"/>
      <c r="PPL348" s="1658"/>
      <c r="PPM348" s="1658"/>
      <c r="PPN348" s="1658"/>
      <c r="PPO348" s="1658"/>
      <c r="PPP348" s="1658"/>
      <c r="PPQ348" s="1658"/>
      <c r="PPR348" s="1658"/>
      <c r="PPS348" s="1658"/>
      <c r="PPT348" s="1658"/>
      <c r="PPU348" s="1658"/>
      <c r="PPV348" s="1658"/>
      <c r="PPW348" s="1658"/>
      <c r="PPX348" s="1658"/>
      <c r="PPY348" s="1658"/>
      <c r="PPZ348" s="1658"/>
      <c r="PQA348" s="1658"/>
      <c r="PQB348" s="1658"/>
      <c r="PQC348" s="1658"/>
      <c r="PQD348" s="1658"/>
      <c r="PQE348" s="1658"/>
      <c r="PQF348" s="1658"/>
      <c r="PQG348" s="1658"/>
      <c r="PQH348" s="1658"/>
      <c r="PQI348" s="1658"/>
      <c r="PQJ348" s="1658"/>
      <c r="PQK348" s="1658"/>
      <c r="PQL348" s="1658"/>
      <c r="PQM348" s="1658"/>
      <c r="PQN348" s="1658"/>
      <c r="PQO348" s="1658"/>
      <c r="PQP348" s="1658"/>
      <c r="PQQ348" s="1658"/>
      <c r="PQR348" s="1658"/>
      <c r="PQS348" s="1658"/>
      <c r="PQT348" s="1658"/>
      <c r="PQU348" s="1658"/>
      <c r="PQV348" s="1658"/>
      <c r="PQW348" s="1658"/>
      <c r="PQX348" s="1658"/>
      <c r="PQY348" s="1658"/>
      <c r="PQZ348" s="1658"/>
      <c r="PRA348" s="1658"/>
      <c r="PRB348" s="1658"/>
      <c r="PRC348" s="1658"/>
      <c r="PRD348" s="1658"/>
      <c r="PRE348" s="1658"/>
      <c r="PRF348" s="1658"/>
      <c r="PRG348" s="1658"/>
      <c r="PRH348" s="1658"/>
      <c r="PRI348" s="1658"/>
      <c r="PRJ348" s="1658"/>
      <c r="PRK348" s="1658"/>
      <c r="PRL348" s="1658"/>
      <c r="PRM348" s="1658"/>
      <c r="PRN348" s="1658"/>
      <c r="PRO348" s="1658"/>
      <c r="PRP348" s="1658"/>
      <c r="PRQ348" s="1658"/>
      <c r="PRR348" s="1658"/>
      <c r="PRS348" s="1658"/>
      <c r="PRT348" s="1658"/>
      <c r="PRU348" s="1658"/>
      <c r="PRV348" s="1658"/>
      <c r="PRW348" s="1658"/>
      <c r="PRX348" s="1658"/>
      <c r="PRY348" s="1658"/>
      <c r="PRZ348" s="1658"/>
      <c r="PSA348" s="1658"/>
      <c r="PSB348" s="1658"/>
      <c r="PSC348" s="1658"/>
      <c r="PSD348" s="1658"/>
      <c r="PSE348" s="1658"/>
      <c r="PSF348" s="1658"/>
      <c r="PSG348" s="1658"/>
      <c r="PSH348" s="1658"/>
      <c r="PSI348" s="1658"/>
      <c r="PSJ348" s="1658"/>
      <c r="PSK348" s="1658"/>
      <c r="PSL348" s="1658"/>
      <c r="PSM348" s="1658"/>
      <c r="PSN348" s="1658"/>
      <c r="PSO348" s="1658"/>
      <c r="PSP348" s="1658"/>
      <c r="PSQ348" s="1658"/>
      <c r="PSR348" s="1658"/>
      <c r="PSS348" s="1658"/>
      <c r="PST348" s="1658"/>
      <c r="PSU348" s="1658"/>
      <c r="PSV348" s="1658"/>
      <c r="PSW348" s="1658"/>
      <c r="PSX348" s="1658"/>
      <c r="PSY348" s="1658"/>
      <c r="PSZ348" s="1658"/>
      <c r="PTA348" s="1658"/>
      <c r="PTB348" s="1658"/>
      <c r="PTC348" s="1658"/>
      <c r="PTD348" s="1658"/>
      <c r="PTE348" s="1658"/>
      <c r="PTF348" s="1658"/>
      <c r="PTG348" s="1658"/>
      <c r="PTH348" s="1658"/>
      <c r="PTI348" s="1658"/>
      <c r="PTJ348" s="1658"/>
      <c r="PTK348" s="1658"/>
      <c r="PTL348" s="1658"/>
      <c r="PTM348" s="1658"/>
      <c r="PTN348" s="1658"/>
      <c r="PTO348" s="1658"/>
      <c r="PTP348" s="1658"/>
      <c r="PTQ348" s="1658"/>
      <c r="PTR348" s="1658"/>
      <c r="PTS348" s="1658"/>
      <c r="PTT348" s="1658"/>
      <c r="PTU348" s="1658"/>
      <c r="PTV348" s="1658"/>
      <c r="PTW348" s="1658"/>
      <c r="PTX348" s="1658"/>
      <c r="PTY348" s="1658"/>
      <c r="PTZ348" s="1658"/>
      <c r="PUA348" s="1658"/>
      <c r="PUB348" s="1658"/>
      <c r="PUC348" s="1658"/>
      <c r="PUD348" s="1658"/>
      <c r="PUE348" s="1658"/>
      <c r="PUF348" s="1658"/>
      <c r="PUG348" s="1658"/>
      <c r="PUH348" s="1658"/>
      <c r="PUI348" s="1658"/>
      <c r="PUJ348" s="1658"/>
      <c r="PUK348" s="1658"/>
      <c r="PUL348" s="1658"/>
      <c r="PUM348" s="1658"/>
      <c r="PUN348" s="1658"/>
      <c r="PUO348" s="1658"/>
      <c r="PUP348" s="1658"/>
      <c r="PUQ348" s="1658"/>
      <c r="PUR348" s="1658"/>
      <c r="PUS348" s="1658"/>
      <c r="PUT348" s="1658"/>
      <c r="PUU348" s="1658"/>
      <c r="PUV348" s="1658"/>
      <c r="PUW348" s="1658"/>
      <c r="PUX348" s="1658"/>
      <c r="PUY348" s="1658"/>
      <c r="PUZ348" s="1658"/>
      <c r="PVA348" s="1658"/>
      <c r="PVB348" s="1658"/>
      <c r="PVC348" s="1658"/>
      <c r="PVD348" s="1658"/>
      <c r="PVE348" s="1658"/>
      <c r="PVF348" s="1658"/>
      <c r="PVG348" s="1658"/>
      <c r="PVH348" s="1658"/>
      <c r="PVI348" s="1658"/>
      <c r="PVJ348" s="1658"/>
      <c r="PVK348" s="1658"/>
      <c r="PVL348" s="1658"/>
      <c r="PVM348" s="1658"/>
      <c r="PVN348" s="1658"/>
      <c r="PVO348" s="1658"/>
      <c r="PVP348" s="1658"/>
      <c r="PVQ348" s="1658"/>
      <c r="PVR348" s="1658"/>
      <c r="PVS348" s="1658"/>
      <c r="PVT348" s="1658"/>
      <c r="PVU348" s="1658"/>
      <c r="PVV348" s="1658"/>
      <c r="PVW348" s="1658"/>
      <c r="PVX348" s="1658"/>
      <c r="PVY348" s="1658"/>
      <c r="PVZ348" s="1658"/>
      <c r="PWA348" s="1658"/>
      <c r="PWB348" s="1658"/>
      <c r="PWC348" s="1658"/>
      <c r="PWD348" s="1658"/>
      <c r="PWE348" s="1658"/>
      <c r="PWF348" s="1658"/>
      <c r="PWG348" s="1658"/>
      <c r="PWH348" s="1658"/>
      <c r="PWI348" s="1658"/>
      <c r="PWJ348" s="1658"/>
      <c r="PWK348" s="1658"/>
      <c r="PWL348" s="1658"/>
      <c r="PWM348" s="1658"/>
      <c r="PWN348" s="1658"/>
      <c r="PWO348" s="1658"/>
      <c r="PWP348" s="1658"/>
      <c r="PWQ348" s="1658"/>
      <c r="PWR348" s="1658"/>
      <c r="PWS348" s="1658"/>
      <c r="PWT348" s="1658"/>
      <c r="PWU348" s="1658"/>
      <c r="PWV348" s="1658"/>
      <c r="PWW348" s="1658"/>
      <c r="PWX348" s="1658"/>
      <c r="PWY348" s="1658"/>
      <c r="PWZ348" s="1658"/>
      <c r="PXA348" s="1658"/>
      <c r="PXB348" s="1658"/>
      <c r="PXC348" s="1658"/>
      <c r="PXD348" s="1658"/>
      <c r="PXE348" s="1658"/>
      <c r="PXF348" s="1658"/>
      <c r="PXG348" s="1658"/>
      <c r="PXH348" s="1658"/>
      <c r="PXI348" s="1658"/>
      <c r="PXJ348" s="1658"/>
      <c r="PXK348" s="1658"/>
      <c r="PXL348" s="1658"/>
      <c r="PXM348" s="1658"/>
      <c r="PXN348" s="1658"/>
      <c r="PXO348" s="1658"/>
      <c r="PXP348" s="1658"/>
      <c r="PXQ348" s="1658"/>
      <c r="PXR348" s="1658"/>
      <c r="PXS348" s="1658"/>
      <c r="PXT348" s="1658"/>
      <c r="PXU348" s="1658"/>
      <c r="PXV348" s="1658"/>
      <c r="PXW348" s="1658"/>
      <c r="PXX348" s="1658"/>
      <c r="PXY348" s="1658"/>
      <c r="PXZ348" s="1658"/>
      <c r="PYA348" s="1658"/>
      <c r="PYB348" s="1658"/>
      <c r="PYC348" s="1658"/>
      <c r="PYD348" s="1658"/>
      <c r="PYE348" s="1658"/>
      <c r="PYF348" s="1658"/>
      <c r="PYG348" s="1658"/>
      <c r="PYH348" s="1658"/>
      <c r="PYI348" s="1658"/>
      <c r="PYJ348" s="1658"/>
      <c r="PYK348" s="1658"/>
      <c r="PYL348" s="1658"/>
      <c r="PYM348" s="1658"/>
      <c r="PYN348" s="1658"/>
      <c r="PYO348" s="1658"/>
      <c r="PYP348" s="1658"/>
      <c r="PYQ348" s="1658"/>
      <c r="PYR348" s="1658"/>
      <c r="PYS348" s="1658"/>
      <c r="PYT348" s="1658"/>
      <c r="PYU348" s="1658"/>
      <c r="PYV348" s="1658"/>
      <c r="PYW348" s="1658"/>
      <c r="PYX348" s="1658"/>
      <c r="PYY348" s="1658"/>
      <c r="PYZ348" s="1658"/>
      <c r="PZA348" s="1658"/>
      <c r="PZB348" s="1658"/>
      <c r="PZC348" s="1658"/>
      <c r="PZD348" s="1658"/>
      <c r="PZE348" s="1658"/>
      <c r="PZF348" s="1658"/>
      <c r="PZG348" s="1658"/>
      <c r="PZH348" s="1658"/>
      <c r="PZI348" s="1658"/>
      <c r="PZJ348" s="1658"/>
      <c r="PZK348" s="1658"/>
      <c r="PZL348" s="1658"/>
      <c r="PZM348" s="1658"/>
      <c r="PZN348" s="1658"/>
      <c r="PZO348" s="1658"/>
      <c r="PZP348" s="1658"/>
      <c r="PZQ348" s="1658"/>
      <c r="PZR348" s="1658"/>
      <c r="PZS348" s="1658"/>
      <c r="PZT348" s="1658"/>
      <c r="PZU348" s="1658"/>
      <c r="PZV348" s="1658"/>
      <c r="PZW348" s="1658"/>
      <c r="PZX348" s="1658"/>
      <c r="PZY348" s="1658"/>
      <c r="PZZ348" s="1658"/>
      <c r="QAA348" s="1658"/>
      <c r="QAB348" s="1658"/>
      <c r="QAC348" s="1658"/>
      <c r="QAD348" s="1658"/>
      <c r="QAE348" s="1658"/>
      <c r="QAF348" s="1658"/>
      <c r="QAG348" s="1658"/>
      <c r="QAH348" s="1658"/>
      <c r="QAI348" s="1658"/>
      <c r="QAJ348" s="1658"/>
      <c r="QAK348" s="1658"/>
      <c r="QAL348" s="1658"/>
      <c r="QAM348" s="1658"/>
      <c r="QAN348" s="1658"/>
      <c r="QAO348" s="1658"/>
      <c r="QAP348" s="1658"/>
      <c r="QAQ348" s="1658"/>
      <c r="QAR348" s="1658"/>
      <c r="QAS348" s="1658"/>
      <c r="QAT348" s="1658"/>
      <c r="QAU348" s="1658"/>
      <c r="QAV348" s="1658"/>
      <c r="QAW348" s="1658"/>
      <c r="QAX348" s="1658"/>
      <c r="QAY348" s="1658"/>
      <c r="QAZ348" s="1658"/>
      <c r="QBA348" s="1658"/>
      <c r="QBB348" s="1658"/>
      <c r="QBC348" s="1658"/>
      <c r="QBD348" s="1658"/>
      <c r="QBE348" s="1658"/>
      <c r="QBF348" s="1658"/>
      <c r="QBG348" s="1658"/>
      <c r="QBH348" s="1658"/>
      <c r="QBI348" s="1658"/>
      <c r="QBJ348" s="1658"/>
      <c r="QBK348" s="1658"/>
      <c r="QBL348" s="1658"/>
      <c r="QBM348" s="1658"/>
      <c r="QBN348" s="1658"/>
      <c r="QBO348" s="1658"/>
      <c r="QBP348" s="1658"/>
      <c r="QBQ348" s="1658"/>
      <c r="QBR348" s="1658"/>
      <c r="QBS348" s="1658"/>
      <c r="QBT348" s="1658"/>
      <c r="QBU348" s="1658"/>
      <c r="QBV348" s="1658"/>
      <c r="QBW348" s="1658"/>
      <c r="QBX348" s="1658"/>
      <c r="QBY348" s="1658"/>
      <c r="QBZ348" s="1658"/>
      <c r="QCA348" s="1658"/>
      <c r="QCB348" s="1658"/>
      <c r="QCC348" s="1658"/>
      <c r="QCD348" s="1658"/>
      <c r="QCE348" s="1658"/>
      <c r="QCF348" s="1658"/>
      <c r="QCG348" s="1658"/>
      <c r="QCH348" s="1658"/>
      <c r="QCI348" s="1658"/>
      <c r="QCJ348" s="1658"/>
      <c r="QCK348" s="1658"/>
      <c r="QCL348" s="1658"/>
      <c r="QCM348" s="1658"/>
      <c r="QCN348" s="1658"/>
      <c r="QCO348" s="1658"/>
      <c r="QCP348" s="1658"/>
      <c r="QCQ348" s="1658"/>
      <c r="QCR348" s="1658"/>
      <c r="QCS348" s="1658"/>
      <c r="QCT348" s="1658"/>
      <c r="QCU348" s="1658"/>
      <c r="QCV348" s="1658"/>
      <c r="QCW348" s="1658"/>
      <c r="QCX348" s="1658"/>
      <c r="QCY348" s="1658"/>
      <c r="QCZ348" s="1658"/>
      <c r="QDA348" s="1658"/>
      <c r="QDB348" s="1658"/>
      <c r="QDC348" s="1658"/>
      <c r="QDD348" s="1658"/>
      <c r="QDE348" s="1658"/>
      <c r="QDF348" s="1658"/>
      <c r="QDG348" s="1658"/>
      <c r="QDH348" s="1658"/>
      <c r="QDI348" s="1658"/>
      <c r="QDJ348" s="1658"/>
      <c r="QDK348" s="1658"/>
      <c r="QDL348" s="1658"/>
      <c r="QDM348" s="1658"/>
      <c r="QDN348" s="1658"/>
      <c r="QDO348" s="1658"/>
      <c r="QDP348" s="1658"/>
      <c r="QDQ348" s="1658"/>
      <c r="QDR348" s="1658"/>
      <c r="QDS348" s="1658"/>
      <c r="QDT348" s="1658"/>
      <c r="QDU348" s="1658"/>
      <c r="QDV348" s="1658"/>
      <c r="QDW348" s="1658"/>
      <c r="QDX348" s="1658"/>
      <c r="QDY348" s="1658"/>
      <c r="QDZ348" s="1658"/>
      <c r="QEA348" s="1658"/>
      <c r="QEB348" s="1658"/>
      <c r="QEC348" s="1658"/>
      <c r="QED348" s="1658"/>
      <c r="QEE348" s="1658"/>
      <c r="QEF348" s="1658"/>
      <c r="QEG348" s="1658"/>
      <c r="QEH348" s="1658"/>
      <c r="QEI348" s="1658"/>
      <c r="QEJ348" s="1658"/>
      <c r="QEK348" s="1658"/>
      <c r="QEL348" s="1658"/>
      <c r="QEM348" s="1658"/>
      <c r="QEN348" s="1658"/>
      <c r="QEO348" s="1658"/>
      <c r="QEP348" s="1658"/>
      <c r="QEQ348" s="1658"/>
      <c r="QER348" s="1658"/>
      <c r="QES348" s="1658"/>
      <c r="QET348" s="1658"/>
      <c r="QEU348" s="1658"/>
      <c r="QEV348" s="1658"/>
      <c r="QEW348" s="1658"/>
      <c r="QEX348" s="1658"/>
      <c r="QEY348" s="1658"/>
      <c r="QEZ348" s="1658"/>
      <c r="QFA348" s="1658"/>
      <c r="QFB348" s="1658"/>
      <c r="QFC348" s="1658"/>
      <c r="QFD348" s="1658"/>
      <c r="QFE348" s="1658"/>
      <c r="QFF348" s="1658"/>
      <c r="QFG348" s="1658"/>
      <c r="QFH348" s="1658"/>
      <c r="QFI348" s="1658"/>
      <c r="QFJ348" s="1658"/>
      <c r="QFK348" s="1658"/>
      <c r="QFL348" s="1658"/>
      <c r="QFM348" s="1658"/>
      <c r="QFN348" s="1658"/>
      <c r="QFO348" s="1658"/>
      <c r="QFP348" s="1658"/>
      <c r="QFQ348" s="1658"/>
      <c r="QFR348" s="1658"/>
      <c r="QFS348" s="1658"/>
      <c r="QFT348" s="1658"/>
      <c r="QFU348" s="1658"/>
      <c r="QFV348" s="1658"/>
      <c r="QFW348" s="1658"/>
      <c r="QFX348" s="1658"/>
      <c r="QFY348" s="1658"/>
      <c r="QFZ348" s="1658"/>
      <c r="QGA348" s="1658"/>
      <c r="QGB348" s="1658"/>
      <c r="QGC348" s="1658"/>
      <c r="QGD348" s="1658"/>
      <c r="QGE348" s="1658"/>
      <c r="QGF348" s="1658"/>
      <c r="QGG348" s="1658"/>
      <c r="QGH348" s="1658"/>
      <c r="QGI348" s="1658"/>
      <c r="QGJ348" s="1658"/>
      <c r="QGK348" s="1658"/>
      <c r="QGL348" s="1658"/>
      <c r="QGM348" s="1658"/>
      <c r="QGN348" s="1658"/>
      <c r="QGO348" s="1658"/>
      <c r="QGP348" s="1658"/>
      <c r="QGQ348" s="1658"/>
      <c r="QGR348" s="1658"/>
      <c r="QGS348" s="1658"/>
      <c r="QGT348" s="1658"/>
      <c r="QGU348" s="1658"/>
      <c r="QGV348" s="1658"/>
      <c r="QGW348" s="1658"/>
      <c r="QGX348" s="1658"/>
      <c r="QGY348" s="1658"/>
      <c r="QGZ348" s="1658"/>
      <c r="QHA348" s="1658"/>
      <c r="QHB348" s="1658"/>
      <c r="QHC348" s="1658"/>
      <c r="QHD348" s="1658"/>
      <c r="QHE348" s="1658"/>
      <c r="QHF348" s="1658"/>
      <c r="QHG348" s="1658"/>
      <c r="QHH348" s="1658"/>
      <c r="QHI348" s="1658"/>
      <c r="QHJ348" s="1658"/>
      <c r="QHK348" s="1658"/>
      <c r="QHL348" s="1658"/>
      <c r="QHM348" s="1658"/>
      <c r="QHN348" s="1658"/>
      <c r="QHO348" s="1658"/>
      <c r="QHP348" s="1658"/>
      <c r="QHQ348" s="1658"/>
      <c r="QHR348" s="1658"/>
      <c r="QHS348" s="1658"/>
      <c r="QHT348" s="1658"/>
      <c r="QHU348" s="1658"/>
      <c r="QHV348" s="1658"/>
      <c r="QHW348" s="1658"/>
      <c r="QHX348" s="1658"/>
      <c r="QHY348" s="1658"/>
      <c r="QHZ348" s="1658"/>
      <c r="QIA348" s="1658"/>
      <c r="QIB348" s="1658"/>
      <c r="QIC348" s="1658"/>
      <c r="QID348" s="1658"/>
      <c r="QIE348" s="1658"/>
      <c r="QIF348" s="1658"/>
      <c r="QIG348" s="1658"/>
      <c r="QIH348" s="1658"/>
      <c r="QII348" s="1658"/>
      <c r="QIJ348" s="1658"/>
      <c r="QIK348" s="1658"/>
      <c r="QIL348" s="1658"/>
      <c r="QIM348" s="1658"/>
      <c r="QIN348" s="1658"/>
      <c r="QIO348" s="1658"/>
      <c r="QIP348" s="1658"/>
      <c r="QIQ348" s="1658"/>
      <c r="QIR348" s="1658"/>
      <c r="QIS348" s="1658"/>
      <c r="QIT348" s="1658"/>
      <c r="QIU348" s="1658"/>
      <c r="QIV348" s="1658"/>
      <c r="QIW348" s="1658"/>
      <c r="QIX348" s="1658"/>
      <c r="QIY348" s="1658"/>
      <c r="QIZ348" s="1658"/>
      <c r="QJA348" s="1658"/>
      <c r="QJB348" s="1658"/>
      <c r="QJC348" s="1658"/>
      <c r="QJD348" s="1658"/>
      <c r="QJE348" s="1658"/>
      <c r="QJF348" s="1658"/>
      <c r="QJG348" s="1658"/>
      <c r="QJH348" s="1658"/>
      <c r="QJI348" s="1658"/>
      <c r="QJJ348" s="1658"/>
      <c r="QJK348" s="1658"/>
      <c r="QJL348" s="1658"/>
      <c r="QJM348" s="1658"/>
      <c r="QJN348" s="1658"/>
      <c r="QJO348" s="1658"/>
      <c r="QJP348" s="1658"/>
      <c r="QJQ348" s="1658"/>
      <c r="QJR348" s="1658"/>
      <c r="QJS348" s="1658"/>
      <c r="QJT348" s="1658"/>
      <c r="QJU348" s="1658"/>
      <c r="QJV348" s="1658"/>
      <c r="QJW348" s="1658"/>
      <c r="QJX348" s="1658"/>
      <c r="QJY348" s="1658"/>
      <c r="QJZ348" s="1658"/>
      <c r="QKA348" s="1658"/>
      <c r="QKB348" s="1658"/>
      <c r="QKC348" s="1658"/>
      <c r="QKD348" s="1658"/>
      <c r="QKE348" s="1658"/>
      <c r="QKF348" s="1658"/>
      <c r="QKG348" s="1658"/>
      <c r="QKH348" s="1658"/>
      <c r="QKI348" s="1658"/>
      <c r="QKJ348" s="1658"/>
      <c r="QKK348" s="1658"/>
      <c r="QKL348" s="1658"/>
      <c r="QKM348" s="1658"/>
      <c r="QKN348" s="1658"/>
      <c r="QKO348" s="1658"/>
      <c r="QKP348" s="1658"/>
      <c r="QKQ348" s="1658"/>
      <c r="QKR348" s="1658"/>
      <c r="QKS348" s="1658"/>
      <c r="QKT348" s="1658"/>
      <c r="QKU348" s="1658"/>
      <c r="QKV348" s="1658"/>
      <c r="QKW348" s="1658"/>
      <c r="QKX348" s="1658"/>
      <c r="QKY348" s="1658"/>
      <c r="QKZ348" s="1658"/>
      <c r="QLA348" s="1658"/>
      <c r="QLB348" s="1658"/>
      <c r="QLC348" s="1658"/>
      <c r="QLD348" s="1658"/>
      <c r="QLE348" s="1658"/>
      <c r="QLF348" s="1658"/>
      <c r="QLG348" s="1658"/>
      <c r="QLH348" s="1658"/>
      <c r="QLI348" s="1658"/>
      <c r="QLJ348" s="1658"/>
      <c r="QLK348" s="1658"/>
      <c r="QLL348" s="1658"/>
      <c r="QLM348" s="1658"/>
      <c r="QLN348" s="1658"/>
      <c r="QLO348" s="1658"/>
      <c r="QLP348" s="1658"/>
      <c r="QLQ348" s="1658"/>
      <c r="QLR348" s="1658"/>
      <c r="QLS348" s="1658"/>
      <c r="QLT348" s="1658"/>
      <c r="QLU348" s="1658"/>
      <c r="QLV348" s="1658"/>
      <c r="QLW348" s="1658"/>
      <c r="QLX348" s="1658"/>
      <c r="QLY348" s="1658"/>
      <c r="QLZ348" s="1658"/>
      <c r="QMA348" s="1658"/>
      <c r="QMB348" s="1658"/>
      <c r="QMC348" s="1658"/>
      <c r="QMD348" s="1658"/>
      <c r="QME348" s="1658"/>
      <c r="QMF348" s="1658"/>
      <c r="QMG348" s="1658"/>
      <c r="QMH348" s="1658"/>
      <c r="QMI348" s="1658"/>
      <c r="QMJ348" s="1658"/>
      <c r="QMK348" s="1658"/>
      <c r="QML348" s="1658"/>
      <c r="QMM348" s="1658"/>
      <c r="QMN348" s="1658"/>
      <c r="QMO348" s="1658"/>
      <c r="QMP348" s="1658"/>
      <c r="QMQ348" s="1658"/>
      <c r="QMR348" s="1658"/>
      <c r="QMS348" s="1658"/>
      <c r="QMT348" s="1658"/>
      <c r="QMU348" s="1658"/>
      <c r="QMV348" s="1658"/>
      <c r="QMW348" s="1658"/>
      <c r="QMX348" s="1658"/>
      <c r="QMY348" s="1658"/>
      <c r="QMZ348" s="1658"/>
      <c r="QNA348" s="1658"/>
      <c r="QNB348" s="1658"/>
      <c r="QNC348" s="1658"/>
      <c r="QND348" s="1658"/>
      <c r="QNE348" s="1658"/>
      <c r="QNF348" s="1658"/>
      <c r="QNG348" s="1658"/>
      <c r="QNH348" s="1658"/>
      <c r="QNI348" s="1658"/>
      <c r="QNJ348" s="1658"/>
      <c r="QNK348" s="1658"/>
      <c r="QNL348" s="1658"/>
      <c r="QNM348" s="1658"/>
      <c r="QNN348" s="1658"/>
      <c r="QNO348" s="1658"/>
      <c r="QNP348" s="1658"/>
      <c r="QNQ348" s="1658"/>
      <c r="QNR348" s="1658"/>
      <c r="QNS348" s="1658"/>
      <c r="QNT348" s="1658"/>
      <c r="QNU348" s="1658"/>
      <c r="QNV348" s="1658"/>
      <c r="QNW348" s="1658"/>
      <c r="QNX348" s="1658"/>
      <c r="QNY348" s="1658"/>
      <c r="QNZ348" s="1658"/>
      <c r="QOA348" s="1658"/>
      <c r="QOB348" s="1658"/>
      <c r="QOC348" s="1658"/>
      <c r="QOD348" s="1658"/>
      <c r="QOE348" s="1658"/>
      <c r="QOF348" s="1658"/>
      <c r="QOG348" s="1658"/>
      <c r="QOH348" s="1658"/>
      <c r="QOI348" s="1658"/>
      <c r="QOJ348" s="1658"/>
      <c r="QOK348" s="1658"/>
      <c r="QOL348" s="1658"/>
      <c r="QOM348" s="1658"/>
      <c r="QON348" s="1658"/>
      <c r="QOO348" s="1658"/>
      <c r="QOP348" s="1658"/>
      <c r="QOQ348" s="1658"/>
      <c r="QOR348" s="1658"/>
      <c r="QOS348" s="1658"/>
      <c r="QOT348" s="1658"/>
      <c r="QOU348" s="1658"/>
      <c r="QOV348" s="1658"/>
      <c r="QOW348" s="1658"/>
      <c r="QOX348" s="1658"/>
      <c r="QOY348" s="1658"/>
      <c r="QOZ348" s="1658"/>
      <c r="QPA348" s="1658"/>
      <c r="QPB348" s="1658"/>
      <c r="QPC348" s="1658"/>
      <c r="QPD348" s="1658"/>
      <c r="QPE348" s="1658"/>
      <c r="QPF348" s="1658"/>
      <c r="QPG348" s="1658"/>
      <c r="QPH348" s="1658"/>
      <c r="QPI348" s="1658"/>
      <c r="QPJ348" s="1658"/>
      <c r="QPK348" s="1658"/>
      <c r="QPL348" s="1658"/>
      <c r="QPM348" s="1658"/>
      <c r="QPN348" s="1658"/>
      <c r="QPO348" s="1658"/>
      <c r="QPP348" s="1658"/>
      <c r="QPQ348" s="1658"/>
      <c r="QPR348" s="1658"/>
      <c r="QPS348" s="1658"/>
      <c r="QPT348" s="1658"/>
      <c r="QPU348" s="1658"/>
      <c r="QPV348" s="1658"/>
      <c r="QPW348" s="1658"/>
      <c r="QPX348" s="1658"/>
      <c r="QPY348" s="1658"/>
      <c r="QPZ348" s="1658"/>
      <c r="QQA348" s="1658"/>
      <c r="QQB348" s="1658"/>
      <c r="QQC348" s="1658"/>
      <c r="QQD348" s="1658"/>
      <c r="QQE348" s="1658"/>
      <c r="QQF348" s="1658"/>
      <c r="QQG348" s="1658"/>
      <c r="QQH348" s="1658"/>
      <c r="QQI348" s="1658"/>
      <c r="QQJ348" s="1658"/>
      <c r="QQK348" s="1658"/>
      <c r="QQL348" s="1658"/>
      <c r="QQM348" s="1658"/>
      <c r="QQN348" s="1658"/>
      <c r="QQO348" s="1658"/>
      <c r="QQP348" s="1658"/>
      <c r="QQQ348" s="1658"/>
      <c r="QQR348" s="1658"/>
      <c r="QQS348" s="1658"/>
      <c r="QQT348" s="1658"/>
      <c r="QQU348" s="1658"/>
      <c r="QQV348" s="1658"/>
      <c r="QQW348" s="1658"/>
      <c r="QQX348" s="1658"/>
      <c r="QQY348" s="1658"/>
      <c r="QQZ348" s="1658"/>
      <c r="QRA348" s="1658"/>
      <c r="QRB348" s="1658"/>
      <c r="QRC348" s="1658"/>
      <c r="QRD348" s="1658"/>
      <c r="QRE348" s="1658"/>
      <c r="QRF348" s="1658"/>
      <c r="QRG348" s="1658"/>
      <c r="QRH348" s="1658"/>
      <c r="QRI348" s="1658"/>
      <c r="QRJ348" s="1658"/>
      <c r="QRK348" s="1658"/>
      <c r="QRL348" s="1658"/>
      <c r="QRM348" s="1658"/>
      <c r="QRN348" s="1658"/>
      <c r="QRO348" s="1658"/>
      <c r="QRP348" s="1658"/>
      <c r="QRQ348" s="1658"/>
      <c r="QRR348" s="1658"/>
      <c r="QRS348" s="1658"/>
      <c r="QRT348" s="1658"/>
      <c r="QRU348" s="1658"/>
      <c r="QRV348" s="1658"/>
      <c r="QRW348" s="1658"/>
      <c r="QRX348" s="1658"/>
      <c r="QRY348" s="1658"/>
      <c r="QRZ348" s="1658"/>
      <c r="QSA348" s="1658"/>
      <c r="QSB348" s="1658"/>
      <c r="QSC348" s="1658"/>
      <c r="QSD348" s="1658"/>
      <c r="QSE348" s="1658"/>
      <c r="QSF348" s="1658"/>
      <c r="QSG348" s="1658"/>
      <c r="QSH348" s="1658"/>
      <c r="QSI348" s="1658"/>
      <c r="QSJ348" s="1658"/>
      <c r="QSK348" s="1658"/>
      <c r="QSL348" s="1658"/>
      <c r="QSM348" s="1658"/>
      <c r="QSN348" s="1658"/>
      <c r="QSO348" s="1658"/>
      <c r="QSP348" s="1658"/>
      <c r="QSQ348" s="1658"/>
      <c r="QSR348" s="1658"/>
      <c r="QSS348" s="1658"/>
      <c r="QST348" s="1658"/>
      <c r="QSU348" s="1658"/>
      <c r="QSV348" s="1658"/>
      <c r="QSW348" s="1658"/>
      <c r="QSX348" s="1658"/>
      <c r="QSY348" s="1658"/>
      <c r="QSZ348" s="1658"/>
      <c r="QTA348" s="1658"/>
      <c r="QTB348" s="1658"/>
      <c r="QTC348" s="1658"/>
      <c r="QTD348" s="1658"/>
      <c r="QTE348" s="1658"/>
      <c r="QTF348" s="1658"/>
      <c r="QTG348" s="1658"/>
      <c r="QTH348" s="1658"/>
      <c r="QTI348" s="1658"/>
      <c r="QTJ348" s="1658"/>
      <c r="QTK348" s="1658"/>
      <c r="QTL348" s="1658"/>
      <c r="QTM348" s="1658"/>
      <c r="QTN348" s="1658"/>
      <c r="QTO348" s="1658"/>
      <c r="QTP348" s="1658"/>
      <c r="QTQ348" s="1658"/>
      <c r="QTR348" s="1658"/>
      <c r="QTS348" s="1658"/>
      <c r="QTT348" s="1658"/>
      <c r="QTU348" s="1658"/>
      <c r="QTV348" s="1658"/>
      <c r="QTW348" s="1658"/>
      <c r="QTX348" s="1658"/>
      <c r="QTY348" s="1658"/>
      <c r="QTZ348" s="1658"/>
      <c r="QUA348" s="1658"/>
      <c r="QUB348" s="1658"/>
      <c r="QUC348" s="1658"/>
      <c r="QUD348" s="1658"/>
      <c r="QUE348" s="1658"/>
      <c r="QUF348" s="1658"/>
      <c r="QUG348" s="1658"/>
      <c r="QUH348" s="1658"/>
      <c r="QUI348" s="1658"/>
      <c r="QUJ348" s="1658"/>
      <c r="QUK348" s="1658"/>
      <c r="QUL348" s="1658"/>
      <c r="QUM348" s="1658"/>
      <c r="QUN348" s="1658"/>
      <c r="QUO348" s="1658"/>
      <c r="QUP348" s="1658"/>
      <c r="QUQ348" s="1658"/>
      <c r="QUR348" s="1658"/>
      <c r="QUS348" s="1658"/>
      <c r="QUT348" s="1658"/>
      <c r="QUU348" s="1658"/>
      <c r="QUV348" s="1658"/>
      <c r="QUW348" s="1658"/>
      <c r="QUX348" s="1658"/>
      <c r="QUY348" s="1658"/>
      <c r="QUZ348" s="1658"/>
      <c r="QVA348" s="1658"/>
      <c r="QVB348" s="1658"/>
      <c r="QVC348" s="1658"/>
      <c r="QVD348" s="1658"/>
      <c r="QVE348" s="1658"/>
      <c r="QVF348" s="1658"/>
      <c r="QVG348" s="1658"/>
      <c r="QVH348" s="1658"/>
      <c r="QVI348" s="1658"/>
      <c r="QVJ348" s="1658"/>
      <c r="QVK348" s="1658"/>
      <c r="QVL348" s="1658"/>
      <c r="QVM348" s="1658"/>
      <c r="QVN348" s="1658"/>
      <c r="QVO348" s="1658"/>
      <c r="QVP348" s="1658"/>
      <c r="QVQ348" s="1658"/>
      <c r="QVR348" s="1658"/>
      <c r="QVS348" s="1658"/>
      <c r="QVT348" s="1658"/>
      <c r="QVU348" s="1658"/>
      <c r="QVV348" s="1658"/>
      <c r="QVW348" s="1658"/>
      <c r="QVX348" s="1658"/>
      <c r="QVY348" s="1658"/>
      <c r="QVZ348" s="1658"/>
      <c r="QWA348" s="1658"/>
      <c r="QWB348" s="1658"/>
      <c r="QWC348" s="1658"/>
      <c r="QWD348" s="1658"/>
      <c r="QWE348" s="1658"/>
      <c r="QWF348" s="1658"/>
      <c r="QWG348" s="1658"/>
      <c r="QWH348" s="1658"/>
      <c r="QWI348" s="1658"/>
      <c r="QWJ348" s="1658"/>
      <c r="QWK348" s="1658"/>
      <c r="QWL348" s="1658"/>
      <c r="QWM348" s="1658"/>
      <c r="QWN348" s="1658"/>
      <c r="QWO348" s="1658"/>
      <c r="QWP348" s="1658"/>
      <c r="QWQ348" s="1658"/>
      <c r="QWR348" s="1658"/>
      <c r="QWS348" s="1658"/>
      <c r="QWT348" s="1658"/>
      <c r="QWU348" s="1658"/>
      <c r="QWV348" s="1658"/>
      <c r="QWW348" s="1658"/>
      <c r="QWX348" s="1658"/>
      <c r="QWY348" s="1658"/>
      <c r="QWZ348" s="1658"/>
      <c r="QXA348" s="1658"/>
      <c r="QXB348" s="1658"/>
      <c r="QXC348" s="1658"/>
      <c r="QXD348" s="1658"/>
      <c r="QXE348" s="1658"/>
      <c r="QXF348" s="1658"/>
      <c r="QXG348" s="1658"/>
      <c r="QXH348" s="1658"/>
      <c r="QXI348" s="1658"/>
      <c r="QXJ348" s="1658"/>
      <c r="QXK348" s="1658"/>
      <c r="QXL348" s="1658"/>
      <c r="QXM348" s="1658"/>
      <c r="QXN348" s="1658"/>
      <c r="QXO348" s="1658"/>
      <c r="QXP348" s="1658"/>
      <c r="QXQ348" s="1658"/>
      <c r="QXR348" s="1658"/>
      <c r="QXS348" s="1658"/>
      <c r="QXT348" s="1658"/>
      <c r="QXU348" s="1658"/>
      <c r="QXV348" s="1658"/>
      <c r="QXW348" s="1658"/>
      <c r="QXX348" s="1658"/>
      <c r="QXY348" s="1658"/>
      <c r="QXZ348" s="1658"/>
      <c r="QYA348" s="1658"/>
      <c r="QYB348" s="1658"/>
      <c r="QYC348" s="1658"/>
      <c r="QYD348" s="1658"/>
      <c r="QYE348" s="1658"/>
      <c r="QYF348" s="1658"/>
      <c r="QYG348" s="1658"/>
      <c r="QYH348" s="1658"/>
      <c r="QYI348" s="1658"/>
      <c r="QYJ348" s="1658"/>
      <c r="QYK348" s="1658"/>
      <c r="QYL348" s="1658"/>
      <c r="QYM348" s="1658"/>
      <c r="QYN348" s="1658"/>
      <c r="QYO348" s="1658"/>
      <c r="QYP348" s="1658"/>
      <c r="QYQ348" s="1658"/>
      <c r="QYR348" s="1658"/>
      <c r="QYS348" s="1658"/>
      <c r="QYT348" s="1658"/>
      <c r="QYU348" s="1658"/>
      <c r="QYV348" s="1658"/>
      <c r="QYW348" s="1658"/>
      <c r="QYX348" s="1658"/>
      <c r="QYY348" s="1658"/>
      <c r="QYZ348" s="1658"/>
      <c r="QZA348" s="1658"/>
      <c r="QZB348" s="1658"/>
      <c r="QZC348" s="1658"/>
      <c r="QZD348" s="1658"/>
      <c r="QZE348" s="1658"/>
      <c r="QZF348" s="1658"/>
      <c r="QZG348" s="1658"/>
      <c r="QZH348" s="1658"/>
      <c r="QZI348" s="1658"/>
      <c r="QZJ348" s="1658"/>
      <c r="QZK348" s="1658"/>
      <c r="QZL348" s="1658"/>
      <c r="QZM348" s="1658"/>
      <c r="QZN348" s="1658"/>
      <c r="QZO348" s="1658"/>
      <c r="QZP348" s="1658"/>
      <c r="QZQ348" s="1658"/>
      <c r="QZR348" s="1658"/>
      <c r="QZS348" s="1658"/>
      <c r="QZT348" s="1658"/>
      <c r="QZU348" s="1658"/>
      <c r="QZV348" s="1658"/>
      <c r="QZW348" s="1658"/>
      <c r="QZX348" s="1658"/>
      <c r="QZY348" s="1658"/>
      <c r="QZZ348" s="1658"/>
      <c r="RAA348" s="1658"/>
      <c r="RAB348" s="1658"/>
      <c r="RAC348" s="1658"/>
      <c r="RAD348" s="1658"/>
      <c r="RAE348" s="1658"/>
      <c r="RAF348" s="1658"/>
      <c r="RAG348" s="1658"/>
      <c r="RAH348" s="1658"/>
      <c r="RAI348" s="1658"/>
      <c r="RAJ348" s="1658"/>
      <c r="RAK348" s="1658"/>
      <c r="RAL348" s="1658"/>
      <c r="RAM348" s="1658"/>
      <c r="RAN348" s="1658"/>
      <c r="RAO348" s="1658"/>
      <c r="RAP348" s="1658"/>
      <c r="RAQ348" s="1658"/>
      <c r="RAR348" s="1658"/>
      <c r="RAS348" s="1658"/>
      <c r="RAT348" s="1658"/>
      <c r="RAU348" s="1658"/>
      <c r="RAV348" s="1658"/>
      <c r="RAW348" s="1658"/>
      <c r="RAX348" s="1658"/>
      <c r="RAY348" s="1658"/>
      <c r="RAZ348" s="1658"/>
      <c r="RBA348" s="1658"/>
      <c r="RBB348" s="1658"/>
      <c r="RBC348" s="1658"/>
      <c r="RBD348" s="1658"/>
      <c r="RBE348" s="1658"/>
      <c r="RBF348" s="1658"/>
      <c r="RBG348" s="1658"/>
      <c r="RBH348" s="1658"/>
      <c r="RBI348" s="1658"/>
      <c r="RBJ348" s="1658"/>
      <c r="RBK348" s="1658"/>
      <c r="RBL348" s="1658"/>
      <c r="RBM348" s="1658"/>
      <c r="RBN348" s="1658"/>
      <c r="RBO348" s="1658"/>
      <c r="RBP348" s="1658"/>
      <c r="RBQ348" s="1658"/>
      <c r="RBR348" s="1658"/>
      <c r="RBS348" s="1658"/>
      <c r="RBT348" s="1658"/>
      <c r="RBU348" s="1658"/>
      <c r="RBV348" s="1658"/>
      <c r="RBW348" s="1658"/>
      <c r="RBX348" s="1658"/>
      <c r="RBY348" s="1658"/>
      <c r="RBZ348" s="1658"/>
      <c r="RCA348" s="1658"/>
      <c r="RCB348" s="1658"/>
      <c r="RCC348" s="1658"/>
      <c r="RCD348" s="1658"/>
      <c r="RCE348" s="1658"/>
      <c r="RCF348" s="1658"/>
      <c r="RCG348" s="1658"/>
      <c r="RCH348" s="1658"/>
      <c r="RCI348" s="1658"/>
      <c r="RCJ348" s="1658"/>
      <c r="RCK348" s="1658"/>
      <c r="RCL348" s="1658"/>
      <c r="RCM348" s="1658"/>
      <c r="RCN348" s="1658"/>
      <c r="RCO348" s="1658"/>
      <c r="RCP348" s="1658"/>
      <c r="RCQ348" s="1658"/>
      <c r="RCR348" s="1658"/>
      <c r="RCS348" s="1658"/>
      <c r="RCT348" s="1658"/>
      <c r="RCU348" s="1658"/>
      <c r="RCV348" s="1658"/>
      <c r="RCW348" s="1658"/>
      <c r="RCX348" s="1658"/>
      <c r="RCY348" s="1658"/>
      <c r="RCZ348" s="1658"/>
      <c r="RDA348" s="1658"/>
      <c r="RDB348" s="1658"/>
      <c r="RDC348" s="1658"/>
      <c r="RDD348" s="1658"/>
      <c r="RDE348" s="1658"/>
      <c r="RDF348" s="1658"/>
      <c r="RDG348" s="1658"/>
      <c r="RDH348" s="1658"/>
      <c r="RDI348" s="1658"/>
      <c r="RDJ348" s="1658"/>
      <c r="RDK348" s="1658"/>
      <c r="RDL348" s="1658"/>
      <c r="RDM348" s="1658"/>
      <c r="RDN348" s="1658"/>
      <c r="RDO348" s="1658"/>
      <c r="RDP348" s="1658"/>
      <c r="RDQ348" s="1658"/>
      <c r="RDR348" s="1658"/>
      <c r="RDS348" s="1658"/>
      <c r="RDT348" s="1658"/>
      <c r="RDU348" s="1658"/>
      <c r="RDV348" s="1658"/>
      <c r="RDW348" s="1658"/>
      <c r="RDX348" s="1658"/>
      <c r="RDY348" s="1658"/>
      <c r="RDZ348" s="1658"/>
      <c r="REA348" s="1658"/>
      <c r="REB348" s="1658"/>
      <c r="REC348" s="1658"/>
      <c r="RED348" s="1658"/>
      <c r="REE348" s="1658"/>
      <c r="REF348" s="1658"/>
      <c r="REG348" s="1658"/>
      <c r="REH348" s="1658"/>
      <c r="REI348" s="1658"/>
      <c r="REJ348" s="1658"/>
      <c r="REK348" s="1658"/>
      <c r="REL348" s="1658"/>
      <c r="REM348" s="1658"/>
      <c r="REN348" s="1658"/>
      <c r="REO348" s="1658"/>
      <c r="REP348" s="1658"/>
      <c r="REQ348" s="1658"/>
      <c r="RER348" s="1658"/>
      <c r="RES348" s="1658"/>
      <c r="RET348" s="1658"/>
      <c r="REU348" s="1658"/>
      <c r="REV348" s="1658"/>
      <c r="REW348" s="1658"/>
      <c r="REX348" s="1658"/>
      <c r="REY348" s="1658"/>
      <c r="REZ348" s="1658"/>
      <c r="RFA348" s="1658"/>
      <c r="RFB348" s="1658"/>
      <c r="RFC348" s="1658"/>
      <c r="RFD348" s="1658"/>
      <c r="RFE348" s="1658"/>
      <c r="RFF348" s="1658"/>
      <c r="RFG348" s="1658"/>
      <c r="RFH348" s="1658"/>
      <c r="RFI348" s="1658"/>
      <c r="RFJ348" s="1658"/>
      <c r="RFK348" s="1658"/>
      <c r="RFL348" s="1658"/>
      <c r="RFM348" s="1658"/>
      <c r="RFN348" s="1658"/>
      <c r="RFO348" s="1658"/>
      <c r="RFP348" s="1658"/>
      <c r="RFQ348" s="1658"/>
      <c r="RFR348" s="1658"/>
      <c r="RFS348" s="1658"/>
      <c r="RFT348" s="1658"/>
      <c r="RFU348" s="1658"/>
      <c r="RFV348" s="1658"/>
      <c r="RFW348" s="1658"/>
      <c r="RFX348" s="1658"/>
      <c r="RFY348" s="1658"/>
      <c r="RFZ348" s="1658"/>
      <c r="RGA348" s="1658"/>
      <c r="RGB348" s="1658"/>
      <c r="RGC348" s="1658"/>
      <c r="RGD348" s="1658"/>
      <c r="RGE348" s="1658"/>
      <c r="RGF348" s="1658"/>
      <c r="RGG348" s="1658"/>
      <c r="RGH348" s="1658"/>
      <c r="RGI348" s="1658"/>
      <c r="RGJ348" s="1658"/>
      <c r="RGK348" s="1658"/>
      <c r="RGL348" s="1658"/>
      <c r="RGM348" s="1658"/>
      <c r="RGN348" s="1658"/>
      <c r="RGO348" s="1658"/>
      <c r="RGP348" s="1658"/>
      <c r="RGQ348" s="1658"/>
      <c r="RGR348" s="1658"/>
      <c r="RGS348" s="1658"/>
      <c r="RGT348" s="1658"/>
      <c r="RGU348" s="1658"/>
      <c r="RGV348" s="1658"/>
      <c r="RGW348" s="1658"/>
      <c r="RGX348" s="1658"/>
      <c r="RGY348" s="1658"/>
      <c r="RGZ348" s="1658"/>
      <c r="RHA348" s="1658"/>
      <c r="RHB348" s="1658"/>
      <c r="RHC348" s="1658"/>
      <c r="RHD348" s="1658"/>
      <c r="RHE348" s="1658"/>
      <c r="RHF348" s="1658"/>
      <c r="RHG348" s="1658"/>
      <c r="RHH348" s="1658"/>
      <c r="RHI348" s="1658"/>
      <c r="RHJ348" s="1658"/>
      <c r="RHK348" s="1658"/>
      <c r="RHL348" s="1658"/>
      <c r="RHM348" s="1658"/>
      <c r="RHN348" s="1658"/>
      <c r="RHO348" s="1658"/>
      <c r="RHP348" s="1658"/>
      <c r="RHQ348" s="1658"/>
      <c r="RHR348" s="1658"/>
      <c r="RHS348" s="1658"/>
      <c r="RHT348" s="1658"/>
      <c r="RHU348" s="1658"/>
      <c r="RHV348" s="1658"/>
      <c r="RHW348" s="1658"/>
      <c r="RHX348" s="1658"/>
      <c r="RHY348" s="1658"/>
      <c r="RHZ348" s="1658"/>
      <c r="RIA348" s="1658"/>
      <c r="RIB348" s="1658"/>
      <c r="RIC348" s="1658"/>
      <c r="RID348" s="1658"/>
      <c r="RIE348" s="1658"/>
      <c r="RIF348" s="1658"/>
      <c r="RIG348" s="1658"/>
      <c r="RIH348" s="1658"/>
      <c r="RII348" s="1658"/>
      <c r="RIJ348" s="1658"/>
      <c r="RIK348" s="1658"/>
      <c r="RIL348" s="1658"/>
      <c r="RIM348" s="1658"/>
      <c r="RIN348" s="1658"/>
      <c r="RIO348" s="1658"/>
      <c r="RIP348" s="1658"/>
      <c r="RIQ348" s="1658"/>
      <c r="RIR348" s="1658"/>
      <c r="RIS348" s="1658"/>
      <c r="RIT348" s="1658"/>
      <c r="RIU348" s="1658"/>
      <c r="RIV348" s="1658"/>
      <c r="RIW348" s="1658"/>
      <c r="RIX348" s="1658"/>
      <c r="RIY348" s="1658"/>
      <c r="RIZ348" s="1658"/>
      <c r="RJA348" s="1658"/>
      <c r="RJB348" s="1658"/>
      <c r="RJC348" s="1658"/>
      <c r="RJD348" s="1658"/>
      <c r="RJE348" s="1658"/>
      <c r="RJF348" s="1658"/>
      <c r="RJG348" s="1658"/>
      <c r="RJH348" s="1658"/>
      <c r="RJI348" s="1658"/>
      <c r="RJJ348" s="1658"/>
      <c r="RJK348" s="1658"/>
      <c r="RJL348" s="1658"/>
      <c r="RJM348" s="1658"/>
      <c r="RJN348" s="1658"/>
      <c r="RJO348" s="1658"/>
      <c r="RJP348" s="1658"/>
      <c r="RJQ348" s="1658"/>
      <c r="RJR348" s="1658"/>
      <c r="RJS348" s="1658"/>
      <c r="RJT348" s="1658"/>
      <c r="RJU348" s="1658"/>
      <c r="RJV348" s="1658"/>
      <c r="RJW348" s="1658"/>
      <c r="RJX348" s="1658"/>
      <c r="RJY348" s="1658"/>
      <c r="RJZ348" s="1658"/>
      <c r="RKA348" s="1658"/>
      <c r="RKB348" s="1658"/>
      <c r="RKC348" s="1658"/>
      <c r="RKD348" s="1658"/>
      <c r="RKE348" s="1658"/>
      <c r="RKF348" s="1658"/>
      <c r="RKG348" s="1658"/>
      <c r="RKH348" s="1658"/>
      <c r="RKI348" s="1658"/>
      <c r="RKJ348" s="1658"/>
      <c r="RKK348" s="1658"/>
      <c r="RKL348" s="1658"/>
      <c r="RKM348" s="1658"/>
      <c r="RKN348" s="1658"/>
      <c r="RKO348" s="1658"/>
      <c r="RKP348" s="1658"/>
      <c r="RKQ348" s="1658"/>
      <c r="RKR348" s="1658"/>
      <c r="RKS348" s="1658"/>
      <c r="RKT348" s="1658"/>
      <c r="RKU348" s="1658"/>
      <c r="RKV348" s="1658"/>
      <c r="RKW348" s="1658"/>
      <c r="RKX348" s="1658"/>
      <c r="RKY348" s="1658"/>
      <c r="RKZ348" s="1658"/>
      <c r="RLA348" s="1658"/>
      <c r="RLB348" s="1658"/>
      <c r="RLC348" s="1658"/>
      <c r="RLD348" s="1658"/>
      <c r="RLE348" s="1658"/>
      <c r="RLF348" s="1658"/>
      <c r="RLG348" s="1658"/>
      <c r="RLH348" s="1658"/>
      <c r="RLI348" s="1658"/>
      <c r="RLJ348" s="1658"/>
      <c r="RLK348" s="1658"/>
      <c r="RLL348" s="1658"/>
      <c r="RLM348" s="1658"/>
      <c r="RLN348" s="1658"/>
      <c r="RLO348" s="1658"/>
      <c r="RLP348" s="1658"/>
      <c r="RLQ348" s="1658"/>
      <c r="RLR348" s="1658"/>
      <c r="RLS348" s="1658"/>
      <c r="RLT348" s="1658"/>
      <c r="RLU348" s="1658"/>
      <c r="RLV348" s="1658"/>
      <c r="RLW348" s="1658"/>
      <c r="RLX348" s="1658"/>
      <c r="RLY348" s="1658"/>
      <c r="RLZ348" s="1658"/>
      <c r="RMA348" s="1658"/>
      <c r="RMB348" s="1658"/>
      <c r="RMC348" s="1658"/>
      <c r="RMD348" s="1658"/>
      <c r="RME348" s="1658"/>
      <c r="RMF348" s="1658"/>
      <c r="RMG348" s="1658"/>
      <c r="RMH348" s="1658"/>
      <c r="RMI348" s="1658"/>
      <c r="RMJ348" s="1658"/>
      <c r="RMK348" s="1658"/>
      <c r="RML348" s="1658"/>
      <c r="RMM348" s="1658"/>
      <c r="RMN348" s="1658"/>
      <c r="RMO348" s="1658"/>
      <c r="RMP348" s="1658"/>
      <c r="RMQ348" s="1658"/>
      <c r="RMR348" s="1658"/>
      <c r="RMS348" s="1658"/>
      <c r="RMT348" s="1658"/>
      <c r="RMU348" s="1658"/>
      <c r="RMV348" s="1658"/>
      <c r="RMW348" s="1658"/>
      <c r="RMX348" s="1658"/>
      <c r="RMY348" s="1658"/>
      <c r="RMZ348" s="1658"/>
      <c r="RNA348" s="1658"/>
      <c r="RNB348" s="1658"/>
      <c r="RNC348" s="1658"/>
      <c r="RND348" s="1658"/>
      <c r="RNE348" s="1658"/>
      <c r="RNF348" s="1658"/>
      <c r="RNG348" s="1658"/>
      <c r="RNH348" s="1658"/>
      <c r="RNI348" s="1658"/>
      <c r="RNJ348" s="1658"/>
      <c r="RNK348" s="1658"/>
      <c r="RNL348" s="1658"/>
      <c r="RNM348" s="1658"/>
      <c r="RNN348" s="1658"/>
      <c r="RNO348" s="1658"/>
      <c r="RNP348" s="1658"/>
      <c r="RNQ348" s="1658"/>
      <c r="RNR348" s="1658"/>
      <c r="RNS348" s="1658"/>
      <c r="RNT348" s="1658"/>
      <c r="RNU348" s="1658"/>
      <c r="RNV348" s="1658"/>
      <c r="RNW348" s="1658"/>
      <c r="RNX348" s="1658"/>
      <c r="RNY348" s="1658"/>
      <c r="RNZ348" s="1658"/>
      <c r="ROA348" s="1658"/>
      <c r="ROB348" s="1658"/>
      <c r="ROC348" s="1658"/>
      <c r="ROD348" s="1658"/>
      <c r="ROE348" s="1658"/>
      <c r="ROF348" s="1658"/>
      <c r="ROG348" s="1658"/>
      <c r="ROH348" s="1658"/>
      <c r="ROI348" s="1658"/>
      <c r="ROJ348" s="1658"/>
      <c r="ROK348" s="1658"/>
      <c r="ROL348" s="1658"/>
      <c r="ROM348" s="1658"/>
      <c r="RON348" s="1658"/>
      <c r="ROO348" s="1658"/>
      <c r="ROP348" s="1658"/>
      <c r="ROQ348" s="1658"/>
      <c r="ROR348" s="1658"/>
      <c r="ROS348" s="1658"/>
      <c r="ROT348" s="1658"/>
      <c r="ROU348" s="1658"/>
      <c r="ROV348" s="1658"/>
      <c r="ROW348" s="1658"/>
      <c r="ROX348" s="1658"/>
      <c r="ROY348" s="1658"/>
      <c r="ROZ348" s="1658"/>
      <c r="RPA348" s="1658"/>
      <c r="RPB348" s="1658"/>
      <c r="RPC348" s="1658"/>
      <c r="RPD348" s="1658"/>
      <c r="RPE348" s="1658"/>
      <c r="RPF348" s="1658"/>
      <c r="RPG348" s="1658"/>
      <c r="RPH348" s="1658"/>
      <c r="RPI348" s="1658"/>
      <c r="RPJ348" s="1658"/>
      <c r="RPK348" s="1658"/>
      <c r="RPL348" s="1658"/>
      <c r="RPM348" s="1658"/>
      <c r="RPN348" s="1658"/>
      <c r="RPO348" s="1658"/>
      <c r="RPP348" s="1658"/>
      <c r="RPQ348" s="1658"/>
      <c r="RPR348" s="1658"/>
      <c r="RPS348" s="1658"/>
      <c r="RPT348" s="1658"/>
      <c r="RPU348" s="1658"/>
      <c r="RPV348" s="1658"/>
      <c r="RPW348" s="1658"/>
      <c r="RPX348" s="1658"/>
      <c r="RPY348" s="1658"/>
      <c r="RPZ348" s="1658"/>
      <c r="RQA348" s="1658"/>
      <c r="RQB348" s="1658"/>
      <c r="RQC348" s="1658"/>
      <c r="RQD348" s="1658"/>
      <c r="RQE348" s="1658"/>
      <c r="RQF348" s="1658"/>
      <c r="RQG348" s="1658"/>
      <c r="RQH348" s="1658"/>
      <c r="RQI348" s="1658"/>
      <c r="RQJ348" s="1658"/>
      <c r="RQK348" s="1658"/>
      <c r="RQL348" s="1658"/>
      <c r="RQM348" s="1658"/>
      <c r="RQN348" s="1658"/>
      <c r="RQO348" s="1658"/>
      <c r="RQP348" s="1658"/>
      <c r="RQQ348" s="1658"/>
      <c r="RQR348" s="1658"/>
      <c r="RQS348" s="1658"/>
      <c r="RQT348" s="1658"/>
      <c r="RQU348" s="1658"/>
      <c r="RQV348" s="1658"/>
      <c r="RQW348" s="1658"/>
      <c r="RQX348" s="1658"/>
      <c r="RQY348" s="1658"/>
      <c r="RQZ348" s="1658"/>
      <c r="RRA348" s="1658"/>
      <c r="RRB348" s="1658"/>
      <c r="RRC348" s="1658"/>
      <c r="RRD348" s="1658"/>
      <c r="RRE348" s="1658"/>
      <c r="RRF348" s="1658"/>
      <c r="RRG348" s="1658"/>
      <c r="RRH348" s="1658"/>
      <c r="RRI348" s="1658"/>
      <c r="RRJ348" s="1658"/>
      <c r="RRK348" s="1658"/>
      <c r="RRL348" s="1658"/>
      <c r="RRM348" s="1658"/>
      <c r="RRN348" s="1658"/>
      <c r="RRO348" s="1658"/>
      <c r="RRP348" s="1658"/>
      <c r="RRQ348" s="1658"/>
      <c r="RRR348" s="1658"/>
      <c r="RRS348" s="1658"/>
      <c r="RRT348" s="1658"/>
      <c r="RRU348" s="1658"/>
      <c r="RRV348" s="1658"/>
      <c r="RRW348" s="1658"/>
      <c r="RRX348" s="1658"/>
      <c r="RRY348" s="1658"/>
      <c r="RRZ348" s="1658"/>
      <c r="RSA348" s="1658"/>
      <c r="RSB348" s="1658"/>
      <c r="RSC348" s="1658"/>
      <c r="RSD348" s="1658"/>
      <c r="RSE348" s="1658"/>
      <c r="RSF348" s="1658"/>
      <c r="RSG348" s="1658"/>
      <c r="RSH348" s="1658"/>
      <c r="RSI348" s="1658"/>
      <c r="RSJ348" s="1658"/>
      <c r="RSK348" s="1658"/>
      <c r="RSL348" s="1658"/>
      <c r="RSM348" s="1658"/>
      <c r="RSN348" s="1658"/>
      <c r="RSO348" s="1658"/>
      <c r="RSP348" s="1658"/>
      <c r="RSQ348" s="1658"/>
      <c r="RSR348" s="1658"/>
      <c r="RSS348" s="1658"/>
      <c r="RST348" s="1658"/>
      <c r="RSU348" s="1658"/>
      <c r="RSV348" s="1658"/>
      <c r="RSW348" s="1658"/>
      <c r="RSX348" s="1658"/>
      <c r="RSY348" s="1658"/>
      <c r="RSZ348" s="1658"/>
      <c r="RTA348" s="1658"/>
      <c r="RTB348" s="1658"/>
      <c r="RTC348" s="1658"/>
      <c r="RTD348" s="1658"/>
      <c r="RTE348" s="1658"/>
      <c r="RTF348" s="1658"/>
      <c r="RTG348" s="1658"/>
      <c r="RTH348" s="1658"/>
      <c r="RTI348" s="1658"/>
      <c r="RTJ348" s="1658"/>
      <c r="RTK348" s="1658"/>
      <c r="RTL348" s="1658"/>
      <c r="RTM348" s="1658"/>
      <c r="RTN348" s="1658"/>
      <c r="RTO348" s="1658"/>
      <c r="RTP348" s="1658"/>
      <c r="RTQ348" s="1658"/>
      <c r="RTR348" s="1658"/>
      <c r="RTS348" s="1658"/>
      <c r="RTT348" s="1658"/>
      <c r="RTU348" s="1658"/>
      <c r="RTV348" s="1658"/>
      <c r="RTW348" s="1658"/>
      <c r="RTX348" s="1658"/>
      <c r="RTY348" s="1658"/>
      <c r="RTZ348" s="1658"/>
      <c r="RUA348" s="1658"/>
      <c r="RUB348" s="1658"/>
      <c r="RUC348" s="1658"/>
      <c r="RUD348" s="1658"/>
      <c r="RUE348" s="1658"/>
      <c r="RUF348" s="1658"/>
      <c r="RUG348" s="1658"/>
      <c r="RUH348" s="1658"/>
      <c r="RUI348" s="1658"/>
      <c r="RUJ348" s="1658"/>
      <c r="RUK348" s="1658"/>
      <c r="RUL348" s="1658"/>
      <c r="RUM348" s="1658"/>
      <c r="RUN348" s="1658"/>
      <c r="RUO348" s="1658"/>
      <c r="RUP348" s="1658"/>
      <c r="RUQ348" s="1658"/>
      <c r="RUR348" s="1658"/>
      <c r="RUS348" s="1658"/>
      <c r="RUT348" s="1658"/>
      <c r="RUU348" s="1658"/>
      <c r="RUV348" s="1658"/>
      <c r="RUW348" s="1658"/>
      <c r="RUX348" s="1658"/>
      <c r="RUY348" s="1658"/>
      <c r="RUZ348" s="1658"/>
      <c r="RVA348" s="1658"/>
      <c r="RVB348" s="1658"/>
      <c r="RVC348" s="1658"/>
      <c r="RVD348" s="1658"/>
      <c r="RVE348" s="1658"/>
      <c r="RVF348" s="1658"/>
      <c r="RVG348" s="1658"/>
      <c r="RVH348" s="1658"/>
      <c r="RVI348" s="1658"/>
      <c r="RVJ348" s="1658"/>
      <c r="RVK348" s="1658"/>
      <c r="RVL348" s="1658"/>
      <c r="RVM348" s="1658"/>
      <c r="RVN348" s="1658"/>
      <c r="RVO348" s="1658"/>
      <c r="RVP348" s="1658"/>
      <c r="RVQ348" s="1658"/>
      <c r="RVR348" s="1658"/>
      <c r="RVS348" s="1658"/>
      <c r="RVT348" s="1658"/>
      <c r="RVU348" s="1658"/>
      <c r="RVV348" s="1658"/>
      <c r="RVW348" s="1658"/>
      <c r="RVX348" s="1658"/>
      <c r="RVY348" s="1658"/>
      <c r="RVZ348" s="1658"/>
      <c r="RWA348" s="1658"/>
      <c r="RWB348" s="1658"/>
      <c r="RWC348" s="1658"/>
      <c r="RWD348" s="1658"/>
      <c r="RWE348" s="1658"/>
      <c r="RWF348" s="1658"/>
      <c r="RWG348" s="1658"/>
      <c r="RWH348" s="1658"/>
      <c r="RWI348" s="1658"/>
      <c r="RWJ348" s="1658"/>
      <c r="RWK348" s="1658"/>
      <c r="RWL348" s="1658"/>
      <c r="RWM348" s="1658"/>
      <c r="RWN348" s="1658"/>
      <c r="RWO348" s="1658"/>
      <c r="RWP348" s="1658"/>
      <c r="RWQ348" s="1658"/>
      <c r="RWR348" s="1658"/>
      <c r="RWS348" s="1658"/>
      <c r="RWT348" s="1658"/>
      <c r="RWU348" s="1658"/>
      <c r="RWV348" s="1658"/>
      <c r="RWW348" s="1658"/>
      <c r="RWX348" s="1658"/>
      <c r="RWY348" s="1658"/>
      <c r="RWZ348" s="1658"/>
      <c r="RXA348" s="1658"/>
      <c r="RXB348" s="1658"/>
      <c r="RXC348" s="1658"/>
      <c r="RXD348" s="1658"/>
      <c r="RXE348" s="1658"/>
      <c r="RXF348" s="1658"/>
      <c r="RXG348" s="1658"/>
      <c r="RXH348" s="1658"/>
      <c r="RXI348" s="1658"/>
      <c r="RXJ348" s="1658"/>
      <c r="RXK348" s="1658"/>
      <c r="RXL348" s="1658"/>
      <c r="RXM348" s="1658"/>
      <c r="RXN348" s="1658"/>
      <c r="RXO348" s="1658"/>
      <c r="RXP348" s="1658"/>
      <c r="RXQ348" s="1658"/>
      <c r="RXR348" s="1658"/>
      <c r="RXS348" s="1658"/>
      <c r="RXT348" s="1658"/>
      <c r="RXU348" s="1658"/>
      <c r="RXV348" s="1658"/>
      <c r="RXW348" s="1658"/>
      <c r="RXX348" s="1658"/>
      <c r="RXY348" s="1658"/>
      <c r="RXZ348" s="1658"/>
      <c r="RYA348" s="1658"/>
      <c r="RYB348" s="1658"/>
      <c r="RYC348" s="1658"/>
      <c r="RYD348" s="1658"/>
      <c r="RYE348" s="1658"/>
      <c r="RYF348" s="1658"/>
      <c r="RYG348" s="1658"/>
      <c r="RYH348" s="1658"/>
      <c r="RYI348" s="1658"/>
      <c r="RYJ348" s="1658"/>
      <c r="RYK348" s="1658"/>
      <c r="RYL348" s="1658"/>
      <c r="RYM348" s="1658"/>
      <c r="RYN348" s="1658"/>
      <c r="RYO348" s="1658"/>
      <c r="RYP348" s="1658"/>
      <c r="RYQ348" s="1658"/>
      <c r="RYR348" s="1658"/>
      <c r="RYS348" s="1658"/>
      <c r="RYT348" s="1658"/>
      <c r="RYU348" s="1658"/>
      <c r="RYV348" s="1658"/>
      <c r="RYW348" s="1658"/>
      <c r="RYX348" s="1658"/>
      <c r="RYY348" s="1658"/>
      <c r="RYZ348" s="1658"/>
      <c r="RZA348" s="1658"/>
      <c r="RZB348" s="1658"/>
      <c r="RZC348" s="1658"/>
      <c r="RZD348" s="1658"/>
      <c r="RZE348" s="1658"/>
      <c r="RZF348" s="1658"/>
      <c r="RZG348" s="1658"/>
      <c r="RZH348" s="1658"/>
      <c r="RZI348" s="1658"/>
      <c r="RZJ348" s="1658"/>
      <c r="RZK348" s="1658"/>
      <c r="RZL348" s="1658"/>
      <c r="RZM348" s="1658"/>
      <c r="RZN348" s="1658"/>
      <c r="RZO348" s="1658"/>
      <c r="RZP348" s="1658"/>
      <c r="RZQ348" s="1658"/>
      <c r="RZR348" s="1658"/>
      <c r="RZS348" s="1658"/>
      <c r="RZT348" s="1658"/>
      <c r="RZU348" s="1658"/>
      <c r="RZV348" s="1658"/>
      <c r="RZW348" s="1658"/>
      <c r="RZX348" s="1658"/>
      <c r="RZY348" s="1658"/>
      <c r="RZZ348" s="1658"/>
      <c r="SAA348" s="1658"/>
      <c r="SAB348" s="1658"/>
      <c r="SAC348" s="1658"/>
      <c r="SAD348" s="1658"/>
      <c r="SAE348" s="1658"/>
      <c r="SAF348" s="1658"/>
      <c r="SAG348" s="1658"/>
      <c r="SAH348" s="1658"/>
      <c r="SAI348" s="1658"/>
      <c r="SAJ348" s="1658"/>
      <c r="SAK348" s="1658"/>
      <c r="SAL348" s="1658"/>
      <c r="SAM348" s="1658"/>
      <c r="SAN348" s="1658"/>
      <c r="SAO348" s="1658"/>
      <c r="SAP348" s="1658"/>
      <c r="SAQ348" s="1658"/>
      <c r="SAR348" s="1658"/>
      <c r="SAS348" s="1658"/>
      <c r="SAT348" s="1658"/>
      <c r="SAU348" s="1658"/>
      <c r="SAV348" s="1658"/>
      <c r="SAW348" s="1658"/>
      <c r="SAX348" s="1658"/>
      <c r="SAY348" s="1658"/>
      <c r="SAZ348" s="1658"/>
      <c r="SBA348" s="1658"/>
      <c r="SBB348" s="1658"/>
      <c r="SBC348" s="1658"/>
      <c r="SBD348" s="1658"/>
      <c r="SBE348" s="1658"/>
      <c r="SBF348" s="1658"/>
      <c r="SBG348" s="1658"/>
      <c r="SBH348" s="1658"/>
      <c r="SBI348" s="1658"/>
      <c r="SBJ348" s="1658"/>
      <c r="SBK348" s="1658"/>
      <c r="SBL348" s="1658"/>
      <c r="SBM348" s="1658"/>
      <c r="SBN348" s="1658"/>
      <c r="SBO348" s="1658"/>
      <c r="SBP348" s="1658"/>
      <c r="SBQ348" s="1658"/>
      <c r="SBR348" s="1658"/>
      <c r="SBS348" s="1658"/>
      <c r="SBT348" s="1658"/>
      <c r="SBU348" s="1658"/>
      <c r="SBV348" s="1658"/>
      <c r="SBW348" s="1658"/>
      <c r="SBX348" s="1658"/>
      <c r="SBY348" s="1658"/>
      <c r="SBZ348" s="1658"/>
      <c r="SCA348" s="1658"/>
      <c r="SCB348" s="1658"/>
      <c r="SCC348" s="1658"/>
      <c r="SCD348" s="1658"/>
      <c r="SCE348" s="1658"/>
      <c r="SCF348" s="1658"/>
      <c r="SCG348" s="1658"/>
      <c r="SCH348" s="1658"/>
      <c r="SCI348" s="1658"/>
      <c r="SCJ348" s="1658"/>
      <c r="SCK348" s="1658"/>
      <c r="SCL348" s="1658"/>
      <c r="SCM348" s="1658"/>
      <c r="SCN348" s="1658"/>
      <c r="SCO348" s="1658"/>
      <c r="SCP348" s="1658"/>
      <c r="SCQ348" s="1658"/>
      <c r="SCR348" s="1658"/>
      <c r="SCS348" s="1658"/>
      <c r="SCT348" s="1658"/>
      <c r="SCU348" s="1658"/>
      <c r="SCV348" s="1658"/>
      <c r="SCW348" s="1658"/>
      <c r="SCX348" s="1658"/>
      <c r="SCY348" s="1658"/>
      <c r="SCZ348" s="1658"/>
      <c r="SDA348" s="1658"/>
      <c r="SDB348" s="1658"/>
      <c r="SDC348" s="1658"/>
      <c r="SDD348" s="1658"/>
      <c r="SDE348" s="1658"/>
      <c r="SDF348" s="1658"/>
      <c r="SDG348" s="1658"/>
      <c r="SDH348" s="1658"/>
      <c r="SDI348" s="1658"/>
      <c r="SDJ348" s="1658"/>
      <c r="SDK348" s="1658"/>
      <c r="SDL348" s="1658"/>
      <c r="SDM348" s="1658"/>
      <c r="SDN348" s="1658"/>
      <c r="SDO348" s="1658"/>
      <c r="SDP348" s="1658"/>
      <c r="SDQ348" s="1658"/>
      <c r="SDR348" s="1658"/>
      <c r="SDS348" s="1658"/>
      <c r="SDT348" s="1658"/>
      <c r="SDU348" s="1658"/>
      <c r="SDV348" s="1658"/>
      <c r="SDW348" s="1658"/>
      <c r="SDX348" s="1658"/>
      <c r="SDY348" s="1658"/>
      <c r="SDZ348" s="1658"/>
      <c r="SEA348" s="1658"/>
      <c r="SEB348" s="1658"/>
      <c r="SEC348" s="1658"/>
      <c r="SED348" s="1658"/>
      <c r="SEE348" s="1658"/>
      <c r="SEF348" s="1658"/>
      <c r="SEG348" s="1658"/>
      <c r="SEH348" s="1658"/>
      <c r="SEI348" s="1658"/>
      <c r="SEJ348" s="1658"/>
      <c r="SEK348" s="1658"/>
      <c r="SEL348" s="1658"/>
      <c r="SEM348" s="1658"/>
      <c r="SEN348" s="1658"/>
      <c r="SEO348" s="1658"/>
      <c r="SEP348" s="1658"/>
      <c r="SEQ348" s="1658"/>
      <c r="SER348" s="1658"/>
      <c r="SES348" s="1658"/>
      <c r="SET348" s="1658"/>
      <c r="SEU348" s="1658"/>
      <c r="SEV348" s="1658"/>
      <c r="SEW348" s="1658"/>
      <c r="SEX348" s="1658"/>
      <c r="SEY348" s="1658"/>
      <c r="SEZ348" s="1658"/>
      <c r="SFA348" s="1658"/>
      <c r="SFB348" s="1658"/>
      <c r="SFC348" s="1658"/>
      <c r="SFD348" s="1658"/>
      <c r="SFE348" s="1658"/>
      <c r="SFF348" s="1658"/>
      <c r="SFG348" s="1658"/>
      <c r="SFH348" s="1658"/>
      <c r="SFI348" s="1658"/>
      <c r="SFJ348" s="1658"/>
      <c r="SFK348" s="1658"/>
      <c r="SFL348" s="1658"/>
      <c r="SFM348" s="1658"/>
      <c r="SFN348" s="1658"/>
      <c r="SFO348" s="1658"/>
      <c r="SFP348" s="1658"/>
      <c r="SFQ348" s="1658"/>
      <c r="SFR348" s="1658"/>
      <c r="SFS348" s="1658"/>
      <c r="SFT348" s="1658"/>
      <c r="SFU348" s="1658"/>
      <c r="SFV348" s="1658"/>
      <c r="SFW348" s="1658"/>
      <c r="SFX348" s="1658"/>
      <c r="SFY348" s="1658"/>
      <c r="SFZ348" s="1658"/>
      <c r="SGA348" s="1658"/>
      <c r="SGB348" s="1658"/>
      <c r="SGC348" s="1658"/>
      <c r="SGD348" s="1658"/>
      <c r="SGE348" s="1658"/>
      <c r="SGF348" s="1658"/>
      <c r="SGG348" s="1658"/>
      <c r="SGH348" s="1658"/>
      <c r="SGI348" s="1658"/>
      <c r="SGJ348" s="1658"/>
      <c r="SGK348" s="1658"/>
      <c r="SGL348" s="1658"/>
      <c r="SGM348" s="1658"/>
      <c r="SGN348" s="1658"/>
      <c r="SGO348" s="1658"/>
      <c r="SGP348" s="1658"/>
      <c r="SGQ348" s="1658"/>
      <c r="SGR348" s="1658"/>
      <c r="SGS348" s="1658"/>
      <c r="SGT348" s="1658"/>
      <c r="SGU348" s="1658"/>
      <c r="SGV348" s="1658"/>
      <c r="SGW348" s="1658"/>
      <c r="SGX348" s="1658"/>
      <c r="SGY348" s="1658"/>
      <c r="SGZ348" s="1658"/>
      <c r="SHA348" s="1658"/>
      <c r="SHB348" s="1658"/>
      <c r="SHC348" s="1658"/>
      <c r="SHD348" s="1658"/>
      <c r="SHE348" s="1658"/>
      <c r="SHF348" s="1658"/>
      <c r="SHG348" s="1658"/>
      <c r="SHH348" s="1658"/>
      <c r="SHI348" s="1658"/>
      <c r="SHJ348" s="1658"/>
      <c r="SHK348" s="1658"/>
      <c r="SHL348" s="1658"/>
      <c r="SHM348" s="1658"/>
      <c r="SHN348" s="1658"/>
      <c r="SHO348" s="1658"/>
      <c r="SHP348" s="1658"/>
      <c r="SHQ348" s="1658"/>
      <c r="SHR348" s="1658"/>
      <c r="SHS348" s="1658"/>
      <c r="SHT348" s="1658"/>
      <c r="SHU348" s="1658"/>
      <c r="SHV348" s="1658"/>
      <c r="SHW348" s="1658"/>
      <c r="SHX348" s="1658"/>
      <c r="SHY348" s="1658"/>
      <c r="SHZ348" s="1658"/>
      <c r="SIA348" s="1658"/>
      <c r="SIB348" s="1658"/>
      <c r="SIC348" s="1658"/>
      <c r="SID348" s="1658"/>
      <c r="SIE348" s="1658"/>
      <c r="SIF348" s="1658"/>
      <c r="SIG348" s="1658"/>
      <c r="SIH348" s="1658"/>
      <c r="SII348" s="1658"/>
      <c r="SIJ348" s="1658"/>
      <c r="SIK348" s="1658"/>
      <c r="SIL348" s="1658"/>
      <c r="SIM348" s="1658"/>
      <c r="SIN348" s="1658"/>
      <c r="SIO348" s="1658"/>
      <c r="SIP348" s="1658"/>
      <c r="SIQ348" s="1658"/>
      <c r="SIR348" s="1658"/>
      <c r="SIS348" s="1658"/>
      <c r="SIT348" s="1658"/>
      <c r="SIU348" s="1658"/>
      <c r="SIV348" s="1658"/>
      <c r="SIW348" s="1658"/>
      <c r="SIX348" s="1658"/>
      <c r="SIY348" s="1658"/>
      <c r="SIZ348" s="1658"/>
      <c r="SJA348" s="1658"/>
      <c r="SJB348" s="1658"/>
      <c r="SJC348" s="1658"/>
      <c r="SJD348" s="1658"/>
      <c r="SJE348" s="1658"/>
      <c r="SJF348" s="1658"/>
      <c r="SJG348" s="1658"/>
      <c r="SJH348" s="1658"/>
      <c r="SJI348" s="1658"/>
      <c r="SJJ348" s="1658"/>
      <c r="SJK348" s="1658"/>
      <c r="SJL348" s="1658"/>
      <c r="SJM348" s="1658"/>
      <c r="SJN348" s="1658"/>
      <c r="SJO348" s="1658"/>
      <c r="SJP348" s="1658"/>
      <c r="SJQ348" s="1658"/>
      <c r="SJR348" s="1658"/>
      <c r="SJS348" s="1658"/>
      <c r="SJT348" s="1658"/>
      <c r="SJU348" s="1658"/>
      <c r="SJV348" s="1658"/>
      <c r="SJW348" s="1658"/>
      <c r="SJX348" s="1658"/>
      <c r="SJY348" s="1658"/>
      <c r="SJZ348" s="1658"/>
      <c r="SKA348" s="1658"/>
      <c r="SKB348" s="1658"/>
      <c r="SKC348" s="1658"/>
      <c r="SKD348" s="1658"/>
      <c r="SKE348" s="1658"/>
      <c r="SKF348" s="1658"/>
      <c r="SKG348" s="1658"/>
      <c r="SKH348" s="1658"/>
      <c r="SKI348" s="1658"/>
      <c r="SKJ348" s="1658"/>
      <c r="SKK348" s="1658"/>
      <c r="SKL348" s="1658"/>
      <c r="SKM348" s="1658"/>
      <c r="SKN348" s="1658"/>
      <c r="SKO348" s="1658"/>
      <c r="SKP348" s="1658"/>
      <c r="SKQ348" s="1658"/>
      <c r="SKR348" s="1658"/>
      <c r="SKS348" s="1658"/>
      <c r="SKT348" s="1658"/>
      <c r="SKU348" s="1658"/>
      <c r="SKV348" s="1658"/>
      <c r="SKW348" s="1658"/>
      <c r="SKX348" s="1658"/>
      <c r="SKY348" s="1658"/>
      <c r="SKZ348" s="1658"/>
      <c r="SLA348" s="1658"/>
      <c r="SLB348" s="1658"/>
      <c r="SLC348" s="1658"/>
      <c r="SLD348" s="1658"/>
      <c r="SLE348" s="1658"/>
      <c r="SLF348" s="1658"/>
      <c r="SLG348" s="1658"/>
      <c r="SLH348" s="1658"/>
      <c r="SLI348" s="1658"/>
      <c r="SLJ348" s="1658"/>
      <c r="SLK348" s="1658"/>
      <c r="SLL348" s="1658"/>
      <c r="SLM348" s="1658"/>
      <c r="SLN348" s="1658"/>
      <c r="SLO348" s="1658"/>
      <c r="SLP348" s="1658"/>
      <c r="SLQ348" s="1658"/>
      <c r="SLR348" s="1658"/>
      <c r="SLS348" s="1658"/>
      <c r="SLT348" s="1658"/>
      <c r="SLU348" s="1658"/>
      <c r="SLV348" s="1658"/>
      <c r="SLW348" s="1658"/>
      <c r="SLX348" s="1658"/>
      <c r="SLY348" s="1658"/>
      <c r="SLZ348" s="1658"/>
      <c r="SMA348" s="1658"/>
      <c r="SMB348" s="1658"/>
      <c r="SMC348" s="1658"/>
      <c r="SMD348" s="1658"/>
      <c r="SME348" s="1658"/>
      <c r="SMF348" s="1658"/>
      <c r="SMG348" s="1658"/>
      <c r="SMH348" s="1658"/>
      <c r="SMI348" s="1658"/>
      <c r="SMJ348" s="1658"/>
      <c r="SMK348" s="1658"/>
      <c r="SML348" s="1658"/>
      <c r="SMM348" s="1658"/>
      <c r="SMN348" s="1658"/>
      <c r="SMO348" s="1658"/>
      <c r="SMP348" s="1658"/>
      <c r="SMQ348" s="1658"/>
      <c r="SMR348" s="1658"/>
      <c r="SMS348" s="1658"/>
      <c r="SMT348" s="1658"/>
      <c r="SMU348" s="1658"/>
      <c r="SMV348" s="1658"/>
      <c r="SMW348" s="1658"/>
      <c r="SMX348" s="1658"/>
      <c r="SMY348" s="1658"/>
      <c r="SMZ348" s="1658"/>
      <c r="SNA348" s="1658"/>
      <c r="SNB348" s="1658"/>
      <c r="SNC348" s="1658"/>
      <c r="SND348" s="1658"/>
      <c r="SNE348" s="1658"/>
      <c r="SNF348" s="1658"/>
      <c r="SNG348" s="1658"/>
      <c r="SNH348" s="1658"/>
      <c r="SNI348" s="1658"/>
      <c r="SNJ348" s="1658"/>
      <c r="SNK348" s="1658"/>
      <c r="SNL348" s="1658"/>
      <c r="SNM348" s="1658"/>
      <c r="SNN348" s="1658"/>
      <c r="SNO348" s="1658"/>
      <c r="SNP348" s="1658"/>
      <c r="SNQ348" s="1658"/>
      <c r="SNR348" s="1658"/>
      <c r="SNS348" s="1658"/>
      <c r="SNT348" s="1658"/>
      <c r="SNU348" s="1658"/>
      <c r="SNV348" s="1658"/>
      <c r="SNW348" s="1658"/>
      <c r="SNX348" s="1658"/>
      <c r="SNY348" s="1658"/>
      <c r="SNZ348" s="1658"/>
      <c r="SOA348" s="1658"/>
      <c r="SOB348" s="1658"/>
      <c r="SOC348" s="1658"/>
      <c r="SOD348" s="1658"/>
      <c r="SOE348" s="1658"/>
      <c r="SOF348" s="1658"/>
      <c r="SOG348" s="1658"/>
      <c r="SOH348" s="1658"/>
      <c r="SOI348" s="1658"/>
      <c r="SOJ348" s="1658"/>
      <c r="SOK348" s="1658"/>
      <c r="SOL348" s="1658"/>
      <c r="SOM348" s="1658"/>
      <c r="SON348" s="1658"/>
      <c r="SOO348" s="1658"/>
      <c r="SOP348" s="1658"/>
      <c r="SOQ348" s="1658"/>
      <c r="SOR348" s="1658"/>
      <c r="SOS348" s="1658"/>
      <c r="SOT348" s="1658"/>
      <c r="SOU348" s="1658"/>
      <c r="SOV348" s="1658"/>
      <c r="SOW348" s="1658"/>
      <c r="SOX348" s="1658"/>
      <c r="SOY348" s="1658"/>
      <c r="SOZ348" s="1658"/>
      <c r="SPA348" s="1658"/>
      <c r="SPB348" s="1658"/>
      <c r="SPC348" s="1658"/>
      <c r="SPD348" s="1658"/>
      <c r="SPE348" s="1658"/>
      <c r="SPF348" s="1658"/>
      <c r="SPG348" s="1658"/>
      <c r="SPH348" s="1658"/>
      <c r="SPI348" s="1658"/>
      <c r="SPJ348" s="1658"/>
      <c r="SPK348" s="1658"/>
      <c r="SPL348" s="1658"/>
      <c r="SPM348" s="1658"/>
      <c r="SPN348" s="1658"/>
      <c r="SPO348" s="1658"/>
      <c r="SPP348" s="1658"/>
      <c r="SPQ348" s="1658"/>
      <c r="SPR348" s="1658"/>
      <c r="SPS348" s="1658"/>
      <c r="SPT348" s="1658"/>
      <c r="SPU348" s="1658"/>
      <c r="SPV348" s="1658"/>
      <c r="SPW348" s="1658"/>
      <c r="SPX348" s="1658"/>
      <c r="SPY348" s="1658"/>
      <c r="SPZ348" s="1658"/>
      <c r="SQA348" s="1658"/>
      <c r="SQB348" s="1658"/>
      <c r="SQC348" s="1658"/>
      <c r="SQD348" s="1658"/>
      <c r="SQE348" s="1658"/>
      <c r="SQF348" s="1658"/>
      <c r="SQG348" s="1658"/>
      <c r="SQH348" s="1658"/>
      <c r="SQI348" s="1658"/>
      <c r="SQJ348" s="1658"/>
      <c r="SQK348" s="1658"/>
      <c r="SQL348" s="1658"/>
      <c r="SQM348" s="1658"/>
      <c r="SQN348" s="1658"/>
      <c r="SQO348" s="1658"/>
      <c r="SQP348" s="1658"/>
      <c r="SQQ348" s="1658"/>
      <c r="SQR348" s="1658"/>
      <c r="SQS348" s="1658"/>
      <c r="SQT348" s="1658"/>
      <c r="SQU348" s="1658"/>
      <c r="SQV348" s="1658"/>
      <c r="SQW348" s="1658"/>
      <c r="SQX348" s="1658"/>
      <c r="SQY348" s="1658"/>
      <c r="SQZ348" s="1658"/>
      <c r="SRA348" s="1658"/>
      <c r="SRB348" s="1658"/>
      <c r="SRC348" s="1658"/>
      <c r="SRD348" s="1658"/>
      <c r="SRE348" s="1658"/>
      <c r="SRF348" s="1658"/>
      <c r="SRG348" s="1658"/>
      <c r="SRH348" s="1658"/>
      <c r="SRI348" s="1658"/>
      <c r="SRJ348" s="1658"/>
      <c r="SRK348" s="1658"/>
      <c r="SRL348" s="1658"/>
      <c r="SRM348" s="1658"/>
      <c r="SRN348" s="1658"/>
      <c r="SRO348" s="1658"/>
      <c r="SRP348" s="1658"/>
      <c r="SRQ348" s="1658"/>
      <c r="SRR348" s="1658"/>
      <c r="SRS348" s="1658"/>
      <c r="SRT348" s="1658"/>
      <c r="SRU348" s="1658"/>
      <c r="SRV348" s="1658"/>
      <c r="SRW348" s="1658"/>
      <c r="SRX348" s="1658"/>
      <c r="SRY348" s="1658"/>
      <c r="SRZ348" s="1658"/>
      <c r="SSA348" s="1658"/>
      <c r="SSB348" s="1658"/>
      <c r="SSC348" s="1658"/>
      <c r="SSD348" s="1658"/>
      <c r="SSE348" s="1658"/>
      <c r="SSF348" s="1658"/>
      <c r="SSG348" s="1658"/>
      <c r="SSH348" s="1658"/>
      <c r="SSI348" s="1658"/>
      <c r="SSJ348" s="1658"/>
      <c r="SSK348" s="1658"/>
      <c r="SSL348" s="1658"/>
      <c r="SSM348" s="1658"/>
      <c r="SSN348" s="1658"/>
      <c r="SSO348" s="1658"/>
      <c r="SSP348" s="1658"/>
      <c r="SSQ348" s="1658"/>
      <c r="SSR348" s="1658"/>
      <c r="SSS348" s="1658"/>
      <c r="SST348" s="1658"/>
      <c r="SSU348" s="1658"/>
      <c r="SSV348" s="1658"/>
      <c r="SSW348" s="1658"/>
      <c r="SSX348" s="1658"/>
      <c r="SSY348" s="1658"/>
      <c r="SSZ348" s="1658"/>
      <c r="STA348" s="1658"/>
      <c r="STB348" s="1658"/>
      <c r="STC348" s="1658"/>
      <c r="STD348" s="1658"/>
      <c r="STE348" s="1658"/>
      <c r="STF348" s="1658"/>
      <c r="STG348" s="1658"/>
      <c r="STH348" s="1658"/>
      <c r="STI348" s="1658"/>
      <c r="STJ348" s="1658"/>
      <c r="STK348" s="1658"/>
      <c r="STL348" s="1658"/>
      <c r="STM348" s="1658"/>
      <c r="STN348" s="1658"/>
      <c r="STO348" s="1658"/>
      <c r="STP348" s="1658"/>
      <c r="STQ348" s="1658"/>
      <c r="STR348" s="1658"/>
      <c r="STS348" s="1658"/>
      <c r="STT348" s="1658"/>
      <c r="STU348" s="1658"/>
      <c r="STV348" s="1658"/>
      <c r="STW348" s="1658"/>
      <c r="STX348" s="1658"/>
      <c r="STY348" s="1658"/>
      <c r="STZ348" s="1658"/>
      <c r="SUA348" s="1658"/>
      <c r="SUB348" s="1658"/>
      <c r="SUC348" s="1658"/>
      <c r="SUD348" s="1658"/>
      <c r="SUE348" s="1658"/>
      <c r="SUF348" s="1658"/>
      <c r="SUG348" s="1658"/>
      <c r="SUH348" s="1658"/>
      <c r="SUI348" s="1658"/>
      <c r="SUJ348" s="1658"/>
      <c r="SUK348" s="1658"/>
      <c r="SUL348" s="1658"/>
      <c r="SUM348" s="1658"/>
      <c r="SUN348" s="1658"/>
      <c r="SUO348" s="1658"/>
      <c r="SUP348" s="1658"/>
      <c r="SUQ348" s="1658"/>
      <c r="SUR348" s="1658"/>
      <c r="SUS348" s="1658"/>
      <c r="SUT348" s="1658"/>
      <c r="SUU348" s="1658"/>
      <c r="SUV348" s="1658"/>
      <c r="SUW348" s="1658"/>
      <c r="SUX348" s="1658"/>
      <c r="SUY348" s="1658"/>
      <c r="SUZ348" s="1658"/>
      <c r="SVA348" s="1658"/>
      <c r="SVB348" s="1658"/>
      <c r="SVC348" s="1658"/>
      <c r="SVD348" s="1658"/>
      <c r="SVE348" s="1658"/>
      <c r="SVF348" s="1658"/>
      <c r="SVG348" s="1658"/>
      <c r="SVH348" s="1658"/>
      <c r="SVI348" s="1658"/>
      <c r="SVJ348" s="1658"/>
      <c r="SVK348" s="1658"/>
      <c r="SVL348" s="1658"/>
      <c r="SVM348" s="1658"/>
      <c r="SVN348" s="1658"/>
      <c r="SVO348" s="1658"/>
      <c r="SVP348" s="1658"/>
      <c r="SVQ348" s="1658"/>
      <c r="SVR348" s="1658"/>
      <c r="SVS348" s="1658"/>
      <c r="SVT348" s="1658"/>
      <c r="SVU348" s="1658"/>
      <c r="SVV348" s="1658"/>
      <c r="SVW348" s="1658"/>
      <c r="SVX348" s="1658"/>
      <c r="SVY348" s="1658"/>
      <c r="SVZ348" s="1658"/>
      <c r="SWA348" s="1658"/>
      <c r="SWB348" s="1658"/>
      <c r="SWC348" s="1658"/>
      <c r="SWD348" s="1658"/>
      <c r="SWE348" s="1658"/>
      <c r="SWF348" s="1658"/>
      <c r="SWG348" s="1658"/>
      <c r="SWH348" s="1658"/>
      <c r="SWI348" s="1658"/>
      <c r="SWJ348" s="1658"/>
      <c r="SWK348" s="1658"/>
      <c r="SWL348" s="1658"/>
      <c r="SWM348" s="1658"/>
      <c r="SWN348" s="1658"/>
      <c r="SWO348" s="1658"/>
      <c r="SWP348" s="1658"/>
      <c r="SWQ348" s="1658"/>
      <c r="SWR348" s="1658"/>
      <c r="SWS348" s="1658"/>
      <c r="SWT348" s="1658"/>
      <c r="SWU348" s="1658"/>
      <c r="SWV348" s="1658"/>
      <c r="SWW348" s="1658"/>
      <c r="SWX348" s="1658"/>
      <c r="SWY348" s="1658"/>
      <c r="SWZ348" s="1658"/>
      <c r="SXA348" s="1658"/>
      <c r="SXB348" s="1658"/>
      <c r="SXC348" s="1658"/>
      <c r="SXD348" s="1658"/>
      <c r="SXE348" s="1658"/>
      <c r="SXF348" s="1658"/>
      <c r="SXG348" s="1658"/>
      <c r="SXH348" s="1658"/>
      <c r="SXI348" s="1658"/>
      <c r="SXJ348" s="1658"/>
      <c r="SXK348" s="1658"/>
      <c r="SXL348" s="1658"/>
      <c r="SXM348" s="1658"/>
      <c r="SXN348" s="1658"/>
      <c r="SXO348" s="1658"/>
      <c r="SXP348" s="1658"/>
      <c r="SXQ348" s="1658"/>
      <c r="SXR348" s="1658"/>
      <c r="SXS348" s="1658"/>
      <c r="SXT348" s="1658"/>
      <c r="SXU348" s="1658"/>
      <c r="SXV348" s="1658"/>
      <c r="SXW348" s="1658"/>
      <c r="SXX348" s="1658"/>
      <c r="SXY348" s="1658"/>
      <c r="SXZ348" s="1658"/>
      <c r="SYA348" s="1658"/>
      <c r="SYB348" s="1658"/>
      <c r="SYC348" s="1658"/>
      <c r="SYD348" s="1658"/>
      <c r="SYE348" s="1658"/>
      <c r="SYF348" s="1658"/>
      <c r="SYG348" s="1658"/>
      <c r="SYH348" s="1658"/>
      <c r="SYI348" s="1658"/>
      <c r="SYJ348" s="1658"/>
      <c r="SYK348" s="1658"/>
      <c r="SYL348" s="1658"/>
      <c r="SYM348" s="1658"/>
      <c r="SYN348" s="1658"/>
      <c r="SYO348" s="1658"/>
      <c r="SYP348" s="1658"/>
      <c r="SYQ348" s="1658"/>
      <c r="SYR348" s="1658"/>
      <c r="SYS348" s="1658"/>
      <c r="SYT348" s="1658"/>
      <c r="SYU348" s="1658"/>
      <c r="SYV348" s="1658"/>
      <c r="SYW348" s="1658"/>
      <c r="SYX348" s="1658"/>
      <c r="SYY348" s="1658"/>
      <c r="SYZ348" s="1658"/>
      <c r="SZA348" s="1658"/>
      <c r="SZB348" s="1658"/>
      <c r="SZC348" s="1658"/>
      <c r="SZD348" s="1658"/>
      <c r="SZE348" s="1658"/>
      <c r="SZF348" s="1658"/>
      <c r="SZG348" s="1658"/>
      <c r="SZH348" s="1658"/>
      <c r="SZI348" s="1658"/>
      <c r="SZJ348" s="1658"/>
      <c r="SZK348" s="1658"/>
      <c r="SZL348" s="1658"/>
      <c r="SZM348" s="1658"/>
      <c r="SZN348" s="1658"/>
      <c r="SZO348" s="1658"/>
      <c r="SZP348" s="1658"/>
      <c r="SZQ348" s="1658"/>
      <c r="SZR348" s="1658"/>
      <c r="SZS348" s="1658"/>
      <c r="SZT348" s="1658"/>
      <c r="SZU348" s="1658"/>
      <c r="SZV348" s="1658"/>
      <c r="SZW348" s="1658"/>
      <c r="SZX348" s="1658"/>
      <c r="SZY348" s="1658"/>
      <c r="SZZ348" s="1658"/>
      <c r="TAA348" s="1658"/>
      <c r="TAB348" s="1658"/>
      <c r="TAC348" s="1658"/>
      <c r="TAD348" s="1658"/>
      <c r="TAE348" s="1658"/>
      <c r="TAF348" s="1658"/>
      <c r="TAG348" s="1658"/>
      <c r="TAH348" s="1658"/>
      <c r="TAI348" s="1658"/>
      <c r="TAJ348" s="1658"/>
      <c r="TAK348" s="1658"/>
      <c r="TAL348" s="1658"/>
      <c r="TAM348" s="1658"/>
      <c r="TAN348" s="1658"/>
      <c r="TAO348" s="1658"/>
      <c r="TAP348" s="1658"/>
      <c r="TAQ348" s="1658"/>
      <c r="TAR348" s="1658"/>
      <c r="TAS348" s="1658"/>
      <c r="TAT348" s="1658"/>
      <c r="TAU348" s="1658"/>
      <c r="TAV348" s="1658"/>
      <c r="TAW348" s="1658"/>
      <c r="TAX348" s="1658"/>
      <c r="TAY348" s="1658"/>
      <c r="TAZ348" s="1658"/>
      <c r="TBA348" s="1658"/>
      <c r="TBB348" s="1658"/>
      <c r="TBC348" s="1658"/>
      <c r="TBD348" s="1658"/>
      <c r="TBE348" s="1658"/>
      <c r="TBF348" s="1658"/>
      <c r="TBG348" s="1658"/>
      <c r="TBH348" s="1658"/>
      <c r="TBI348" s="1658"/>
      <c r="TBJ348" s="1658"/>
      <c r="TBK348" s="1658"/>
      <c r="TBL348" s="1658"/>
      <c r="TBM348" s="1658"/>
      <c r="TBN348" s="1658"/>
      <c r="TBO348" s="1658"/>
      <c r="TBP348" s="1658"/>
      <c r="TBQ348" s="1658"/>
      <c r="TBR348" s="1658"/>
      <c r="TBS348" s="1658"/>
      <c r="TBT348" s="1658"/>
      <c r="TBU348" s="1658"/>
      <c r="TBV348" s="1658"/>
      <c r="TBW348" s="1658"/>
      <c r="TBX348" s="1658"/>
      <c r="TBY348" s="1658"/>
      <c r="TBZ348" s="1658"/>
      <c r="TCA348" s="1658"/>
      <c r="TCB348" s="1658"/>
      <c r="TCC348" s="1658"/>
      <c r="TCD348" s="1658"/>
      <c r="TCE348" s="1658"/>
      <c r="TCF348" s="1658"/>
      <c r="TCG348" s="1658"/>
      <c r="TCH348" s="1658"/>
      <c r="TCI348" s="1658"/>
      <c r="TCJ348" s="1658"/>
      <c r="TCK348" s="1658"/>
      <c r="TCL348" s="1658"/>
      <c r="TCM348" s="1658"/>
      <c r="TCN348" s="1658"/>
      <c r="TCO348" s="1658"/>
      <c r="TCP348" s="1658"/>
      <c r="TCQ348" s="1658"/>
      <c r="TCR348" s="1658"/>
      <c r="TCS348" s="1658"/>
      <c r="TCT348" s="1658"/>
      <c r="TCU348" s="1658"/>
      <c r="TCV348" s="1658"/>
      <c r="TCW348" s="1658"/>
      <c r="TCX348" s="1658"/>
      <c r="TCY348" s="1658"/>
      <c r="TCZ348" s="1658"/>
      <c r="TDA348" s="1658"/>
      <c r="TDB348" s="1658"/>
      <c r="TDC348" s="1658"/>
      <c r="TDD348" s="1658"/>
      <c r="TDE348" s="1658"/>
      <c r="TDF348" s="1658"/>
      <c r="TDG348" s="1658"/>
      <c r="TDH348" s="1658"/>
      <c r="TDI348" s="1658"/>
      <c r="TDJ348" s="1658"/>
      <c r="TDK348" s="1658"/>
      <c r="TDL348" s="1658"/>
      <c r="TDM348" s="1658"/>
      <c r="TDN348" s="1658"/>
      <c r="TDO348" s="1658"/>
      <c r="TDP348" s="1658"/>
      <c r="TDQ348" s="1658"/>
      <c r="TDR348" s="1658"/>
      <c r="TDS348" s="1658"/>
      <c r="TDT348" s="1658"/>
      <c r="TDU348" s="1658"/>
      <c r="TDV348" s="1658"/>
      <c r="TDW348" s="1658"/>
      <c r="TDX348" s="1658"/>
      <c r="TDY348" s="1658"/>
      <c r="TDZ348" s="1658"/>
      <c r="TEA348" s="1658"/>
      <c r="TEB348" s="1658"/>
      <c r="TEC348" s="1658"/>
      <c r="TED348" s="1658"/>
      <c r="TEE348" s="1658"/>
      <c r="TEF348" s="1658"/>
      <c r="TEG348" s="1658"/>
      <c r="TEH348" s="1658"/>
      <c r="TEI348" s="1658"/>
      <c r="TEJ348" s="1658"/>
      <c r="TEK348" s="1658"/>
      <c r="TEL348" s="1658"/>
      <c r="TEM348" s="1658"/>
      <c r="TEN348" s="1658"/>
      <c r="TEO348" s="1658"/>
      <c r="TEP348" s="1658"/>
      <c r="TEQ348" s="1658"/>
      <c r="TER348" s="1658"/>
      <c r="TES348" s="1658"/>
      <c r="TET348" s="1658"/>
      <c r="TEU348" s="1658"/>
      <c r="TEV348" s="1658"/>
      <c r="TEW348" s="1658"/>
      <c r="TEX348" s="1658"/>
      <c r="TEY348" s="1658"/>
      <c r="TEZ348" s="1658"/>
      <c r="TFA348" s="1658"/>
      <c r="TFB348" s="1658"/>
      <c r="TFC348" s="1658"/>
      <c r="TFD348" s="1658"/>
      <c r="TFE348" s="1658"/>
      <c r="TFF348" s="1658"/>
      <c r="TFG348" s="1658"/>
      <c r="TFH348" s="1658"/>
      <c r="TFI348" s="1658"/>
      <c r="TFJ348" s="1658"/>
      <c r="TFK348" s="1658"/>
      <c r="TFL348" s="1658"/>
      <c r="TFM348" s="1658"/>
      <c r="TFN348" s="1658"/>
      <c r="TFO348" s="1658"/>
      <c r="TFP348" s="1658"/>
      <c r="TFQ348" s="1658"/>
      <c r="TFR348" s="1658"/>
      <c r="TFS348" s="1658"/>
      <c r="TFT348" s="1658"/>
      <c r="TFU348" s="1658"/>
      <c r="TFV348" s="1658"/>
      <c r="TFW348" s="1658"/>
      <c r="TFX348" s="1658"/>
      <c r="TFY348" s="1658"/>
      <c r="TFZ348" s="1658"/>
      <c r="TGA348" s="1658"/>
      <c r="TGB348" s="1658"/>
      <c r="TGC348" s="1658"/>
      <c r="TGD348" s="1658"/>
      <c r="TGE348" s="1658"/>
      <c r="TGF348" s="1658"/>
      <c r="TGG348" s="1658"/>
      <c r="TGH348" s="1658"/>
      <c r="TGI348" s="1658"/>
      <c r="TGJ348" s="1658"/>
      <c r="TGK348" s="1658"/>
      <c r="TGL348" s="1658"/>
      <c r="TGM348" s="1658"/>
      <c r="TGN348" s="1658"/>
      <c r="TGO348" s="1658"/>
      <c r="TGP348" s="1658"/>
      <c r="TGQ348" s="1658"/>
      <c r="TGR348" s="1658"/>
      <c r="TGS348" s="1658"/>
      <c r="TGT348" s="1658"/>
      <c r="TGU348" s="1658"/>
      <c r="TGV348" s="1658"/>
      <c r="TGW348" s="1658"/>
      <c r="TGX348" s="1658"/>
      <c r="TGY348" s="1658"/>
      <c r="TGZ348" s="1658"/>
      <c r="THA348" s="1658"/>
      <c r="THB348" s="1658"/>
      <c r="THC348" s="1658"/>
      <c r="THD348" s="1658"/>
      <c r="THE348" s="1658"/>
      <c r="THF348" s="1658"/>
      <c r="THG348" s="1658"/>
      <c r="THH348" s="1658"/>
      <c r="THI348" s="1658"/>
      <c r="THJ348" s="1658"/>
      <c r="THK348" s="1658"/>
      <c r="THL348" s="1658"/>
      <c r="THM348" s="1658"/>
      <c r="THN348" s="1658"/>
      <c r="THO348" s="1658"/>
      <c r="THP348" s="1658"/>
      <c r="THQ348" s="1658"/>
      <c r="THR348" s="1658"/>
      <c r="THS348" s="1658"/>
      <c r="THT348" s="1658"/>
      <c r="THU348" s="1658"/>
      <c r="THV348" s="1658"/>
      <c r="THW348" s="1658"/>
      <c r="THX348" s="1658"/>
      <c r="THY348" s="1658"/>
      <c r="THZ348" s="1658"/>
      <c r="TIA348" s="1658"/>
      <c r="TIB348" s="1658"/>
      <c r="TIC348" s="1658"/>
      <c r="TID348" s="1658"/>
      <c r="TIE348" s="1658"/>
      <c r="TIF348" s="1658"/>
      <c r="TIG348" s="1658"/>
      <c r="TIH348" s="1658"/>
      <c r="TII348" s="1658"/>
      <c r="TIJ348" s="1658"/>
      <c r="TIK348" s="1658"/>
      <c r="TIL348" s="1658"/>
      <c r="TIM348" s="1658"/>
      <c r="TIN348" s="1658"/>
      <c r="TIO348" s="1658"/>
      <c r="TIP348" s="1658"/>
      <c r="TIQ348" s="1658"/>
      <c r="TIR348" s="1658"/>
      <c r="TIS348" s="1658"/>
      <c r="TIT348" s="1658"/>
      <c r="TIU348" s="1658"/>
      <c r="TIV348" s="1658"/>
      <c r="TIW348" s="1658"/>
      <c r="TIX348" s="1658"/>
      <c r="TIY348" s="1658"/>
      <c r="TIZ348" s="1658"/>
      <c r="TJA348" s="1658"/>
      <c r="TJB348" s="1658"/>
      <c r="TJC348" s="1658"/>
      <c r="TJD348" s="1658"/>
      <c r="TJE348" s="1658"/>
      <c r="TJF348" s="1658"/>
      <c r="TJG348" s="1658"/>
      <c r="TJH348" s="1658"/>
      <c r="TJI348" s="1658"/>
      <c r="TJJ348" s="1658"/>
      <c r="TJK348" s="1658"/>
      <c r="TJL348" s="1658"/>
      <c r="TJM348" s="1658"/>
      <c r="TJN348" s="1658"/>
      <c r="TJO348" s="1658"/>
      <c r="TJP348" s="1658"/>
      <c r="TJQ348" s="1658"/>
      <c r="TJR348" s="1658"/>
      <c r="TJS348" s="1658"/>
      <c r="TJT348" s="1658"/>
      <c r="TJU348" s="1658"/>
      <c r="TJV348" s="1658"/>
      <c r="TJW348" s="1658"/>
      <c r="TJX348" s="1658"/>
      <c r="TJY348" s="1658"/>
      <c r="TJZ348" s="1658"/>
      <c r="TKA348" s="1658"/>
      <c r="TKB348" s="1658"/>
      <c r="TKC348" s="1658"/>
      <c r="TKD348" s="1658"/>
      <c r="TKE348" s="1658"/>
      <c r="TKF348" s="1658"/>
      <c r="TKG348" s="1658"/>
      <c r="TKH348" s="1658"/>
      <c r="TKI348" s="1658"/>
      <c r="TKJ348" s="1658"/>
      <c r="TKK348" s="1658"/>
      <c r="TKL348" s="1658"/>
      <c r="TKM348" s="1658"/>
      <c r="TKN348" s="1658"/>
      <c r="TKO348" s="1658"/>
      <c r="TKP348" s="1658"/>
      <c r="TKQ348" s="1658"/>
      <c r="TKR348" s="1658"/>
      <c r="TKS348" s="1658"/>
      <c r="TKT348" s="1658"/>
      <c r="TKU348" s="1658"/>
      <c r="TKV348" s="1658"/>
      <c r="TKW348" s="1658"/>
      <c r="TKX348" s="1658"/>
      <c r="TKY348" s="1658"/>
      <c r="TKZ348" s="1658"/>
      <c r="TLA348" s="1658"/>
      <c r="TLB348" s="1658"/>
      <c r="TLC348" s="1658"/>
      <c r="TLD348" s="1658"/>
      <c r="TLE348" s="1658"/>
      <c r="TLF348" s="1658"/>
      <c r="TLG348" s="1658"/>
      <c r="TLH348" s="1658"/>
      <c r="TLI348" s="1658"/>
      <c r="TLJ348" s="1658"/>
      <c r="TLK348" s="1658"/>
      <c r="TLL348" s="1658"/>
      <c r="TLM348" s="1658"/>
      <c r="TLN348" s="1658"/>
      <c r="TLO348" s="1658"/>
      <c r="TLP348" s="1658"/>
      <c r="TLQ348" s="1658"/>
      <c r="TLR348" s="1658"/>
      <c r="TLS348" s="1658"/>
      <c r="TLT348" s="1658"/>
      <c r="TLU348" s="1658"/>
      <c r="TLV348" s="1658"/>
      <c r="TLW348" s="1658"/>
      <c r="TLX348" s="1658"/>
      <c r="TLY348" s="1658"/>
      <c r="TLZ348" s="1658"/>
      <c r="TMA348" s="1658"/>
      <c r="TMB348" s="1658"/>
      <c r="TMC348" s="1658"/>
      <c r="TMD348" s="1658"/>
      <c r="TME348" s="1658"/>
      <c r="TMF348" s="1658"/>
      <c r="TMG348" s="1658"/>
      <c r="TMH348" s="1658"/>
      <c r="TMI348" s="1658"/>
      <c r="TMJ348" s="1658"/>
      <c r="TMK348" s="1658"/>
      <c r="TML348" s="1658"/>
      <c r="TMM348" s="1658"/>
      <c r="TMN348" s="1658"/>
      <c r="TMO348" s="1658"/>
      <c r="TMP348" s="1658"/>
      <c r="TMQ348" s="1658"/>
      <c r="TMR348" s="1658"/>
      <c r="TMS348" s="1658"/>
      <c r="TMT348" s="1658"/>
      <c r="TMU348" s="1658"/>
      <c r="TMV348" s="1658"/>
      <c r="TMW348" s="1658"/>
      <c r="TMX348" s="1658"/>
      <c r="TMY348" s="1658"/>
      <c r="TMZ348" s="1658"/>
      <c r="TNA348" s="1658"/>
      <c r="TNB348" s="1658"/>
      <c r="TNC348" s="1658"/>
      <c r="TND348" s="1658"/>
      <c r="TNE348" s="1658"/>
      <c r="TNF348" s="1658"/>
      <c r="TNG348" s="1658"/>
      <c r="TNH348" s="1658"/>
      <c r="TNI348" s="1658"/>
      <c r="TNJ348" s="1658"/>
      <c r="TNK348" s="1658"/>
      <c r="TNL348" s="1658"/>
      <c r="TNM348" s="1658"/>
      <c r="TNN348" s="1658"/>
      <c r="TNO348" s="1658"/>
      <c r="TNP348" s="1658"/>
      <c r="TNQ348" s="1658"/>
      <c r="TNR348" s="1658"/>
      <c r="TNS348" s="1658"/>
      <c r="TNT348" s="1658"/>
      <c r="TNU348" s="1658"/>
      <c r="TNV348" s="1658"/>
      <c r="TNW348" s="1658"/>
      <c r="TNX348" s="1658"/>
      <c r="TNY348" s="1658"/>
      <c r="TNZ348" s="1658"/>
      <c r="TOA348" s="1658"/>
      <c r="TOB348" s="1658"/>
      <c r="TOC348" s="1658"/>
      <c r="TOD348" s="1658"/>
      <c r="TOE348" s="1658"/>
      <c r="TOF348" s="1658"/>
      <c r="TOG348" s="1658"/>
      <c r="TOH348" s="1658"/>
      <c r="TOI348" s="1658"/>
      <c r="TOJ348" s="1658"/>
      <c r="TOK348" s="1658"/>
      <c r="TOL348" s="1658"/>
      <c r="TOM348" s="1658"/>
      <c r="TON348" s="1658"/>
      <c r="TOO348" s="1658"/>
      <c r="TOP348" s="1658"/>
      <c r="TOQ348" s="1658"/>
      <c r="TOR348" s="1658"/>
      <c r="TOS348" s="1658"/>
      <c r="TOT348" s="1658"/>
      <c r="TOU348" s="1658"/>
      <c r="TOV348" s="1658"/>
      <c r="TOW348" s="1658"/>
      <c r="TOX348" s="1658"/>
      <c r="TOY348" s="1658"/>
      <c r="TOZ348" s="1658"/>
      <c r="TPA348" s="1658"/>
      <c r="TPB348" s="1658"/>
      <c r="TPC348" s="1658"/>
      <c r="TPD348" s="1658"/>
      <c r="TPE348" s="1658"/>
      <c r="TPF348" s="1658"/>
      <c r="TPG348" s="1658"/>
      <c r="TPH348" s="1658"/>
      <c r="TPI348" s="1658"/>
      <c r="TPJ348" s="1658"/>
      <c r="TPK348" s="1658"/>
      <c r="TPL348" s="1658"/>
      <c r="TPM348" s="1658"/>
      <c r="TPN348" s="1658"/>
      <c r="TPO348" s="1658"/>
      <c r="TPP348" s="1658"/>
      <c r="TPQ348" s="1658"/>
      <c r="TPR348" s="1658"/>
      <c r="TPS348" s="1658"/>
      <c r="TPT348" s="1658"/>
      <c r="TPU348" s="1658"/>
      <c r="TPV348" s="1658"/>
      <c r="TPW348" s="1658"/>
      <c r="TPX348" s="1658"/>
      <c r="TPY348" s="1658"/>
      <c r="TPZ348" s="1658"/>
      <c r="TQA348" s="1658"/>
      <c r="TQB348" s="1658"/>
      <c r="TQC348" s="1658"/>
      <c r="TQD348" s="1658"/>
      <c r="TQE348" s="1658"/>
      <c r="TQF348" s="1658"/>
      <c r="TQG348" s="1658"/>
      <c r="TQH348" s="1658"/>
      <c r="TQI348" s="1658"/>
      <c r="TQJ348" s="1658"/>
      <c r="TQK348" s="1658"/>
      <c r="TQL348" s="1658"/>
      <c r="TQM348" s="1658"/>
      <c r="TQN348" s="1658"/>
      <c r="TQO348" s="1658"/>
      <c r="TQP348" s="1658"/>
      <c r="TQQ348" s="1658"/>
      <c r="TQR348" s="1658"/>
      <c r="TQS348" s="1658"/>
      <c r="TQT348" s="1658"/>
      <c r="TQU348" s="1658"/>
      <c r="TQV348" s="1658"/>
      <c r="TQW348" s="1658"/>
      <c r="TQX348" s="1658"/>
      <c r="TQY348" s="1658"/>
      <c r="TQZ348" s="1658"/>
      <c r="TRA348" s="1658"/>
      <c r="TRB348" s="1658"/>
      <c r="TRC348" s="1658"/>
      <c r="TRD348" s="1658"/>
      <c r="TRE348" s="1658"/>
      <c r="TRF348" s="1658"/>
      <c r="TRG348" s="1658"/>
      <c r="TRH348" s="1658"/>
      <c r="TRI348" s="1658"/>
      <c r="TRJ348" s="1658"/>
      <c r="TRK348" s="1658"/>
      <c r="TRL348" s="1658"/>
      <c r="TRM348" s="1658"/>
      <c r="TRN348" s="1658"/>
      <c r="TRO348" s="1658"/>
      <c r="TRP348" s="1658"/>
      <c r="TRQ348" s="1658"/>
      <c r="TRR348" s="1658"/>
      <c r="TRS348" s="1658"/>
      <c r="TRT348" s="1658"/>
      <c r="TRU348" s="1658"/>
      <c r="TRV348" s="1658"/>
      <c r="TRW348" s="1658"/>
      <c r="TRX348" s="1658"/>
      <c r="TRY348" s="1658"/>
      <c r="TRZ348" s="1658"/>
      <c r="TSA348" s="1658"/>
      <c r="TSB348" s="1658"/>
      <c r="TSC348" s="1658"/>
      <c r="TSD348" s="1658"/>
      <c r="TSE348" s="1658"/>
      <c r="TSF348" s="1658"/>
      <c r="TSG348" s="1658"/>
      <c r="TSH348" s="1658"/>
      <c r="TSI348" s="1658"/>
      <c r="TSJ348" s="1658"/>
      <c r="TSK348" s="1658"/>
      <c r="TSL348" s="1658"/>
      <c r="TSM348" s="1658"/>
      <c r="TSN348" s="1658"/>
      <c r="TSO348" s="1658"/>
      <c r="TSP348" s="1658"/>
      <c r="TSQ348" s="1658"/>
      <c r="TSR348" s="1658"/>
      <c r="TSS348" s="1658"/>
      <c r="TST348" s="1658"/>
      <c r="TSU348" s="1658"/>
      <c r="TSV348" s="1658"/>
      <c r="TSW348" s="1658"/>
      <c r="TSX348" s="1658"/>
      <c r="TSY348" s="1658"/>
      <c r="TSZ348" s="1658"/>
      <c r="TTA348" s="1658"/>
      <c r="TTB348" s="1658"/>
      <c r="TTC348" s="1658"/>
      <c r="TTD348" s="1658"/>
      <c r="TTE348" s="1658"/>
      <c r="TTF348" s="1658"/>
      <c r="TTG348" s="1658"/>
      <c r="TTH348" s="1658"/>
      <c r="TTI348" s="1658"/>
      <c r="TTJ348" s="1658"/>
      <c r="TTK348" s="1658"/>
      <c r="TTL348" s="1658"/>
      <c r="TTM348" s="1658"/>
      <c r="TTN348" s="1658"/>
      <c r="TTO348" s="1658"/>
      <c r="TTP348" s="1658"/>
      <c r="TTQ348" s="1658"/>
      <c r="TTR348" s="1658"/>
      <c r="TTS348" s="1658"/>
      <c r="TTT348" s="1658"/>
      <c r="TTU348" s="1658"/>
      <c r="TTV348" s="1658"/>
      <c r="TTW348" s="1658"/>
      <c r="TTX348" s="1658"/>
      <c r="TTY348" s="1658"/>
      <c r="TTZ348" s="1658"/>
      <c r="TUA348" s="1658"/>
      <c r="TUB348" s="1658"/>
      <c r="TUC348" s="1658"/>
      <c r="TUD348" s="1658"/>
      <c r="TUE348" s="1658"/>
      <c r="TUF348" s="1658"/>
      <c r="TUG348" s="1658"/>
      <c r="TUH348" s="1658"/>
      <c r="TUI348" s="1658"/>
      <c r="TUJ348" s="1658"/>
      <c r="TUK348" s="1658"/>
      <c r="TUL348" s="1658"/>
      <c r="TUM348" s="1658"/>
      <c r="TUN348" s="1658"/>
      <c r="TUO348" s="1658"/>
      <c r="TUP348" s="1658"/>
      <c r="TUQ348" s="1658"/>
      <c r="TUR348" s="1658"/>
      <c r="TUS348" s="1658"/>
      <c r="TUT348" s="1658"/>
      <c r="TUU348" s="1658"/>
      <c r="TUV348" s="1658"/>
      <c r="TUW348" s="1658"/>
      <c r="TUX348" s="1658"/>
      <c r="TUY348" s="1658"/>
      <c r="TUZ348" s="1658"/>
      <c r="TVA348" s="1658"/>
      <c r="TVB348" s="1658"/>
      <c r="TVC348" s="1658"/>
      <c r="TVD348" s="1658"/>
      <c r="TVE348" s="1658"/>
      <c r="TVF348" s="1658"/>
      <c r="TVG348" s="1658"/>
      <c r="TVH348" s="1658"/>
      <c r="TVI348" s="1658"/>
      <c r="TVJ348" s="1658"/>
      <c r="TVK348" s="1658"/>
      <c r="TVL348" s="1658"/>
      <c r="TVM348" s="1658"/>
      <c r="TVN348" s="1658"/>
      <c r="TVO348" s="1658"/>
      <c r="TVP348" s="1658"/>
      <c r="TVQ348" s="1658"/>
      <c r="TVR348" s="1658"/>
      <c r="TVS348" s="1658"/>
      <c r="TVT348" s="1658"/>
      <c r="TVU348" s="1658"/>
      <c r="TVV348" s="1658"/>
      <c r="TVW348" s="1658"/>
      <c r="TVX348" s="1658"/>
      <c r="TVY348" s="1658"/>
      <c r="TVZ348" s="1658"/>
      <c r="TWA348" s="1658"/>
      <c r="TWB348" s="1658"/>
      <c r="TWC348" s="1658"/>
      <c r="TWD348" s="1658"/>
      <c r="TWE348" s="1658"/>
      <c r="TWF348" s="1658"/>
      <c r="TWG348" s="1658"/>
      <c r="TWH348" s="1658"/>
      <c r="TWI348" s="1658"/>
      <c r="TWJ348" s="1658"/>
      <c r="TWK348" s="1658"/>
      <c r="TWL348" s="1658"/>
      <c r="TWM348" s="1658"/>
      <c r="TWN348" s="1658"/>
      <c r="TWO348" s="1658"/>
      <c r="TWP348" s="1658"/>
      <c r="TWQ348" s="1658"/>
      <c r="TWR348" s="1658"/>
      <c r="TWS348" s="1658"/>
      <c r="TWT348" s="1658"/>
      <c r="TWU348" s="1658"/>
      <c r="TWV348" s="1658"/>
      <c r="TWW348" s="1658"/>
      <c r="TWX348" s="1658"/>
      <c r="TWY348" s="1658"/>
      <c r="TWZ348" s="1658"/>
      <c r="TXA348" s="1658"/>
      <c r="TXB348" s="1658"/>
      <c r="TXC348" s="1658"/>
      <c r="TXD348" s="1658"/>
      <c r="TXE348" s="1658"/>
      <c r="TXF348" s="1658"/>
      <c r="TXG348" s="1658"/>
      <c r="TXH348" s="1658"/>
      <c r="TXI348" s="1658"/>
      <c r="TXJ348" s="1658"/>
      <c r="TXK348" s="1658"/>
      <c r="TXL348" s="1658"/>
      <c r="TXM348" s="1658"/>
      <c r="TXN348" s="1658"/>
      <c r="TXO348" s="1658"/>
      <c r="TXP348" s="1658"/>
      <c r="TXQ348" s="1658"/>
      <c r="TXR348" s="1658"/>
      <c r="TXS348" s="1658"/>
      <c r="TXT348" s="1658"/>
      <c r="TXU348" s="1658"/>
      <c r="TXV348" s="1658"/>
      <c r="TXW348" s="1658"/>
      <c r="TXX348" s="1658"/>
      <c r="TXY348" s="1658"/>
      <c r="TXZ348" s="1658"/>
      <c r="TYA348" s="1658"/>
      <c r="TYB348" s="1658"/>
      <c r="TYC348" s="1658"/>
      <c r="TYD348" s="1658"/>
      <c r="TYE348" s="1658"/>
      <c r="TYF348" s="1658"/>
      <c r="TYG348" s="1658"/>
      <c r="TYH348" s="1658"/>
      <c r="TYI348" s="1658"/>
      <c r="TYJ348" s="1658"/>
      <c r="TYK348" s="1658"/>
      <c r="TYL348" s="1658"/>
      <c r="TYM348" s="1658"/>
      <c r="TYN348" s="1658"/>
      <c r="TYO348" s="1658"/>
      <c r="TYP348" s="1658"/>
      <c r="TYQ348" s="1658"/>
      <c r="TYR348" s="1658"/>
      <c r="TYS348" s="1658"/>
      <c r="TYT348" s="1658"/>
      <c r="TYU348" s="1658"/>
      <c r="TYV348" s="1658"/>
      <c r="TYW348" s="1658"/>
      <c r="TYX348" s="1658"/>
      <c r="TYY348" s="1658"/>
      <c r="TYZ348" s="1658"/>
      <c r="TZA348" s="1658"/>
      <c r="TZB348" s="1658"/>
      <c r="TZC348" s="1658"/>
      <c r="TZD348" s="1658"/>
      <c r="TZE348" s="1658"/>
      <c r="TZF348" s="1658"/>
      <c r="TZG348" s="1658"/>
      <c r="TZH348" s="1658"/>
      <c r="TZI348" s="1658"/>
      <c r="TZJ348" s="1658"/>
      <c r="TZK348" s="1658"/>
      <c r="TZL348" s="1658"/>
      <c r="TZM348" s="1658"/>
      <c r="TZN348" s="1658"/>
      <c r="TZO348" s="1658"/>
      <c r="TZP348" s="1658"/>
      <c r="TZQ348" s="1658"/>
      <c r="TZR348" s="1658"/>
      <c r="TZS348" s="1658"/>
      <c r="TZT348" s="1658"/>
      <c r="TZU348" s="1658"/>
      <c r="TZV348" s="1658"/>
      <c r="TZW348" s="1658"/>
      <c r="TZX348" s="1658"/>
      <c r="TZY348" s="1658"/>
      <c r="TZZ348" s="1658"/>
      <c r="UAA348" s="1658"/>
      <c r="UAB348" s="1658"/>
      <c r="UAC348" s="1658"/>
      <c r="UAD348" s="1658"/>
      <c r="UAE348" s="1658"/>
      <c r="UAF348" s="1658"/>
      <c r="UAG348" s="1658"/>
      <c r="UAH348" s="1658"/>
      <c r="UAI348" s="1658"/>
      <c r="UAJ348" s="1658"/>
      <c r="UAK348" s="1658"/>
      <c r="UAL348" s="1658"/>
      <c r="UAM348" s="1658"/>
      <c r="UAN348" s="1658"/>
      <c r="UAO348" s="1658"/>
      <c r="UAP348" s="1658"/>
      <c r="UAQ348" s="1658"/>
      <c r="UAR348" s="1658"/>
      <c r="UAS348" s="1658"/>
      <c r="UAT348" s="1658"/>
      <c r="UAU348" s="1658"/>
      <c r="UAV348" s="1658"/>
      <c r="UAW348" s="1658"/>
      <c r="UAX348" s="1658"/>
      <c r="UAY348" s="1658"/>
      <c r="UAZ348" s="1658"/>
      <c r="UBA348" s="1658"/>
      <c r="UBB348" s="1658"/>
      <c r="UBC348" s="1658"/>
      <c r="UBD348" s="1658"/>
      <c r="UBE348" s="1658"/>
      <c r="UBF348" s="1658"/>
      <c r="UBG348" s="1658"/>
      <c r="UBH348" s="1658"/>
      <c r="UBI348" s="1658"/>
      <c r="UBJ348" s="1658"/>
      <c r="UBK348" s="1658"/>
      <c r="UBL348" s="1658"/>
      <c r="UBM348" s="1658"/>
      <c r="UBN348" s="1658"/>
      <c r="UBO348" s="1658"/>
      <c r="UBP348" s="1658"/>
      <c r="UBQ348" s="1658"/>
      <c r="UBR348" s="1658"/>
      <c r="UBS348" s="1658"/>
      <c r="UBT348" s="1658"/>
      <c r="UBU348" s="1658"/>
      <c r="UBV348" s="1658"/>
      <c r="UBW348" s="1658"/>
      <c r="UBX348" s="1658"/>
      <c r="UBY348" s="1658"/>
      <c r="UBZ348" s="1658"/>
      <c r="UCA348" s="1658"/>
      <c r="UCB348" s="1658"/>
      <c r="UCC348" s="1658"/>
      <c r="UCD348" s="1658"/>
      <c r="UCE348" s="1658"/>
      <c r="UCF348" s="1658"/>
      <c r="UCG348" s="1658"/>
      <c r="UCH348" s="1658"/>
      <c r="UCI348" s="1658"/>
      <c r="UCJ348" s="1658"/>
      <c r="UCK348" s="1658"/>
      <c r="UCL348" s="1658"/>
      <c r="UCM348" s="1658"/>
      <c r="UCN348" s="1658"/>
      <c r="UCO348" s="1658"/>
      <c r="UCP348" s="1658"/>
      <c r="UCQ348" s="1658"/>
      <c r="UCR348" s="1658"/>
      <c r="UCS348" s="1658"/>
      <c r="UCT348" s="1658"/>
      <c r="UCU348" s="1658"/>
      <c r="UCV348" s="1658"/>
      <c r="UCW348" s="1658"/>
      <c r="UCX348" s="1658"/>
      <c r="UCY348" s="1658"/>
      <c r="UCZ348" s="1658"/>
      <c r="UDA348" s="1658"/>
      <c r="UDB348" s="1658"/>
      <c r="UDC348" s="1658"/>
      <c r="UDD348" s="1658"/>
      <c r="UDE348" s="1658"/>
      <c r="UDF348" s="1658"/>
      <c r="UDG348" s="1658"/>
      <c r="UDH348" s="1658"/>
      <c r="UDI348" s="1658"/>
      <c r="UDJ348" s="1658"/>
      <c r="UDK348" s="1658"/>
      <c r="UDL348" s="1658"/>
      <c r="UDM348" s="1658"/>
      <c r="UDN348" s="1658"/>
      <c r="UDO348" s="1658"/>
      <c r="UDP348" s="1658"/>
      <c r="UDQ348" s="1658"/>
      <c r="UDR348" s="1658"/>
      <c r="UDS348" s="1658"/>
      <c r="UDT348" s="1658"/>
      <c r="UDU348" s="1658"/>
      <c r="UDV348" s="1658"/>
      <c r="UDW348" s="1658"/>
      <c r="UDX348" s="1658"/>
      <c r="UDY348" s="1658"/>
      <c r="UDZ348" s="1658"/>
      <c r="UEA348" s="1658"/>
      <c r="UEB348" s="1658"/>
      <c r="UEC348" s="1658"/>
      <c r="UED348" s="1658"/>
      <c r="UEE348" s="1658"/>
      <c r="UEF348" s="1658"/>
      <c r="UEG348" s="1658"/>
      <c r="UEH348" s="1658"/>
      <c r="UEI348" s="1658"/>
      <c r="UEJ348" s="1658"/>
      <c r="UEK348" s="1658"/>
      <c r="UEL348" s="1658"/>
      <c r="UEM348" s="1658"/>
      <c r="UEN348" s="1658"/>
      <c r="UEO348" s="1658"/>
      <c r="UEP348" s="1658"/>
      <c r="UEQ348" s="1658"/>
      <c r="UER348" s="1658"/>
      <c r="UES348" s="1658"/>
      <c r="UET348" s="1658"/>
      <c r="UEU348" s="1658"/>
      <c r="UEV348" s="1658"/>
      <c r="UEW348" s="1658"/>
      <c r="UEX348" s="1658"/>
      <c r="UEY348" s="1658"/>
      <c r="UEZ348" s="1658"/>
      <c r="UFA348" s="1658"/>
      <c r="UFB348" s="1658"/>
      <c r="UFC348" s="1658"/>
      <c r="UFD348" s="1658"/>
      <c r="UFE348" s="1658"/>
      <c r="UFF348" s="1658"/>
      <c r="UFG348" s="1658"/>
      <c r="UFH348" s="1658"/>
      <c r="UFI348" s="1658"/>
      <c r="UFJ348" s="1658"/>
      <c r="UFK348" s="1658"/>
      <c r="UFL348" s="1658"/>
      <c r="UFM348" s="1658"/>
      <c r="UFN348" s="1658"/>
      <c r="UFO348" s="1658"/>
      <c r="UFP348" s="1658"/>
      <c r="UFQ348" s="1658"/>
      <c r="UFR348" s="1658"/>
      <c r="UFS348" s="1658"/>
      <c r="UFT348" s="1658"/>
      <c r="UFU348" s="1658"/>
      <c r="UFV348" s="1658"/>
      <c r="UFW348" s="1658"/>
      <c r="UFX348" s="1658"/>
      <c r="UFY348" s="1658"/>
      <c r="UFZ348" s="1658"/>
      <c r="UGA348" s="1658"/>
      <c r="UGB348" s="1658"/>
      <c r="UGC348" s="1658"/>
      <c r="UGD348" s="1658"/>
      <c r="UGE348" s="1658"/>
      <c r="UGF348" s="1658"/>
      <c r="UGG348" s="1658"/>
      <c r="UGH348" s="1658"/>
      <c r="UGI348" s="1658"/>
      <c r="UGJ348" s="1658"/>
      <c r="UGK348" s="1658"/>
      <c r="UGL348" s="1658"/>
      <c r="UGM348" s="1658"/>
      <c r="UGN348" s="1658"/>
      <c r="UGO348" s="1658"/>
      <c r="UGP348" s="1658"/>
      <c r="UGQ348" s="1658"/>
      <c r="UGR348" s="1658"/>
      <c r="UGS348" s="1658"/>
      <c r="UGT348" s="1658"/>
      <c r="UGU348" s="1658"/>
      <c r="UGV348" s="1658"/>
      <c r="UGW348" s="1658"/>
      <c r="UGX348" s="1658"/>
      <c r="UGY348" s="1658"/>
      <c r="UGZ348" s="1658"/>
      <c r="UHA348" s="1658"/>
      <c r="UHB348" s="1658"/>
      <c r="UHC348" s="1658"/>
      <c r="UHD348" s="1658"/>
      <c r="UHE348" s="1658"/>
      <c r="UHF348" s="1658"/>
      <c r="UHG348" s="1658"/>
      <c r="UHH348" s="1658"/>
      <c r="UHI348" s="1658"/>
      <c r="UHJ348" s="1658"/>
      <c r="UHK348" s="1658"/>
      <c r="UHL348" s="1658"/>
      <c r="UHM348" s="1658"/>
      <c r="UHN348" s="1658"/>
      <c r="UHO348" s="1658"/>
      <c r="UHP348" s="1658"/>
      <c r="UHQ348" s="1658"/>
      <c r="UHR348" s="1658"/>
      <c r="UHS348" s="1658"/>
      <c r="UHT348" s="1658"/>
      <c r="UHU348" s="1658"/>
      <c r="UHV348" s="1658"/>
      <c r="UHW348" s="1658"/>
      <c r="UHX348" s="1658"/>
      <c r="UHY348" s="1658"/>
      <c r="UHZ348" s="1658"/>
      <c r="UIA348" s="1658"/>
      <c r="UIB348" s="1658"/>
      <c r="UIC348" s="1658"/>
      <c r="UID348" s="1658"/>
      <c r="UIE348" s="1658"/>
      <c r="UIF348" s="1658"/>
      <c r="UIG348" s="1658"/>
      <c r="UIH348" s="1658"/>
      <c r="UII348" s="1658"/>
      <c r="UIJ348" s="1658"/>
      <c r="UIK348" s="1658"/>
      <c r="UIL348" s="1658"/>
      <c r="UIM348" s="1658"/>
      <c r="UIN348" s="1658"/>
      <c r="UIO348" s="1658"/>
      <c r="UIP348" s="1658"/>
      <c r="UIQ348" s="1658"/>
      <c r="UIR348" s="1658"/>
      <c r="UIS348" s="1658"/>
      <c r="UIT348" s="1658"/>
      <c r="UIU348" s="1658"/>
      <c r="UIV348" s="1658"/>
      <c r="UIW348" s="1658"/>
      <c r="UIX348" s="1658"/>
      <c r="UIY348" s="1658"/>
      <c r="UIZ348" s="1658"/>
      <c r="UJA348" s="1658"/>
      <c r="UJB348" s="1658"/>
      <c r="UJC348" s="1658"/>
      <c r="UJD348" s="1658"/>
      <c r="UJE348" s="1658"/>
      <c r="UJF348" s="1658"/>
      <c r="UJG348" s="1658"/>
      <c r="UJH348" s="1658"/>
      <c r="UJI348" s="1658"/>
      <c r="UJJ348" s="1658"/>
      <c r="UJK348" s="1658"/>
      <c r="UJL348" s="1658"/>
      <c r="UJM348" s="1658"/>
      <c r="UJN348" s="1658"/>
      <c r="UJO348" s="1658"/>
      <c r="UJP348" s="1658"/>
      <c r="UJQ348" s="1658"/>
      <c r="UJR348" s="1658"/>
      <c r="UJS348" s="1658"/>
      <c r="UJT348" s="1658"/>
      <c r="UJU348" s="1658"/>
      <c r="UJV348" s="1658"/>
      <c r="UJW348" s="1658"/>
      <c r="UJX348" s="1658"/>
      <c r="UJY348" s="1658"/>
      <c r="UJZ348" s="1658"/>
      <c r="UKA348" s="1658"/>
      <c r="UKB348" s="1658"/>
      <c r="UKC348" s="1658"/>
      <c r="UKD348" s="1658"/>
      <c r="UKE348" s="1658"/>
      <c r="UKF348" s="1658"/>
      <c r="UKG348" s="1658"/>
      <c r="UKH348" s="1658"/>
      <c r="UKI348" s="1658"/>
      <c r="UKJ348" s="1658"/>
      <c r="UKK348" s="1658"/>
      <c r="UKL348" s="1658"/>
      <c r="UKM348" s="1658"/>
      <c r="UKN348" s="1658"/>
      <c r="UKO348" s="1658"/>
      <c r="UKP348" s="1658"/>
      <c r="UKQ348" s="1658"/>
      <c r="UKR348" s="1658"/>
      <c r="UKS348" s="1658"/>
      <c r="UKT348" s="1658"/>
      <c r="UKU348" s="1658"/>
      <c r="UKV348" s="1658"/>
      <c r="UKW348" s="1658"/>
      <c r="UKX348" s="1658"/>
      <c r="UKY348" s="1658"/>
      <c r="UKZ348" s="1658"/>
      <c r="ULA348" s="1658"/>
      <c r="ULB348" s="1658"/>
      <c r="ULC348" s="1658"/>
      <c r="ULD348" s="1658"/>
      <c r="ULE348" s="1658"/>
      <c r="ULF348" s="1658"/>
      <c r="ULG348" s="1658"/>
      <c r="ULH348" s="1658"/>
      <c r="ULI348" s="1658"/>
      <c r="ULJ348" s="1658"/>
      <c r="ULK348" s="1658"/>
      <c r="ULL348" s="1658"/>
      <c r="ULM348" s="1658"/>
      <c r="ULN348" s="1658"/>
      <c r="ULO348" s="1658"/>
      <c r="ULP348" s="1658"/>
      <c r="ULQ348" s="1658"/>
      <c r="ULR348" s="1658"/>
      <c r="ULS348" s="1658"/>
      <c r="ULT348" s="1658"/>
      <c r="ULU348" s="1658"/>
      <c r="ULV348" s="1658"/>
      <c r="ULW348" s="1658"/>
      <c r="ULX348" s="1658"/>
      <c r="ULY348" s="1658"/>
      <c r="ULZ348" s="1658"/>
      <c r="UMA348" s="1658"/>
      <c r="UMB348" s="1658"/>
      <c r="UMC348" s="1658"/>
      <c r="UMD348" s="1658"/>
      <c r="UME348" s="1658"/>
      <c r="UMF348" s="1658"/>
      <c r="UMG348" s="1658"/>
      <c r="UMH348" s="1658"/>
      <c r="UMI348" s="1658"/>
      <c r="UMJ348" s="1658"/>
      <c r="UMK348" s="1658"/>
      <c r="UML348" s="1658"/>
      <c r="UMM348" s="1658"/>
      <c r="UMN348" s="1658"/>
      <c r="UMO348" s="1658"/>
      <c r="UMP348" s="1658"/>
      <c r="UMQ348" s="1658"/>
      <c r="UMR348" s="1658"/>
      <c r="UMS348" s="1658"/>
      <c r="UMT348" s="1658"/>
      <c r="UMU348" s="1658"/>
      <c r="UMV348" s="1658"/>
      <c r="UMW348" s="1658"/>
      <c r="UMX348" s="1658"/>
      <c r="UMY348" s="1658"/>
      <c r="UMZ348" s="1658"/>
      <c r="UNA348" s="1658"/>
      <c r="UNB348" s="1658"/>
      <c r="UNC348" s="1658"/>
      <c r="UND348" s="1658"/>
      <c r="UNE348" s="1658"/>
      <c r="UNF348" s="1658"/>
      <c r="UNG348" s="1658"/>
      <c r="UNH348" s="1658"/>
      <c r="UNI348" s="1658"/>
      <c r="UNJ348" s="1658"/>
      <c r="UNK348" s="1658"/>
      <c r="UNL348" s="1658"/>
      <c r="UNM348" s="1658"/>
      <c r="UNN348" s="1658"/>
      <c r="UNO348" s="1658"/>
      <c r="UNP348" s="1658"/>
      <c r="UNQ348" s="1658"/>
      <c r="UNR348" s="1658"/>
      <c r="UNS348" s="1658"/>
      <c r="UNT348" s="1658"/>
      <c r="UNU348" s="1658"/>
      <c r="UNV348" s="1658"/>
      <c r="UNW348" s="1658"/>
      <c r="UNX348" s="1658"/>
      <c r="UNY348" s="1658"/>
      <c r="UNZ348" s="1658"/>
      <c r="UOA348" s="1658"/>
      <c r="UOB348" s="1658"/>
      <c r="UOC348" s="1658"/>
      <c r="UOD348" s="1658"/>
      <c r="UOE348" s="1658"/>
      <c r="UOF348" s="1658"/>
      <c r="UOG348" s="1658"/>
      <c r="UOH348" s="1658"/>
      <c r="UOI348" s="1658"/>
      <c r="UOJ348" s="1658"/>
      <c r="UOK348" s="1658"/>
      <c r="UOL348" s="1658"/>
      <c r="UOM348" s="1658"/>
      <c r="UON348" s="1658"/>
      <c r="UOO348" s="1658"/>
      <c r="UOP348" s="1658"/>
      <c r="UOQ348" s="1658"/>
      <c r="UOR348" s="1658"/>
      <c r="UOS348" s="1658"/>
      <c r="UOT348" s="1658"/>
      <c r="UOU348" s="1658"/>
      <c r="UOV348" s="1658"/>
      <c r="UOW348" s="1658"/>
      <c r="UOX348" s="1658"/>
      <c r="UOY348" s="1658"/>
      <c r="UOZ348" s="1658"/>
      <c r="UPA348" s="1658"/>
      <c r="UPB348" s="1658"/>
      <c r="UPC348" s="1658"/>
      <c r="UPD348" s="1658"/>
      <c r="UPE348" s="1658"/>
      <c r="UPF348" s="1658"/>
      <c r="UPG348" s="1658"/>
      <c r="UPH348" s="1658"/>
      <c r="UPI348" s="1658"/>
      <c r="UPJ348" s="1658"/>
      <c r="UPK348" s="1658"/>
      <c r="UPL348" s="1658"/>
      <c r="UPM348" s="1658"/>
      <c r="UPN348" s="1658"/>
      <c r="UPO348" s="1658"/>
      <c r="UPP348" s="1658"/>
      <c r="UPQ348" s="1658"/>
      <c r="UPR348" s="1658"/>
      <c r="UPS348" s="1658"/>
      <c r="UPT348" s="1658"/>
      <c r="UPU348" s="1658"/>
      <c r="UPV348" s="1658"/>
      <c r="UPW348" s="1658"/>
      <c r="UPX348" s="1658"/>
      <c r="UPY348" s="1658"/>
      <c r="UPZ348" s="1658"/>
      <c r="UQA348" s="1658"/>
      <c r="UQB348" s="1658"/>
      <c r="UQC348" s="1658"/>
      <c r="UQD348" s="1658"/>
      <c r="UQE348" s="1658"/>
      <c r="UQF348" s="1658"/>
      <c r="UQG348" s="1658"/>
      <c r="UQH348" s="1658"/>
      <c r="UQI348" s="1658"/>
      <c r="UQJ348" s="1658"/>
      <c r="UQK348" s="1658"/>
      <c r="UQL348" s="1658"/>
      <c r="UQM348" s="1658"/>
      <c r="UQN348" s="1658"/>
      <c r="UQO348" s="1658"/>
      <c r="UQP348" s="1658"/>
      <c r="UQQ348" s="1658"/>
      <c r="UQR348" s="1658"/>
      <c r="UQS348" s="1658"/>
      <c r="UQT348" s="1658"/>
      <c r="UQU348" s="1658"/>
      <c r="UQV348" s="1658"/>
      <c r="UQW348" s="1658"/>
      <c r="UQX348" s="1658"/>
      <c r="UQY348" s="1658"/>
      <c r="UQZ348" s="1658"/>
      <c r="URA348" s="1658"/>
      <c r="URB348" s="1658"/>
      <c r="URC348" s="1658"/>
      <c r="URD348" s="1658"/>
      <c r="URE348" s="1658"/>
      <c r="URF348" s="1658"/>
      <c r="URG348" s="1658"/>
      <c r="URH348" s="1658"/>
      <c r="URI348" s="1658"/>
      <c r="URJ348" s="1658"/>
      <c r="URK348" s="1658"/>
      <c r="URL348" s="1658"/>
      <c r="URM348" s="1658"/>
      <c r="URN348" s="1658"/>
      <c r="URO348" s="1658"/>
      <c r="URP348" s="1658"/>
      <c r="URQ348" s="1658"/>
      <c r="URR348" s="1658"/>
      <c r="URS348" s="1658"/>
      <c r="URT348" s="1658"/>
      <c r="URU348" s="1658"/>
      <c r="URV348" s="1658"/>
      <c r="URW348" s="1658"/>
      <c r="URX348" s="1658"/>
      <c r="URY348" s="1658"/>
      <c r="URZ348" s="1658"/>
      <c r="USA348" s="1658"/>
      <c r="USB348" s="1658"/>
      <c r="USC348" s="1658"/>
      <c r="USD348" s="1658"/>
      <c r="USE348" s="1658"/>
      <c r="USF348" s="1658"/>
      <c r="USG348" s="1658"/>
      <c r="USH348" s="1658"/>
      <c r="USI348" s="1658"/>
      <c r="USJ348" s="1658"/>
      <c r="USK348" s="1658"/>
      <c r="USL348" s="1658"/>
      <c r="USM348" s="1658"/>
      <c r="USN348" s="1658"/>
      <c r="USO348" s="1658"/>
      <c r="USP348" s="1658"/>
      <c r="USQ348" s="1658"/>
      <c r="USR348" s="1658"/>
      <c r="USS348" s="1658"/>
      <c r="UST348" s="1658"/>
      <c r="USU348" s="1658"/>
      <c r="USV348" s="1658"/>
      <c r="USW348" s="1658"/>
      <c r="USX348" s="1658"/>
      <c r="USY348" s="1658"/>
      <c r="USZ348" s="1658"/>
      <c r="UTA348" s="1658"/>
      <c r="UTB348" s="1658"/>
      <c r="UTC348" s="1658"/>
      <c r="UTD348" s="1658"/>
      <c r="UTE348" s="1658"/>
      <c r="UTF348" s="1658"/>
      <c r="UTG348" s="1658"/>
      <c r="UTH348" s="1658"/>
      <c r="UTI348" s="1658"/>
      <c r="UTJ348" s="1658"/>
      <c r="UTK348" s="1658"/>
      <c r="UTL348" s="1658"/>
      <c r="UTM348" s="1658"/>
      <c r="UTN348" s="1658"/>
      <c r="UTO348" s="1658"/>
      <c r="UTP348" s="1658"/>
      <c r="UTQ348" s="1658"/>
      <c r="UTR348" s="1658"/>
      <c r="UTS348" s="1658"/>
      <c r="UTT348" s="1658"/>
      <c r="UTU348" s="1658"/>
      <c r="UTV348" s="1658"/>
      <c r="UTW348" s="1658"/>
      <c r="UTX348" s="1658"/>
      <c r="UTY348" s="1658"/>
      <c r="UTZ348" s="1658"/>
      <c r="UUA348" s="1658"/>
      <c r="UUB348" s="1658"/>
      <c r="UUC348" s="1658"/>
      <c r="UUD348" s="1658"/>
      <c r="UUE348" s="1658"/>
      <c r="UUF348" s="1658"/>
      <c r="UUG348" s="1658"/>
      <c r="UUH348" s="1658"/>
      <c r="UUI348" s="1658"/>
      <c r="UUJ348" s="1658"/>
      <c r="UUK348" s="1658"/>
      <c r="UUL348" s="1658"/>
      <c r="UUM348" s="1658"/>
      <c r="UUN348" s="1658"/>
      <c r="UUO348" s="1658"/>
      <c r="UUP348" s="1658"/>
      <c r="UUQ348" s="1658"/>
      <c r="UUR348" s="1658"/>
      <c r="UUS348" s="1658"/>
      <c r="UUT348" s="1658"/>
      <c r="UUU348" s="1658"/>
      <c r="UUV348" s="1658"/>
      <c r="UUW348" s="1658"/>
      <c r="UUX348" s="1658"/>
      <c r="UUY348" s="1658"/>
      <c r="UUZ348" s="1658"/>
      <c r="UVA348" s="1658"/>
      <c r="UVB348" s="1658"/>
      <c r="UVC348" s="1658"/>
      <c r="UVD348" s="1658"/>
      <c r="UVE348" s="1658"/>
      <c r="UVF348" s="1658"/>
      <c r="UVG348" s="1658"/>
      <c r="UVH348" s="1658"/>
      <c r="UVI348" s="1658"/>
      <c r="UVJ348" s="1658"/>
      <c r="UVK348" s="1658"/>
      <c r="UVL348" s="1658"/>
      <c r="UVM348" s="1658"/>
      <c r="UVN348" s="1658"/>
      <c r="UVO348" s="1658"/>
      <c r="UVP348" s="1658"/>
      <c r="UVQ348" s="1658"/>
      <c r="UVR348" s="1658"/>
      <c r="UVS348" s="1658"/>
      <c r="UVT348" s="1658"/>
      <c r="UVU348" s="1658"/>
      <c r="UVV348" s="1658"/>
      <c r="UVW348" s="1658"/>
      <c r="UVX348" s="1658"/>
      <c r="UVY348" s="1658"/>
      <c r="UVZ348" s="1658"/>
      <c r="UWA348" s="1658"/>
      <c r="UWB348" s="1658"/>
      <c r="UWC348" s="1658"/>
      <c r="UWD348" s="1658"/>
      <c r="UWE348" s="1658"/>
      <c r="UWF348" s="1658"/>
      <c r="UWG348" s="1658"/>
      <c r="UWH348" s="1658"/>
      <c r="UWI348" s="1658"/>
      <c r="UWJ348" s="1658"/>
      <c r="UWK348" s="1658"/>
      <c r="UWL348" s="1658"/>
      <c r="UWM348" s="1658"/>
      <c r="UWN348" s="1658"/>
      <c r="UWO348" s="1658"/>
      <c r="UWP348" s="1658"/>
      <c r="UWQ348" s="1658"/>
      <c r="UWR348" s="1658"/>
      <c r="UWS348" s="1658"/>
      <c r="UWT348" s="1658"/>
      <c r="UWU348" s="1658"/>
      <c r="UWV348" s="1658"/>
      <c r="UWW348" s="1658"/>
      <c r="UWX348" s="1658"/>
      <c r="UWY348" s="1658"/>
      <c r="UWZ348" s="1658"/>
      <c r="UXA348" s="1658"/>
      <c r="UXB348" s="1658"/>
      <c r="UXC348" s="1658"/>
      <c r="UXD348" s="1658"/>
      <c r="UXE348" s="1658"/>
      <c r="UXF348" s="1658"/>
      <c r="UXG348" s="1658"/>
      <c r="UXH348" s="1658"/>
      <c r="UXI348" s="1658"/>
      <c r="UXJ348" s="1658"/>
      <c r="UXK348" s="1658"/>
      <c r="UXL348" s="1658"/>
      <c r="UXM348" s="1658"/>
      <c r="UXN348" s="1658"/>
      <c r="UXO348" s="1658"/>
      <c r="UXP348" s="1658"/>
      <c r="UXQ348" s="1658"/>
      <c r="UXR348" s="1658"/>
      <c r="UXS348" s="1658"/>
      <c r="UXT348" s="1658"/>
      <c r="UXU348" s="1658"/>
      <c r="UXV348" s="1658"/>
      <c r="UXW348" s="1658"/>
      <c r="UXX348" s="1658"/>
      <c r="UXY348" s="1658"/>
      <c r="UXZ348" s="1658"/>
      <c r="UYA348" s="1658"/>
      <c r="UYB348" s="1658"/>
      <c r="UYC348" s="1658"/>
      <c r="UYD348" s="1658"/>
      <c r="UYE348" s="1658"/>
      <c r="UYF348" s="1658"/>
      <c r="UYG348" s="1658"/>
      <c r="UYH348" s="1658"/>
      <c r="UYI348" s="1658"/>
      <c r="UYJ348" s="1658"/>
      <c r="UYK348" s="1658"/>
      <c r="UYL348" s="1658"/>
      <c r="UYM348" s="1658"/>
      <c r="UYN348" s="1658"/>
      <c r="UYO348" s="1658"/>
      <c r="UYP348" s="1658"/>
      <c r="UYQ348" s="1658"/>
      <c r="UYR348" s="1658"/>
      <c r="UYS348" s="1658"/>
      <c r="UYT348" s="1658"/>
      <c r="UYU348" s="1658"/>
      <c r="UYV348" s="1658"/>
      <c r="UYW348" s="1658"/>
      <c r="UYX348" s="1658"/>
      <c r="UYY348" s="1658"/>
      <c r="UYZ348" s="1658"/>
      <c r="UZA348" s="1658"/>
      <c r="UZB348" s="1658"/>
      <c r="UZC348" s="1658"/>
      <c r="UZD348" s="1658"/>
      <c r="UZE348" s="1658"/>
      <c r="UZF348" s="1658"/>
      <c r="UZG348" s="1658"/>
      <c r="UZH348" s="1658"/>
      <c r="UZI348" s="1658"/>
      <c r="UZJ348" s="1658"/>
      <c r="UZK348" s="1658"/>
      <c r="UZL348" s="1658"/>
      <c r="UZM348" s="1658"/>
      <c r="UZN348" s="1658"/>
      <c r="UZO348" s="1658"/>
      <c r="UZP348" s="1658"/>
      <c r="UZQ348" s="1658"/>
      <c r="UZR348" s="1658"/>
      <c r="UZS348" s="1658"/>
      <c r="UZT348" s="1658"/>
      <c r="UZU348" s="1658"/>
      <c r="UZV348" s="1658"/>
      <c r="UZW348" s="1658"/>
      <c r="UZX348" s="1658"/>
      <c r="UZY348" s="1658"/>
      <c r="UZZ348" s="1658"/>
      <c r="VAA348" s="1658"/>
      <c r="VAB348" s="1658"/>
      <c r="VAC348" s="1658"/>
      <c r="VAD348" s="1658"/>
      <c r="VAE348" s="1658"/>
      <c r="VAF348" s="1658"/>
      <c r="VAG348" s="1658"/>
      <c r="VAH348" s="1658"/>
      <c r="VAI348" s="1658"/>
      <c r="VAJ348" s="1658"/>
      <c r="VAK348" s="1658"/>
      <c r="VAL348" s="1658"/>
      <c r="VAM348" s="1658"/>
      <c r="VAN348" s="1658"/>
      <c r="VAO348" s="1658"/>
      <c r="VAP348" s="1658"/>
      <c r="VAQ348" s="1658"/>
      <c r="VAR348" s="1658"/>
      <c r="VAS348" s="1658"/>
      <c r="VAT348" s="1658"/>
      <c r="VAU348" s="1658"/>
      <c r="VAV348" s="1658"/>
      <c r="VAW348" s="1658"/>
      <c r="VAX348" s="1658"/>
      <c r="VAY348" s="1658"/>
      <c r="VAZ348" s="1658"/>
      <c r="VBA348" s="1658"/>
      <c r="VBB348" s="1658"/>
      <c r="VBC348" s="1658"/>
      <c r="VBD348" s="1658"/>
      <c r="VBE348" s="1658"/>
      <c r="VBF348" s="1658"/>
      <c r="VBG348" s="1658"/>
      <c r="VBH348" s="1658"/>
      <c r="VBI348" s="1658"/>
      <c r="VBJ348" s="1658"/>
      <c r="VBK348" s="1658"/>
      <c r="VBL348" s="1658"/>
      <c r="VBM348" s="1658"/>
      <c r="VBN348" s="1658"/>
      <c r="VBO348" s="1658"/>
      <c r="VBP348" s="1658"/>
      <c r="VBQ348" s="1658"/>
      <c r="VBR348" s="1658"/>
      <c r="VBS348" s="1658"/>
      <c r="VBT348" s="1658"/>
      <c r="VBU348" s="1658"/>
      <c r="VBV348" s="1658"/>
      <c r="VBW348" s="1658"/>
      <c r="VBX348" s="1658"/>
      <c r="VBY348" s="1658"/>
      <c r="VBZ348" s="1658"/>
      <c r="VCA348" s="1658"/>
      <c r="VCB348" s="1658"/>
      <c r="VCC348" s="1658"/>
      <c r="VCD348" s="1658"/>
      <c r="VCE348" s="1658"/>
      <c r="VCF348" s="1658"/>
      <c r="VCG348" s="1658"/>
      <c r="VCH348" s="1658"/>
      <c r="VCI348" s="1658"/>
      <c r="VCJ348" s="1658"/>
      <c r="VCK348" s="1658"/>
      <c r="VCL348" s="1658"/>
      <c r="VCM348" s="1658"/>
      <c r="VCN348" s="1658"/>
      <c r="VCO348" s="1658"/>
      <c r="VCP348" s="1658"/>
      <c r="VCQ348" s="1658"/>
      <c r="VCR348" s="1658"/>
      <c r="VCS348" s="1658"/>
      <c r="VCT348" s="1658"/>
      <c r="VCU348" s="1658"/>
      <c r="VCV348" s="1658"/>
      <c r="VCW348" s="1658"/>
      <c r="VCX348" s="1658"/>
      <c r="VCY348" s="1658"/>
      <c r="VCZ348" s="1658"/>
      <c r="VDA348" s="1658"/>
      <c r="VDB348" s="1658"/>
      <c r="VDC348" s="1658"/>
      <c r="VDD348" s="1658"/>
      <c r="VDE348" s="1658"/>
      <c r="VDF348" s="1658"/>
      <c r="VDG348" s="1658"/>
      <c r="VDH348" s="1658"/>
      <c r="VDI348" s="1658"/>
      <c r="VDJ348" s="1658"/>
      <c r="VDK348" s="1658"/>
      <c r="VDL348" s="1658"/>
      <c r="VDM348" s="1658"/>
      <c r="VDN348" s="1658"/>
      <c r="VDO348" s="1658"/>
      <c r="VDP348" s="1658"/>
      <c r="VDQ348" s="1658"/>
      <c r="VDR348" s="1658"/>
      <c r="VDS348" s="1658"/>
      <c r="VDT348" s="1658"/>
      <c r="VDU348" s="1658"/>
      <c r="VDV348" s="1658"/>
      <c r="VDW348" s="1658"/>
      <c r="VDX348" s="1658"/>
      <c r="VDY348" s="1658"/>
      <c r="VDZ348" s="1658"/>
      <c r="VEA348" s="1658"/>
      <c r="VEB348" s="1658"/>
      <c r="VEC348" s="1658"/>
      <c r="VED348" s="1658"/>
      <c r="VEE348" s="1658"/>
      <c r="VEF348" s="1658"/>
      <c r="VEG348" s="1658"/>
      <c r="VEH348" s="1658"/>
      <c r="VEI348" s="1658"/>
      <c r="VEJ348" s="1658"/>
      <c r="VEK348" s="1658"/>
      <c r="VEL348" s="1658"/>
      <c r="VEM348" s="1658"/>
      <c r="VEN348" s="1658"/>
      <c r="VEO348" s="1658"/>
      <c r="VEP348" s="1658"/>
      <c r="VEQ348" s="1658"/>
      <c r="VER348" s="1658"/>
      <c r="VES348" s="1658"/>
      <c r="VET348" s="1658"/>
      <c r="VEU348" s="1658"/>
      <c r="VEV348" s="1658"/>
      <c r="VEW348" s="1658"/>
      <c r="VEX348" s="1658"/>
      <c r="VEY348" s="1658"/>
      <c r="VEZ348" s="1658"/>
      <c r="VFA348" s="1658"/>
      <c r="VFB348" s="1658"/>
      <c r="VFC348" s="1658"/>
      <c r="VFD348" s="1658"/>
      <c r="VFE348" s="1658"/>
      <c r="VFF348" s="1658"/>
      <c r="VFG348" s="1658"/>
      <c r="VFH348" s="1658"/>
      <c r="VFI348" s="1658"/>
      <c r="VFJ348" s="1658"/>
      <c r="VFK348" s="1658"/>
      <c r="VFL348" s="1658"/>
      <c r="VFM348" s="1658"/>
      <c r="VFN348" s="1658"/>
      <c r="VFO348" s="1658"/>
      <c r="VFP348" s="1658"/>
      <c r="VFQ348" s="1658"/>
      <c r="VFR348" s="1658"/>
      <c r="VFS348" s="1658"/>
      <c r="VFT348" s="1658"/>
      <c r="VFU348" s="1658"/>
      <c r="VFV348" s="1658"/>
      <c r="VFW348" s="1658"/>
      <c r="VFX348" s="1658"/>
      <c r="VFY348" s="1658"/>
      <c r="VFZ348" s="1658"/>
      <c r="VGA348" s="1658"/>
      <c r="VGB348" s="1658"/>
      <c r="VGC348" s="1658"/>
      <c r="VGD348" s="1658"/>
      <c r="VGE348" s="1658"/>
      <c r="VGF348" s="1658"/>
      <c r="VGG348" s="1658"/>
      <c r="VGH348" s="1658"/>
      <c r="VGI348" s="1658"/>
      <c r="VGJ348" s="1658"/>
      <c r="VGK348" s="1658"/>
      <c r="VGL348" s="1658"/>
      <c r="VGM348" s="1658"/>
      <c r="VGN348" s="1658"/>
      <c r="VGO348" s="1658"/>
      <c r="VGP348" s="1658"/>
      <c r="VGQ348" s="1658"/>
      <c r="VGR348" s="1658"/>
      <c r="VGS348" s="1658"/>
      <c r="VGT348" s="1658"/>
      <c r="VGU348" s="1658"/>
      <c r="VGV348" s="1658"/>
      <c r="VGW348" s="1658"/>
      <c r="VGX348" s="1658"/>
      <c r="VGY348" s="1658"/>
      <c r="VGZ348" s="1658"/>
      <c r="VHA348" s="1658"/>
      <c r="VHB348" s="1658"/>
      <c r="VHC348" s="1658"/>
      <c r="VHD348" s="1658"/>
      <c r="VHE348" s="1658"/>
      <c r="VHF348" s="1658"/>
      <c r="VHG348" s="1658"/>
      <c r="VHH348" s="1658"/>
      <c r="VHI348" s="1658"/>
      <c r="VHJ348" s="1658"/>
      <c r="VHK348" s="1658"/>
      <c r="VHL348" s="1658"/>
      <c r="VHM348" s="1658"/>
      <c r="VHN348" s="1658"/>
      <c r="VHO348" s="1658"/>
      <c r="VHP348" s="1658"/>
      <c r="VHQ348" s="1658"/>
      <c r="VHR348" s="1658"/>
      <c r="VHS348" s="1658"/>
      <c r="VHT348" s="1658"/>
      <c r="VHU348" s="1658"/>
      <c r="VHV348" s="1658"/>
      <c r="VHW348" s="1658"/>
      <c r="VHX348" s="1658"/>
      <c r="VHY348" s="1658"/>
      <c r="VHZ348" s="1658"/>
      <c r="VIA348" s="1658"/>
      <c r="VIB348" s="1658"/>
      <c r="VIC348" s="1658"/>
      <c r="VID348" s="1658"/>
      <c r="VIE348" s="1658"/>
      <c r="VIF348" s="1658"/>
      <c r="VIG348" s="1658"/>
      <c r="VIH348" s="1658"/>
      <c r="VII348" s="1658"/>
      <c r="VIJ348" s="1658"/>
      <c r="VIK348" s="1658"/>
      <c r="VIL348" s="1658"/>
      <c r="VIM348" s="1658"/>
      <c r="VIN348" s="1658"/>
      <c r="VIO348" s="1658"/>
      <c r="VIP348" s="1658"/>
      <c r="VIQ348" s="1658"/>
      <c r="VIR348" s="1658"/>
      <c r="VIS348" s="1658"/>
      <c r="VIT348" s="1658"/>
      <c r="VIU348" s="1658"/>
      <c r="VIV348" s="1658"/>
      <c r="VIW348" s="1658"/>
      <c r="VIX348" s="1658"/>
      <c r="VIY348" s="1658"/>
      <c r="VIZ348" s="1658"/>
      <c r="VJA348" s="1658"/>
      <c r="VJB348" s="1658"/>
      <c r="VJC348" s="1658"/>
      <c r="VJD348" s="1658"/>
      <c r="VJE348" s="1658"/>
      <c r="VJF348" s="1658"/>
      <c r="VJG348" s="1658"/>
      <c r="VJH348" s="1658"/>
      <c r="VJI348" s="1658"/>
      <c r="VJJ348" s="1658"/>
      <c r="VJK348" s="1658"/>
      <c r="VJL348" s="1658"/>
      <c r="VJM348" s="1658"/>
      <c r="VJN348" s="1658"/>
      <c r="VJO348" s="1658"/>
      <c r="VJP348" s="1658"/>
      <c r="VJQ348" s="1658"/>
      <c r="VJR348" s="1658"/>
      <c r="VJS348" s="1658"/>
      <c r="VJT348" s="1658"/>
      <c r="VJU348" s="1658"/>
      <c r="VJV348" s="1658"/>
      <c r="VJW348" s="1658"/>
      <c r="VJX348" s="1658"/>
      <c r="VJY348" s="1658"/>
      <c r="VJZ348" s="1658"/>
      <c r="VKA348" s="1658"/>
      <c r="VKB348" s="1658"/>
      <c r="VKC348" s="1658"/>
      <c r="VKD348" s="1658"/>
      <c r="VKE348" s="1658"/>
      <c r="VKF348" s="1658"/>
      <c r="VKG348" s="1658"/>
      <c r="VKH348" s="1658"/>
      <c r="VKI348" s="1658"/>
      <c r="VKJ348" s="1658"/>
      <c r="VKK348" s="1658"/>
      <c r="VKL348" s="1658"/>
      <c r="VKM348" s="1658"/>
      <c r="VKN348" s="1658"/>
      <c r="VKO348" s="1658"/>
      <c r="VKP348" s="1658"/>
      <c r="VKQ348" s="1658"/>
      <c r="VKR348" s="1658"/>
      <c r="VKS348" s="1658"/>
      <c r="VKT348" s="1658"/>
      <c r="VKU348" s="1658"/>
      <c r="VKV348" s="1658"/>
      <c r="VKW348" s="1658"/>
      <c r="VKX348" s="1658"/>
      <c r="VKY348" s="1658"/>
      <c r="VKZ348" s="1658"/>
      <c r="VLA348" s="1658"/>
      <c r="VLB348" s="1658"/>
      <c r="VLC348" s="1658"/>
      <c r="VLD348" s="1658"/>
      <c r="VLE348" s="1658"/>
      <c r="VLF348" s="1658"/>
      <c r="VLG348" s="1658"/>
      <c r="VLH348" s="1658"/>
      <c r="VLI348" s="1658"/>
      <c r="VLJ348" s="1658"/>
      <c r="VLK348" s="1658"/>
      <c r="VLL348" s="1658"/>
      <c r="VLM348" s="1658"/>
      <c r="VLN348" s="1658"/>
      <c r="VLO348" s="1658"/>
      <c r="VLP348" s="1658"/>
      <c r="VLQ348" s="1658"/>
      <c r="VLR348" s="1658"/>
      <c r="VLS348" s="1658"/>
      <c r="VLT348" s="1658"/>
      <c r="VLU348" s="1658"/>
      <c r="VLV348" s="1658"/>
      <c r="VLW348" s="1658"/>
      <c r="VLX348" s="1658"/>
      <c r="VLY348" s="1658"/>
      <c r="VLZ348" s="1658"/>
      <c r="VMA348" s="1658"/>
      <c r="VMB348" s="1658"/>
      <c r="VMC348" s="1658"/>
      <c r="VMD348" s="1658"/>
      <c r="VME348" s="1658"/>
      <c r="VMF348" s="1658"/>
      <c r="VMG348" s="1658"/>
      <c r="VMH348" s="1658"/>
      <c r="VMI348" s="1658"/>
      <c r="VMJ348" s="1658"/>
      <c r="VMK348" s="1658"/>
      <c r="VML348" s="1658"/>
      <c r="VMM348" s="1658"/>
      <c r="VMN348" s="1658"/>
      <c r="VMO348" s="1658"/>
      <c r="VMP348" s="1658"/>
      <c r="VMQ348" s="1658"/>
      <c r="VMR348" s="1658"/>
      <c r="VMS348" s="1658"/>
      <c r="VMT348" s="1658"/>
      <c r="VMU348" s="1658"/>
      <c r="VMV348" s="1658"/>
      <c r="VMW348" s="1658"/>
      <c r="VMX348" s="1658"/>
      <c r="VMY348" s="1658"/>
      <c r="VMZ348" s="1658"/>
      <c r="VNA348" s="1658"/>
      <c r="VNB348" s="1658"/>
      <c r="VNC348" s="1658"/>
      <c r="VND348" s="1658"/>
      <c r="VNE348" s="1658"/>
      <c r="VNF348" s="1658"/>
      <c r="VNG348" s="1658"/>
      <c r="VNH348" s="1658"/>
      <c r="VNI348" s="1658"/>
      <c r="VNJ348" s="1658"/>
      <c r="VNK348" s="1658"/>
      <c r="VNL348" s="1658"/>
      <c r="VNM348" s="1658"/>
      <c r="VNN348" s="1658"/>
      <c r="VNO348" s="1658"/>
      <c r="VNP348" s="1658"/>
      <c r="VNQ348" s="1658"/>
      <c r="VNR348" s="1658"/>
      <c r="VNS348" s="1658"/>
      <c r="VNT348" s="1658"/>
      <c r="VNU348" s="1658"/>
      <c r="VNV348" s="1658"/>
      <c r="VNW348" s="1658"/>
      <c r="VNX348" s="1658"/>
      <c r="VNY348" s="1658"/>
      <c r="VNZ348" s="1658"/>
      <c r="VOA348" s="1658"/>
      <c r="VOB348" s="1658"/>
      <c r="VOC348" s="1658"/>
      <c r="VOD348" s="1658"/>
      <c r="VOE348" s="1658"/>
      <c r="VOF348" s="1658"/>
      <c r="VOG348" s="1658"/>
      <c r="VOH348" s="1658"/>
      <c r="VOI348" s="1658"/>
      <c r="VOJ348" s="1658"/>
      <c r="VOK348" s="1658"/>
      <c r="VOL348" s="1658"/>
      <c r="VOM348" s="1658"/>
      <c r="VON348" s="1658"/>
      <c r="VOO348" s="1658"/>
      <c r="VOP348" s="1658"/>
      <c r="VOQ348" s="1658"/>
      <c r="VOR348" s="1658"/>
      <c r="VOS348" s="1658"/>
      <c r="VOT348" s="1658"/>
      <c r="VOU348" s="1658"/>
      <c r="VOV348" s="1658"/>
      <c r="VOW348" s="1658"/>
      <c r="VOX348" s="1658"/>
      <c r="VOY348" s="1658"/>
      <c r="VOZ348" s="1658"/>
      <c r="VPA348" s="1658"/>
      <c r="VPB348" s="1658"/>
      <c r="VPC348" s="1658"/>
      <c r="VPD348" s="1658"/>
      <c r="VPE348" s="1658"/>
      <c r="VPF348" s="1658"/>
      <c r="VPG348" s="1658"/>
      <c r="VPH348" s="1658"/>
      <c r="VPI348" s="1658"/>
      <c r="VPJ348" s="1658"/>
      <c r="VPK348" s="1658"/>
      <c r="VPL348" s="1658"/>
      <c r="VPM348" s="1658"/>
      <c r="VPN348" s="1658"/>
      <c r="VPO348" s="1658"/>
      <c r="VPP348" s="1658"/>
      <c r="VPQ348" s="1658"/>
      <c r="VPR348" s="1658"/>
      <c r="VPS348" s="1658"/>
      <c r="VPT348" s="1658"/>
      <c r="VPU348" s="1658"/>
      <c r="VPV348" s="1658"/>
      <c r="VPW348" s="1658"/>
      <c r="VPX348" s="1658"/>
      <c r="VPY348" s="1658"/>
      <c r="VPZ348" s="1658"/>
      <c r="VQA348" s="1658"/>
      <c r="VQB348" s="1658"/>
      <c r="VQC348" s="1658"/>
      <c r="VQD348" s="1658"/>
      <c r="VQE348" s="1658"/>
      <c r="VQF348" s="1658"/>
      <c r="VQG348" s="1658"/>
      <c r="VQH348" s="1658"/>
      <c r="VQI348" s="1658"/>
      <c r="VQJ348" s="1658"/>
      <c r="VQK348" s="1658"/>
      <c r="VQL348" s="1658"/>
      <c r="VQM348" s="1658"/>
      <c r="VQN348" s="1658"/>
      <c r="VQO348" s="1658"/>
      <c r="VQP348" s="1658"/>
      <c r="VQQ348" s="1658"/>
      <c r="VQR348" s="1658"/>
      <c r="VQS348" s="1658"/>
      <c r="VQT348" s="1658"/>
      <c r="VQU348" s="1658"/>
      <c r="VQV348" s="1658"/>
      <c r="VQW348" s="1658"/>
      <c r="VQX348" s="1658"/>
      <c r="VQY348" s="1658"/>
      <c r="VQZ348" s="1658"/>
      <c r="VRA348" s="1658"/>
      <c r="VRB348" s="1658"/>
      <c r="VRC348" s="1658"/>
      <c r="VRD348" s="1658"/>
      <c r="VRE348" s="1658"/>
      <c r="VRF348" s="1658"/>
      <c r="VRG348" s="1658"/>
      <c r="VRH348" s="1658"/>
      <c r="VRI348" s="1658"/>
      <c r="VRJ348" s="1658"/>
      <c r="VRK348" s="1658"/>
      <c r="VRL348" s="1658"/>
      <c r="VRM348" s="1658"/>
      <c r="VRN348" s="1658"/>
      <c r="VRO348" s="1658"/>
      <c r="VRP348" s="1658"/>
      <c r="VRQ348" s="1658"/>
      <c r="VRR348" s="1658"/>
      <c r="VRS348" s="1658"/>
      <c r="VRT348" s="1658"/>
      <c r="VRU348" s="1658"/>
      <c r="VRV348" s="1658"/>
      <c r="VRW348" s="1658"/>
      <c r="VRX348" s="1658"/>
      <c r="VRY348" s="1658"/>
      <c r="VRZ348" s="1658"/>
      <c r="VSA348" s="1658"/>
      <c r="VSB348" s="1658"/>
      <c r="VSC348" s="1658"/>
      <c r="VSD348" s="1658"/>
      <c r="VSE348" s="1658"/>
      <c r="VSF348" s="1658"/>
      <c r="VSG348" s="1658"/>
      <c r="VSH348" s="1658"/>
      <c r="VSI348" s="1658"/>
      <c r="VSJ348" s="1658"/>
      <c r="VSK348" s="1658"/>
      <c r="VSL348" s="1658"/>
      <c r="VSM348" s="1658"/>
      <c r="VSN348" s="1658"/>
      <c r="VSO348" s="1658"/>
      <c r="VSP348" s="1658"/>
      <c r="VSQ348" s="1658"/>
      <c r="VSR348" s="1658"/>
      <c r="VSS348" s="1658"/>
      <c r="VST348" s="1658"/>
      <c r="VSU348" s="1658"/>
      <c r="VSV348" s="1658"/>
      <c r="VSW348" s="1658"/>
      <c r="VSX348" s="1658"/>
      <c r="VSY348" s="1658"/>
      <c r="VSZ348" s="1658"/>
      <c r="VTA348" s="1658"/>
      <c r="VTB348" s="1658"/>
      <c r="VTC348" s="1658"/>
      <c r="VTD348" s="1658"/>
      <c r="VTE348" s="1658"/>
      <c r="VTF348" s="1658"/>
      <c r="VTG348" s="1658"/>
      <c r="VTH348" s="1658"/>
      <c r="VTI348" s="1658"/>
      <c r="VTJ348" s="1658"/>
      <c r="VTK348" s="1658"/>
      <c r="VTL348" s="1658"/>
      <c r="VTM348" s="1658"/>
      <c r="VTN348" s="1658"/>
      <c r="VTO348" s="1658"/>
      <c r="VTP348" s="1658"/>
      <c r="VTQ348" s="1658"/>
      <c r="VTR348" s="1658"/>
      <c r="VTS348" s="1658"/>
      <c r="VTT348" s="1658"/>
      <c r="VTU348" s="1658"/>
      <c r="VTV348" s="1658"/>
      <c r="VTW348" s="1658"/>
      <c r="VTX348" s="1658"/>
      <c r="VTY348" s="1658"/>
      <c r="VTZ348" s="1658"/>
      <c r="VUA348" s="1658"/>
      <c r="VUB348" s="1658"/>
      <c r="VUC348" s="1658"/>
      <c r="VUD348" s="1658"/>
      <c r="VUE348" s="1658"/>
      <c r="VUF348" s="1658"/>
      <c r="VUG348" s="1658"/>
      <c r="VUH348" s="1658"/>
      <c r="VUI348" s="1658"/>
      <c r="VUJ348" s="1658"/>
      <c r="VUK348" s="1658"/>
      <c r="VUL348" s="1658"/>
      <c r="VUM348" s="1658"/>
      <c r="VUN348" s="1658"/>
      <c r="VUO348" s="1658"/>
      <c r="VUP348" s="1658"/>
      <c r="VUQ348" s="1658"/>
      <c r="VUR348" s="1658"/>
      <c r="VUS348" s="1658"/>
      <c r="VUT348" s="1658"/>
      <c r="VUU348" s="1658"/>
      <c r="VUV348" s="1658"/>
      <c r="VUW348" s="1658"/>
      <c r="VUX348" s="1658"/>
      <c r="VUY348" s="1658"/>
      <c r="VUZ348" s="1658"/>
      <c r="VVA348" s="1658"/>
      <c r="VVB348" s="1658"/>
      <c r="VVC348" s="1658"/>
      <c r="VVD348" s="1658"/>
      <c r="VVE348" s="1658"/>
      <c r="VVF348" s="1658"/>
      <c r="VVG348" s="1658"/>
      <c r="VVH348" s="1658"/>
      <c r="VVI348" s="1658"/>
      <c r="VVJ348" s="1658"/>
      <c r="VVK348" s="1658"/>
      <c r="VVL348" s="1658"/>
      <c r="VVM348" s="1658"/>
      <c r="VVN348" s="1658"/>
      <c r="VVO348" s="1658"/>
      <c r="VVP348" s="1658"/>
      <c r="VVQ348" s="1658"/>
      <c r="VVR348" s="1658"/>
      <c r="VVS348" s="1658"/>
      <c r="VVT348" s="1658"/>
      <c r="VVU348" s="1658"/>
      <c r="VVV348" s="1658"/>
      <c r="VVW348" s="1658"/>
      <c r="VVX348" s="1658"/>
      <c r="VVY348" s="1658"/>
      <c r="VVZ348" s="1658"/>
      <c r="VWA348" s="1658"/>
      <c r="VWB348" s="1658"/>
      <c r="VWC348" s="1658"/>
      <c r="VWD348" s="1658"/>
      <c r="VWE348" s="1658"/>
      <c r="VWF348" s="1658"/>
      <c r="VWG348" s="1658"/>
      <c r="VWH348" s="1658"/>
      <c r="VWI348" s="1658"/>
      <c r="VWJ348" s="1658"/>
      <c r="VWK348" s="1658"/>
      <c r="VWL348" s="1658"/>
      <c r="VWM348" s="1658"/>
      <c r="VWN348" s="1658"/>
      <c r="VWO348" s="1658"/>
      <c r="VWP348" s="1658"/>
      <c r="VWQ348" s="1658"/>
      <c r="VWR348" s="1658"/>
      <c r="VWS348" s="1658"/>
      <c r="VWT348" s="1658"/>
      <c r="VWU348" s="1658"/>
      <c r="VWV348" s="1658"/>
      <c r="VWW348" s="1658"/>
      <c r="VWX348" s="1658"/>
      <c r="VWY348" s="1658"/>
      <c r="VWZ348" s="1658"/>
      <c r="VXA348" s="1658"/>
      <c r="VXB348" s="1658"/>
      <c r="VXC348" s="1658"/>
      <c r="VXD348" s="1658"/>
      <c r="VXE348" s="1658"/>
      <c r="VXF348" s="1658"/>
      <c r="VXG348" s="1658"/>
      <c r="VXH348" s="1658"/>
      <c r="VXI348" s="1658"/>
      <c r="VXJ348" s="1658"/>
      <c r="VXK348" s="1658"/>
      <c r="VXL348" s="1658"/>
      <c r="VXM348" s="1658"/>
      <c r="VXN348" s="1658"/>
      <c r="VXO348" s="1658"/>
      <c r="VXP348" s="1658"/>
      <c r="VXQ348" s="1658"/>
      <c r="VXR348" s="1658"/>
      <c r="VXS348" s="1658"/>
      <c r="VXT348" s="1658"/>
      <c r="VXU348" s="1658"/>
      <c r="VXV348" s="1658"/>
      <c r="VXW348" s="1658"/>
      <c r="VXX348" s="1658"/>
      <c r="VXY348" s="1658"/>
      <c r="VXZ348" s="1658"/>
      <c r="VYA348" s="1658"/>
      <c r="VYB348" s="1658"/>
      <c r="VYC348" s="1658"/>
      <c r="VYD348" s="1658"/>
      <c r="VYE348" s="1658"/>
      <c r="VYF348" s="1658"/>
      <c r="VYG348" s="1658"/>
      <c r="VYH348" s="1658"/>
      <c r="VYI348" s="1658"/>
      <c r="VYJ348" s="1658"/>
      <c r="VYK348" s="1658"/>
      <c r="VYL348" s="1658"/>
      <c r="VYM348" s="1658"/>
      <c r="VYN348" s="1658"/>
      <c r="VYO348" s="1658"/>
      <c r="VYP348" s="1658"/>
      <c r="VYQ348" s="1658"/>
      <c r="VYR348" s="1658"/>
      <c r="VYS348" s="1658"/>
      <c r="VYT348" s="1658"/>
      <c r="VYU348" s="1658"/>
      <c r="VYV348" s="1658"/>
      <c r="VYW348" s="1658"/>
      <c r="VYX348" s="1658"/>
      <c r="VYY348" s="1658"/>
      <c r="VYZ348" s="1658"/>
      <c r="VZA348" s="1658"/>
      <c r="VZB348" s="1658"/>
      <c r="VZC348" s="1658"/>
      <c r="VZD348" s="1658"/>
      <c r="VZE348" s="1658"/>
      <c r="VZF348" s="1658"/>
      <c r="VZG348" s="1658"/>
      <c r="VZH348" s="1658"/>
      <c r="VZI348" s="1658"/>
      <c r="VZJ348" s="1658"/>
      <c r="VZK348" s="1658"/>
      <c r="VZL348" s="1658"/>
      <c r="VZM348" s="1658"/>
      <c r="VZN348" s="1658"/>
      <c r="VZO348" s="1658"/>
      <c r="VZP348" s="1658"/>
      <c r="VZQ348" s="1658"/>
      <c r="VZR348" s="1658"/>
      <c r="VZS348" s="1658"/>
      <c r="VZT348" s="1658"/>
      <c r="VZU348" s="1658"/>
      <c r="VZV348" s="1658"/>
      <c r="VZW348" s="1658"/>
      <c r="VZX348" s="1658"/>
      <c r="VZY348" s="1658"/>
      <c r="VZZ348" s="1658"/>
      <c r="WAA348" s="1658"/>
      <c r="WAB348" s="1658"/>
      <c r="WAC348" s="1658"/>
      <c r="WAD348" s="1658"/>
      <c r="WAE348" s="1658"/>
      <c r="WAF348" s="1658"/>
      <c r="WAG348" s="1658"/>
      <c r="WAH348" s="1658"/>
      <c r="WAI348" s="1658"/>
      <c r="WAJ348" s="1658"/>
      <c r="WAK348" s="1658"/>
      <c r="WAL348" s="1658"/>
      <c r="WAM348" s="1658"/>
      <c r="WAN348" s="1658"/>
      <c r="WAO348" s="1658"/>
      <c r="WAP348" s="1658"/>
      <c r="WAQ348" s="1658"/>
      <c r="WAR348" s="1658"/>
      <c r="WAS348" s="1658"/>
      <c r="WAT348" s="1658"/>
      <c r="WAU348" s="1658"/>
      <c r="WAV348" s="1658"/>
      <c r="WAW348" s="1658"/>
      <c r="WAX348" s="1658"/>
      <c r="WAY348" s="1658"/>
      <c r="WAZ348" s="1658"/>
      <c r="WBA348" s="1658"/>
      <c r="WBB348" s="1658"/>
      <c r="WBC348" s="1658"/>
      <c r="WBD348" s="1658"/>
      <c r="WBE348" s="1658"/>
      <c r="WBF348" s="1658"/>
      <c r="WBG348" s="1658"/>
      <c r="WBH348" s="1658"/>
      <c r="WBI348" s="1658"/>
      <c r="WBJ348" s="1658"/>
      <c r="WBK348" s="1658"/>
      <c r="WBL348" s="1658"/>
      <c r="WBM348" s="1658"/>
      <c r="WBN348" s="1658"/>
      <c r="WBO348" s="1658"/>
      <c r="WBP348" s="1658"/>
      <c r="WBQ348" s="1658"/>
      <c r="WBR348" s="1658"/>
      <c r="WBS348" s="1658"/>
      <c r="WBT348" s="1658"/>
      <c r="WBU348" s="1658"/>
      <c r="WBV348" s="1658"/>
      <c r="WBW348" s="1658"/>
      <c r="WBX348" s="1658"/>
      <c r="WBY348" s="1658"/>
      <c r="WBZ348" s="1658"/>
      <c r="WCA348" s="1658"/>
      <c r="WCB348" s="1658"/>
      <c r="WCC348" s="1658"/>
      <c r="WCD348" s="1658"/>
      <c r="WCE348" s="1658"/>
      <c r="WCF348" s="1658"/>
      <c r="WCG348" s="1658"/>
      <c r="WCH348" s="1658"/>
      <c r="WCI348" s="1658"/>
      <c r="WCJ348" s="1658"/>
      <c r="WCK348" s="1658"/>
      <c r="WCL348" s="1658"/>
      <c r="WCM348" s="1658"/>
      <c r="WCN348" s="1658"/>
      <c r="WCO348" s="1658"/>
      <c r="WCP348" s="1658"/>
      <c r="WCQ348" s="1658"/>
      <c r="WCR348" s="1658"/>
      <c r="WCS348" s="1658"/>
      <c r="WCT348" s="1658"/>
      <c r="WCU348" s="1658"/>
      <c r="WCV348" s="1658"/>
      <c r="WCW348" s="1658"/>
      <c r="WCX348" s="1658"/>
      <c r="WCY348" s="1658"/>
      <c r="WCZ348" s="1658"/>
      <c r="WDA348" s="1658"/>
      <c r="WDB348" s="1658"/>
      <c r="WDC348" s="1658"/>
      <c r="WDD348" s="1658"/>
      <c r="WDE348" s="1658"/>
      <c r="WDF348" s="1658"/>
      <c r="WDG348" s="1658"/>
      <c r="WDH348" s="1658"/>
      <c r="WDI348" s="1658"/>
      <c r="WDJ348" s="1658"/>
      <c r="WDK348" s="1658"/>
      <c r="WDL348" s="1658"/>
      <c r="WDM348" s="1658"/>
      <c r="WDN348" s="1658"/>
      <c r="WDO348" s="1658"/>
      <c r="WDP348" s="1658"/>
      <c r="WDQ348" s="1658"/>
      <c r="WDR348" s="1658"/>
      <c r="WDS348" s="1658"/>
      <c r="WDT348" s="1658"/>
      <c r="WDU348" s="1658"/>
      <c r="WDV348" s="1658"/>
      <c r="WDW348" s="1658"/>
      <c r="WDX348" s="1658"/>
      <c r="WDY348" s="1658"/>
      <c r="WDZ348" s="1658"/>
      <c r="WEA348" s="1658"/>
      <c r="WEB348" s="1658"/>
      <c r="WEC348" s="1658"/>
      <c r="WED348" s="1658"/>
      <c r="WEE348" s="1658"/>
      <c r="WEF348" s="1658"/>
      <c r="WEG348" s="1658"/>
      <c r="WEH348" s="1658"/>
      <c r="WEI348" s="1658"/>
      <c r="WEJ348" s="1658"/>
      <c r="WEK348" s="1658"/>
      <c r="WEL348" s="1658"/>
      <c r="WEM348" s="1658"/>
      <c r="WEN348" s="1658"/>
      <c r="WEO348" s="1658"/>
      <c r="WEP348" s="1658"/>
      <c r="WEQ348" s="1658"/>
      <c r="WER348" s="1658"/>
      <c r="WES348" s="1658"/>
      <c r="WET348" s="1658"/>
      <c r="WEU348" s="1658"/>
      <c r="WEV348" s="1658"/>
      <c r="WEW348" s="1658"/>
      <c r="WEX348" s="1658"/>
      <c r="WEY348" s="1658"/>
      <c r="WEZ348" s="1658"/>
      <c r="WFA348" s="1658"/>
      <c r="WFB348" s="1658"/>
      <c r="WFC348" s="1658"/>
      <c r="WFD348" s="1658"/>
      <c r="WFE348" s="1658"/>
      <c r="WFF348" s="1658"/>
      <c r="WFG348" s="1658"/>
      <c r="WFH348" s="1658"/>
      <c r="WFI348" s="1658"/>
      <c r="WFJ348" s="1658"/>
      <c r="WFK348" s="1658"/>
      <c r="WFL348" s="1658"/>
      <c r="WFM348" s="1658"/>
      <c r="WFN348" s="1658"/>
      <c r="WFO348" s="1658"/>
      <c r="WFP348" s="1658"/>
      <c r="WFQ348" s="1658"/>
      <c r="WFR348" s="1658"/>
      <c r="WFS348" s="1658"/>
      <c r="WFT348" s="1658"/>
      <c r="WFU348" s="1658"/>
      <c r="WFV348" s="1658"/>
      <c r="WFW348" s="1658"/>
      <c r="WFX348" s="1658"/>
      <c r="WFY348" s="1658"/>
      <c r="WFZ348" s="1658"/>
      <c r="WGA348" s="1658"/>
      <c r="WGB348" s="1658"/>
      <c r="WGC348" s="1658"/>
      <c r="WGD348" s="1658"/>
      <c r="WGE348" s="1658"/>
      <c r="WGF348" s="1658"/>
      <c r="WGG348" s="1658"/>
      <c r="WGH348" s="1658"/>
      <c r="WGI348" s="1658"/>
      <c r="WGJ348" s="1658"/>
      <c r="WGK348" s="1658"/>
      <c r="WGL348" s="1658"/>
      <c r="WGM348" s="1658"/>
      <c r="WGN348" s="1658"/>
      <c r="WGO348" s="1658"/>
      <c r="WGP348" s="1658"/>
      <c r="WGQ348" s="1658"/>
      <c r="WGR348" s="1658"/>
      <c r="WGS348" s="1658"/>
      <c r="WGT348" s="1658"/>
      <c r="WGU348" s="1658"/>
      <c r="WGV348" s="1658"/>
      <c r="WGW348" s="1658"/>
      <c r="WGX348" s="1658"/>
      <c r="WGY348" s="1658"/>
      <c r="WGZ348" s="1658"/>
      <c r="WHA348" s="1658"/>
      <c r="WHB348" s="1658"/>
      <c r="WHC348" s="1658"/>
      <c r="WHD348" s="1658"/>
      <c r="WHE348" s="1658"/>
      <c r="WHF348" s="1658"/>
      <c r="WHG348" s="1658"/>
      <c r="WHH348" s="1658"/>
      <c r="WHI348" s="1658"/>
      <c r="WHJ348" s="1658"/>
      <c r="WHK348" s="1658"/>
      <c r="WHL348" s="1658"/>
      <c r="WHM348" s="1658"/>
      <c r="WHN348" s="1658"/>
      <c r="WHO348" s="1658"/>
      <c r="WHP348" s="1658"/>
      <c r="WHQ348" s="1658"/>
      <c r="WHR348" s="1658"/>
      <c r="WHS348" s="1658"/>
      <c r="WHT348" s="1658"/>
      <c r="WHU348" s="1658"/>
      <c r="WHV348" s="1658"/>
      <c r="WHW348" s="1658"/>
      <c r="WHX348" s="1658"/>
      <c r="WHY348" s="1658"/>
      <c r="WHZ348" s="1658"/>
      <c r="WIA348" s="1658"/>
      <c r="WIB348" s="1658"/>
      <c r="WIC348" s="1658"/>
      <c r="WID348" s="1658"/>
      <c r="WIE348" s="1658"/>
      <c r="WIF348" s="1658"/>
      <c r="WIG348" s="1658"/>
      <c r="WIH348" s="1658"/>
      <c r="WII348" s="1658"/>
      <c r="WIJ348" s="1658"/>
      <c r="WIK348" s="1658"/>
      <c r="WIL348" s="1658"/>
      <c r="WIM348" s="1658"/>
      <c r="WIN348" s="1658"/>
      <c r="WIO348" s="1658"/>
      <c r="WIP348" s="1658"/>
      <c r="WIQ348" s="1658"/>
      <c r="WIR348" s="1658"/>
      <c r="WIS348" s="1658"/>
      <c r="WIT348" s="1658"/>
      <c r="WIU348" s="1658"/>
      <c r="WIV348" s="1658"/>
      <c r="WIW348" s="1658"/>
      <c r="WIX348" s="1658"/>
      <c r="WIY348" s="1658"/>
      <c r="WIZ348" s="1658"/>
      <c r="WJA348" s="1658"/>
      <c r="WJB348" s="1658"/>
      <c r="WJC348" s="1658"/>
      <c r="WJD348" s="1658"/>
      <c r="WJE348" s="1658"/>
      <c r="WJF348" s="1658"/>
      <c r="WJG348" s="1658"/>
      <c r="WJH348" s="1658"/>
      <c r="WJI348" s="1658"/>
      <c r="WJJ348" s="1658"/>
      <c r="WJK348" s="1658"/>
      <c r="WJL348" s="1658"/>
      <c r="WJM348" s="1658"/>
      <c r="WJN348" s="1658"/>
      <c r="WJO348" s="1658"/>
      <c r="WJP348" s="1658"/>
      <c r="WJQ348" s="1658"/>
      <c r="WJR348" s="1658"/>
      <c r="WJS348" s="1658"/>
      <c r="WJT348" s="1658"/>
      <c r="WJU348" s="1658"/>
      <c r="WJV348" s="1658"/>
      <c r="WJW348" s="1658"/>
      <c r="WJX348" s="1658"/>
      <c r="WJY348" s="1658"/>
      <c r="WJZ348" s="1658"/>
      <c r="WKA348" s="1658"/>
      <c r="WKB348" s="1658"/>
      <c r="WKC348" s="1658"/>
      <c r="WKD348" s="1658"/>
      <c r="WKE348" s="1658"/>
      <c r="WKF348" s="1658"/>
      <c r="WKG348" s="1658"/>
      <c r="WKH348" s="1658"/>
      <c r="WKI348" s="1658"/>
      <c r="WKJ348" s="1658"/>
      <c r="WKK348" s="1658"/>
      <c r="WKL348" s="1658"/>
      <c r="WKM348" s="1658"/>
      <c r="WKN348" s="1658"/>
      <c r="WKO348" s="1658"/>
      <c r="WKP348" s="1658"/>
      <c r="WKQ348" s="1658"/>
      <c r="WKR348" s="1658"/>
      <c r="WKS348" s="1658"/>
      <c r="WKT348" s="1658"/>
      <c r="WKU348" s="1658"/>
      <c r="WKV348" s="1658"/>
      <c r="WKW348" s="1658"/>
      <c r="WKX348" s="1658"/>
      <c r="WKY348" s="1658"/>
      <c r="WKZ348" s="1658"/>
      <c r="WLA348" s="1658"/>
      <c r="WLB348" s="1658"/>
      <c r="WLC348" s="1658"/>
      <c r="WLD348" s="1658"/>
      <c r="WLE348" s="1658"/>
      <c r="WLF348" s="1658"/>
      <c r="WLG348" s="1658"/>
      <c r="WLH348" s="1658"/>
      <c r="WLI348" s="1658"/>
      <c r="WLJ348" s="1658"/>
      <c r="WLK348" s="1658"/>
      <c r="WLL348" s="1658"/>
      <c r="WLM348" s="1658"/>
      <c r="WLN348" s="1658"/>
      <c r="WLO348" s="1658"/>
      <c r="WLP348" s="1658"/>
      <c r="WLQ348" s="1658"/>
      <c r="WLR348" s="1658"/>
      <c r="WLS348" s="1658"/>
      <c r="WLT348" s="1658"/>
      <c r="WLU348" s="1658"/>
      <c r="WLV348" s="1658"/>
      <c r="WLW348" s="1658"/>
      <c r="WLX348" s="1658"/>
      <c r="WLY348" s="1658"/>
      <c r="WLZ348" s="1658"/>
      <c r="WMA348" s="1658"/>
      <c r="WMB348" s="1658"/>
      <c r="WMC348" s="1658"/>
      <c r="WMD348" s="1658"/>
      <c r="WME348" s="1658"/>
      <c r="WMF348" s="1658"/>
      <c r="WMG348" s="1658"/>
      <c r="WMH348" s="1658"/>
      <c r="WMI348" s="1658"/>
      <c r="WMJ348" s="1658"/>
      <c r="WMK348" s="1658"/>
      <c r="WML348" s="1658"/>
      <c r="WMM348" s="1658"/>
      <c r="WMN348" s="1658"/>
      <c r="WMO348" s="1658"/>
      <c r="WMP348" s="1658"/>
      <c r="WMQ348" s="1658"/>
      <c r="WMR348" s="1658"/>
      <c r="WMS348" s="1658"/>
      <c r="WMT348" s="1658"/>
      <c r="WMU348" s="1658"/>
      <c r="WMV348" s="1658"/>
      <c r="WMW348" s="1658"/>
      <c r="WMX348" s="1658"/>
      <c r="WMY348" s="1658"/>
      <c r="WMZ348" s="1658"/>
      <c r="WNA348" s="1658"/>
      <c r="WNB348" s="1658"/>
      <c r="WNC348" s="1658"/>
      <c r="WND348" s="1658"/>
      <c r="WNE348" s="1658"/>
      <c r="WNF348" s="1658"/>
      <c r="WNG348" s="1658"/>
      <c r="WNH348" s="1658"/>
      <c r="WNI348" s="1658"/>
      <c r="WNJ348" s="1658"/>
      <c r="WNK348" s="1658"/>
      <c r="WNL348" s="1658"/>
      <c r="WNM348" s="1658"/>
      <c r="WNN348" s="1658"/>
      <c r="WNO348" s="1658"/>
      <c r="WNP348" s="1658"/>
      <c r="WNQ348" s="1658"/>
      <c r="WNR348" s="1658"/>
      <c r="WNS348" s="1658"/>
      <c r="WNT348" s="1658"/>
      <c r="WNU348" s="1658"/>
      <c r="WNV348" s="1658"/>
      <c r="WNW348" s="1658"/>
      <c r="WNX348" s="1658"/>
      <c r="WNY348" s="1658"/>
      <c r="WNZ348" s="1658"/>
      <c r="WOA348" s="1658"/>
      <c r="WOB348" s="1658"/>
      <c r="WOC348" s="1658"/>
      <c r="WOD348" s="1658"/>
      <c r="WOE348" s="1658"/>
      <c r="WOF348" s="1658"/>
      <c r="WOG348" s="1658"/>
      <c r="WOH348" s="1658"/>
      <c r="WOI348" s="1658"/>
      <c r="WOJ348" s="1658"/>
      <c r="WOK348" s="1658"/>
      <c r="WOL348" s="1658"/>
      <c r="WOM348" s="1658"/>
      <c r="WON348" s="1658"/>
      <c r="WOO348" s="1658"/>
      <c r="WOP348" s="1658"/>
      <c r="WOQ348" s="1658"/>
      <c r="WOR348" s="1658"/>
      <c r="WOS348" s="1658"/>
      <c r="WOT348" s="1658"/>
      <c r="WOU348" s="1658"/>
      <c r="WOV348" s="1658"/>
      <c r="WOW348" s="1658"/>
      <c r="WOX348" s="1658"/>
      <c r="WOY348" s="1658"/>
      <c r="WOZ348" s="1658"/>
      <c r="WPA348" s="1658"/>
      <c r="WPB348" s="1658"/>
      <c r="WPC348" s="1658"/>
      <c r="WPD348" s="1658"/>
      <c r="WPE348" s="1658"/>
      <c r="WPF348" s="1658"/>
      <c r="WPG348" s="1658"/>
      <c r="WPH348" s="1658"/>
      <c r="WPI348" s="1658"/>
      <c r="WPJ348" s="1658"/>
      <c r="WPK348" s="1658"/>
      <c r="WPL348" s="1658"/>
      <c r="WPM348" s="1658"/>
      <c r="WPN348" s="1658"/>
      <c r="WPO348" s="1658"/>
      <c r="WPP348" s="1658"/>
      <c r="WPQ348" s="1658"/>
      <c r="WPR348" s="1658"/>
      <c r="WPS348" s="1658"/>
      <c r="WPT348" s="1658"/>
      <c r="WPU348" s="1658"/>
      <c r="WPV348" s="1658"/>
      <c r="WPW348" s="1658"/>
      <c r="WPX348" s="1658"/>
      <c r="WPY348" s="1658"/>
      <c r="WPZ348" s="1658"/>
      <c r="WQA348" s="1658"/>
      <c r="WQB348" s="1658"/>
      <c r="WQC348" s="1658"/>
      <c r="WQD348" s="1658"/>
      <c r="WQE348" s="1658"/>
      <c r="WQF348" s="1658"/>
      <c r="WQG348" s="1658"/>
      <c r="WQH348" s="1658"/>
      <c r="WQI348" s="1658"/>
      <c r="WQJ348" s="1658"/>
      <c r="WQK348" s="1658"/>
      <c r="WQL348" s="1658"/>
      <c r="WQM348" s="1658"/>
      <c r="WQN348" s="1658"/>
      <c r="WQO348" s="1658"/>
      <c r="WQP348" s="1658"/>
      <c r="WQQ348" s="1658"/>
      <c r="WQR348" s="1658"/>
      <c r="WQS348" s="1658"/>
      <c r="WQT348" s="1658"/>
      <c r="WQU348" s="1658"/>
      <c r="WQV348" s="1658"/>
      <c r="WQW348" s="1658"/>
      <c r="WQX348" s="1658"/>
      <c r="WQY348" s="1658"/>
      <c r="WQZ348" s="1658"/>
      <c r="WRA348" s="1658"/>
      <c r="WRB348" s="1658"/>
      <c r="WRC348" s="1658"/>
      <c r="WRD348" s="1658"/>
      <c r="WRE348" s="1658"/>
      <c r="WRF348" s="1658"/>
      <c r="WRG348" s="1658"/>
      <c r="WRH348" s="1658"/>
      <c r="WRI348" s="1658"/>
      <c r="WRJ348" s="1658"/>
      <c r="WRK348" s="1658"/>
      <c r="WRL348" s="1658"/>
      <c r="WRM348" s="1658"/>
      <c r="WRN348" s="1658"/>
      <c r="WRO348" s="1658"/>
      <c r="WRP348" s="1658"/>
      <c r="WRQ348" s="1658"/>
      <c r="WRR348" s="1658"/>
      <c r="WRS348" s="1658"/>
      <c r="WRT348" s="1658"/>
      <c r="WRU348" s="1658"/>
      <c r="WRV348" s="1658"/>
      <c r="WRW348" s="1658"/>
      <c r="WRX348" s="1658"/>
      <c r="WRY348" s="1658"/>
      <c r="WRZ348" s="1658"/>
      <c r="WSA348" s="1658"/>
      <c r="WSB348" s="1658"/>
      <c r="WSC348" s="1658"/>
      <c r="WSD348" s="1658"/>
      <c r="WSE348" s="1658"/>
      <c r="WSF348" s="1658"/>
      <c r="WSG348" s="1658"/>
      <c r="WSH348" s="1658"/>
      <c r="WSI348" s="1658"/>
      <c r="WSJ348" s="1658"/>
      <c r="WSK348" s="1658"/>
      <c r="WSL348" s="1658"/>
      <c r="WSM348" s="1658"/>
      <c r="WSN348" s="1658"/>
      <c r="WSO348" s="1658"/>
      <c r="WSP348" s="1658"/>
      <c r="WSQ348" s="1658"/>
      <c r="WSR348" s="1658"/>
      <c r="WSS348" s="1658"/>
      <c r="WST348" s="1658"/>
      <c r="WSU348" s="1658"/>
      <c r="WSV348" s="1658"/>
      <c r="WSW348" s="1658"/>
      <c r="WSX348" s="1658"/>
      <c r="WSY348" s="1658"/>
      <c r="WSZ348" s="1658"/>
      <c r="WTA348" s="1658"/>
      <c r="WTB348" s="1658"/>
      <c r="WTC348" s="1658"/>
      <c r="WTD348" s="1658"/>
      <c r="WTE348" s="1658"/>
      <c r="WTF348" s="1658"/>
      <c r="WTG348" s="1658"/>
      <c r="WTH348" s="1658"/>
      <c r="WTI348" s="1658"/>
      <c r="WTJ348" s="1658"/>
      <c r="WTK348" s="1658"/>
      <c r="WTL348" s="1658"/>
      <c r="WTM348" s="1658"/>
      <c r="WTN348" s="1658"/>
      <c r="WTO348" s="1658"/>
      <c r="WTP348" s="1658"/>
      <c r="WTQ348" s="1658"/>
      <c r="WTR348" s="1658"/>
      <c r="WTS348" s="1658"/>
      <c r="WTT348" s="1658"/>
      <c r="WTU348" s="1658"/>
      <c r="WTV348" s="1658"/>
      <c r="WTW348" s="1658"/>
      <c r="WTX348" s="1658"/>
      <c r="WTY348" s="1658"/>
      <c r="WTZ348" s="1658"/>
      <c r="WUA348" s="1658"/>
      <c r="WUB348" s="1658"/>
      <c r="WUC348" s="1658"/>
      <c r="WUD348" s="1658"/>
      <c r="WUE348" s="1658"/>
      <c r="WUF348" s="1658"/>
      <c r="WUG348" s="1658"/>
      <c r="WUH348" s="1658"/>
      <c r="WUI348" s="1658"/>
      <c r="WUJ348" s="1658"/>
      <c r="WUK348" s="1658"/>
      <c r="WUL348" s="1658"/>
      <c r="WUM348" s="1658"/>
      <c r="WUN348" s="1658"/>
      <c r="WUO348" s="1658"/>
      <c r="WUP348" s="1658"/>
      <c r="WUQ348" s="1658"/>
      <c r="WUR348" s="1658"/>
      <c r="WUS348" s="1658"/>
      <c r="WUT348" s="1658"/>
      <c r="WUU348" s="1658"/>
      <c r="WUV348" s="1658"/>
      <c r="WUW348" s="1658"/>
      <c r="WUX348" s="1658"/>
      <c r="WUY348" s="1658"/>
      <c r="WUZ348" s="1658"/>
      <c r="WVA348" s="1658"/>
      <c r="WVB348" s="1658"/>
      <c r="WVC348" s="1658"/>
      <c r="WVD348" s="1658"/>
      <c r="WVE348" s="1658"/>
      <c r="WVF348" s="1658"/>
      <c r="WVG348" s="1658"/>
      <c r="WVH348" s="1658"/>
      <c r="WVI348" s="1658"/>
      <c r="WVJ348" s="1658"/>
      <c r="WVK348" s="1658"/>
      <c r="WVL348" s="1658"/>
      <c r="WVM348" s="1658"/>
      <c r="WVN348" s="1658"/>
      <c r="WVO348" s="1658"/>
      <c r="WVP348" s="1658"/>
      <c r="WVQ348" s="1658"/>
      <c r="WVR348" s="1658"/>
      <c r="WVS348" s="1658"/>
      <c r="WVT348" s="1658"/>
      <c r="WVU348" s="1658"/>
      <c r="WVV348" s="1658"/>
      <c r="WVW348" s="1658"/>
      <c r="WVX348" s="1658"/>
      <c r="WVY348" s="1658"/>
      <c r="WVZ348" s="1658"/>
      <c r="WWA348" s="1658"/>
      <c r="WWB348" s="1658"/>
      <c r="WWC348" s="1658"/>
      <c r="WWD348" s="1658"/>
      <c r="WWE348" s="1658"/>
      <c r="WWF348" s="1658"/>
      <c r="WWG348" s="1658"/>
      <c r="WWH348" s="1658"/>
      <c r="WWI348" s="1658"/>
      <c r="WWJ348" s="1658"/>
      <c r="WWK348" s="1658"/>
      <c r="WWL348" s="1658"/>
      <c r="WWM348" s="1658"/>
      <c r="WWN348" s="1658"/>
      <c r="WWO348" s="1658"/>
      <c r="WWP348" s="1658"/>
      <c r="WWQ348" s="1658"/>
      <c r="WWR348" s="1658"/>
      <c r="WWS348" s="1658"/>
      <c r="WWT348" s="1658"/>
      <c r="WWU348" s="1658"/>
      <c r="WWV348" s="1658"/>
      <c r="WWW348" s="1658"/>
      <c r="WWX348" s="1658"/>
      <c r="WWY348" s="1658"/>
      <c r="WWZ348" s="1658"/>
      <c r="WXA348" s="1658"/>
      <c r="WXB348" s="1658"/>
      <c r="WXC348" s="1658"/>
      <c r="WXD348" s="1658"/>
      <c r="WXE348" s="1658"/>
      <c r="WXF348" s="1658"/>
      <c r="WXG348" s="1658"/>
      <c r="WXH348" s="1658"/>
      <c r="WXI348" s="1658"/>
      <c r="WXJ348" s="1658"/>
      <c r="WXK348" s="1658"/>
      <c r="WXL348" s="1658"/>
      <c r="WXM348" s="1658"/>
      <c r="WXN348" s="1658"/>
      <c r="WXO348" s="1658"/>
      <c r="WXP348" s="1658"/>
      <c r="WXQ348" s="1658"/>
      <c r="WXR348" s="1658"/>
      <c r="WXS348" s="1658"/>
      <c r="WXT348" s="1658"/>
      <c r="WXU348" s="1658"/>
      <c r="WXV348" s="1658"/>
      <c r="WXW348" s="1658"/>
      <c r="WXX348" s="1658"/>
      <c r="WXY348" s="1658"/>
      <c r="WXZ348" s="1658"/>
      <c r="WYA348" s="1658"/>
      <c r="WYB348" s="1658"/>
      <c r="WYC348" s="1658"/>
      <c r="WYD348" s="1658"/>
      <c r="WYE348" s="1658"/>
      <c r="WYF348" s="1658"/>
      <c r="WYG348" s="1658"/>
      <c r="WYH348" s="1658"/>
      <c r="WYI348" s="1658"/>
      <c r="WYJ348" s="1658"/>
      <c r="WYK348" s="1658"/>
      <c r="WYL348" s="1658"/>
      <c r="WYM348" s="1658"/>
      <c r="WYN348" s="1658"/>
      <c r="WYO348" s="1658"/>
      <c r="WYP348" s="1658"/>
      <c r="WYQ348" s="1658"/>
      <c r="WYR348" s="1658"/>
      <c r="WYS348" s="1658"/>
      <c r="WYT348" s="1658"/>
      <c r="WYU348" s="1658"/>
      <c r="WYV348" s="1658"/>
      <c r="WYW348" s="1658"/>
      <c r="WYX348" s="1658"/>
      <c r="WYY348" s="1658"/>
      <c r="WYZ348" s="1658"/>
      <c r="WZA348" s="1658"/>
      <c r="WZB348" s="1658"/>
      <c r="WZC348" s="1658"/>
      <c r="WZD348" s="1658"/>
      <c r="WZE348" s="1658"/>
      <c r="WZF348" s="1658"/>
      <c r="WZG348" s="1658"/>
      <c r="WZH348" s="1658"/>
      <c r="WZI348" s="1658"/>
      <c r="WZJ348" s="1658"/>
      <c r="WZK348" s="1658"/>
      <c r="WZL348" s="1658"/>
      <c r="WZM348" s="1658"/>
      <c r="WZN348" s="1658"/>
      <c r="WZO348" s="1658"/>
      <c r="WZP348" s="1658"/>
      <c r="WZQ348" s="1658"/>
      <c r="WZR348" s="1658"/>
      <c r="WZS348" s="1658"/>
      <c r="WZT348" s="1658"/>
      <c r="WZU348" s="1658"/>
      <c r="WZV348" s="1658"/>
      <c r="WZW348" s="1658"/>
      <c r="WZX348" s="1658"/>
      <c r="WZY348" s="1658"/>
      <c r="WZZ348" s="1658"/>
      <c r="XAA348" s="1658"/>
      <c r="XAB348" s="1658"/>
      <c r="XAC348" s="1658"/>
      <c r="XAD348" s="1658"/>
      <c r="XAE348" s="1658"/>
      <c r="XAF348" s="1658"/>
      <c r="XAG348" s="1658"/>
      <c r="XAH348" s="1658"/>
      <c r="XAI348" s="1658"/>
      <c r="XAJ348" s="1658"/>
      <c r="XAK348" s="1658"/>
      <c r="XAL348" s="1658"/>
      <c r="XAM348" s="1658"/>
      <c r="XAN348" s="1658"/>
      <c r="XAO348" s="1658"/>
      <c r="XAP348" s="1658"/>
      <c r="XAQ348" s="1658"/>
      <c r="XAR348" s="1658"/>
      <c r="XAS348" s="1658"/>
      <c r="XAT348" s="1658"/>
      <c r="XAU348" s="1658"/>
      <c r="XAV348" s="1658"/>
      <c r="XAW348" s="1658"/>
      <c r="XAX348" s="1658"/>
      <c r="XAY348" s="1658"/>
      <c r="XAZ348" s="1658"/>
      <c r="XBA348" s="1658"/>
      <c r="XBB348" s="1658"/>
      <c r="XBC348" s="1658"/>
      <c r="XBD348" s="1658"/>
      <c r="XBE348" s="1658"/>
      <c r="XBF348" s="1658"/>
      <c r="XBG348" s="1658"/>
      <c r="XBH348" s="1658"/>
      <c r="XBI348" s="1658"/>
      <c r="XBJ348" s="1658"/>
      <c r="XBK348" s="1658"/>
      <c r="XBL348" s="1658"/>
      <c r="XBM348" s="1658"/>
      <c r="XBN348" s="1658"/>
      <c r="XBO348" s="1658"/>
      <c r="XBP348" s="1658"/>
      <c r="XBQ348" s="1658"/>
      <c r="XBR348" s="1658"/>
      <c r="XBS348" s="1658"/>
      <c r="XBT348" s="1658"/>
      <c r="XBU348" s="1658"/>
      <c r="XBV348" s="1658"/>
      <c r="XBW348" s="1658"/>
      <c r="XBX348" s="1658"/>
      <c r="XBY348" s="1658"/>
      <c r="XBZ348" s="1658"/>
      <c r="XCA348" s="1658"/>
      <c r="XCB348" s="1658"/>
      <c r="XCC348" s="1658"/>
      <c r="XCD348" s="1658"/>
      <c r="XCE348" s="1658"/>
      <c r="XCF348" s="1658"/>
      <c r="XCG348" s="1658"/>
      <c r="XCH348" s="1658"/>
      <c r="XCI348" s="1658"/>
      <c r="XCJ348" s="1658"/>
      <c r="XCK348" s="1658"/>
      <c r="XCL348" s="1658"/>
      <c r="XCM348" s="1658"/>
      <c r="XCN348" s="1658"/>
      <c r="XCO348" s="1658"/>
      <c r="XCP348" s="1658"/>
      <c r="XCQ348" s="1658"/>
      <c r="XCR348" s="1658"/>
      <c r="XCS348" s="1658"/>
      <c r="XCT348" s="1658"/>
      <c r="XCU348" s="1658"/>
      <c r="XCV348" s="1658"/>
      <c r="XCW348" s="1658"/>
      <c r="XCX348" s="1658"/>
      <c r="XCY348" s="1658"/>
      <c r="XCZ348" s="1658"/>
      <c r="XDA348" s="1658"/>
      <c r="XDB348" s="1658"/>
      <c r="XDC348" s="1658"/>
      <c r="XDD348" s="1658"/>
      <c r="XDE348" s="1658"/>
      <c r="XDF348" s="1658"/>
      <c r="XDG348" s="1658"/>
      <c r="XDH348" s="1658"/>
      <c r="XDI348" s="1658"/>
      <c r="XDJ348" s="1658"/>
      <c r="XDK348" s="1658"/>
      <c r="XDL348" s="1658"/>
      <c r="XDM348" s="1658"/>
      <c r="XDN348" s="1658"/>
      <c r="XDO348" s="1658"/>
      <c r="XDP348" s="1658"/>
      <c r="XDQ348" s="1658"/>
      <c r="XDR348" s="1658"/>
      <c r="XDS348" s="1658"/>
      <c r="XDT348" s="1658"/>
      <c r="XDU348" s="1658"/>
      <c r="XDV348" s="1658"/>
      <c r="XDW348" s="1658"/>
      <c r="XDX348" s="1658"/>
      <c r="XDY348" s="1658"/>
      <c r="XDZ348" s="1658"/>
      <c r="XEA348" s="1658"/>
      <c r="XEB348" s="1658"/>
      <c r="XEC348" s="1658"/>
      <c r="XED348" s="1658"/>
      <c r="XEE348" s="1658"/>
      <c r="XEF348" s="1658"/>
      <c r="XEG348" s="1658"/>
      <c r="XEH348" s="1658"/>
      <c r="XEI348" s="1658"/>
      <c r="XEJ348" s="1658"/>
      <c r="XEK348" s="1658"/>
      <c r="XEL348" s="1658"/>
      <c r="XEM348" s="1658"/>
      <c r="XEN348" s="1658"/>
      <c r="XEO348" s="1658"/>
      <c r="XEP348" s="1658"/>
      <c r="XEQ348" s="1658"/>
      <c r="XER348" s="1658"/>
      <c r="XES348" s="1658"/>
      <c r="XET348" s="1658"/>
      <c r="XEU348" s="1658"/>
      <c r="XEV348" s="1658"/>
      <c r="XEW348" s="1658"/>
      <c r="XEX348" s="1658"/>
      <c r="XEY348" s="1658"/>
      <c r="XEZ348" s="1658"/>
      <c r="XFA348" s="1658"/>
    </row>
    <row r="349" spans="1:16381" ht="18.5" x14ac:dyDescent="0.25">
      <c r="A349" s="1338" t="s">
        <v>801</v>
      </c>
      <c r="B349" s="1339" t="s">
        <v>2021</v>
      </c>
      <c r="C349" s="1358"/>
      <c r="D349" s="1358"/>
      <c r="E349" s="1359"/>
      <c r="F349" s="1360"/>
      <c r="G349" s="1361"/>
      <c r="H349" s="1361"/>
      <c r="I349" s="1365"/>
      <c r="J349" s="1365"/>
      <c r="K349" s="1359"/>
      <c r="L349" s="1362"/>
      <c r="M349" s="1362"/>
      <c r="N349" s="1363"/>
      <c r="O349" s="1361"/>
      <c r="P349" s="1538"/>
      <c r="Q349" s="1659"/>
      <c r="R349" s="1659"/>
      <c r="S349" s="1660"/>
      <c r="T349" s="1594">
        <f t="shared" si="62"/>
        <v>0</v>
      </c>
      <c r="U349" s="1657"/>
      <c r="V349" s="1657"/>
      <c r="W349" s="1657"/>
      <c r="X349" s="1657"/>
      <c r="Y349" s="1657"/>
      <c r="Z349" s="1657"/>
      <c r="AA349" s="1657"/>
      <c r="AB349" s="1657"/>
      <c r="AC349" s="1666"/>
      <c r="AD349" s="1666"/>
      <c r="AE349" s="1666"/>
      <c r="AF349" s="1666"/>
      <c r="AG349" s="1541">
        <f t="shared" si="63"/>
        <v>0</v>
      </c>
      <c r="AH349" s="1596"/>
      <c r="AI349" s="1596"/>
      <c r="AJ349" s="1596"/>
      <c r="AK349" s="1596"/>
      <c r="AL349" s="1596"/>
      <c r="AM349" s="1596"/>
      <c r="AN349" s="1596"/>
      <c r="AO349" s="1596"/>
      <c r="AP349" s="1660"/>
      <c r="AQ349" s="1668"/>
      <c r="AR349" s="1668"/>
      <c r="AS349" s="1668"/>
      <c r="AT349" s="1594">
        <f t="shared" si="64"/>
        <v>0</v>
      </c>
      <c r="AU349" s="1542">
        <v>0</v>
      </c>
      <c r="AV349" s="1565">
        <v>0</v>
      </c>
      <c r="AW349" s="1712">
        <v>0</v>
      </c>
      <c r="AX349" s="1712"/>
      <c r="AY349" s="1712"/>
      <c r="AZ349" s="1712"/>
      <c r="BA349" s="1712"/>
      <c r="BB349" s="1712"/>
      <c r="BC349" s="1418"/>
      <c r="BD349" s="1418"/>
      <c r="BE349" s="1713"/>
    </row>
    <row r="350" spans="1:16381" ht="72.5" outlineLevel="2" x14ac:dyDescent="0.25">
      <c r="A350" s="1634">
        <v>1</v>
      </c>
      <c r="B350" s="1635" t="s">
        <v>2022</v>
      </c>
      <c r="C350" s="1662" t="s">
        <v>940</v>
      </c>
      <c r="D350" s="1634" t="s">
        <v>936</v>
      </c>
      <c r="E350" s="1637"/>
      <c r="F350" s="1360"/>
      <c r="G350" s="1414"/>
      <c r="H350" s="1414"/>
      <c r="I350" s="1365"/>
      <c r="J350" s="1365"/>
      <c r="K350" s="1360"/>
      <c r="L350" s="1381" t="s">
        <v>2023</v>
      </c>
      <c r="M350" s="1381" t="s">
        <v>1773</v>
      </c>
      <c r="N350" s="1382" t="s">
        <v>2024</v>
      </c>
      <c r="O350" s="1383" t="s">
        <v>2025</v>
      </c>
      <c r="P350" s="1538">
        <v>0</v>
      </c>
      <c r="Q350" s="1562">
        <f t="shared" ref="Q350:S351" si="65">AQ350</f>
        <v>0</v>
      </c>
      <c r="R350" s="1562">
        <f t="shared" si="65"/>
        <v>0</v>
      </c>
      <c r="S350" s="1540">
        <f t="shared" si="65"/>
        <v>2.2390500000000002</v>
      </c>
      <c r="T350" s="1594">
        <f t="shared" si="62"/>
        <v>2.2390500000000002</v>
      </c>
      <c r="U350" s="1595">
        <v>0</v>
      </c>
      <c r="V350" s="1595">
        <v>0</v>
      </c>
      <c r="W350" s="1595">
        <v>0</v>
      </c>
      <c r="X350" s="1595"/>
      <c r="Y350" s="1595"/>
      <c r="Z350" s="1595"/>
      <c r="AA350" s="1595"/>
      <c r="AB350" s="1595"/>
      <c r="AC350" s="1576"/>
      <c r="AD350" s="1550"/>
      <c r="AE350" s="1550"/>
      <c r="AF350" s="1550"/>
      <c r="AG350" s="1541">
        <f t="shared" si="63"/>
        <v>0</v>
      </c>
      <c r="AH350" s="1596"/>
      <c r="AI350" s="1596"/>
      <c r="AJ350" s="1596"/>
      <c r="AK350" s="1596"/>
      <c r="AL350" s="1596"/>
      <c r="AM350" s="1596"/>
      <c r="AN350" s="1596"/>
      <c r="AO350" s="1596"/>
      <c r="AP350" s="1538">
        <v>0</v>
      </c>
      <c r="AQ350" s="1542">
        <v>0</v>
      </c>
      <c r="AR350" s="1542">
        <v>0</v>
      </c>
      <c r="AS350" s="1542">
        <f>22390500/10000000</f>
        <v>2.2390500000000002</v>
      </c>
      <c r="AT350" s="1594">
        <f t="shared" si="64"/>
        <v>2.2390500000000002</v>
      </c>
      <c r="AU350" s="1563"/>
      <c r="AV350" s="1565">
        <v>0</v>
      </c>
      <c r="AW350" s="1565">
        <v>0</v>
      </c>
      <c r="AX350" s="1565"/>
      <c r="AY350" s="1565"/>
      <c r="AZ350" s="1565"/>
      <c r="BA350" s="1565"/>
      <c r="BB350" s="1565"/>
      <c r="BC350" s="1380"/>
      <c r="BD350" s="1380" t="s">
        <v>1595</v>
      </c>
      <c r="BE350" s="1613" t="s">
        <v>941</v>
      </c>
      <c r="BG350" s="1319" t="s">
        <v>2024</v>
      </c>
      <c r="BH350" s="1355"/>
    </row>
    <row r="351" spans="1:16381" ht="43.5" outlineLevel="2" x14ac:dyDescent="0.25">
      <c r="A351" s="1634">
        <v>2</v>
      </c>
      <c r="B351" s="1635" t="s">
        <v>2026</v>
      </c>
      <c r="C351" s="1662" t="s">
        <v>940</v>
      </c>
      <c r="D351" s="1634" t="s">
        <v>936</v>
      </c>
      <c r="E351" s="1637"/>
      <c r="F351" s="1360"/>
      <c r="G351" s="1414"/>
      <c r="H351" s="1414"/>
      <c r="I351" s="1365"/>
      <c r="J351" s="1365"/>
      <c r="K351" s="1360"/>
      <c r="L351" s="1381" t="s">
        <v>2027</v>
      </c>
      <c r="M351" s="1381" t="s">
        <v>1773</v>
      </c>
      <c r="N351" s="1382" t="s">
        <v>1773</v>
      </c>
      <c r="O351" s="1383" t="s">
        <v>2028</v>
      </c>
      <c r="P351" s="1538">
        <v>0</v>
      </c>
      <c r="Q351" s="1562">
        <f t="shared" si="65"/>
        <v>0</v>
      </c>
      <c r="R351" s="1562">
        <f t="shared" si="65"/>
        <v>0</v>
      </c>
      <c r="S351" s="1540">
        <f t="shared" si="65"/>
        <v>0.89292959999999999</v>
      </c>
      <c r="T351" s="1594">
        <f t="shared" si="62"/>
        <v>0.89292959999999999</v>
      </c>
      <c r="U351" s="1595">
        <v>0</v>
      </c>
      <c r="V351" s="1595">
        <v>0</v>
      </c>
      <c r="W351" s="1595">
        <v>0</v>
      </c>
      <c r="X351" s="1595"/>
      <c r="Y351" s="1595"/>
      <c r="Z351" s="1595"/>
      <c r="AA351" s="1595"/>
      <c r="AB351" s="1595"/>
      <c r="AC351" s="1576"/>
      <c r="AD351" s="1550"/>
      <c r="AE351" s="1550"/>
      <c r="AF351" s="1550"/>
      <c r="AG351" s="1541">
        <f t="shared" si="63"/>
        <v>0</v>
      </c>
      <c r="AH351" s="1596"/>
      <c r="AI351" s="1596"/>
      <c r="AJ351" s="1596"/>
      <c r="AK351" s="1596"/>
      <c r="AL351" s="1596"/>
      <c r="AM351" s="1596"/>
      <c r="AN351" s="1596"/>
      <c r="AO351" s="1596"/>
      <c r="AP351" s="1538">
        <v>0</v>
      </c>
      <c r="AQ351" s="1542">
        <v>0</v>
      </c>
      <c r="AR351" s="1542">
        <v>0</v>
      </c>
      <c r="AS351" s="1542">
        <f>8929296/10000000</f>
        <v>0.89292959999999999</v>
      </c>
      <c r="AT351" s="1594">
        <f t="shared" si="64"/>
        <v>0.89292959999999999</v>
      </c>
      <c r="AU351" s="1565"/>
      <c r="AV351" s="1565">
        <v>0</v>
      </c>
      <c r="AW351" s="1565">
        <v>0</v>
      </c>
      <c r="AX351" s="1565"/>
      <c r="AY351" s="1565"/>
      <c r="AZ351" s="1565"/>
      <c r="BA351" s="1565"/>
      <c r="BB351" s="1565"/>
      <c r="BC351" s="1380"/>
      <c r="BD351" s="1380" t="s">
        <v>1595</v>
      </c>
      <c r="BE351" s="1613" t="s">
        <v>941</v>
      </c>
      <c r="BG351" s="1319" t="s">
        <v>1773</v>
      </c>
      <c r="BH351" s="1355"/>
    </row>
    <row r="352" spans="1:16381" ht="58" outlineLevel="2" x14ac:dyDescent="0.25">
      <c r="A352" s="1634">
        <v>3</v>
      </c>
      <c r="B352" s="1635" t="s">
        <v>2029</v>
      </c>
      <c r="C352" s="1662" t="s">
        <v>940</v>
      </c>
      <c r="D352" s="1634" t="s">
        <v>936</v>
      </c>
      <c r="E352" s="1637"/>
      <c r="F352" s="1360"/>
      <c r="G352" s="1414"/>
      <c r="H352" s="1414"/>
      <c r="I352" s="1365"/>
      <c r="J352" s="1365"/>
      <c r="K352" s="1360" t="s">
        <v>2030</v>
      </c>
      <c r="L352" s="1381" t="s">
        <v>2031</v>
      </c>
      <c r="M352" s="1381"/>
      <c r="N352" s="1438"/>
      <c r="O352" s="1383" t="s">
        <v>2032</v>
      </c>
      <c r="P352" s="1538">
        <v>0</v>
      </c>
      <c r="Q352" s="1562">
        <v>0</v>
      </c>
      <c r="R352" s="1562">
        <v>0</v>
      </c>
      <c r="S352" s="1540">
        <f>12892632.8/10000000</f>
        <v>1.2892632800000001</v>
      </c>
      <c r="T352" s="1594">
        <f t="shared" si="62"/>
        <v>1.2892632800000001</v>
      </c>
      <c r="U352" s="1657">
        <v>0.91</v>
      </c>
      <c r="V352" s="1595">
        <v>0</v>
      </c>
      <c r="W352" s="1595">
        <v>0</v>
      </c>
      <c r="X352" s="1595"/>
      <c r="Y352" s="1595"/>
      <c r="Z352" s="1595"/>
      <c r="AA352" s="1595"/>
      <c r="AB352" s="1595"/>
      <c r="AC352" s="1576"/>
      <c r="AD352" s="1550"/>
      <c r="AE352" s="1550"/>
      <c r="AF352" s="1550"/>
      <c r="AG352" s="1541">
        <f t="shared" si="63"/>
        <v>0</v>
      </c>
      <c r="AH352" s="1664">
        <v>1</v>
      </c>
      <c r="AI352" s="1596"/>
      <c r="AJ352" s="1596"/>
      <c r="AK352" s="1596"/>
      <c r="AL352" s="1596"/>
      <c r="AM352" s="1596"/>
      <c r="AN352" s="1596"/>
      <c r="AO352" s="1596"/>
      <c r="AP352" s="1538">
        <v>0</v>
      </c>
      <c r="AQ352" s="1542">
        <v>0</v>
      </c>
      <c r="AR352" s="1542">
        <v>0</v>
      </c>
      <c r="AS352" s="1542">
        <v>0</v>
      </c>
      <c r="AT352" s="1594">
        <f t="shared" si="64"/>
        <v>0</v>
      </c>
      <c r="AU352" s="1542">
        <v>2.1992632800000003</v>
      </c>
      <c r="AV352" s="1565">
        <v>0</v>
      </c>
      <c r="AW352" s="1565">
        <v>0</v>
      </c>
      <c r="AX352" s="1565"/>
      <c r="AY352" s="1565"/>
      <c r="AZ352" s="1565"/>
      <c r="BA352" s="1565"/>
      <c r="BB352" s="1565"/>
      <c r="BC352" s="1380"/>
      <c r="BD352" s="1380" t="s">
        <v>1595</v>
      </c>
      <c r="BE352" s="1613" t="s">
        <v>941</v>
      </c>
      <c r="BH352" s="1355"/>
    </row>
    <row r="353" spans="1:60" outlineLevel="2" x14ac:dyDescent="0.25">
      <c r="A353" s="1634">
        <v>4</v>
      </c>
      <c r="B353" s="1635" t="s">
        <v>413</v>
      </c>
      <c r="C353" s="1662"/>
      <c r="D353" s="1634"/>
      <c r="E353" s="1637"/>
      <c r="F353" s="1360"/>
      <c r="G353" s="1414"/>
      <c r="H353" s="1414"/>
      <c r="I353" s="1365"/>
      <c r="J353" s="1365"/>
      <c r="K353" s="1360"/>
      <c r="L353" s="1381"/>
      <c r="M353" s="1381"/>
      <c r="N353" s="1438"/>
      <c r="O353" s="1383"/>
      <c r="P353" s="1538"/>
      <c r="Q353" s="1562"/>
      <c r="R353" s="1562"/>
      <c r="S353" s="1540"/>
      <c r="T353" s="1594">
        <f t="shared" si="62"/>
        <v>0</v>
      </c>
      <c r="U353" s="1669">
        <v>7.2220000000000001E-3</v>
      </c>
      <c r="V353" s="1595"/>
      <c r="W353" s="1595"/>
      <c r="X353" s="1595"/>
      <c r="Y353" s="1595"/>
      <c r="Z353" s="1595"/>
      <c r="AA353" s="1595"/>
      <c r="AB353" s="1595"/>
      <c r="AC353" s="1576"/>
      <c r="AD353" s="1550"/>
      <c r="AE353" s="1550"/>
      <c r="AF353" s="1550"/>
      <c r="AG353" s="1541">
        <f t="shared" si="63"/>
        <v>0</v>
      </c>
      <c r="AH353" s="1664"/>
      <c r="AI353" s="1596"/>
      <c r="AJ353" s="1596"/>
      <c r="AK353" s="1596"/>
      <c r="AL353" s="1596"/>
      <c r="AM353" s="1596"/>
      <c r="AN353" s="1596"/>
      <c r="AO353" s="1596"/>
      <c r="AP353" s="1538"/>
      <c r="AQ353" s="1542"/>
      <c r="AR353" s="1542"/>
      <c r="AS353" s="1542"/>
      <c r="AT353" s="1594">
        <f t="shared" si="64"/>
        <v>0</v>
      </c>
      <c r="AU353" s="1542">
        <v>7.2220000000000001E-3</v>
      </c>
      <c r="AV353" s="1565"/>
      <c r="AW353" s="1565"/>
      <c r="AX353" s="1565"/>
      <c r="AY353" s="1565"/>
      <c r="AZ353" s="1565"/>
      <c r="BA353" s="1565"/>
      <c r="BB353" s="1565"/>
      <c r="BC353" s="1380"/>
      <c r="BD353" s="1380"/>
      <c r="BE353" s="1613" t="s">
        <v>941</v>
      </c>
      <c r="BH353" s="1355"/>
    </row>
    <row r="354" spans="1:60" ht="58" outlineLevel="2" x14ac:dyDescent="0.25">
      <c r="A354" s="1634">
        <v>5</v>
      </c>
      <c r="B354" s="1635" t="s">
        <v>2033</v>
      </c>
      <c r="C354" s="1662" t="s">
        <v>940</v>
      </c>
      <c r="D354" s="1634" t="s">
        <v>936</v>
      </c>
      <c r="E354" s="1637"/>
      <c r="F354" s="1360"/>
      <c r="G354" s="1414"/>
      <c r="H354" s="1414"/>
      <c r="I354" s="1365"/>
      <c r="J354" s="1365"/>
      <c r="K354" s="1360"/>
      <c r="L354" s="1381" t="s">
        <v>2034</v>
      </c>
      <c r="M354" s="1381" t="s">
        <v>1773</v>
      </c>
      <c r="N354" s="1382" t="s">
        <v>1773</v>
      </c>
      <c r="O354" s="1383" t="s">
        <v>2035</v>
      </c>
      <c r="P354" s="1538">
        <v>0</v>
      </c>
      <c r="Q354" s="1562">
        <f t="shared" ref="Q354:S354" si="66">AQ354</f>
        <v>0</v>
      </c>
      <c r="R354" s="1562">
        <f t="shared" si="66"/>
        <v>0</v>
      </c>
      <c r="S354" s="1540">
        <f t="shared" si="66"/>
        <v>2.8638599999999999</v>
      </c>
      <c r="T354" s="1594">
        <f t="shared" si="62"/>
        <v>2.8638599999999999</v>
      </c>
      <c r="U354" s="1595">
        <v>0</v>
      </c>
      <c r="V354" s="1595">
        <v>0</v>
      </c>
      <c r="W354" s="1595">
        <v>0</v>
      </c>
      <c r="X354" s="1595"/>
      <c r="Y354" s="1595"/>
      <c r="Z354" s="1595"/>
      <c r="AA354" s="1595"/>
      <c r="AB354" s="1595"/>
      <c r="AC354" s="1576"/>
      <c r="AD354" s="1550"/>
      <c r="AE354" s="1550"/>
      <c r="AF354" s="1550"/>
      <c r="AG354" s="1541">
        <f t="shared" si="63"/>
        <v>0</v>
      </c>
      <c r="AH354" s="1596"/>
      <c r="AI354" s="1596"/>
      <c r="AJ354" s="1596"/>
      <c r="AK354" s="1596"/>
      <c r="AL354" s="1596"/>
      <c r="AM354" s="1596"/>
      <c r="AN354" s="1596"/>
      <c r="AO354" s="1596"/>
      <c r="AP354" s="1538">
        <v>0</v>
      </c>
      <c r="AQ354" s="1542">
        <v>0</v>
      </c>
      <c r="AR354" s="1542">
        <v>0</v>
      </c>
      <c r="AS354" s="1542">
        <f>28638600/10000000</f>
        <v>2.8638599999999999</v>
      </c>
      <c r="AT354" s="1594">
        <f t="shared" si="64"/>
        <v>2.8638599999999999</v>
      </c>
      <c r="AU354" s="1565">
        <v>0</v>
      </c>
      <c r="AV354" s="1565">
        <v>0</v>
      </c>
      <c r="AW354" s="1565">
        <v>0</v>
      </c>
      <c r="AX354" s="1565"/>
      <c r="AY354" s="1565"/>
      <c r="AZ354" s="1565"/>
      <c r="BA354" s="1565"/>
      <c r="BB354" s="1565"/>
      <c r="BC354" s="1380"/>
      <c r="BD354" s="1380" t="s">
        <v>1595</v>
      </c>
      <c r="BE354" s="1613" t="s">
        <v>941</v>
      </c>
      <c r="BG354" s="1319" t="s">
        <v>1773</v>
      </c>
      <c r="BH354" s="1355">
        <v>10000000</v>
      </c>
    </row>
    <row r="355" spans="1:60" ht="72.5" outlineLevel="2" x14ac:dyDescent="0.25">
      <c r="A355" s="1634">
        <v>6</v>
      </c>
      <c r="B355" s="1635" t="s">
        <v>2036</v>
      </c>
      <c r="C355" s="1662" t="s">
        <v>940</v>
      </c>
      <c r="D355" s="1634" t="s">
        <v>936</v>
      </c>
      <c r="E355" s="1637"/>
      <c r="F355" s="1360"/>
      <c r="G355" s="1414"/>
      <c r="H355" s="1414"/>
      <c r="I355" s="1365"/>
      <c r="J355" s="1365"/>
      <c r="K355" s="1360" t="s">
        <v>2037</v>
      </c>
      <c r="L355" s="1381" t="s">
        <v>2037</v>
      </c>
      <c r="M355" s="1381" t="s">
        <v>2038</v>
      </c>
      <c r="N355" s="1382" t="s">
        <v>2038</v>
      </c>
      <c r="O355" s="1383" t="s">
        <v>2039</v>
      </c>
      <c r="P355" s="1563">
        <v>0</v>
      </c>
      <c r="Q355" s="1562">
        <f>AQ355</f>
        <v>0</v>
      </c>
      <c r="R355" s="1562">
        <f>AR355</f>
        <v>0</v>
      </c>
      <c r="S355" s="1562">
        <v>0</v>
      </c>
      <c r="T355" s="1594">
        <f t="shared" si="62"/>
        <v>0</v>
      </c>
      <c r="U355" s="1540">
        <v>2.9532406999999998</v>
      </c>
      <c r="V355" s="1563"/>
      <c r="W355" s="1563"/>
      <c r="X355" s="1563"/>
      <c r="Y355" s="1563"/>
      <c r="Z355" s="1563"/>
      <c r="AA355" s="1563"/>
      <c r="AB355" s="1563"/>
      <c r="AC355" s="1651"/>
      <c r="AD355" s="1550"/>
      <c r="AE355" s="1550"/>
      <c r="AF355" s="1550"/>
      <c r="AG355" s="1541">
        <f t="shared" si="63"/>
        <v>0</v>
      </c>
      <c r="AH355" s="1576">
        <v>1</v>
      </c>
      <c r="AI355" s="1550"/>
      <c r="AJ355" s="1550"/>
      <c r="AK355" s="1550"/>
      <c r="AL355" s="1550"/>
      <c r="AM355" s="1550"/>
      <c r="AN355" s="1550"/>
      <c r="AO355" s="1550"/>
      <c r="AP355" s="1565">
        <v>0</v>
      </c>
      <c r="AQ355" s="1565">
        <v>0</v>
      </c>
      <c r="AR355" s="1565">
        <v>0</v>
      </c>
      <c r="AS355" s="1565">
        <v>0</v>
      </c>
      <c r="AT355" s="1594">
        <f t="shared" si="64"/>
        <v>0</v>
      </c>
      <c r="AU355" s="1540">
        <v>2.9532406999999998</v>
      </c>
      <c r="AV355" s="1565">
        <v>0</v>
      </c>
      <c r="AW355" s="1565">
        <v>0</v>
      </c>
      <c r="AX355" s="1565">
        <v>0</v>
      </c>
      <c r="AY355" s="1565">
        <v>0</v>
      </c>
      <c r="AZ355" s="1565">
        <v>0</v>
      </c>
      <c r="BA355" s="1565">
        <v>0</v>
      </c>
      <c r="BB355" s="1565">
        <v>0</v>
      </c>
      <c r="BC355" s="1380"/>
      <c r="BD355" s="1380" t="s">
        <v>1595</v>
      </c>
      <c r="BE355" s="1613" t="s">
        <v>941</v>
      </c>
      <c r="BF355" s="1355"/>
    </row>
    <row r="356" spans="1:60" ht="36.75" customHeight="1" outlineLevel="2" x14ac:dyDescent="0.25">
      <c r="A356" s="1634">
        <v>7</v>
      </c>
      <c r="B356" s="1635" t="s">
        <v>2040</v>
      </c>
      <c r="C356" s="1662" t="s">
        <v>940</v>
      </c>
      <c r="D356" s="1634" t="s">
        <v>936</v>
      </c>
      <c r="E356" s="1637"/>
      <c r="F356" s="1360"/>
      <c r="G356" s="1414"/>
      <c r="H356" s="1414"/>
      <c r="I356" s="1365"/>
      <c r="J356" s="1365"/>
      <c r="K356" s="1360"/>
      <c r="L356" s="1381"/>
      <c r="M356" s="1381"/>
      <c r="N356" s="1382"/>
      <c r="O356" s="1383"/>
      <c r="P356" s="1563">
        <v>0</v>
      </c>
      <c r="Q356" s="1563">
        <v>0</v>
      </c>
      <c r="R356" s="1563">
        <v>0</v>
      </c>
      <c r="S356" s="1563">
        <v>0</v>
      </c>
      <c r="T356" s="1594">
        <f t="shared" si="62"/>
        <v>0</v>
      </c>
      <c r="U356" s="1563">
        <v>0</v>
      </c>
      <c r="V356" s="1574">
        <v>0.68</v>
      </c>
      <c r="W356" s="1563">
        <v>0</v>
      </c>
      <c r="X356" s="1563">
        <v>0</v>
      </c>
      <c r="Y356" s="1563">
        <v>0</v>
      </c>
      <c r="Z356" s="1563">
        <v>0</v>
      </c>
      <c r="AA356" s="1563">
        <v>0</v>
      </c>
      <c r="AB356" s="1563">
        <v>0</v>
      </c>
      <c r="AC356" s="1651"/>
      <c r="AD356" s="1651"/>
      <c r="AE356" s="1651"/>
      <c r="AF356" s="1651"/>
      <c r="AG356" s="1541">
        <f t="shared" si="63"/>
        <v>0</v>
      </c>
      <c r="AH356" s="1651"/>
      <c r="AI356" s="1550"/>
      <c r="AJ356" s="1576">
        <v>1</v>
      </c>
      <c r="AK356" s="1550"/>
      <c r="AL356" s="1550"/>
      <c r="AM356" s="1550"/>
      <c r="AN356" s="1550"/>
      <c r="AO356" s="1550"/>
      <c r="AP356" s="1565">
        <v>0</v>
      </c>
      <c r="AQ356" s="1565">
        <v>0</v>
      </c>
      <c r="AR356" s="1565">
        <v>0</v>
      </c>
      <c r="AS356" s="1565">
        <v>0</v>
      </c>
      <c r="AT356" s="1594">
        <f t="shared" si="64"/>
        <v>0</v>
      </c>
      <c r="AU356" s="1565">
        <v>0</v>
      </c>
      <c r="AV356" s="1565">
        <v>0</v>
      </c>
      <c r="AW356" s="1574">
        <v>0.67830000000000001</v>
      </c>
      <c r="AX356" s="1565">
        <v>0</v>
      </c>
      <c r="AY356" s="1565">
        <v>0</v>
      </c>
      <c r="AZ356" s="1565">
        <v>0</v>
      </c>
      <c r="BA356" s="1565">
        <v>0</v>
      </c>
      <c r="BB356" s="1565">
        <v>0</v>
      </c>
      <c r="BC356" s="1380"/>
      <c r="BD356" s="1380" t="s">
        <v>2041</v>
      </c>
      <c r="BE356" s="1613" t="s">
        <v>939</v>
      </c>
      <c r="BF356" s="1355"/>
    </row>
    <row r="357" spans="1:60" ht="50.25" customHeight="1" outlineLevel="2" x14ac:dyDescent="0.25">
      <c r="A357" s="1634">
        <v>8</v>
      </c>
      <c r="B357" s="1635" t="s">
        <v>2042</v>
      </c>
      <c r="C357" s="1662" t="s">
        <v>940</v>
      </c>
      <c r="D357" s="1634" t="s">
        <v>936</v>
      </c>
      <c r="E357" s="1637"/>
      <c r="F357" s="1360"/>
      <c r="G357" s="1414"/>
      <c r="H357" s="1414"/>
      <c r="I357" s="1365"/>
      <c r="J357" s="1365"/>
      <c r="K357" s="1360" t="s">
        <v>2043</v>
      </c>
      <c r="L357" s="1381"/>
      <c r="M357" s="1381" t="s">
        <v>2044</v>
      </c>
      <c r="N357" s="1382"/>
      <c r="O357" s="1383" t="s">
        <v>2045</v>
      </c>
      <c r="P357" s="1563">
        <v>0</v>
      </c>
      <c r="Q357" s="1563">
        <v>0</v>
      </c>
      <c r="R357" s="1563">
        <v>0</v>
      </c>
      <c r="S357" s="1563">
        <v>0</v>
      </c>
      <c r="T357" s="1594">
        <f t="shared" si="62"/>
        <v>0</v>
      </c>
      <c r="U357" s="1563">
        <v>0</v>
      </c>
      <c r="V357" s="1563">
        <v>0</v>
      </c>
      <c r="W357" s="1574">
        <v>2.972</v>
      </c>
      <c r="X357" s="1563">
        <v>0</v>
      </c>
      <c r="Y357" s="1563">
        <v>0</v>
      </c>
      <c r="Z357" s="1563">
        <v>0</v>
      </c>
      <c r="AA357" s="1563">
        <v>0</v>
      </c>
      <c r="AB357" s="1563">
        <v>0</v>
      </c>
      <c r="AC357" s="1651"/>
      <c r="AD357" s="1550"/>
      <c r="AE357" s="1550"/>
      <c r="AF357" s="1550"/>
      <c r="AG357" s="1541">
        <f t="shared" si="63"/>
        <v>0</v>
      </c>
      <c r="AH357" s="1550"/>
      <c r="AI357" s="1550"/>
      <c r="AJ357" s="1576">
        <v>1</v>
      </c>
      <c r="AK357" s="1550"/>
      <c r="AL357" s="1550"/>
      <c r="AM357" s="1550"/>
      <c r="AN357" s="1550"/>
      <c r="AO357" s="1550"/>
      <c r="AP357" s="1565">
        <v>0</v>
      </c>
      <c r="AQ357" s="1565">
        <v>0</v>
      </c>
      <c r="AR357" s="1565">
        <v>0</v>
      </c>
      <c r="AS357" s="1565">
        <v>0</v>
      </c>
      <c r="AT357" s="1594">
        <f t="shared" si="64"/>
        <v>0</v>
      </c>
      <c r="AU357" s="1565">
        <v>0</v>
      </c>
      <c r="AV357" s="1565">
        <v>0</v>
      </c>
      <c r="AW357" s="1579">
        <v>2.972</v>
      </c>
      <c r="AX357" s="1565">
        <v>0</v>
      </c>
      <c r="AY357" s="1565">
        <v>0</v>
      </c>
      <c r="AZ357" s="1565">
        <v>0</v>
      </c>
      <c r="BA357" s="1565">
        <v>0</v>
      </c>
      <c r="BB357" s="1565">
        <v>0</v>
      </c>
      <c r="BC357" s="1383"/>
      <c r="BD357" s="1383" t="s">
        <v>2046</v>
      </c>
      <c r="BE357" s="1613" t="s">
        <v>939</v>
      </c>
      <c r="BF357" s="1355"/>
    </row>
    <row r="358" spans="1:60" ht="65.25" customHeight="1" outlineLevel="2" x14ac:dyDescent="0.25">
      <c r="A358" s="1634">
        <v>9</v>
      </c>
      <c r="B358" s="1635" t="s">
        <v>2047</v>
      </c>
      <c r="C358" s="1662" t="s">
        <v>940</v>
      </c>
      <c r="D358" s="1634" t="s">
        <v>936</v>
      </c>
      <c r="E358" s="1637"/>
      <c r="F358" s="1360"/>
      <c r="G358" s="1414"/>
      <c r="H358" s="1414"/>
      <c r="I358" s="1365"/>
      <c r="J358" s="1365"/>
      <c r="K358" s="1360" t="s">
        <v>2043</v>
      </c>
      <c r="L358" s="1381"/>
      <c r="M358" s="1381" t="s">
        <v>2044</v>
      </c>
      <c r="N358" s="1382"/>
      <c r="O358" s="1383" t="s">
        <v>2048</v>
      </c>
      <c r="P358" s="1563">
        <v>0</v>
      </c>
      <c r="Q358" s="1563">
        <v>0</v>
      </c>
      <c r="R358" s="1563">
        <v>0</v>
      </c>
      <c r="S358" s="1563">
        <v>0</v>
      </c>
      <c r="T358" s="1594">
        <f t="shared" si="62"/>
        <v>0</v>
      </c>
      <c r="U358" s="1563">
        <v>0</v>
      </c>
      <c r="V358" s="1563">
        <v>0</v>
      </c>
      <c r="W358" s="1574">
        <v>2.79</v>
      </c>
      <c r="X358" s="1563">
        <v>0</v>
      </c>
      <c r="Y358" s="1563">
        <v>0</v>
      </c>
      <c r="Z358" s="1563">
        <v>0</v>
      </c>
      <c r="AA358" s="1563">
        <v>0</v>
      </c>
      <c r="AB358" s="1563">
        <v>0</v>
      </c>
      <c r="AC358" s="1651"/>
      <c r="AD358" s="1550"/>
      <c r="AE358" s="1550"/>
      <c r="AF358" s="1550"/>
      <c r="AG358" s="1541">
        <f t="shared" si="63"/>
        <v>0</v>
      </c>
      <c r="AH358" s="1550"/>
      <c r="AI358" s="1550"/>
      <c r="AJ358" s="1576">
        <v>1</v>
      </c>
      <c r="AK358" s="1550"/>
      <c r="AL358" s="1550"/>
      <c r="AM358" s="1550"/>
      <c r="AN358" s="1550"/>
      <c r="AO358" s="1550"/>
      <c r="AP358" s="1565">
        <v>0</v>
      </c>
      <c r="AQ358" s="1565">
        <v>0</v>
      </c>
      <c r="AR358" s="1565">
        <v>0</v>
      </c>
      <c r="AS358" s="1565">
        <v>0</v>
      </c>
      <c r="AT358" s="1594">
        <f t="shared" si="64"/>
        <v>0</v>
      </c>
      <c r="AU358" s="1565">
        <v>0</v>
      </c>
      <c r="AV358" s="1565">
        <v>0</v>
      </c>
      <c r="AW358" s="1579">
        <v>2.79</v>
      </c>
      <c r="AX358" s="1565">
        <v>0</v>
      </c>
      <c r="AY358" s="1565">
        <v>0</v>
      </c>
      <c r="AZ358" s="1565">
        <v>0</v>
      </c>
      <c r="BA358" s="1565">
        <v>0</v>
      </c>
      <c r="BB358" s="1565">
        <v>0</v>
      </c>
      <c r="BC358" s="1383"/>
      <c r="BD358" s="1383" t="s">
        <v>2049</v>
      </c>
      <c r="BE358" s="1613" t="s">
        <v>939</v>
      </c>
      <c r="BF358" s="1355"/>
    </row>
    <row r="359" spans="1:60" ht="101.5" outlineLevel="2" x14ac:dyDescent="0.25">
      <c r="A359" s="1634">
        <v>10</v>
      </c>
      <c r="B359" s="1635" t="s">
        <v>2050</v>
      </c>
      <c r="C359" s="1662" t="s">
        <v>940</v>
      </c>
      <c r="D359" s="1634" t="s">
        <v>936</v>
      </c>
      <c r="E359" s="1637"/>
      <c r="F359" s="1360"/>
      <c r="G359" s="1414"/>
      <c r="H359" s="1414"/>
      <c r="I359" s="1365"/>
      <c r="J359" s="1365"/>
      <c r="K359" s="1360" t="s">
        <v>2051</v>
      </c>
      <c r="L359" s="1381"/>
      <c r="M359" s="1381" t="s">
        <v>2044</v>
      </c>
      <c r="N359" s="1382"/>
      <c r="O359" s="1383" t="s">
        <v>2052</v>
      </c>
      <c r="P359" s="1563">
        <v>0</v>
      </c>
      <c r="Q359" s="1563">
        <v>0</v>
      </c>
      <c r="R359" s="1563">
        <v>0</v>
      </c>
      <c r="S359" s="1563">
        <v>0</v>
      </c>
      <c r="T359" s="1594">
        <f t="shared" si="62"/>
        <v>0</v>
      </c>
      <c r="U359" s="1563">
        <v>0</v>
      </c>
      <c r="V359" s="1563">
        <v>0</v>
      </c>
      <c r="W359" s="1574">
        <v>2.94</v>
      </c>
      <c r="X359" s="1563"/>
      <c r="Y359" s="1563">
        <v>0</v>
      </c>
      <c r="Z359" s="1563">
        <v>0</v>
      </c>
      <c r="AA359" s="1563">
        <v>0</v>
      </c>
      <c r="AB359" s="1563">
        <v>0</v>
      </c>
      <c r="AC359" s="1651"/>
      <c r="AD359" s="1550"/>
      <c r="AE359" s="1550"/>
      <c r="AF359" s="1550"/>
      <c r="AG359" s="1541">
        <f t="shared" si="63"/>
        <v>0</v>
      </c>
      <c r="AH359" s="1550"/>
      <c r="AI359" s="1550"/>
      <c r="AJ359" s="1576">
        <v>1</v>
      </c>
      <c r="AK359" s="1550"/>
      <c r="AL359" s="1550"/>
      <c r="AM359" s="1550"/>
      <c r="AN359" s="1550"/>
      <c r="AO359" s="1550"/>
      <c r="AP359" s="1565">
        <v>0</v>
      </c>
      <c r="AQ359" s="1565">
        <v>0</v>
      </c>
      <c r="AR359" s="1565">
        <v>0</v>
      </c>
      <c r="AS359" s="1565">
        <v>0</v>
      </c>
      <c r="AT359" s="1594">
        <f t="shared" si="64"/>
        <v>0</v>
      </c>
      <c r="AU359" s="1565">
        <v>0</v>
      </c>
      <c r="AV359" s="1565">
        <v>0</v>
      </c>
      <c r="AW359" s="1579">
        <v>2.94</v>
      </c>
      <c r="AX359" s="1565">
        <v>0</v>
      </c>
      <c r="AY359" s="1565">
        <v>0</v>
      </c>
      <c r="AZ359" s="1565">
        <v>0</v>
      </c>
      <c r="BA359" s="1565">
        <v>0</v>
      </c>
      <c r="BB359" s="1565">
        <v>0</v>
      </c>
      <c r="BC359" s="1383"/>
      <c r="BD359" s="1383" t="s">
        <v>2053</v>
      </c>
      <c r="BE359" s="1613" t="s">
        <v>939</v>
      </c>
      <c r="BF359" s="1355"/>
    </row>
    <row r="360" spans="1:60" ht="64.5" customHeight="1" outlineLevel="2" x14ac:dyDescent="0.25">
      <c r="A360" s="1634">
        <v>11</v>
      </c>
      <c r="B360" s="1635" t="s">
        <v>2099</v>
      </c>
      <c r="C360" s="1662"/>
      <c r="D360" s="1634"/>
      <c r="E360" s="1637"/>
      <c r="F360" s="1360"/>
      <c r="G360" s="1414"/>
      <c r="H360" s="1414"/>
      <c r="I360" s="1365"/>
      <c r="J360" s="1365"/>
      <c r="K360" s="1360"/>
      <c r="L360" s="1381"/>
      <c r="M360" s="1381"/>
      <c r="N360" s="1382"/>
      <c r="O360" s="1383" t="s">
        <v>2100</v>
      </c>
      <c r="P360" s="1563"/>
      <c r="Q360" s="1563"/>
      <c r="R360" s="1563"/>
      <c r="S360" s="1563"/>
      <c r="T360" s="1594"/>
      <c r="U360" s="1563"/>
      <c r="V360" s="1563"/>
      <c r="W360" s="1579">
        <v>1.57</v>
      </c>
      <c r="X360" s="1563"/>
      <c r="Y360" s="1563"/>
      <c r="Z360" s="1563"/>
      <c r="AA360" s="1563"/>
      <c r="AB360" s="1563"/>
      <c r="AC360" s="1651"/>
      <c r="AD360" s="1550"/>
      <c r="AE360" s="1550"/>
      <c r="AF360" s="1550"/>
      <c r="AG360" s="1541">
        <v>0</v>
      </c>
      <c r="AH360" s="1550"/>
      <c r="AI360" s="1550"/>
      <c r="AJ360" s="1576">
        <v>1</v>
      </c>
      <c r="AK360" s="1550"/>
      <c r="AL360" s="1550"/>
      <c r="AM360" s="1550"/>
      <c r="AN360" s="1550"/>
      <c r="AO360" s="1550"/>
      <c r="AP360" s="1565"/>
      <c r="AQ360" s="1565"/>
      <c r="AR360" s="1565"/>
      <c r="AS360" s="1565"/>
      <c r="AT360" s="1594"/>
      <c r="AU360" s="1565"/>
      <c r="AV360" s="1565"/>
      <c r="AW360" s="1579">
        <v>1.57</v>
      </c>
      <c r="AX360" s="1565"/>
      <c r="AY360" s="1565"/>
      <c r="AZ360" s="1565"/>
      <c r="BA360" s="1565"/>
      <c r="BB360" s="1565"/>
      <c r="BC360" s="1383"/>
      <c r="BD360" s="1383" t="s">
        <v>2101</v>
      </c>
      <c r="BE360" s="1613" t="s">
        <v>939</v>
      </c>
      <c r="BF360" s="1355"/>
    </row>
    <row r="361" spans="1:60" ht="33.75" customHeight="1" outlineLevel="2" x14ac:dyDescent="0.25">
      <c r="A361" s="1634">
        <v>12</v>
      </c>
      <c r="B361" s="1635" t="s">
        <v>2054</v>
      </c>
      <c r="C361" s="1662"/>
      <c r="D361" s="1634"/>
      <c r="E361" s="1637"/>
      <c r="F361" s="1360"/>
      <c r="G361" s="1414"/>
      <c r="H361" s="1414"/>
      <c r="I361" s="1365"/>
      <c r="J361" s="1365"/>
      <c r="K361" s="1360"/>
      <c r="L361" s="1381"/>
      <c r="M361" s="1381"/>
      <c r="N361" s="1382"/>
      <c r="O361" s="1383"/>
      <c r="P361" s="1563"/>
      <c r="Q361" s="1573">
        <v>0.82397332400000001</v>
      </c>
      <c r="R361" s="1573">
        <v>0.19699691899999999</v>
      </c>
      <c r="S361" s="1540">
        <v>0.89768939400000003</v>
      </c>
      <c r="T361" s="1594">
        <f t="shared" si="62"/>
        <v>1.9186596370000002</v>
      </c>
      <c r="U361" s="1540">
        <v>0.72073421199999987</v>
      </c>
      <c r="V361" s="1563">
        <v>0</v>
      </c>
      <c r="W361" s="1579">
        <v>0.82</v>
      </c>
      <c r="X361" s="1579">
        <v>0.31</v>
      </c>
      <c r="Y361" s="1579">
        <v>0.31</v>
      </c>
      <c r="Z361" s="1579">
        <v>0.31</v>
      </c>
      <c r="AA361" s="1579">
        <v>0.31</v>
      </c>
      <c r="AB361" s="1579">
        <v>0.31</v>
      </c>
      <c r="AC361" s="1562"/>
      <c r="AD361" s="1562"/>
      <c r="AE361" s="1550"/>
      <c r="AF361" s="1550"/>
      <c r="AG361" s="1541">
        <f t="shared" si="63"/>
        <v>0</v>
      </c>
      <c r="AH361" s="1550"/>
      <c r="AI361" s="1550"/>
      <c r="AJ361" s="1550"/>
      <c r="AK361" s="1550"/>
      <c r="AL361" s="1550"/>
      <c r="AM361" s="1550"/>
      <c r="AN361" s="1550"/>
      <c r="AO361" s="1550"/>
      <c r="AP361" s="1538"/>
      <c r="AQ361" s="1542">
        <v>0.71897412400000005</v>
      </c>
      <c r="AR361" s="1542">
        <v>0.236987119</v>
      </c>
      <c r="AS361" s="1542">
        <v>0.86461109400000002</v>
      </c>
      <c r="AT361" s="1594">
        <f t="shared" si="64"/>
        <v>1.8205723370000002</v>
      </c>
      <c r="AU361" s="1542">
        <v>0.56000000000000005</v>
      </c>
      <c r="AV361" s="1579">
        <v>9.8087331999999999E-2</v>
      </c>
      <c r="AW361" s="1579">
        <v>0.81679999999999997</v>
      </c>
      <c r="AX361" s="1579">
        <v>0.31</v>
      </c>
      <c r="AY361" s="1579">
        <v>0.31</v>
      </c>
      <c r="AZ361" s="1579">
        <v>0.31</v>
      </c>
      <c r="BA361" s="1579">
        <v>0.31</v>
      </c>
      <c r="BB361" s="1579">
        <v>0.31</v>
      </c>
      <c r="BC361" s="1380"/>
      <c r="BD361" s="1380"/>
      <c r="BE361" s="1613" t="s">
        <v>941</v>
      </c>
    </row>
    <row r="362" spans="1:60" x14ac:dyDescent="0.25">
      <c r="A362" s="1714"/>
      <c r="B362" s="1439" t="s">
        <v>270</v>
      </c>
      <c r="C362" s="1323"/>
      <c r="D362" s="1323"/>
      <c r="E362" s="1322"/>
      <c r="F362" s="1356"/>
      <c r="G362" s="1439"/>
      <c r="H362" s="1439"/>
      <c r="I362" s="1439"/>
      <c r="J362" s="1439"/>
      <c r="K362" s="1322"/>
      <c r="L362" s="1440"/>
      <c r="M362" s="1440"/>
      <c r="N362" s="1441"/>
      <c r="O362" s="1439"/>
      <c r="P362" s="1535">
        <f t="shared" ref="P362:AB362" si="67">SUM(P10:P361)</f>
        <v>277.85216000000003</v>
      </c>
      <c r="Q362" s="1535">
        <f t="shared" si="67"/>
        <v>21.39337931</v>
      </c>
      <c r="R362" s="1535">
        <f t="shared" si="67"/>
        <v>33.288438206000002</v>
      </c>
      <c r="S362" s="1535">
        <f t="shared" si="67"/>
        <v>81.318917241000008</v>
      </c>
      <c r="T362" s="1535">
        <f t="shared" si="67"/>
        <v>413.852894757</v>
      </c>
      <c r="U362" s="1535">
        <f t="shared" si="67"/>
        <v>22.063076291999995</v>
      </c>
      <c r="V362" s="1535">
        <f t="shared" si="67"/>
        <v>27.2666954</v>
      </c>
      <c r="W362" s="1535">
        <f t="shared" si="67"/>
        <v>194.25299130000002</v>
      </c>
      <c r="X362" s="1535">
        <f t="shared" si="67"/>
        <v>558.79830000000004</v>
      </c>
      <c r="Y362" s="1535">
        <f t="shared" si="67"/>
        <v>548.5</v>
      </c>
      <c r="Z362" s="1535">
        <f t="shared" si="67"/>
        <v>226.39999999999998</v>
      </c>
      <c r="AA362" s="1535">
        <f t="shared" si="67"/>
        <v>237.61</v>
      </c>
      <c r="AB362" s="1535">
        <f t="shared" si="67"/>
        <v>73.08</v>
      </c>
      <c r="AC362" s="1537"/>
      <c r="AD362" s="1715"/>
      <c r="AE362" s="1715"/>
      <c r="AF362" s="1715"/>
      <c r="AG362" s="1715"/>
      <c r="AH362" s="1715"/>
      <c r="AI362" s="1715"/>
      <c r="AJ362" s="1715"/>
      <c r="AK362" s="1715"/>
      <c r="AL362" s="1715"/>
      <c r="AM362" s="1715"/>
      <c r="AN362" s="1715"/>
      <c r="AO362" s="1715"/>
      <c r="AP362" s="1535">
        <f t="shared" ref="AP362:BB362" si="68">SUM(AP10:AP361)</f>
        <v>102.76216000000001</v>
      </c>
      <c r="AQ362" s="1535">
        <f t="shared" si="68"/>
        <v>53.640639310000005</v>
      </c>
      <c r="AR362" s="1535">
        <f t="shared" si="68"/>
        <v>26.411331206</v>
      </c>
      <c r="AS362" s="1535">
        <f t="shared" si="68"/>
        <v>63.394121661</v>
      </c>
      <c r="AT362" s="1535">
        <f t="shared" si="68"/>
        <v>246.20825217699991</v>
      </c>
      <c r="AU362" s="1535">
        <f t="shared" si="68"/>
        <v>34.321430479999997</v>
      </c>
      <c r="AV362" s="1535">
        <f t="shared" si="68"/>
        <v>7.8647827320000001</v>
      </c>
      <c r="AW362" s="1535">
        <f t="shared" si="68"/>
        <v>66.711397300000002</v>
      </c>
      <c r="AX362" s="1535">
        <f t="shared" si="68"/>
        <v>577.97829999999999</v>
      </c>
      <c r="AY362" s="1535">
        <f t="shared" si="68"/>
        <v>479.00000000000011</v>
      </c>
      <c r="AZ362" s="1535">
        <f t="shared" si="68"/>
        <v>165.89999999999998</v>
      </c>
      <c r="BA362" s="1535">
        <f t="shared" si="68"/>
        <v>512.6099999999999</v>
      </c>
      <c r="BB362" s="1535">
        <f t="shared" si="68"/>
        <v>73.08</v>
      </c>
      <c r="BC362" s="1716">
        <f>SUM(BC11:BC361)</f>
        <v>2.5299999999999998</v>
      </c>
      <c r="BD362" s="1439"/>
      <c r="BE362" s="1323"/>
    </row>
    <row r="364" spans="1:60" x14ac:dyDescent="0.25">
      <c r="Q364" s="1717"/>
      <c r="R364" s="1717"/>
      <c r="S364" s="1518"/>
      <c r="T364" s="1518"/>
      <c r="U364" s="1518"/>
      <c r="V364" s="1518"/>
      <c r="W364" s="1518"/>
      <c r="X364" s="1518"/>
      <c r="Y364" s="1518"/>
      <c r="Z364" s="1518"/>
      <c r="AA364" s="1518"/>
      <c r="AB364" s="1518"/>
      <c r="AC364" s="1718"/>
      <c r="AD364" s="1718"/>
      <c r="AE364" s="1718"/>
      <c r="AF364" s="1718"/>
      <c r="AG364" s="1718"/>
      <c r="AH364" s="1718"/>
      <c r="AI364" s="1718"/>
      <c r="AJ364" s="1718"/>
      <c r="AK364" s="1718"/>
      <c r="AL364" s="1718"/>
      <c r="AM364" s="1718"/>
      <c r="AN364" s="1718"/>
      <c r="AO364" s="1718"/>
      <c r="AP364" s="1518"/>
      <c r="AQ364" s="1518"/>
      <c r="AR364" s="1518"/>
      <c r="AS364" s="1518"/>
      <c r="AT364" s="1518"/>
      <c r="AU364" s="1518">
        <f>SUM(AU350:AU361)</f>
        <v>5.7197259799999998</v>
      </c>
      <c r="AV364" s="1518">
        <f>SUM(AV350:AV361)</f>
        <v>9.8087331999999999E-2</v>
      </c>
      <c r="AW364" s="1518">
        <f>SUM(AW350:AW361)</f>
        <v>11.767100000000001</v>
      </c>
      <c r="AX364" s="1518"/>
      <c r="AY364" s="1518"/>
      <c r="AZ364" s="1518"/>
      <c r="BA364" s="1518"/>
      <c r="BB364" s="1518"/>
      <c r="BC364" s="1518"/>
    </row>
    <row r="365" spans="1:60" x14ac:dyDescent="0.25">
      <c r="Q365" s="1518"/>
      <c r="R365" s="1518"/>
      <c r="S365" s="1518"/>
      <c r="T365" s="1518"/>
      <c r="U365" s="1518"/>
      <c r="V365" s="1518"/>
      <c r="W365" s="1518"/>
      <c r="X365" s="1518"/>
      <c r="Y365" s="1518"/>
      <c r="Z365" s="1518"/>
      <c r="AA365" s="1518"/>
      <c r="AB365" s="1518"/>
      <c r="AC365" s="1718"/>
      <c r="AD365" s="1718"/>
      <c r="AE365" s="1718"/>
      <c r="AF365" s="1718"/>
      <c r="AG365" s="1718"/>
      <c r="AH365" s="1718"/>
      <c r="AI365" s="1718"/>
      <c r="AJ365" s="1718"/>
      <c r="AK365" s="1718"/>
      <c r="AL365" s="1718"/>
      <c r="AM365" s="1718"/>
      <c r="AN365" s="1718"/>
      <c r="AO365" s="1718"/>
      <c r="AP365" s="1518"/>
      <c r="AQ365" s="1518"/>
      <c r="AR365" s="1518"/>
      <c r="AS365" s="1518"/>
      <c r="AT365" s="1518"/>
      <c r="AU365" s="1518"/>
      <c r="AV365" s="1518"/>
      <c r="AW365" s="1518"/>
      <c r="AX365" s="1518"/>
      <c r="AY365" s="1518"/>
      <c r="AZ365" s="1518"/>
      <c r="BA365" s="1518"/>
      <c r="BB365" s="1518"/>
      <c r="BC365" s="1518"/>
    </row>
    <row r="366" spans="1:60" x14ac:dyDescent="0.25">
      <c r="Q366" s="1717"/>
      <c r="R366" s="1717"/>
      <c r="S366" s="1518"/>
      <c r="T366" s="1518"/>
      <c r="U366" s="1518"/>
      <c r="V366" s="1518"/>
      <c r="W366" s="1518"/>
      <c r="X366" s="1518"/>
      <c r="Y366" s="1518"/>
      <c r="Z366" s="1518"/>
      <c r="AA366" s="1518"/>
      <c r="AB366" s="1518"/>
      <c r="AC366" s="1718"/>
      <c r="AD366" s="1718"/>
      <c r="AE366" s="1718"/>
      <c r="AF366" s="1718"/>
      <c r="AG366" s="1718"/>
      <c r="AH366" s="1718"/>
      <c r="AI366" s="1718"/>
      <c r="AJ366" s="1718"/>
      <c r="AK366" s="1718"/>
      <c r="AL366" s="1718"/>
      <c r="AM366" s="1718"/>
      <c r="AN366" s="1718"/>
      <c r="AO366" s="1718"/>
      <c r="AP366" s="1518"/>
      <c r="AQ366" s="1518"/>
      <c r="AR366" s="1518"/>
      <c r="AS366" s="1518"/>
      <c r="AT366" s="1518"/>
      <c r="AU366" s="1518"/>
      <c r="AV366" s="1518"/>
      <c r="AW366" s="1518"/>
      <c r="AX366" s="1518"/>
      <c r="AY366" s="1518"/>
      <c r="AZ366" s="1518"/>
      <c r="BA366" s="1518"/>
      <c r="BB366" s="1518"/>
      <c r="BC366" s="1518"/>
    </row>
    <row r="369" spans="14:46" x14ac:dyDescent="0.25">
      <c r="Q369" s="1717"/>
      <c r="R369" s="1717"/>
      <c r="U369" s="1518"/>
      <c r="AQ369" s="1518"/>
      <c r="AR369" s="1518"/>
      <c r="AS369" s="1518"/>
      <c r="AT369" s="1518"/>
    </row>
    <row r="373" spans="14:46" x14ac:dyDescent="0.25">
      <c r="Q373" s="1717"/>
      <c r="R373" s="1717"/>
      <c r="S373" s="1518"/>
      <c r="T373" s="1518"/>
    </row>
    <row r="379" spans="14:46" x14ac:dyDescent="0.25">
      <c r="O379" s="1442" t="s">
        <v>2055</v>
      </c>
      <c r="P379" s="1502"/>
      <c r="Q379" s="1719"/>
      <c r="R379" s="1719"/>
      <c r="S379" s="1498"/>
      <c r="T379" s="1498"/>
    </row>
    <row r="380" spans="14:46" x14ac:dyDescent="0.25">
      <c r="N380" s="1720">
        <v>14501</v>
      </c>
      <c r="O380" s="1319" t="s">
        <v>2056</v>
      </c>
      <c r="P380" s="1520"/>
      <c r="U380" s="1721"/>
    </row>
    <row r="381" spans="14:46" x14ac:dyDescent="0.25">
      <c r="N381" s="1720">
        <v>14501</v>
      </c>
      <c r="O381" s="1319" t="s">
        <v>2057</v>
      </c>
      <c r="P381" s="1520"/>
    </row>
    <row r="382" spans="14:46" x14ac:dyDescent="0.25">
      <c r="N382" s="1720">
        <v>14501</v>
      </c>
      <c r="O382" s="1319" t="s">
        <v>2058</v>
      </c>
      <c r="P382" s="1520"/>
    </row>
    <row r="383" spans="14:46" x14ac:dyDescent="0.25">
      <c r="N383" s="1720">
        <v>14501</v>
      </c>
      <c r="O383" s="1319" t="s">
        <v>2059</v>
      </c>
      <c r="P383" s="1520"/>
    </row>
    <row r="384" spans="14:46" x14ac:dyDescent="0.25">
      <c r="N384" s="1720">
        <v>14501</v>
      </c>
      <c r="O384" s="1319" t="s">
        <v>2060</v>
      </c>
      <c r="P384" s="1520"/>
    </row>
    <row r="385" spans="14:20" x14ac:dyDescent="0.25">
      <c r="N385" s="1720">
        <v>14501</v>
      </c>
      <c r="O385" s="1319" t="s">
        <v>2061</v>
      </c>
      <c r="P385" s="1520"/>
    </row>
    <row r="386" spans="14:20" x14ac:dyDescent="0.25">
      <c r="P386" s="1502"/>
      <c r="Q386" s="1722"/>
      <c r="R386" s="1722"/>
      <c r="S386" s="1502"/>
      <c r="T386" s="1502"/>
    </row>
    <row r="387" spans="14:20" x14ac:dyDescent="0.25">
      <c r="P387" s="1519"/>
      <c r="S387" s="1519"/>
      <c r="T387" s="1519"/>
    </row>
    <row r="392" spans="14:20" x14ac:dyDescent="0.25">
      <c r="Q392" s="1719"/>
    </row>
  </sheetData>
  <mergeCells count="35">
    <mergeCell ref="AP4:BB4"/>
    <mergeCell ref="BC4:BC6"/>
    <mergeCell ref="BD4:BD6"/>
    <mergeCell ref="BE4:BE6"/>
    <mergeCell ref="P5:P6"/>
    <mergeCell ref="T5:T6"/>
    <mergeCell ref="AC5:AC6"/>
    <mergeCell ref="AG5:AG6"/>
    <mergeCell ref="AP5:AP6"/>
    <mergeCell ref="AT5:AT6"/>
    <mergeCell ref="AC4:AO4"/>
    <mergeCell ref="O225:O228"/>
    <mergeCell ref="O231:O234"/>
    <mergeCell ref="O4:O6"/>
    <mergeCell ref="P4:AB4"/>
    <mergeCell ref="O12:O14"/>
    <mergeCell ref="O48:O49"/>
    <mergeCell ref="O58:O59"/>
    <mergeCell ref="O64:O65"/>
    <mergeCell ref="O169:O171"/>
    <mergeCell ref="A4:A6"/>
    <mergeCell ref="B4:B6"/>
    <mergeCell ref="C4:C6"/>
    <mergeCell ref="D4:D6"/>
    <mergeCell ref="O196:O199"/>
    <mergeCell ref="E4:E6"/>
    <mergeCell ref="F4:F6"/>
    <mergeCell ref="G4:G6"/>
    <mergeCell ref="H4:H6"/>
    <mergeCell ref="I4:I6"/>
    <mergeCell ref="J4:J6"/>
    <mergeCell ref="K4:K6"/>
    <mergeCell ref="L4:L6"/>
    <mergeCell ref="M4:M6"/>
    <mergeCell ref="N4:N6"/>
  </mergeCells>
  <conditionalFormatting sqref="D10:D11">
    <cfRule type="containsText" dxfId="258" priority="65" operator="containsText" text="DPR not submitted">
      <formula>NOT(ISERROR(SEARCH("DPR not submitted",D10)))</formula>
    </cfRule>
    <cfRule type="containsText" dxfId="257" priority="66" operator="containsText" text="Yet to be approved">
      <formula>NOT(ISERROR(SEARCH("Yet to be approved",D10)))</formula>
    </cfRule>
  </conditionalFormatting>
  <conditionalFormatting sqref="D16:D21">
    <cfRule type="containsText" dxfId="256" priority="123" operator="containsText" text="DPR not submitted">
      <formula>NOT(ISERROR(SEARCH("DPR not submitted",D16)))</formula>
    </cfRule>
    <cfRule type="containsText" dxfId="255" priority="124" operator="containsText" text="Yet to be approved">
      <formula>NOT(ISERROR(SEARCH("Yet to be approved",D16)))</formula>
    </cfRule>
  </conditionalFormatting>
  <conditionalFormatting sqref="D23:D27">
    <cfRule type="containsText" dxfId="254" priority="119" operator="containsText" text="DPR not submitted">
      <formula>NOT(ISERROR(SEARCH("DPR not submitted",D23)))</formula>
    </cfRule>
    <cfRule type="containsText" dxfId="253" priority="120" operator="containsText" text="Yet to be approved">
      <formula>NOT(ISERROR(SEARCH("Yet to be approved",D23)))</formula>
    </cfRule>
  </conditionalFormatting>
  <conditionalFormatting sqref="D29:D30">
    <cfRule type="containsText" dxfId="252" priority="115" operator="containsText" text="DPR not submitted">
      <formula>NOT(ISERROR(SEARCH("DPR not submitted",D29)))</formula>
    </cfRule>
    <cfRule type="containsText" dxfId="251" priority="116" operator="containsText" text="Yet to be approved">
      <formula>NOT(ISERROR(SEARCH("Yet to be approved",D29)))</formula>
    </cfRule>
  </conditionalFormatting>
  <conditionalFormatting sqref="D32:D35">
    <cfRule type="containsText" dxfId="250" priority="111" operator="containsText" text="DPR not submitted">
      <formula>NOT(ISERROR(SEARCH("DPR not submitted",D32)))</formula>
    </cfRule>
    <cfRule type="containsText" dxfId="249" priority="112" operator="containsText" text="Yet to be approved">
      <formula>NOT(ISERROR(SEARCH("Yet to be approved",D32)))</formula>
    </cfRule>
  </conditionalFormatting>
  <conditionalFormatting sqref="D38:D45">
    <cfRule type="containsText" dxfId="248" priority="107" operator="containsText" text="DPR not submitted">
      <formula>NOT(ISERROR(SEARCH("DPR not submitted",D38)))</formula>
    </cfRule>
    <cfRule type="containsText" dxfId="247" priority="108" operator="containsText" text="Yet to be approved">
      <formula>NOT(ISERROR(SEARCH("Yet to be approved",D38)))</formula>
    </cfRule>
  </conditionalFormatting>
  <conditionalFormatting sqref="D47:D49">
    <cfRule type="containsText" dxfId="246" priority="103" operator="containsText" text="DPR not submitted">
      <formula>NOT(ISERROR(SEARCH("DPR not submitted",D47)))</formula>
    </cfRule>
    <cfRule type="containsText" dxfId="245" priority="104" operator="containsText" text="Yet to be approved">
      <formula>NOT(ISERROR(SEARCH("Yet to be approved",D47)))</formula>
    </cfRule>
  </conditionalFormatting>
  <conditionalFormatting sqref="D51:D53">
    <cfRule type="containsText" dxfId="244" priority="99" operator="containsText" text="DPR not submitted">
      <formula>NOT(ISERROR(SEARCH("DPR not submitted",D51)))</formula>
    </cfRule>
    <cfRule type="containsText" dxfId="243" priority="100" operator="containsText" text="Yet to be approved">
      <formula>NOT(ISERROR(SEARCH("Yet to be approved",D51)))</formula>
    </cfRule>
  </conditionalFormatting>
  <conditionalFormatting sqref="D55:D56">
    <cfRule type="containsText" dxfId="242" priority="95" operator="containsText" text="DPR not submitted">
      <formula>NOT(ISERROR(SEARCH("DPR not submitted",D55)))</formula>
    </cfRule>
    <cfRule type="containsText" dxfId="241" priority="96" operator="containsText" text="Yet to be approved">
      <formula>NOT(ISERROR(SEARCH("Yet to be approved",D55)))</formula>
    </cfRule>
  </conditionalFormatting>
  <conditionalFormatting sqref="D61:D62">
    <cfRule type="containsText" dxfId="240" priority="89" operator="containsText" text="DPR not submitted">
      <formula>NOT(ISERROR(SEARCH("DPR not submitted",D61)))</formula>
    </cfRule>
    <cfRule type="containsText" dxfId="239" priority="90" operator="containsText" text="Yet to be approved">
      <formula>NOT(ISERROR(SEARCH("Yet to be approved",D61)))</formula>
    </cfRule>
  </conditionalFormatting>
  <conditionalFormatting sqref="D67:D68">
    <cfRule type="containsText" dxfId="238" priority="85" operator="containsText" text="DPR not submitted">
      <formula>NOT(ISERROR(SEARCH("DPR not submitted",D67)))</formula>
    </cfRule>
    <cfRule type="containsText" dxfId="237" priority="86" operator="containsText" text="Yet to be approved">
      <formula>NOT(ISERROR(SEARCH("Yet to be approved",D67)))</formula>
    </cfRule>
  </conditionalFormatting>
  <conditionalFormatting sqref="D70:D73">
    <cfRule type="containsText" dxfId="236" priority="79" operator="containsText" text="DPR not submitted">
      <formula>NOT(ISERROR(SEARCH("DPR not submitted",D70)))</formula>
    </cfRule>
    <cfRule type="containsText" dxfId="235" priority="80" operator="containsText" text="Yet to be approved">
      <formula>NOT(ISERROR(SEARCH("Yet to be approved",D70)))</formula>
    </cfRule>
  </conditionalFormatting>
  <conditionalFormatting sqref="D75:D79">
    <cfRule type="containsText" dxfId="234" priority="73" operator="containsText" text="DPR not submitted">
      <formula>NOT(ISERROR(SEARCH("DPR not submitted",D75)))</formula>
    </cfRule>
    <cfRule type="containsText" dxfId="233" priority="74" operator="containsText" text="Yet to be approved">
      <formula>NOT(ISERROR(SEARCH("Yet to be approved",D75)))</formula>
    </cfRule>
  </conditionalFormatting>
  <conditionalFormatting sqref="D81:D91">
    <cfRule type="containsText" dxfId="232" priority="67" operator="containsText" text="DPR not submitted">
      <formula>NOT(ISERROR(SEARCH("DPR not submitted",D81)))</formula>
    </cfRule>
    <cfRule type="containsText" dxfId="231" priority="68" operator="containsText" text="Yet to be approved">
      <formula>NOT(ISERROR(SEARCH("Yet to be approved",D81)))</formula>
    </cfRule>
  </conditionalFormatting>
  <conditionalFormatting sqref="D97">
    <cfRule type="containsText" dxfId="230" priority="63" operator="containsText" text="DPR not submitted">
      <formula>NOT(ISERROR(SEARCH("DPR not submitted",D97)))</formula>
    </cfRule>
    <cfRule type="containsText" dxfId="229" priority="64" operator="containsText" text="Yet to be approved">
      <formula>NOT(ISERROR(SEARCH("Yet to be approved",D97)))</formula>
    </cfRule>
  </conditionalFormatting>
  <conditionalFormatting sqref="D104:D111">
    <cfRule type="containsText" dxfId="228" priority="43" operator="containsText" text="DPR not submitted">
      <formula>NOT(ISERROR(SEARCH("DPR not submitted",D104)))</formula>
    </cfRule>
    <cfRule type="containsText" dxfId="227" priority="44" operator="containsText" text="Yet to be approved">
      <formula>NOT(ISERROR(SEARCH("Yet to be approved",D104)))</formula>
    </cfRule>
  </conditionalFormatting>
  <conditionalFormatting sqref="D115:D129">
    <cfRule type="containsText" dxfId="226" priority="9" operator="containsText" text="DPR not submitted">
      <formula>NOT(ISERROR(SEARCH("DPR not submitted",D115)))</formula>
    </cfRule>
    <cfRule type="containsText" dxfId="225" priority="10" operator="containsText" text="Yet to be approved">
      <formula>NOT(ISERROR(SEARCH("Yet to be approved",D115)))</formula>
    </cfRule>
  </conditionalFormatting>
  <conditionalFormatting sqref="D144:D148">
    <cfRule type="containsText" dxfId="224" priority="39" operator="containsText" text="DPR not submitted">
      <formula>NOT(ISERROR(SEARCH("DPR not submitted",D144)))</formula>
    </cfRule>
    <cfRule type="containsText" dxfId="223" priority="40" operator="containsText" text="Yet to be approved">
      <formula>NOT(ISERROR(SEARCH("Yet to be approved",D144)))</formula>
    </cfRule>
  </conditionalFormatting>
  <conditionalFormatting sqref="D12:E15">
    <cfRule type="containsText" dxfId="222" priority="165" operator="containsText" text="DPR not submitted">
      <formula>NOT(ISERROR(SEARCH("DPR not submitted",D12)))</formula>
    </cfRule>
    <cfRule type="containsText" dxfId="221" priority="166" operator="containsText" text="Yet to be approved">
      <formula>NOT(ISERROR(SEARCH("Yet to be approved",D12)))</formula>
    </cfRule>
  </conditionalFormatting>
  <conditionalFormatting sqref="D22:E22">
    <cfRule type="containsText" dxfId="220" priority="163" operator="containsText" text="DPR not submitted">
      <formula>NOT(ISERROR(SEARCH("DPR not submitted",D22)))</formula>
    </cfRule>
    <cfRule type="containsText" dxfId="219" priority="164" operator="containsText" text="Yet to be approved">
      <formula>NOT(ISERROR(SEARCH("Yet to be approved",D22)))</formula>
    </cfRule>
  </conditionalFormatting>
  <conditionalFormatting sqref="D28:E28">
    <cfRule type="containsText" dxfId="218" priority="161" operator="containsText" text="DPR not submitted">
      <formula>NOT(ISERROR(SEARCH("DPR not submitted",D28)))</formula>
    </cfRule>
    <cfRule type="containsText" dxfId="217" priority="162" operator="containsText" text="Yet to be approved">
      <formula>NOT(ISERROR(SEARCH("Yet to be approved",D28)))</formula>
    </cfRule>
  </conditionalFormatting>
  <conditionalFormatting sqref="D31:E31 E92:E96 E98:E103">
    <cfRule type="containsText" dxfId="216" priority="147" operator="containsText" text="DPR not submitted">
      <formula>NOT(ISERROR(SEARCH("DPR not submitted",D31)))</formula>
    </cfRule>
    <cfRule type="containsText" dxfId="215" priority="148" operator="containsText" text="Yet to be approved">
      <formula>NOT(ISERROR(SEARCH("Yet to be approved",D31)))</formula>
    </cfRule>
  </conditionalFormatting>
  <conditionalFormatting sqref="D36:E37">
    <cfRule type="containsText" dxfId="214" priority="159" operator="containsText" text="DPR not submitted">
      <formula>NOT(ISERROR(SEARCH("DPR not submitted",D36)))</formula>
    </cfRule>
    <cfRule type="containsText" dxfId="213" priority="160" operator="containsText" text="Yet to be approved">
      <formula>NOT(ISERROR(SEARCH("Yet to be approved",D36)))</formula>
    </cfRule>
  </conditionalFormatting>
  <conditionalFormatting sqref="D46:E46">
    <cfRule type="containsText" dxfId="212" priority="157" operator="containsText" text="DPR not submitted">
      <formula>NOT(ISERROR(SEARCH("DPR not submitted",D46)))</formula>
    </cfRule>
    <cfRule type="containsText" dxfId="211" priority="158" operator="containsText" text="Yet to be approved">
      <formula>NOT(ISERROR(SEARCH("Yet to be approved",D46)))</formula>
    </cfRule>
  </conditionalFormatting>
  <conditionalFormatting sqref="D50:E50">
    <cfRule type="containsText" dxfId="210" priority="155" operator="containsText" text="DPR not submitted">
      <formula>NOT(ISERROR(SEARCH("DPR not submitted",D50)))</formula>
    </cfRule>
    <cfRule type="containsText" dxfId="209" priority="156" operator="containsText" text="Yet to be approved">
      <formula>NOT(ISERROR(SEARCH("Yet to be approved",D50)))</formula>
    </cfRule>
  </conditionalFormatting>
  <conditionalFormatting sqref="D54:E54">
    <cfRule type="containsText" dxfId="208" priority="153" operator="containsText" text="DPR not submitted">
      <formula>NOT(ISERROR(SEARCH("DPR not submitted",D54)))</formula>
    </cfRule>
    <cfRule type="containsText" dxfId="207" priority="154" operator="containsText" text="Yet to be approved">
      <formula>NOT(ISERROR(SEARCH("Yet to be approved",D54)))</formula>
    </cfRule>
  </conditionalFormatting>
  <conditionalFormatting sqref="D58:E60">
    <cfRule type="containsText" dxfId="206" priority="93" operator="containsText" text="DPR not submitted">
      <formula>NOT(ISERROR(SEARCH("DPR not submitted",D58)))</formula>
    </cfRule>
    <cfRule type="containsText" dxfId="205" priority="94" operator="containsText" text="Yet to be approved">
      <formula>NOT(ISERROR(SEARCH("Yet to be approved",D58)))</formula>
    </cfRule>
  </conditionalFormatting>
  <conditionalFormatting sqref="D63:E66">
    <cfRule type="containsText" dxfId="204" priority="61" operator="containsText" text="DPR not submitted">
      <formula>NOT(ISERROR(SEARCH("DPR not submitted",D63)))</formula>
    </cfRule>
    <cfRule type="containsText" dxfId="203" priority="62" operator="containsText" text="Yet to be approved">
      <formula>NOT(ISERROR(SEARCH("Yet to be approved",D63)))</formula>
    </cfRule>
  </conditionalFormatting>
  <conditionalFormatting sqref="D69:E69">
    <cfRule type="containsText" dxfId="202" priority="151" operator="containsText" text="DPR not submitted">
      <formula>NOT(ISERROR(SEARCH("DPR not submitted",D69)))</formula>
    </cfRule>
    <cfRule type="containsText" dxfId="201" priority="152" operator="containsText" text="Yet to be approved">
      <formula>NOT(ISERROR(SEARCH("Yet to be approved",D69)))</formula>
    </cfRule>
  </conditionalFormatting>
  <conditionalFormatting sqref="D80:E80">
    <cfRule type="containsText" dxfId="200" priority="149" operator="containsText" text="DPR not submitted">
      <formula>NOT(ISERROR(SEARCH("DPR not submitted",D80)))</formula>
    </cfRule>
    <cfRule type="containsText" dxfId="199" priority="150" operator="containsText" text="Yet to be approved">
      <formula>NOT(ISERROR(SEARCH("Yet to be approved",D80)))</formula>
    </cfRule>
  </conditionalFormatting>
  <conditionalFormatting sqref="D106:E110">
    <cfRule type="containsText" dxfId="198" priority="47" operator="containsText" text="DPR not submitted">
      <formula>NOT(ISERROR(SEARCH("DPR not submitted",D106)))</formula>
    </cfRule>
    <cfRule type="containsText" dxfId="197" priority="48" operator="containsText" text="Yet to be approved">
      <formula>NOT(ISERROR(SEARCH("Yet to be approved",D106)))</formula>
    </cfRule>
  </conditionalFormatting>
  <conditionalFormatting sqref="D112:E113">
    <cfRule type="containsText" dxfId="196" priority="59" operator="containsText" text="DPR not submitted">
      <formula>NOT(ISERROR(SEARCH("DPR not submitted",D112)))</formula>
    </cfRule>
    <cfRule type="containsText" dxfId="195" priority="60" operator="containsText" text="Yet to be approved">
      <formula>NOT(ISERROR(SEARCH("Yet to be approved",D112)))</formula>
    </cfRule>
  </conditionalFormatting>
  <conditionalFormatting sqref="D128:E129">
    <cfRule type="containsText" dxfId="194" priority="11" operator="containsText" text="DPR not submitted">
      <formula>NOT(ISERROR(SEARCH("DPR not submitted",D128)))</formula>
    </cfRule>
    <cfRule type="containsText" dxfId="193" priority="12" operator="containsText" text="Yet to be approved">
      <formula>NOT(ISERROR(SEARCH("Yet to be approved",D128)))</formula>
    </cfRule>
  </conditionalFormatting>
  <conditionalFormatting sqref="D131:E143">
    <cfRule type="containsText" dxfId="192" priority="37" operator="containsText" text="DPR not submitted">
      <formula>NOT(ISERROR(SEARCH("DPR not submitted",D131)))</formula>
    </cfRule>
    <cfRule type="containsText" dxfId="191" priority="38" operator="containsText" text="Yet to be approved">
      <formula>NOT(ISERROR(SEARCH("Yet to be approved",D131)))</formula>
    </cfRule>
  </conditionalFormatting>
  <conditionalFormatting sqref="D145:E344 D347:E348">
    <cfRule type="containsText" dxfId="190" priority="41" operator="containsText" text="DPR not submitted">
      <formula>NOT(ISERROR(SEARCH("DPR not submitted",D145)))</formula>
    </cfRule>
    <cfRule type="containsText" dxfId="189" priority="42" operator="containsText" text="Yet to be approved">
      <formula>NOT(ISERROR(SEARCH("Yet to be approved",D145)))</formula>
    </cfRule>
  </conditionalFormatting>
  <conditionalFormatting sqref="D350:E392">
    <cfRule type="containsText" dxfId="188" priority="21" operator="containsText" text="DPR not submitted">
      <formula>NOT(ISERROR(SEARCH("DPR not submitted",D350)))</formula>
    </cfRule>
    <cfRule type="containsText" dxfId="187" priority="22" operator="containsText" text="Yet to be approved">
      <formula>NOT(ISERROR(SEARCH("Yet to be approved",D350)))</formula>
    </cfRule>
  </conditionalFormatting>
  <conditionalFormatting sqref="D57:F57">
    <cfRule type="containsText" dxfId="186" priority="137" operator="containsText" text="DPR not submitted">
      <formula>NOT(ISERROR(SEARCH("DPR not submitted",D57)))</formula>
    </cfRule>
    <cfRule type="containsText" dxfId="185" priority="138" operator="containsText" text="Yet to be approved">
      <formula>NOT(ISERROR(SEARCH("Yet to be approved",D57)))</formula>
    </cfRule>
  </conditionalFormatting>
  <conditionalFormatting sqref="E17">
    <cfRule type="containsText" dxfId="184" priority="127" operator="containsText" text="DPR not submitted">
      <formula>NOT(ISERROR(SEARCH("DPR not submitted",E17)))</formula>
    </cfRule>
    <cfRule type="containsText" dxfId="183" priority="128" operator="containsText" text="Yet to be approved">
      <formula>NOT(ISERROR(SEARCH("Yet to be approved",E17)))</formula>
    </cfRule>
  </conditionalFormatting>
  <conditionalFormatting sqref="E19:E21">
    <cfRule type="containsText" dxfId="182" priority="125" operator="containsText" text="DPR not submitted">
      <formula>NOT(ISERROR(SEARCH("DPR not submitted",E19)))</formula>
    </cfRule>
    <cfRule type="containsText" dxfId="181" priority="126" operator="containsText" text="Yet to be approved">
      <formula>NOT(ISERROR(SEARCH("Yet to be approved",E19)))</formula>
    </cfRule>
  </conditionalFormatting>
  <conditionalFormatting sqref="E24:E27">
    <cfRule type="containsText" dxfId="180" priority="121" operator="containsText" text="DPR not submitted">
      <formula>NOT(ISERROR(SEARCH("DPR not submitted",E24)))</formula>
    </cfRule>
    <cfRule type="containsText" dxfId="179" priority="122" operator="containsText" text="Yet to be approved">
      <formula>NOT(ISERROR(SEARCH("Yet to be approved",E24)))</formula>
    </cfRule>
  </conditionalFormatting>
  <conditionalFormatting sqref="E30">
    <cfRule type="containsText" dxfId="178" priority="117" operator="containsText" text="DPR not submitted">
      <formula>NOT(ISERROR(SEARCH("DPR not submitted",E30)))</formula>
    </cfRule>
    <cfRule type="containsText" dxfId="177" priority="118" operator="containsText" text="Yet to be approved">
      <formula>NOT(ISERROR(SEARCH("Yet to be approved",E30)))</formula>
    </cfRule>
  </conditionalFormatting>
  <conditionalFormatting sqref="E33:E35">
    <cfRule type="containsText" dxfId="176" priority="113" operator="containsText" text="DPR not submitted">
      <formula>NOT(ISERROR(SEARCH("DPR not submitted",E33)))</formula>
    </cfRule>
    <cfRule type="containsText" dxfId="175" priority="114" operator="containsText" text="Yet to be approved">
      <formula>NOT(ISERROR(SEARCH("Yet to be approved",E33)))</formula>
    </cfRule>
  </conditionalFormatting>
  <conditionalFormatting sqref="E39:E45">
    <cfRule type="containsText" dxfId="174" priority="109" operator="containsText" text="DPR not submitted">
      <formula>NOT(ISERROR(SEARCH("DPR not submitted",E39)))</formula>
    </cfRule>
    <cfRule type="containsText" dxfId="173" priority="110" operator="containsText" text="Yet to be approved">
      <formula>NOT(ISERROR(SEARCH("Yet to be approved",E39)))</formula>
    </cfRule>
  </conditionalFormatting>
  <conditionalFormatting sqref="E48:E49">
    <cfRule type="containsText" dxfId="172" priority="105" operator="containsText" text="DPR not submitted">
      <formula>NOT(ISERROR(SEARCH("DPR not submitted",E48)))</formula>
    </cfRule>
    <cfRule type="containsText" dxfId="171" priority="106" operator="containsText" text="Yet to be approved">
      <formula>NOT(ISERROR(SEARCH("Yet to be approved",E48)))</formula>
    </cfRule>
  </conditionalFormatting>
  <conditionalFormatting sqref="E52:E53">
    <cfRule type="containsText" dxfId="170" priority="101" operator="containsText" text="DPR not submitted">
      <formula>NOT(ISERROR(SEARCH("DPR not submitted",E52)))</formula>
    </cfRule>
    <cfRule type="containsText" dxfId="169" priority="102" operator="containsText" text="Yet to be approved">
      <formula>NOT(ISERROR(SEARCH("Yet to be approved",E52)))</formula>
    </cfRule>
  </conditionalFormatting>
  <conditionalFormatting sqref="E56">
    <cfRule type="containsText" dxfId="168" priority="97" operator="containsText" text="DPR not submitted">
      <formula>NOT(ISERROR(SEARCH("DPR not submitted",E56)))</formula>
    </cfRule>
    <cfRule type="containsText" dxfId="167" priority="98" operator="containsText" text="Yet to be approved">
      <formula>NOT(ISERROR(SEARCH("Yet to be approved",E56)))</formula>
    </cfRule>
  </conditionalFormatting>
  <conditionalFormatting sqref="E62">
    <cfRule type="containsText" dxfId="166" priority="91" operator="containsText" text="DPR not submitted">
      <formula>NOT(ISERROR(SEARCH("DPR not submitted",E62)))</formula>
    </cfRule>
    <cfRule type="containsText" dxfId="165" priority="92" operator="containsText" text="Yet to be approved">
      <formula>NOT(ISERROR(SEARCH("Yet to be approved",E62)))</formula>
    </cfRule>
  </conditionalFormatting>
  <conditionalFormatting sqref="E68">
    <cfRule type="containsText" dxfId="164" priority="87" operator="containsText" text="DPR not submitted">
      <formula>NOT(ISERROR(SEARCH("DPR not submitted",E68)))</formula>
    </cfRule>
    <cfRule type="containsText" dxfId="163" priority="88" operator="containsText" text="Yet to be approved">
      <formula>NOT(ISERROR(SEARCH("Yet to be approved",E68)))</formula>
    </cfRule>
  </conditionalFormatting>
  <conditionalFormatting sqref="E71">
    <cfRule type="containsText" dxfId="162" priority="83" operator="containsText" text="DPR not submitted">
      <formula>NOT(ISERROR(SEARCH("DPR not submitted",E71)))</formula>
    </cfRule>
    <cfRule type="containsText" dxfId="161" priority="84" operator="containsText" text="Yet to be approved">
      <formula>NOT(ISERROR(SEARCH("Yet to be approved",E71)))</formula>
    </cfRule>
  </conditionalFormatting>
  <conditionalFormatting sqref="E73">
    <cfRule type="containsText" dxfId="160" priority="81" operator="containsText" text="DPR not submitted">
      <formula>NOT(ISERROR(SEARCH("DPR not submitted",E73)))</formula>
    </cfRule>
    <cfRule type="containsText" dxfId="159" priority="82" operator="containsText" text="Yet to be approved">
      <formula>NOT(ISERROR(SEARCH("Yet to be approved",E73)))</formula>
    </cfRule>
  </conditionalFormatting>
  <conditionalFormatting sqref="E76">
    <cfRule type="containsText" dxfId="158" priority="77" operator="containsText" text="DPR not submitted">
      <formula>NOT(ISERROR(SEARCH("DPR not submitted",E76)))</formula>
    </cfRule>
    <cfRule type="containsText" dxfId="157" priority="78" operator="containsText" text="Yet to be approved">
      <formula>NOT(ISERROR(SEARCH("Yet to be approved",E76)))</formula>
    </cfRule>
  </conditionalFormatting>
  <conditionalFormatting sqref="E78:E79">
    <cfRule type="containsText" dxfId="156" priority="75" operator="containsText" text="DPR not submitted">
      <formula>NOT(ISERROR(SEARCH("DPR not submitted",E78)))</formula>
    </cfRule>
    <cfRule type="containsText" dxfId="155" priority="76" operator="containsText" text="Yet to be approved">
      <formula>NOT(ISERROR(SEARCH("Yet to be approved",E78)))</formula>
    </cfRule>
  </conditionalFormatting>
  <conditionalFormatting sqref="E82">
    <cfRule type="containsText" dxfId="154" priority="71" operator="containsText" text="DPR not submitted">
      <formula>NOT(ISERROR(SEARCH("DPR not submitted",E82)))</formula>
    </cfRule>
    <cfRule type="containsText" dxfId="153" priority="72" operator="containsText" text="Yet to be approved">
      <formula>NOT(ISERROR(SEARCH("Yet to be approved",E82)))</formula>
    </cfRule>
  </conditionalFormatting>
  <conditionalFormatting sqref="E84:E90">
    <cfRule type="containsText" dxfId="152" priority="69" operator="containsText" text="DPR not submitted">
      <formula>NOT(ISERROR(SEARCH("DPR not submitted",E84)))</formula>
    </cfRule>
    <cfRule type="containsText" dxfId="151" priority="70" operator="containsText" text="Yet to be approved">
      <formula>NOT(ISERROR(SEARCH("Yet to be approved",E84)))</formula>
    </cfRule>
  </conditionalFormatting>
  <conditionalFormatting sqref="E105:E111">
    <cfRule type="containsText" dxfId="150" priority="45" operator="containsText" text="DPR not submitted">
      <formula>NOT(ISERROR(SEARCH("DPR not submitted",E105)))</formula>
    </cfRule>
    <cfRule type="containsText" dxfId="149" priority="46" operator="containsText" text="Yet to be approved">
      <formula>NOT(ISERROR(SEARCH("Yet to be approved",E105)))</formula>
    </cfRule>
  </conditionalFormatting>
  <conditionalFormatting sqref="E115:E127">
    <cfRule type="containsText" dxfId="148" priority="57" operator="containsText" text="DPR not submitted">
      <formula>NOT(ISERROR(SEARCH("DPR not submitted",E115)))</formula>
    </cfRule>
    <cfRule type="containsText" dxfId="147" priority="58" operator="containsText" text="Yet to be approved">
      <formula>NOT(ISERROR(SEARCH("Yet to be approved",E115)))</formula>
    </cfRule>
  </conditionalFormatting>
  <conditionalFormatting sqref="E144">
    <cfRule type="containsText" dxfId="146" priority="35" operator="containsText" text="DPR not submitted">
      <formula>NOT(ISERROR(SEARCH("DPR not submitted",E144)))</formula>
    </cfRule>
    <cfRule type="containsText" dxfId="145" priority="36" operator="containsText" text="Yet to be approved">
      <formula>NOT(ISERROR(SEARCH("Yet to be approved",E144)))</formula>
    </cfRule>
  </conditionalFormatting>
  <conditionalFormatting sqref="E345 D345:D346">
    <cfRule type="containsText" dxfId="144" priority="33" operator="containsText" text="DPR not submitted">
      <formula>NOT(ISERROR(SEARCH("DPR not submitted",D345)))</formula>
    </cfRule>
    <cfRule type="containsText" dxfId="143" priority="34" operator="containsText" text="Yet to be approved">
      <formula>NOT(ISERROR(SEARCH("Yet to be approved",D345)))</formula>
    </cfRule>
  </conditionalFormatting>
  <conditionalFormatting sqref="BE89">
    <cfRule type="containsText" dxfId="142" priority="23" operator="containsText" text="DPR not submitted">
      <formula>NOT(ISERROR(SEARCH("DPR not submitted",BE89)))</formula>
    </cfRule>
    <cfRule type="containsText" dxfId="141" priority="24" operator="containsText" text="Yet to be approved">
      <formula>NOT(ISERROR(SEARCH("Yet to be approved",BE89)))</formula>
    </cfRule>
  </conditionalFormatting>
  <dataValidations count="11">
    <dataValidation type="date" allowBlank="1" showInputMessage="1" showErrorMessage="1" error="Please enter date in dd-mm-yy or dd-mm-yyyy format" sqref="E91" xr:uid="{28A90AB5-7ADD-47F2-BF01-C22A04E5771F}">
      <formula1>38718</formula1>
      <formula2>73050</formula2>
    </dataValidation>
    <dataValidation type="list" allowBlank="1" showInputMessage="1" showErrorMessage="1" sqref="BE89 C106:C111 C138 C299:C305 C286:C297 C273:C284 C268:C271 C259:C266 C249:C257 C246:C247 C239:C244 C236:C237 C230:C234 C224:C228 C215:C222 C205:C213 C195:C203 C190:C193 C187:C188 C183:C185 C180:C181 C177:C178 C173:C175 C168:C171 C164:C166 C158:C162 C150:C156 C144:C148 C140:C142 C307:C310 C312:C318 C320:C347 C130:C131 C355:C361" xr:uid="{6D4144A3-F624-4142-BEE9-7A35E551DEFF}">
      <formula1>#REF!</formula1>
    </dataValidation>
    <dataValidation type="list" allowBlank="1" showInputMessage="1" showErrorMessage="1" sqref="C311 C149 C143 C139 C132:C137 C258 C248 C238 C245 C235 C229 C223 C214 C204 C194 C189 C186 C182 C179 C176 C172 C167 C163 C157 C267 C272 C285 C298 C306 C319" xr:uid="{B08E0A18-1A0F-4575-A20D-5D4E878B3A19}">
      <formula1>$AS$1:$AS$4</formula1>
    </dataValidation>
    <dataValidation type="list" allowBlank="1" showInputMessage="1" showErrorMessage="1" sqref="BE143 BE347:BE361 BE167 BE10:BE88 BE90:BE130" xr:uid="{ED027F78-9431-4A6C-BF1C-4AD165E4E2C7}">
      <formula1>$BF$1:$BF$8</formula1>
    </dataValidation>
    <dataValidation type="list" allowBlank="1" showInputMessage="1" showErrorMessage="1" sqref="C104:C105" xr:uid="{576F3C25-A477-4515-93E7-301C7D863E83}">
      <formula1>$BW$1:$BW$4</formula1>
    </dataValidation>
    <dataValidation type="list" allowBlank="1" showInputMessage="1" showErrorMessage="1" sqref="BT104:BT105" xr:uid="{2317DC22-695C-485D-8E3C-65BC605748A1}">
      <formula1>$BX$1:$BX$8</formula1>
    </dataValidation>
    <dataValidation type="list" allowBlank="1" showInputMessage="1" showErrorMessage="1" sqref="C74" xr:uid="{307DA29A-2638-40F3-B3D1-D77387AA6E83}">
      <formula1>$BI$1:$BI$4</formula1>
    </dataValidation>
    <dataValidation type="list" allowBlank="1" showInputMessage="1" showErrorMessage="1" sqref="C63 C114:C128 C112" xr:uid="{82251D81-EDC3-463F-BCB7-7B69625FC725}">
      <formula1>$BH$1:$BH$4</formula1>
    </dataValidation>
    <dataValidation type="list" allowBlank="1" showInputMessage="1" showErrorMessage="1" sqref="BE362:BE1048576 BE1:BE9" xr:uid="{DF9AE266-C39C-429E-BC0E-217FD3C4637E}">
      <formula1>$BH$1:$BH$8</formula1>
    </dataValidation>
    <dataValidation type="list" allowBlank="1" showInputMessage="1" showErrorMessage="1" sqref="C10" xr:uid="{BABF06FC-0626-42D6-A04B-55A40ECA8DF9}">
      <formula1>$V$14:$V$16</formula1>
    </dataValidation>
    <dataValidation type="list" allowBlank="1" showInputMessage="1" showErrorMessage="1" sqref="C1:C9 C348:C354 C11:C62 C64:C73 C362:C1048576 C113 C75:C103 C129" xr:uid="{827E16A5-8686-4EF6-88E5-69E4AE8E59B2}">
      <formula1>$BG$1:$BG$4</formula1>
    </dataValidation>
  </dataValidations>
  <printOptions verticalCentered="1"/>
  <pageMargins left="0.39370078740157483" right="0.39370078740157483" top="0.39370078740157483" bottom="0.39370078740157483" header="0.23622047244094491" footer="0.23622047244094491"/>
  <pageSetup paperSize="9" scale="60" pageOrder="overThenDown" orientation="landscape" blackAndWhite="1" r:id="rId1"/>
  <headerFooter alignWithMargins="0"/>
  <colBreaks count="1" manualBreakCount="1">
    <brk id="34" max="223"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39" operator="containsText" id="{A295DD12-017A-47BA-A50D-159A379ABA34}">
            <xm:f>NOT(ISERROR(SEARCH($BH$8,BE1)))</xm:f>
            <xm:f>$BH$8</xm:f>
            <x14:dxf>
              <font>
                <b val="0"/>
                <i/>
                <color rgb="FFFF0000"/>
              </font>
              <fill>
                <patternFill patternType="none"/>
              </fill>
            </x14:dxf>
          </x14:cfRule>
          <x14:cfRule type="containsText" priority="140" operator="containsText" id="{D7E9CA7C-9898-4EB0-9C76-2EF4416E4236}">
            <xm:f>NOT(ISERROR(SEARCH($BH$7,BE1)))</xm:f>
            <xm:f>$BH$7</xm:f>
            <x14:dxf>
              <fill>
                <patternFill patternType="solid">
                  <bgColor theme="0" tint="-0.34998626667073579"/>
                </patternFill>
              </fill>
            </x14:dxf>
          </x14:cfRule>
          <x14:cfRule type="containsText" priority="141" operator="containsText" id="{07E9B002-2420-4BBE-9981-87E1B38F9163}">
            <xm:f>NOT(ISERROR(SEARCH($BH$6,BE1)))</xm:f>
            <xm:f>$BH$6</xm:f>
            <x14:dxf>
              <font>
                <color rgb="FF9C0006"/>
              </font>
              <fill>
                <patternFill patternType="solid">
                  <bgColor rgb="FFFFC7CE"/>
                </patternFill>
              </fill>
            </x14:dxf>
          </x14:cfRule>
          <x14:cfRule type="containsText" priority="142" operator="containsText" id="{6F6FE1A3-21F0-487B-B484-EFBFBA169C98}">
            <xm:f>NOT(ISERROR(SEARCH($BH$5,BE1)))</xm:f>
            <xm:f>$BH$5</xm:f>
            <x14:dxf>
              <font>
                <color rgb="FF9C0006"/>
              </font>
              <fill>
                <patternFill patternType="solid">
                  <bgColor rgb="FFFFC7CE"/>
                </patternFill>
              </fill>
            </x14:dxf>
          </x14:cfRule>
          <x14:cfRule type="containsText" priority="143" operator="containsText" id="{C67C2B20-7502-4972-AFA3-0DC395104012}">
            <xm:f>NOT(ISERROR(SEARCH($BH$4,BE1)))</xm:f>
            <xm:f>$BH$4</xm:f>
            <x14:dxf>
              <font>
                <color rgb="FF006100"/>
              </font>
              <fill>
                <patternFill patternType="solid">
                  <bgColor rgb="FFC6EFCE"/>
                </patternFill>
              </fill>
            </x14:dxf>
          </x14:cfRule>
          <x14:cfRule type="containsText" priority="144" operator="containsText" id="{C4BDD453-BBFA-4E81-A6C4-CB4115BC72DB}">
            <xm:f>NOT(ISERROR(SEARCH($BH$3,BE1)))</xm:f>
            <xm:f>$BH$3</xm:f>
            <x14:dxf>
              <font>
                <color rgb="FF00B050"/>
              </font>
            </x14:dxf>
          </x14:cfRule>
          <x14:cfRule type="containsText" priority="145" operator="containsText" id="{29875445-22F6-4CA3-A759-C9C2ED92F742}">
            <xm:f>NOT(ISERROR(SEARCH($BH$2,BE1)))</xm:f>
            <xm:f>$BH$2</xm:f>
            <x14:dxf>
              <font>
                <color rgb="FF9C6500"/>
              </font>
              <fill>
                <patternFill patternType="solid">
                  <bgColor rgb="FFFFEB9C"/>
                </patternFill>
              </fill>
            </x14:dxf>
          </x14:cfRule>
          <x14:cfRule type="containsText" priority="146" operator="containsText" id="{CC83C09B-DD52-4D88-B773-F9D998C30CC3}">
            <xm:f>NOT(ISERROR(SEARCH($BH$1,BE1)))</xm:f>
            <xm:f>$BH$1</xm:f>
            <x14:dxf>
              <font>
                <color rgb="FF00B0F0"/>
              </font>
            </x14:dxf>
          </x14:cfRule>
          <xm:sqref>BE1:BE9</xm:sqref>
        </x14:conditionalFormatting>
        <x14:conditionalFormatting xmlns:xm="http://schemas.microsoft.com/office/excel/2006/main">
          <x14:cfRule type="containsText" priority="25" operator="containsText" id="{ABCBE485-6257-41FC-8C08-3ECBA2568B77}">
            <xm:f>NOT(ISERROR(SEARCH($BF$8,BE10)))</xm:f>
            <xm:f>$BF$8</xm:f>
            <x14:dxf>
              <font>
                <b val="0"/>
                <i/>
                <color rgb="FFFF0000"/>
              </font>
              <fill>
                <patternFill patternType="none"/>
              </fill>
            </x14:dxf>
          </x14:cfRule>
          <x14:cfRule type="containsText" priority="26" operator="containsText" id="{BE70C21F-4B05-4225-9C75-4144BB71ADCE}">
            <xm:f>NOT(ISERROR(SEARCH($BF$7,BE10)))</xm:f>
            <xm:f>$BF$7</xm:f>
            <x14:dxf>
              <fill>
                <patternFill patternType="solid">
                  <bgColor theme="0" tint="-0.34998626667073579"/>
                </patternFill>
              </fill>
            </x14:dxf>
          </x14:cfRule>
          <x14:cfRule type="containsText" priority="27" operator="containsText" id="{EE466D8D-6856-4CC5-A887-F3513BE385A0}">
            <xm:f>NOT(ISERROR(SEARCH($BF$6,BE10)))</xm:f>
            <xm:f>$BF$6</xm:f>
            <x14:dxf>
              <font>
                <color rgb="FF9C0006"/>
              </font>
              <fill>
                <patternFill patternType="solid">
                  <bgColor rgb="FFFFC7CE"/>
                </patternFill>
              </fill>
            </x14:dxf>
          </x14:cfRule>
          <x14:cfRule type="containsText" priority="28" operator="containsText" id="{E39A6411-B210-48F4-BAAB-D42A8347E441}">
            <xm:f>NOT(ISERROR(SEARCH($BF$5,BE10)))</xm:f>
            <xm:f>$BF$5</xm:f>
            <x14:dxf>
              <font>
                <color rgb="FF9C0006"/>
              </font>
              <fill>
                <patternFill patternType="solid">
                  <bgColor rgb="FFFFC7CE"/>
                </patternFill>
              </fill>
            </x14:dxf>
          </x14:cfRule>
          <x14:cfRule type="containsText" priority="29" operator="containsText" id="{6F46D8C7-37C0-4BD5-BAEE-C880B712E98B}">
            <xm:f>NOT(ISERROR(SEARCH($BF$4,BE10)))</xm:f>
            <xm:f>$BF$4</xm:f>
            <x14:dxf>
              <font>
                <color rgb="FF006100"/>
              </font>
              <fill>
                <patternFill patternType="solid">
                  <bgColor rgb="FFC6EFCE"/>
                </patternFill>
              </fill>
            </x14:dxf>
          </x14:cfRule>
          <x14:cfRule type="containsText" priority="30" operator="containsText" id="{4097FE77-85C2-4ABC-869F-1FD030724D0E}">
            <xm:f>NOT(ISERROR(SEARCH($BF$3,BE10)))</xm:f>
            <xm:f>$BF$3</xm:f>
            <x14:dxf>
              <font>
                <color rgb="FF00B050"/>
              </font>
            </x14:dxf>
          </x14:cfRule>
          <x14:cfRule type="containsText" priority="31" operator="containsText" id="{18844B16-9C3F-49A0-A81A-AB0632AC2AF6}">
            <xm:f>NOT(ISERROR(SEARCH($BF$2,BE10)))</xm:f>
            <xm:f>$BF$2</xm:f>
            <x14:dxf>
              <font>
                <color rgb="FF9C6500"/>
              </font>
              <fill>
                <patternFill patternType="solid">
                  <bgColor rgb="FFFFEB9C"/>
                </patternFill>
              </fill>
            </x14:dxf>
          </x14:cfRule>
          <x14:cfRule type="containsText" priority="32" operator="containsText" id="{B506CF0E-295A-4F25-B32A-5D7305B9EE89}">
            <xm:f>NOT(ISERROR(SEARCH($BF$1,BE10)))</xm:f>
            <xm:f>$BF$1</xm:f>
            <x14:dxf>
              <font>
                <color rgb="FF00B0F0"/>
              </font>
            </x14:dxf>
          </x14:cfRule>
          <xm:sqref>BE10:BE21 BE24:BE88 BE90:BE95 BE97:BE110</xm:sqref>
        </x14:conditionalFormatting>
        <x14:conditionalFormatting xmlns:xm="http://schemas.microsoft.com/office/excel/2006/main">
          <x14:cfRule type="containsText" priority="167" operator="containsText" id="{5783360D-5830-412B-B31D-78173AF7B44C}">
            <xm:f>NOT(ISERROR(SEARCH(#REF!,BE89)))</xm:f>
            <xm:f>#REF!</xm:f>
            <x14:dxf>
              <font>
                <b val="0"/>
                <i/>
                <color rgb="FFFF0000"/>
              </font>
              <fill>
                <patternFill patternType="none"/>
              </fill>
            </x14:dxf>
          </x14:cfRule>
          <x14:cfRule type="containsText" priority="168" operator="containsText" id="{ABB9FB82-C443-455A-BCE8-AD904950C251}">
            <xm:f>NOT(ISERROR(SEARCH(#REF!,BE89)))</xm:f>
            <xm:f>#REF!</xm:f>
            <x14:dxf>
              <fill>
                <patternFill patternType="solid">
                  <bgColor rgb="FFA6A6A6"/>
                </patternFill>
              </fill>
            </x14:dxf>
          </x14:cfRule>
          <x14:cfRule type="containsText" priority="169" operator="containsText" id="{2F3BCC5B-B922-4183-AA96-E4E9BCA153F5}">
            <xm:f>NOT(ISERROR(SEARCH(#REF!,BE89)))</xm:f>
            <xm:f>#REF!</xm:f>
            <x14:dxf>
              <font>
                <color rgb="FF9C0006"/>
              </font>
              <fill>
                <patternFill patternType="solid">
                  <bgColor rgb="FFFFC7CE"/>
                </patternFill>
              </fill>
            </x14:dxf>
          </x14:cfRule>
          <x14:cfRule type="containsText" priority="170" operator="containsText" id="{80D466C6-75B1-490D-99DF-286D68A76311}">
            <xm:f>NOT(ISERROR(SEARCH(#REF!,BE89)))</xm:f>
            <xm:f>#REF!</xm:f>
            <x14:dxf>
              <font>
                <color rgb="FF006100"/>
              </font>
              <fill>
                <patternFill patternType="solid">
                  <bgColor rgb="FFC6EFCE"/>
                </patternFill>
              </fill>
            </x14:dxf>
          </x14:cfRule>
          <x14:cfRule type="containsText" priority="171" operator="containsText" id="{37B97C29-9E86-493F-A07D-9BA292A60FFA}">
            <xm:f>NOT(ISERROR(SEARCH(#REF!,BE89)))</xm:f>
            <xm:f>#REF!</xm:f>
            <x14:dxf>
              <font>
                <color rgb="FF00B050"/>
              </font>
            </x14:dxf>
          </x14:cfRule>
          <x14:cfRule type="containsText" priority="172" operator="containsText" id="{61113974-8CF1-4793-B61D-CB57BFC455FE}">
            <xm:f>NOT(ISERROR(SEARCH(#REF!,BE89)))</xm:f>
            <xm:f>#REF!</xm:f>
            <x14:dxf>
              <font>
                <color rgb="FF9C6500"/>
              </font>
              <fill>
                <patternFill patternType="solid">
                  <bgColor rgb="FFFFEB9C"/>
                </patternFill>
              </fill>
            </x14:dxf>
          </x14:cfRule>
          <x14:cfRule type="containsText" priority="173" operator="containsText" id="{898E1BB3-F3A1-4EA9-A3B3-2255B6EF648F}">
            <xm:f>NOT(ISERROR(SEARCH(#REF!,BE89)))</xm:f>
            <xm:f>#REF!</xm:f>
            <x14:dxf>
              <font>
                <color rgb="FF00B0F0"/>
              </font>
            </x14:dxf>
          </x14:cfRule>
          <xm:sqref>BE89</xm:sqref>
        </x14:conditionalFormatting>
        <x14:conditionalFormatting xmlns:xm="http://schemas.microsoft.com/office/excel/2006/main">
          <x14:cfRule type="containsText" priority="1" operator="containsText" id="{D85B6CAE-93A0-4205-9692-C9D64D2A62ED}">
            <xm:f>NOT(ISERROR(SEARCH($BF$8,BE112)))</xm:f>
            <xm:f>$BF$8</xm:f>
            <x14:dxf>
              <font>
                <b val="0"/>
                <i/>
                <color rgb="FFFF0000"/>
              </font>
              <fill>
                <patternFill patternType="none"/>
              </fill>
            </x14:dxf>
          </x14:cfRule>
          <x14:cfRule type="containsText" priority="2" operator="containsText" id="{0FC9AFB7-BD01-4104-84A8-8BE59ED8D0AC}">
            <xm:f>NOT(ISERROR(SEARCH($BF$7,BE112)))</xm:f>
            <xm:f>$BF$7</xm:f>
            <x14:dxf>
              <fill>
                <patternFill patternType="solid">
                  <bgColor theme="0" tint="-0.34998626667073579"/>
                </patternFill>
              </fill>
            </x14:dxf>
          </x14:cfRule>
          <x14:cfRule type="containsText" priority="3" operator="containsText" id="{AFC41E38-3E56-4505-8A31-D5563D0841CE}">
            <xm:f>NOT(ISERROR(SEARCH($BF$6,BE112)))</xm:f>
            <xm:f>$BF$6</xm:f>
            <x14:dxf>
              <font>
                <color rgb="FF9C0006"/>
              </font>
              <fill>
                <patternFill patternType="solid">
                  <bgColor rgb="FFFFC7CE"/>
                </patternFill>
              </fill>
            </x14:dxf>
          </x14:cfRule>
          <x14:cfRule type="containsText" priority="4" operator="containsText" id="{C98B2222-448E-43AE-A163-FA3067BF341D}">
            <xm:f>NOT(ISERROR(SEARCH($BF$5,BE112)))</xm:f>
            <xm:f>$BF$5</xm:f>
            <x14:dxf>
              <font>
                <color rgb="FF9C0006"/>
              </font>
              <fill>
                <patternFill patternType="solid">
                  <bgColor rgb="FFFFC7CE"/>
                </patternFill>
              </fill>
            </x14:dxf>
          </x14:cfRule>
          <x14:cfRule type="containsText" priority="5" operator="containsText" id="{2C66C9D8-69E8-4B11-BD59-A6E97B8355D6}">
            <xm:f>NOT(ISERROR(SEARCH($BF$4,BE112)))</xm:f>
            <xm:f>$BF$4</xm:f>
            <x14:dxf>
              <font>
                <color rgb="FF006100"/>
              </font>
              <fill>
                <patternFill patternType="solid">
                  <bgColor rgb="FFC6EFCE"/>
                </patternFill>
              </fill>
            </x14:dxf>
          </x14:cfRule>
          <x14:cfRule type="containsText" priority="6" operator="containsText" id="{3038315B-9A5D-488F-9500-1B16174B987D}">
            <xm:f>NOT(ISERROR(SEARCH($BF$3,BE112)))</xm:f>
            <xm:f>$BF$3</xm:f>
            <x14:dxf>
              <font>
                <color rgb="FF00B050"/>
              </font>
            </x14:dxf>
          </x14:cfRule>
          <x14:cfRule type="containsText" priority="7" operator="containsText" id="{4BA992C9-AB7B-4B44-BA2A-9CEFB78A2866}">
            <xm:f>NOT(ISERROR(SEARCH($BF$2,BE112)))</xm:f>
            <xm:f>$BF$2</xm:f>
            <x14:dxf>
              <font>
                <color rgb="FF9C6500"/>
              </font>
              <fill>
                <patternFill patternType="solid">
                  <bgColor rgb="FFFFEB9C"/>
                </patternFill>
              </fill>
            </x14:dxf>
          </x14:cfRule>
          <x14:cfRule type="containsText" priority="8" operator="containsText" id="{41BCB21A-39AC-4C1F-9270-248F9EEE52F2}">
            <xm:f>NOT(ISERROR(SEARCH($BF$1,BE112)))</xm:f>
            <xm:f>$BF$1</xm:f>
            <x14:dxf>
              <font>
                <color rgb="FF00B0F0"/>
              </font>
            </x14:dxf>
          </x14:cfRule>
          <xm:sqref>BE112:BE130</xm:sqref>
        </x14:conditionalFormatting>
        <x14:conditionalFormatting xmlns:xm="http://schemas.microsoft.com/office/excel/2006/main">
          <x14:cfRule type="containsText" priority="13" operator="containsText" id="{06EB570D-755A-47BF-A0BF-72C04E96C0A6}">
            <xm:f>NOT(ISERROR(SEARCH($BF$8,BE347)))</xm:f>
            <xm:f>$BF$8</xm:f>
            <x14:dxf>
              <font>
                <b val="0"/>
                <i/>
                <color rgb="FFFF0000"/>
              </font>
              <fill>
                <patternFill patternType="none"/>
              </fill>
            </x14:dxf>
          </x14:cfRule>
          <x14:cfRule type="containsText" priority="14" operator="containsText" id="{F2CE6C25-1A95-4277-BE56-ECAD7F65C1EF}">
            <xm:f>NOT(ISERROR(SEARCH($BF$7,BE347)))</xm:f>
            <xm:f>$BF$7</xm:f>
            <x14:dxf>
              <fill>
                <patternFill patternType="solid">
                  <bgColor theme="0" tint="-0.34998626667073579"/>
                </patternFill>
              </fill>
            </x14:dxf>
          </x14:cfRule>
          <x14:cfRule type="containsText" priority="15" operator="containsText" id="{D00A024F-8788-43A8-9785-5945D8F664CD}">
            <xm:f>NOT(ISERROR(SEARCH($BF$6,BE347)))</xm:f>
            <xm:f>$BF$6</xm:f>
            <x14:dxf>
              <font>
                <color rgb="FF9C0006"/>
              </font>
              <fill>
                <patternFill patternType="solid">
                  <bgColor rgb="FFFFC7CE"/>
                </patternFill>
              </fill>
            </x14:dxf>
          </x14:cfRule>
          <x14:cfRule type="containsText" priority="16" operator="containsText" id="{79553A35-C0B4-4A4E-9078-D1A4B4724987}">
            <xm:f>NOT(ISERROR(SEARCH($BF$5,BE347)))</xm:f>
            <xm:f>$BF$5</xm:f>
            <x14:dxf>
              <font>
                <color rgb="FF9C0006"/>
              </font>
              <fill>
                <patternFill patternType="solid">
                  <bgColor rgb="FFFFC7CE"/>
                </patternFill>
              </fill>
            </x14:dxf>
          </x14:cfRule>
          <x14:cfRule type="containsText" priority="17" operator="containsText" id="{0077F662-6E24-4930-935C-64BE13D6D93C}">
            <xm:f>NOT(ISERROR(SEARCH($BF$4,BE347)))</xm:f>
            <xm:f>$BF$4</xm:f>
            <x14:dxf>
              <font>
                <color rgb="FF006100"/>
              </font>
              <fill>
                <patternFill patternType="solid">
                  <bgColor rgb="FFC6EFCE"/>
                </patternFill>
              </fill>
            </x14:dxf>
          </x14:cfRule>
          <x14:cfRule type="containsText" priority="18" operator="containsText" id="{F0C407DE-5531-4082-AB84-029DD31A55B1}">
            <xm:f>NOT(ISERROR(SEARCH($BF$3,BE347)))</xm:f>
            <xm:f>$BF$3</xm:f>
            <x14:dxf>
              <font>
                <color rgb="FF00B050"/>
              </font>
            </x14:dxf>
          </x14:cfRule>
          <x14:cfRule type="containsText" priority="19" operator="containsText" id="{CD406778-3EC8-4EF5-A2D4-0AEB2C9E2C8F}">
            <xm:f>NOT(ISERROR(SEARCH($BF$2,BE347)))</xm:f>
            <xm:f>$BF$2</xm:f>
            <x14:dxf>
              <font>
                <color rgb="FF9C6500"/>
              </font>
              <fill>
                <patternFill patternType="solid">
                  <bgColor rgb="FFFFEB9C"/>
                </patternFill>
              </fill>
            </x14:dxf>
          </x14:cfRule>
          <x14:cfRule type="containsText" priority="20" operator="containsText" id="{7A7A70C3-7A7D-4DA0-940B-A29714E8E714}">
            <xm:f>NOT(ISERROR(SEARCH($BF$1,BE347)))</xm:f>
            <xm:f>$BF$1</xm:f>
            <x14:dxf>
              <font>
                <color rgb="FF00B0F0"/>
              </font>
            </x14:dxf>
          </x14:cfRule>
          <xm:sqref>BE347:BE361</xm:sqref>
        </x14:conditionalFormatting>
        <x14:conditionalFormatting xmlns:xm="http://schemas.microsoft.com/office/excel/2006/main">
          <x14:cfRule type="containsText" priority="129" operator="containsText" id="{59BEA6E3-34A8-4652-AF81-495F61980260}">
            <xm:f>NOT(ISERROR(SEARCH($BH$8,BE362)))</xm:f>
            <xm:f>$BH$8</xm:f>
            <x14:dxf>
              <font>
                <b val="0"/>
                <i/>
                <color rgb="FFFF0000"/>
              </font>
              <fill>
                <patternFill patternType="none"/>
              </fill>
            </x14:dxf>
          </x14:cfRule>
          <x14:cfRule type="containsText" priority="130" operator="containsText" id="{E92889EB-85A8-48C1-BB53-27B6A9305101}">
            <xm:f>NOT(ISERROR(SEARCH($BH$7,BE362)))</xm:f>
            <xm:f>$BH$7</xm:f>
            <x14:dxf>
              <fill>
                <patternFill patternType="solid">
                  <bgColor theme="0" tint="-0.34998626667073579"/>
                </patternFill>
              </fill>
            </x14:dxf>
          </x14:cfRule>
          <x14:cfRule type="containsText" priority="131" operator="containsText" id="{28EE36A1-AC5E-4737-9BB8-EFFD41B5869C}">
            <xm:f>NOT(ISERROR(SEARCH($BH$6,BE362)))</xm:f>
            <xm:f>$BH$6</xm:f>
            <x14:dxf>
              <font>
                <color rgb="FF9C0006"/>
              </font>
              <fill>
                <patternFill patternType="solid">
                  <bgColor rgb="FFFFC7CE"/>
                </patternFill>
              </fill>
            </x14:dxf>
          </x14:cfRule>
          <x14:cfRule type="containsText" priority="132" operator="containsText" id="{1FAF2547-BBFF-4CEC-8138-2BABAF7A83BC}">
            <xm:f>NOT(ISERROR(SEARCH($BH$5,BE362)))</xm:f>
            <xm:f>$BH$5</xm:f>
            <x14:dxf>
              <font>
                <color rgb="FF9C0006"/>
              </font>
              <fill>
                <patternFill patternType="solid">
                  <bgColor rgb="FFFFC7CE"/>
                </patternFill>
              </fill>
            </x14:dxf>
          </x14:cfRule>
          <x14:cfRule type="containsText" priority="133" operator="containsText" id="{46B8CB54-654A-4DC8-8829-8E78DC8390F4}">
            <xm:f>NOT(ISERROR(SEARCH($BH$4,BE362)))</xm:f>
            <xm:f>$BH$4</xm:f>
            <x14:dxf>
              <font>
                <color rgb="FF006100"/>
              </font>
              <fill>
                <patternFill patternType="solid">
                  <bgColor rgb="FFC6EFCE"/>
                </patternFill>
              </fill>
            </x14:dxf>
          </x14:cfRule>
          <x14:cfRule type="containsText" priority="134" operator="containsText" id="{63C6FE84-E0B0-45AA-ADFA-E7C003EB9BE4}">
            <xm:f>NOT(ISERROR(SEARCH($BH$3,BE362)))</xm:f>
            <xm:f>$BH$3</xm:f>
            <x14:dxf>
              <font>
                <color rgb="FF00B050"/>
              </font>
            </x14:dxf>
          </x14:cfRule>
          <x14:cfRule type="containsText" priority="135" operator="containsText" id="{74956989-4419-4EBE-B542-168854759C75}">
            <xm:f>NOT(ISERROR(SEARCH($BH$2,BE362)))</xm:f>
            <xm:f>$BH$2</xm:f>
            <x14:dxf>
              <font>
                <color rgb="FF9C6500"/>
              </font>
              <fill>
                <patternFill patternType="solid">
                  <bgColor rgb="FFFFEB9C"/>
                </patternFill>
              </fill>
            </x14:dxf>
          </x14:cfRule>
          <x14:cfRule type="containsText" priority="136" operator="containsText" id="{5E318AC8-E748-4667-9803-A57FE889C1D2}">
            <xm:f>NOT(ISERROR(SEARCH($BH$1,BE362)))</xm:f>
            <xm:f>$BH$1</xm:f>
            <x14:dxf>
              <font>
                <color rgb="FF00B0F0"/>
              </font>
            </x14:dxf>
          </x14:cfRule>
          <xm:sqref>BE362:BE1048576</xm:sqref>
        </x14:conditionalFormatting>
        <x14:conditionalFormatting xmlns:xm="http://schemas.microsoft.com/office/excel/2006/main">
          <x14:cfRule type="containsText" priority="49" operator="containsText" id="{F8AC1337-1241-4FE5-8B77-94A068D2499D}">
            <xm:f>NOT(ISERROR(SEARCH($BX$8,BT104)))</xm:f>
            <xm:f>$BX$8</xm:f>
            <x14:dxf>
              <font>
                <b val="0"/>
                <i/>
                <color rgb="FFFF0000"/>
              </font>
              <fill>
                <patternFill patternType="none"/>
              </fill>
            </x14:dxf>
          </x14:cfRule>
          <x14:cfRule type="containsText" priority="50" operator="containsText" id="{F061E719-6A16-429E-B854-A498DE63377F}">
            <xm:f>NOT(ISERROR(SEARCH($BX$7,BT104)))</xm:f>
            <xm:f>$BX$7</xm:f>
            <x14:dxf>
              <fill>
                <patternFill patternType="solid">
                  <bgColor theme="0" tint="-0.34998626667073579"/>
                </patternFill>
              </fill>
            </x14:dxf>
          </x14:cfRule>
          <x14:cfRule type="containsText" priority="51" operator="containsText" id="{69617D4D-81CC-4965-91DF-EEB35F4154F6}">
            <xm:f>NOT(ISERROR(SEARCH($BX$6,BT104)))</xm:f>
            <xm:f>$BX$6</xm:f>
            <x14:dxf>
              <font>
                <color rgb="FF9C0006"/>
              </font>
              <fill>
                <patternFill patternType="solid">
                  <bgColor rgb="FFFFC7CE"/>
                </patternFill>
              </fill>
            </x14:dxf>
          </x14:cfRule>
          <x14:cfRule type="containsText" priority="52" operator="containsText" id="{BE903967-C898-45E0-9F51-77C47D16B848}">
            <xm:f>NOT(ISERROR(SEARCH($BX$5,BT104)))</xm:f>
            <xm:f>$BX$5</xm:f>
            <x14:dxf>
              <font>
                <color rgb="FF9C0006"/>
              </font>
              <fill>
                <patternFill patternType="solid">
                  <bgColor rgb="FFFFC7CE"/>
                </patternFill>
              </fill>
            </x14:dxf>
          </x14:cfRule>
          <x14:cfRule type="containsText" priority="53" operator="containsText" id="{2B2565D4-27D3-48D3-901C-1F32A0B56AC8}">
            <xm:f>NOT(ISERROR(SEARCH($BX$4,BT104)))</xm:f>
            <xm:f>$BX$4</xm:f>
            <x14:dxf>
              <font>
                <color rgb="FF006100"/>
              </font>
              <fill>
                <patternFill patternType="solid">
                  <bgColor rgb="FFC6EFCE"/>
                </patternFill>
              </fill>
            </x14:dxf>
          </x14:cfRule>
          <x14:cfRule type="containsText" priority="54" operator="containsText" id="{AF45A6BD-9AC1-4977-88ED-404B1F7C55F4}">
            <xm:f>NOT(ISERROR(SEARCH($BX$3,BT104)))</xm:f>
            <xm:f>$BX$3</xm:f>
            <x14:dxf>
              <font>
                <color rgb="FF00B050"/>
              </font>
            </x14:dxf>
          </x14:cfRule>
          <x14:cfRule type="containsText" priority="55" operator="containsText" id="{C0DED3D0-CA86-49E0-9479-0B449977494A}">
            <xm:f>NOT(ISERROR(SEARCH($BX$2,BT104)))</xm:f>
            <xm:f>$BX$2</xm:f>
            <x14:dxf>
              <font>
                <color rgb="FF9C6500"/>
              </font>
              <fill>
                <patternFill patternType="solid">
                  <bgColor rgb="FFFFEB9C"/>
                </patternFill>
              </fill>
            </x14:dxf>
          </x14:cfRule>
          <x14:cfRule type="containsText" priority="56" operator="containsText" id="{EB549AA6-B943-4668-AC94-40B59F3F939D}">
            <xm:f>NOT(ISERROR(SEARCH($BX$1,BT104)))</xm:f>
            <xm:f>$BX$1</xm:f>
            <x14:dxf>
              <font>
                <color rgb="FF00B0F0"/>
              </font>
            </x14:dxf>
          </x14:cfRule>
          <xm:sqref>BT104:BT105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2861"/>
  <sheetViews>
    <sheetView showGridLines="0" view="pageBreakPreview" zoomScaleNormal="80" zoomScaleSheetLayoutView="100" workbookViewId="0">
      <pane xSplit="2" ySplit="6" topLeftCell="C7" activePane="bottomRight" state="frozen"/>
      <selection activeCell="N73" sqref="N73"/>
      <selection pane="topRight" activeCell="N73" sqref="N73"/>
      <selection pane="bottomLeft" activeCell="N73" sqref="N73"/>
      <selection pane="bottomRight" activeCell="B2" sqref="A1:XFD1048576"/>
    </sheetView>
  </sheetViews>
  <sheetFormatPr defaultColWidth="9.1796875" defaultRowHeight="14.5" outlineLevelRow="1" x14ac:dyDescent="0.25"/>
  <cols>
    <col min="1" max="1" width="5.54296875" style="1319" customWidth="1"/>
    <col min="2" max="2" width="62.54296875" style="1354" customWidth="1"/>
    <col min="3" max="3" width="34.1796875" style="1458" customWidth="1"/>
    <col min="4" max="4" width="9.1796875" style="1342" customWidth="1"/>
    <col min="5" max="5" width="10.54296875" style="1497" customWidth="1"/>
    <col min="6" max="6" width="12.81640625" style="1497" customWidth="1"/>
    <col min="7" max="7" width="11.7265625" style="1497" customWidth="1"/>
    <col min="8" max="8" width="8.81640625" style="1497" customWidth="1"/>
    <col min="9" max="10" width="11.54296875" style="1497" customWidth="1"/>
    <col min="11" max="12" width="10.81640625" style="1497" customWidth="1"/>
    <col min="13" max="13" width="12.81640625" style="1497" customWidth="1"/>
    <col min="14" max="14" width="8.81640625" style="1497" customWidth="1"/>
    <col min="15" max="16" width="18.54296875" style="1319" customWidth="1"/>
    <col min="17" max="16384" width="9.1796875" style="1319"/>
  </cols>
  <sheetData>
    <row r="1" spans="1:16" x14ac:dyDescent="0.25">
      <c r="C1" s="1311" t="s">
        <v>1568</v>
      </c>
    </row>
    <row r="2" spans="1:16" x14ac:dyDescent="0.25">
      <c r="C2" s="1498" t="s">
        <v>930</v>
      </c>
    </row>
    <row r="3" spans="1:16" x14ac:dyDescent="0.25">
      <c r="B3" s="1443" t="s">
        <v>0</v>
      </c>
      <c r="C3" s="1499" t="s">
        <v>637</v>
      </c>
      <c r="D3" s="1444"/>
      <c r="E3" s="1500"/>
      <c r="F3" s="1500"/>
      <c r="G3" s="1500"/>
      <c r="H3" s="1500"/>
      <c r="I3" s="1500"/>
      <c r="J3" s="1501"/>
      <c r="K3" s="1501"/>
      <c r="L3" s="1501"/>
      <c r="M3" s="1502" t="s">
        <v>10</v>
      </c>
      <c r="N3" s="1501"/>
    </row>
    <row r="4" spans="1:16" x14ac:dyDescent="0.25">
      <c r="A4" s="1897" t="s">
        <v>339</v>
      </c>
      <c r="B4" s="1897" t="s">
        <v>16</v>
      </c>
      <c r="C4" s="1897" t="s">
        <v>488</v>
      </c>
      <c r="D4" s="1908" t="s">
        <v>489</v>
      </c>
      <c r="E4" s="1896" t="s">
        <v>50</v>
      </c>
      <c r="F4" s="1924" t="s">
        <v>498</v>
      </c>
      <c r="G4" s="1896" t="s">
        <v>499</v>
      </c>
      <c r="H4" s="1896" t="s">
        <v>49</v>
      </c>
      <c r="I4" s="1896" t="s">
        <v>48</v>
      </c>
      <c r="J4" s="1896" t="s">
        <v>2062</v>
      </c>
      <c r="K4" s="1896"/>
      <c r="L4" s="1896"/>
      <c r="M4" s="1896"/>
      <c r="N4" s="1924" t="s">
        <v>46</v>
      </c>
    </row>
    <row r="5" spans="1:16" x14ac:dyDescent="0.25">
      <c r="A5" s="1897"/>
      <c r="B5" s="1897"/>
      <c r="C5" s="1897"/>
      <c r="D5" s="1908"/>
      <c r="E5" s="1896"/>
      <c r="F5" s="1925"/>
      <c r="G5" s="1896"/>
      <c r="H5" s="1896"/>
      <c r="I5" s="1896"/>
      <c r="J5" s="1896"/>
      <c r="K5" s="1896"/>
      <c r="L5" s="1896"/>
      <c r="M5" s="1896"/>
      <c r="N5" s="1925"/>
    </row>
    <row r="6" spans="1:16" ht="29" x14ac:dyDescent="0.25">
      <c r="A6" s="1897"/>
      <c r="B6" s="1897"/>
      <c r="C6" s="1897"/>
      <c r="D6" s="1908"/>
      <c r="E6" s="1896"/>
      <c r="F6" s="1926"/>
      <c r="G6" s="1896"/>
      <c r="H6" s="1896"/>
      <c r="I6" s="1896"/>
      <c r="J6" s="1503" t="s">
        <v>45</v>
      </c>
      <c r="K6" s="1503" t="s">
        <v>44</v>
      </c>
      <c r="L6" s="1503" t="s">
        <v>43</v>
      </c>
      <c r="M6" s="1503" t="s">
        <v>42</v>
      </c>
      <c r="N6" s="1926"/>
      <c r="O6" s="1445" t="s">
        <v>2063</v>
      </c>
      <c r="P6" s="1445" t="s">
        <v>2064</v>
      </c>
    </row>
    <row r="7" spans="1:16" x14ac:dyDescent="0.25">
      <c r="A7" s="1446"/>
      <c r="B7" s="1447" t="s">
        <v>506</v>
      </c>
      <c r="C7" s="1448"/>
      <c r="D7" s="1449"/>
      <c r="E7" s="1504"/>
      <c r="F7" s="1504"/>
      <c r="G7" s="1504"/>
      <c r="H7" s="1504"/>
      <c r="I7" s="1504"/>
      <c r="J7" s="1504"/>
      <c r="K7" s="1504"/>
      <c r="L7" s="1504"/>
      <c r="M7" s="1504"/>
      <c r="N7" s="1504"/>
    </row>
    <row r="8" spans="1:16" ht="18.5" outlineLevel="1" x14ac:dyDescent="0.25">
      <c r="A8" s="1339" t="s">
        <v>171</v>
      </c>
      <c r="B8" s="1339" t="s">
        <v>1575</v>
      </c>
      <c r="C8" s="1448"/>
      <c r="D8" s="1449"/>
      <c r="E8" s="1504"/>
      <c r="F8" s="1504"/>
      <c r="G8" s="1504"/>
      <c r="H8" s="1504"/>
      <c r="I8" s="1504"/>
      <c r="J8" s="1504"/>
      <c r="K8" s="1504"/>
      <c r="L8" s="1504"/>
      <c r="M8" s="1504"/>
      <c r="N8" s="1504"/>
    </row>
    <row r="9" spans="1:16" outlineLevel="1" x14ac:dyDescent="0.25">
      <c r="A9" s="1450"/>
      <c r="B9" s="1450" t="s">
        <v>1576</v>
      </c>
      <c r="C9" s="1451"/>
      <c r="D9" s="1452"/>
      <c r="E9" s="1505"/>
      <c r="F9" s="1505"/>
      <c r="G9" s="1505"/>
      <c r="H9" s="1505"/>
      <c r="I9" s="1505"/>
      <c r="J9" s="1505"/>
      <c r="K9" s="1505"/>
      <c r="L9" s="1505"/>
      <c r="M9" s="1505"/>
      <c r="N9" s="1505"/>
    </row>
    <row r="10" spans="1:16" ht="43.5" outlineLevel="1" x14ac:dyDescent="0.25">
      <c r="A10" s="1506">
        <v>6</v>
      </c>
      <c r="B10" s="1507" t="s">
        <v>1577</v>
      </c>
      <c r="C10" s="1506" t="s">
        <v>1578</v>
      </c>
      <c r="D10" s="1508">
        <v>41421</v>
      </c>
      <c r="E10" s="1509">
        <v>199.86</v>
      </c>
      <c r="F10" s="1509">
        <v>142</v>
      </c>
      <c r="G10" s="1509">
        <v>0</v>
      </c>
      <c r="H10" s="1509">
        <f>F10-G10</f>
        <v>142</v>
      </c>
      <c r="I10" s="1509">
        <v>0</v>
      </c>
      <c r="J10" s="1509">
        <v>0</v>
      </c>
      <c r="K10" s="1509"/>
      <c r="L10" s="1509"/>
      <c r="M10" s="1509">
        <f>SUM(J10:L10)</f>
        <v>0</v>
      </c>
      <c r="N10" s="1509">
        <f>H10+I10-M10</f>
        <v>142</v>
      </c>
      <c r="O10" s="1510">
        <f t="shared" ref="O10:O73" si="0">MAX(0,IF(M10=0,0,IF(G10+M10&lt;E10,M10,E10-G10)))</f>
        <v>0</v>
      </c>
      <c r="P10" s="1453">
        <f t="shared" ref="P10:P73" si="1">M10-O10</f>
        <v>0</v>
      </c>
    </row>
    <row r="11" spans="1:16" ht="29" outlineLevel="1" x14ac:dyDescent="0.25">
      <c r="A11" s="1506">
        <v>9</v>
      </c>
      <c r="B11" s="1507" t="s">
        <v>1580</v>
      </c>
      <c r="C11" s="1506" t="s">
        <v>1581</v>
      </c>
      <c r="D11" s="1508">
        <v>41779</v>
      </c>
      <c r="E11" s="1509">
        <v>22.059060828</v>
      </c>
      <c r="F11" s="1509">
        <v>0</v>
      </c>
      <c r="G11" s="1509">
        <v>0</v>
      </c>
      <c r="H11" s="1509">
        <f t="shared" ref="H11:H74" si="2">F11-G11</f>
        <v>0</v>
      </c>
      <c r="I11" s="1509">
        <v>0</v>
      </c>
      <c r="J11" s="1509">
        <v>0</v>
      </c>
      <c r="K11" s="1509"/>
      <c r="L11" s="1509"/>
      <c r="M11" s="1509">
        <f>SUM(J11:L11)</f>
        <v>0</v>
      </c>
      <c r="N11" s="1509">
        <f>H11+I11-M11</f>
        <v>0</v>
      </c>
      <c r="O11" s="1510">
        <f t="shared" si="0"/>
        <v>0</v>
      </c>
      <c r="P11" s="1453">
        <f t="shared" si="1"/>
        <v>0</v>
      </c>
    </row>
    <row r="12" spans="1:16" outlineLevel="1" x14ac:dyDescent="0.25">
      <c r="A12" s="1511">
        <v>9.1</v>
      </c>
      <c r="B12" s="1512" t="s">
        <v>1582</v>
      </c>
      <c r="C12" s="1511" t="s">
        <v>1581</v>
      </c>
      <c r="D12" s="1378">
        <v>41779</v>
      </c>
      <c r="E12" s="1513">
        <v>22.059060828</v>
      </c>
      <c r="F12" s="1509">
        <v>21.53</v>
      </c>
      <c r="G12" s="1509">
        <v>21.53</v>
      </c>
      <c r="H12" s="1509">
        <f t="shared" si="2"/>
        <v>0</v>
      </c>
      <c r="I12" s="1509">
        <v>0</v>
      </c>
      <c r="J12" s="1509">
        <v>0</v>
      </c>
      <c r="K12" s="1513"/>
      <c r="L12" s="1513"/>
      <c r="M12" s="1513">
        <f t="shared" ref="M12:M77" si="3">SUM(J12:L12)</f>
        <v>0</v>
      </c>
      <c r="N12" s="1513">
        <f t="shared" ref="N12:N77" si="4">H12+I12-M12</f>
        <v>0</v>
      </c>
      <c r="O12" s="1510">
        <f t="shared" si="0"/>
        <v>0</v>
      </c>
      <c r="P12" s="1453">
        <f t="shared" si="1"/>
        <v>0</v>
      </c>
    </row>
    <row r="13" spans="1:16" outlineLevel="1" x14ac:dyDescent="0.25">
      <c r="A13" s="1511">
        <v>9.1999999999999993</v>
      </c>
      <c r="B13" s="1512" t="s">
        <v>1585</v>
      </c>
      <c r="C13" s="1511" t="s">
        <v>1581</v>
      </c>
      <c r="D13" s="1378">
        <v>41779</v>
      </c>
      <c r="E13" s="1513">
        <v>21.359824199999998</v>
      </c>
      <c r="F13" s="1509">
        <v>20.62</v>
      </c>
      <c r="G13" s="1509">
        <v>20.62</v>
      </c>
      <c r="H13" s="1509">
        <f t="shared" si="2"/>
        <v>0</v>
      </c>
      <c r="I13" s="1509">
        <v>0</v>
      </c>
      <c r="J13" s="1509">
        <v>0</v>
      </c>
      <c r="K13" s="1513"/>
      <c r="L13" s="1513"/>
      <c r="M13" s="1513">
        <f t="shared" si="3"/>
        <v>0</v>
      </c>
      <c r="N13" s="1513">
        <f t="shared" si="4"/>
        <v>0</v>
      </c>
      <c r="O13" s="1510">
        <f t="shared" si="0"/>
        <v>0</v>
      </c>
      <c r="P13" s="1453">
        <f t="shared" si="1"/>
        <v>0</v>
      </c>
    </row>
    <row r="14" spans="1:16" outlineLevel="1" x14ac:dyDescent="0.25">
      <c r="A14" s="1511">
        <v>9.3000000000000007</v>
      </c>
      <c r="B14" s="1512" t="s">
        <v>1586</v>
      </c>
      <c r="C14" s="1511" t="s">
        <v>1581</v>
      </c>
      <c r="D14" s="1378">
        <v>41779</v>
      </c>
      <c r="E14" s="1513">
        <v>38.724661685000001</v>
      </c>
      <c r="F14" s="1509">
        <v>38.72</v>
      </c>
      <c r="G14" s="1509">
        <v>38.72</v>
      </c>
      <c r="H14" s="1509">
        <f t="shared" si="2"/>
        <v>0</v>
      </c>
      <c r="I14" s="1509">
        <v>0</v>
      </c>
      <c r="J14" s="1509">
        <v>0</v>
      </c>
      <c r="K14" s="1513"/>
      <c r="L14" s="1513"/>
      <c r="M14" s="1513">
        <f t="shared" si="3"/>
        <v>0</v>
      </c>
      <c r="N14" s="1513">
        <f t="shared" si="4"/>
        <v>0</v>
      </c>
      <c r="O14" s="1510">
        <f t="shared" si="0"/>
        <v>0</v>
      </c>
      <c r="P14" s="1453">
        <f t="shared" si="1"/>
        <v>0</v>
      </c>
    </row>
    <row r="15" spans="1:16" outlineLevel="1" x14ac:dyDescent="0.25">
      <c r="A15" s="1511">
        <v>0</v>
      </c>
      <c r="B15" s="1512" t="s">
        <v>413</v>
      </c>
      <c r="C15" s="1511" t="s">
        <v>1581</v>
      </c>
      <c r="D15" s="1378">
        <v>41779</v>
      </c>
      <c r="E15" s="1513">
        <v>0</v>
      </c>
      <c r="F15" s="1509">
        <v>0</v>
      </c>
      <c r="G15" s="1509">
        <v>0</v>
      </c>
      <c r="H15" s="1509">
        <f t="shared" si="2"/>
        <v>0</v>
      </c>
      <c r="I15" s="1509">
        <v>0</v>
      </c>
      <c r="J15" s="1509">
        <v>0</v>
      </c>
      <c r="K15" s="1513"/>
      <c r="L15" s="1513"/>
      <c r="M15" s="1513">
        <f t="shared" si="3"/>
        <v>0</v>
      </c>
      <c r="N15" s="1513">
        <f t="shared" si="4"/>
        <v>0</v>
      </c>
      <c r="O15" s="1510">
        <f t="shared" si="0"/>
        <v>0</v>
      </c>
      <c r="P15" s="1453">
        <f t="shared" si="1"/>
        <v>0</v>
      </c>
    </row>
    <row r="16" spans="1:16" ht="29" outlineLevel="1" x14ac:dyDescent="0.25">
      <c r="A16" s="1506">
        <v>10</v>
      </c>
      <c r="B16" s="1507" t="s">
        <v>1587</v>
      </c>
      <c r="C16" s="1506" t="s">
        <v>1588</v>
      </c>
      <c r="D16" s="1508">
        <v>41913</v>
      </c>
      <c r="E16" s="1509">
        <v>11.32</v>
      </c>
      <c r="F16" s="1509">
        <v>0</v>
      </c>
      <c r="G16" s="1509">
        <v>0</v>
      </c>
      <c r="H16" s="1509">
        <f t="shared" si="2"/>
        <v>0</v>
      </c>
      <c r="I16" s="1509">
        <v>0</v>
      </c>
      <c r="J16" s="1509">
        <v>0</v>
      </c>
      <c r="K16" s="1509"/>
      <c r="L16" s="1509"/>
      <c r="M16" s="1509">
        <f t="shared" si="3"/>
        <v>0</v>
      </c>
      <c r="N16" s="1509">
        <f t="shared" si="4"/>
        <v>0</v>
      </c>
      <c r="O16" s="1510">
        <f t="shared" si="0"/>
        <v>0</v>
      </c>
      <c r="P16" s="1453">
        <f t="shared" si="1"/>
        <v>0</v>
      </c>
    </row>
    <row r="17" spans="1:16" outlineLevel="1" x14ac:dyDescent="0.25">
      <c r="A17" s="1511">
        <v>10.1</v>
      </c>
      <c r="B17" s="1512" t="s">
        <v>1589</v>
      </c>
      <c r="C17" s="1511" t="s">
        <v>1588</v>
      </c>
      <c r="D17" s="1378">
        <v>41913</v>
      </c>
      <c r="E17" s="1513">
        <v>11.32</v>
      </c>
      <c r="F17" s="1509">
        <v>13.4</v>
      </c>
      <c r="G17" s="1509">
        <v>13.4</v>
      </c>
      <c r="H17" s="1509">
        <f t="shared" si="2"/>
        <v>0</v>
      </c>
      <c r="I17" s="1509">
        <v>0</v>
      </c>
      <c r="J17" s="1509">
        <v>0</v>
      </c>
      <c r="K17" s="1513"/>
      <c r="L17" s="1513"/>
      <c r="M17" s="1513">
        <f t="shared" si="3"/>
        <v>0</v>
      </c>
      <c r="N17" s="1513">
        <f t="shared" si="4"/>
        <v>0</v>
      </c>
      <c r="O17" s="1510">
        <f t="shared" si="0"/>
        <v>0</v>
      </c>
      <c r="P17" s="1453">
        <f t="shared" si="1"/>
        <v>0</v>
      </c>
    </row>
    <row r="18" spans="1:16" ht="29" outlineLevel="1" x14ac:dyDescent="0.25">
      <c r="A18" s="1506">
        <v>13</v>
      </c>
      <c r="B18" s="1507" t="s">
        <v>1591</v>
      </c>
      <c r="C18" s="1506" t="s">
        <v>1592</v>
      </c>
      <c r="D18" s="1508">
        <v>42713</v>
      </c>
      <c r="E18" s="1509">
        <v>16.850000000000001</v>
      </c>
      <c r="F18" s="1509">
        <v>0</v>
      </c>
      <c r="G18" s="1509">
        <v>0</v>
      </c>
      <c r="H18" s="1509">
        <f t="shared" si="2"/>
        <v>0</v>
      </c>
      <c r="I18" s="1509">
        <v>0</v>
      </c>
      <c r="J18" s="1509">
        <v>0</v>
      </c>
      <c r="K18" s="1509"/>
      <c r="L18" s="1509"/>
      <c r="M18" s="1509">
        <f t="shared" si="3"/>
        <v>0</v>
      </c>
      <c r="N18" s="1509">
        <f t="shared" si="4"/>
        <v>0</v>
      </c>
      <c r="O18" s="1510">
        <f t="shared" si="0"/>
        <v>0</v>
      </c>
      <c r="P18" s="1453">
        <f t="shared" si="1"/>
        <v>0</v>
      </c>
    </row>
    <row r="19" spans="1:16" ht="29" outlineLevel="1" x14ac:dyDescent="0.25">
      <c r="A19" s="1511">
        <v>13.1</v>
      </c>
      <c r="B19" s="1512" t="s">
        <v>1593</v>
      </c>
      <c r="C19" s="1511" t="s">
        <v>1592</v>
      </c>
      <c r="D19" s="1378">
        <v>42713</v>
      </c>
      <c r="E19" s="1513">
        <v>7.02</v>
      </c>
      <c r="F19" s="1509">
        <v>6.8551506</v>
      </c>
      <c r="G19" s="1509">
        <v>6.8551506</v>
      </c>
      <c r="H19" s="1509">
        <f t="shared" si="2"/>
        <v>0</v>
      </c>
      <c r="I19" s="1509">
        <v>0</v>
      </c>
      <c r="J19" s="1509">
        <v>0</v>
      </c>
      <c r="K19" s="1513"/>
      <c r="L19" s="1513"/>
      <c r="M19" s="1513">
        <f t="shared" si="3"/>
        <v>0</v>
      </c>
      <c r="N19" s="1513">
        <f t="shared" si="4"/>
        <v>0</v>
      </c>
      <c r="O19" s="1510">
        <f t="shared" si="0"/>
        <v>0</v>
      </c>
      <c r="P19" s="1453">
        <f t="shared" si="1"/>
        <v>0</v>
      </c>
    </row>
    <row r="20" spans="1:16" ht="29" outlineLevel="1" x14ac:dyDescent="0.25">
      <c r="A20" s="1511">
        <v>13.2</v>
      </c>
      <c r="B20" s="1512" t="s">
        <v>1596</v>
      </c>
      <c r="C20" s="1511" t="s">
        <v>1592</v>
      </c>
      <c r="D20" s="1378">
        <v>42713</v>
      </c>
      <c r="E20" s="1513">
        <v>7.55</v>
      </c>
      <c r="F20" s="1509">
        <v>5.9636063540000004</v>
      </c>
      <c r="G20" s="1509">
        <v>5.9636063540000004</v>
      </c>
      <c r="H20" s="1509">
        <f t="shared" si="2"/>
        <v>0</v>
      </c>
      <c r="I20" s="1509">
        <v>0</v>
      </c>
      <c r="J20" s="1509">
        <v>0</v>
      </c>
      <c r="K20" s="1514"/>
      <c r="L20" s="1514"/>
      <c r="M20" s="1514">
        <f t="shared" si="3"/>
        <v>0</v>
      </c>
      <c r="N20" s="1514">
        <f t="shared" si="4"/>
        <v>0</v>
      </c>
      <c r="O20" s="1510">
        <f t="shared" si="0"/>
        <v>0</v>
      </c>
      <c r="P20" s="1453">
        <f t="shared" si="1"/>
        <v>0</v>
      </c>
    </row>
    <row r="21" spans="1:16" ht="29" outlineLevel="1" x14ac:dyDescent="0.25">
      <c r="A21" s="1511">
        <v>13.3</v>
      </c>
      <c r="B21" s="1512" t="s">
        <v>1598</v>
      </c>
      <c r="C21" s="1511" t="s">
        <v>1592</v>
      </c>
      <c r="D21" s="1378">
        <v>42713</v>
      </c>
      <c r="E21" s="1513">
        <v>1.48</v>
      </c>
      <c r="F21" s="1509">
        <v>1.2847999999999999</v>
      </c>
      <c r="G21" s="1509">
        <v>1.2847999999999999</v>
      </c>
      <c r="H21" s="1509">
        <f t="shared" si="2"/>
        <v>0</v>
      </c>
      <c r="I21" s="1509">
        <v>0</v>
      </c>
      <c r="J21" s="1509">
        <v>0</v>
      </c>
      <c r="K21" s="1513"/>
      <c r="L21" s="1513"/>
      <c r="M21" s="1513">
        <f t="shared" si="3"/>
        <v>0</v>
      </c>
      <c r="N21" s="1513">
        <f t="shared" si="4"/>
        <v>0</v>
      </c>
      <c r="O21" s="1510">
        <f t="shared" si="0"/>
        <v>0</v>
      </c>
      <c r="P21" s="1453">
        <f t="shared" si="1"/>
        <v>0</v>
      </c>
    </row>
    <row r="22" spans="1:16" outlineLevel="1" x14ac:dyDescent="0.25">
      <c r="A22" s="1511">
        <v>0</v>
      </c>
      <c r="B22" s="1515" t="s">
        <v>413</v>
      </c>
      <c r="C22" s="1511" t="s">
        <v>1592</v>
      </c>
      <c r="D22" s="1378">
        <v>42713</v>
      </c>
      <c r="E22" s="1513">
        <v>0.8</v>
      </c>
      <c r="F22" s="1509">
        <v>0</v>
      </c>
      <c r="G22" s="1509">
        <v>0</v>
      </c>
      <c r="H22" s="1509">
        <f t="shared" si="2"/>
        <v>0</v>
      </c>
      <c r="I22" s="1509">
        <v>0</v>
      </c>
      <c r="J22" s="1509">
        <v>0</v>
      </c>
      <c r="K22" s="1513"/>
      <c r="L22" s="1513"/>
      <c r="M22" s="1513">
        <f t="shared" si="3"/>
        <v>0</v>
      </c>
      <c r="N22" s="1513">
        <f t="shared" si="4"/>
        <v>0</v>
      </c>
      <c r="O22" s="1510">
        <f t="shared" si="0"/>
        <v>0</v>
      </c>
      <c r="P22" s="1453">
        <f t="shared" si="1"/>
        <v>0</v>
      </c>
    </row>
    <row r="23" spans="1:16" outlineLevel="1" x14ac:dyDescent="0.25">
      <c r="A23" s="1506">
        <v>14</v>
      </c>
      <c r="B23" s="1507" t="s">
        <v>1600</v>
      </c>
      <c r="C23" s="1506" t="s">
        <v>1601</v>
      </c>
      <c r="D23" s="1508">
        <v>43055</v>
      </c>
      <c r="E23" s="1509">
        <v>18.279999999999998</v>
      </c>
      <c r="F23" s="1509">
        <v>0</v>
      </c>
      <c r="G23" s="1509">
        <v>0</v>
      </c>
      <c r="H23" s="1509">
        <f t="shared" si="2"/>
        <v>0</v>
      </c>
      <c r="I23" s="1509">
        <v>0</v>
      </c>
      <c r="J23" s="1509">
        <v>0</v>
      </c>
      <c r="K23" s="1509"/>
      <c r="L23" s="1509"/>
      <c r="M23" s="1509">
        <f t="shared" si="3"/>
        <v>0</v>
      </c>
      <c r="N23" s="1509">
        <f t="shared" si="4"/>
        <v>0</v>
      </c>
      <c r="O23" s="1510">
        <f t="shared" si="0"/>
        <v>0</v>
      </c>
      <c r="P23" s="1453">
        <f t="shared" si="1"/>
        <v>0</v>
      </c>
    </row>
    <row r="24" spans="1:16" ht="29" outlineLevel="1" x14ac:dyDescent="0.25">
      <c r="A24" s="1511">
        <v>14.1</v>
      </c>
      <c r="B24" s="1512" t="s">
        <v>1602</v>
      </c>
      <c r="C24" s="1511" t="s">
        <v>1601</v>
      </c>
      <c r="D24" s="1378">
        <v>43055</v>
      </c>
      <c r="E24" s="1513">
        <v>15.08</v>
      </c>
      <c r="F24" s="1509">
        <v>14.4772699</v>
      </c>
      <c r="G24" s="1509">
        <v>14.4772699</v>
      </c>
      <c r="H24" s="1509">
        <f t="shared" si="2"/>
        <v>0</v>
      </c>
      <c r="I24" s="1509">
        <v>0</v>
      </c>
      <c r="J24" s="1509">
        <v>0</v>
      </c>
      <c r="K24" s="1513"/>
      <c r="L24" s="1513"/>
      <c r="M24" s="1513">
        <f t="shared" si="3"/>
        <v>0</v>
      </c>
      <c r="N24" s="1513">
        <f t="shared" si="4"/>
        <v>0</v>
      </c>
      <c r="O24" s="1510">
        <f t="shared" si="0"/>
        <v>0</v>
      </c>
      <c r="P24" s="1453">
        <f t="shared" si="1"/>
        <v>0</v>
      </c>
    </row>
    <row r="25" spans="1:16" outlineLevel="1" x14ac:dyDescent="0.25">
      <c r="A25" s="1511">
        <v>14.2</v>
      </c>
      <c r="B25" s="1512" t="s">
        <v>1606</v>
      </c>
      <c r="C25" s="1511" t="s">
        <v>1601</v>
      </c>
      <c r="D25" s="1378">
        <v>43055</v>
      </c>
      <c r="E25" s="1513">
        <v>0.3</v>
      </c>
      <c r="F25" s="1509">
        <v>0.29736000000000001</v>
      </c>
      <c r="G25" s="1509">
        <v>0.29736000000000001</v>
      </c>
      <c r="H25" s="1509">
        <f t="shared" si="2"/>
        <v>0</v>
      </c>
      <c r="I25" s="1509">
        <v>0</v>
      </c>
      <c r="J25" s="1509">
        <v>0</v>
      </c>
      <c r="K25" s="1513"/>
      <c r="L25" s="1513"/>
      <c r="M25" s="1513">
        <f t="shared" si="3"/>
        <v>0</v>
      </c>
      <c r="N25" s="1513">
        <f t="shared" si="4"/>
        <v>0</v>
      </c>
      <c r="O25" s="1510">
        <f t="shared" si="0"/>
        <v>0</v>
      </c>
      <c r="P25" s="1453">
        <f t="shared" si="1"/>
        <v>0</v>
      </c>
    </row>
    <row r="26" spans="1:16" outlineLevel="1" x14ac:dyDescent="0.25">
      <c r="A26" s="1511">
        <v>14.3</v>
      </c>
      <c r="B26" s="1512" t="s">
        <v>1608</v>
      </c>
      <c r="C26" s="1511" t="s">
        <v>1601</v>
      </c>
      <c r="D26" s="1378">
        <v>43055</v>
      </c>
      <c r="E26" s="1513">
        <v>2.46</v>
      </c>
      <c r="F26" s="1509">
        <v>0</v>
      </c>
      <c r="G26" s="1509">
        <v>0</v>
      </c>
      <c r="H26" s="1509">
        <f t="shared" si="2"/>
        <v>0</v>
      </c>
      <c r="I26" s="1509">
        <v>0</v>
      </c>
      <c r="J26" s="1509">
        <v>0</v>
      </c>
      <c r="K26" s="1513"/>
      <c r="L26" s="1513"/>
      <c r="M26" s="1513">
        <f t="shared" si="3"/>
        <v>0</v>
      </c>
      <c r="N26" s="1513">
        <f t="shared" si="4"/>
        <v>0</v>
      </c>
      <c r="O26" s="1510">
        <f t="shared" si="0"/>
        <v>0</v>
      </c>
      <c r="P26" s="1453">
        <f t="shared" si="1"/>
        <v>0</v>
      </c>
    </row>
    <row r="27" spans="1:16" outlineLevel="1" x14ac:dyDescent="0.25">
      <c r="A27" s="1511">
        <v>14.4</v>
      </c>
      <c r="B27" s="1512" t="s">
        <v>1611</v>
      </c>
      <c r="C27" s="1511" t="s">
        <v>1601</v>
      </c>
      <c r="D27" s="1378">
        <v>43055</v>
      </c>
      <c r="E27" s="1513">
        <v>0.31</v>
      </c>
      <c r="F27" s="1509">
        <v>0.5057102</v>
      </c>
      <c r="G27" s="1509">
        <v>0.5057102</v>
      </c>
      <c r="H27" s="1509">
        <f t="shared" si="2"/>
        <v>0</v>
      </c>
      <c r="I27" s="1509">
        <v>0</v>
      </c>
      <c r="J27" s="1509">
        <v>0</v>
      </c>
      <c r="K27" s="1513"/>
      <c r="L27" s="1513"/>
      <c r="M27" s="1513">
        <f t="shared" si="3"/>
        <v>0</v>
      </c>
      <c r="N27" s="1513">
        <f t="shared" si="4"/>
        <v>0</v>
      </c>
      <c r="O27" s="1510">
        <f t="shared" si="0"/>
        <v>0</v>
      </c>
      <c r="P27" s="1453">
        <f t="shared" si="1"/>
        <v>0</v>
      </c>
    </row>
    <row r="28" spans="1:16" outlineLevel="1" x14ac:dyDescent="0.25">
      <c r="A28" s="1511">
        <v>0</v>
      </c>
      <c r="B28" s="1512" t="s">
        <v>413</v>
      </c>
      <c r="C28" s="1511" t="s">
        <v>1601</v>
      </c>
      <c r="D28" s="1378">
        <v>43055</v>
      </c>
      <c r="E28" s="1513">
        <v>0.13</v>
      </c>
      <c r="F28" s="1509">
        <v>0</v>
      </c>
      <c r="G28" s="1509">
        <v>0</v>
      </c>
      <c r="H28" s="1509">
        <f t="shared" si="2"/>
        <v>0</v>
      </c>
      <c r="I28" s="1509">
        <v>0</v>
      </c>
      <c r="J28" s="1509">
        <v>0</v>
      </c>
      <c r="K28" s="1513"/>
      <c r="L28" s="1513"/>
      <c r="M28" s="1513">
        <f t="shared" si="3"/>
        <v>0</v>
      </c>
      <c r="N28" s="1513">
        <f t="shared" si="4"/>
        <v>0</v>
      </c>
      <c r="O28" s="1510">
        <f t="shared" si="0"/>
        <v>0</v>
      </c>
      <c r="P28" s="1453">
        <f t="shared" si="1"/>
        <v>0</v>
      </c>
    </row>
    <row r="29" spans="1:16" ht="29" outlineLevel="1" x14ac:dyDescent="0.25">
      <c r="A29" s="1506">
        <v>15</v>
      </c>
      <c r="B29" s="1507" t="s">
        <v>1613</v>
      </c>
      <c r="C29" s="1506" t="s">
        <v>1614</v>
      </c>
      <c r="D29" s="1508">
        <v>43055</v>
      </c>
      <c r="E29" s="1509">
        <v>45.524777499999992</v>
      </c>
      <c r="F29" s="1509">
        <v>0</v>
      </c>
      <c r="G29" s="1509">
        <v>0</v>
      </c>
      <c r="H29" s="1509">
        <f t="shared" si="2"/>
        <v>0</v>
      </c>
      <c r="I29" s="1509">
        <v>0</v>
      </c>
      <c r="J29" s="1509">
        <v>0</v>
      </c>
      <c r="K29" s="1509"/>
      <c r="L29" s="1509"/>
      <c r="M29" s="1509">
        <f t="shared" si="3"/>
        <v>0</v>
      </c>
      <c r="N29" s="1509">
        <f t="shared" si="4"/>
        <v>0</v>
      </c>
      <c r="O29" s="1510">
        <f t="shared" si="0"/>
        <v>0</v>
      </c>
      <c r="P29" s="1453">
        <f t="shared" si="1"/>
        <v>0</v>
      </c>
    </row>
    <row r="30" spans="1:16" ht="29" outlineLevel="1" x14ac:dyDescent="0.25">
      <c r="A30" s="1511">
        <v>15.1</v>
      </c>
      <c r="B30" s="1512" t="s">
        <v>1613</v>
      </c>
      <c r="C30" s="1511" t="s">
        <v>1614</v>
      </c>
      <c r="D30" s="1378">
        <v>43055</v>
      </c>
      <c r="E30" s="1513">
        <v>44.154777499999994</v>
      </c>
      <c r="F30" s="1509">
        <v>43.094741947000003</v>
      </c>
      <c r="G30" s="1509">
        <v>43.094741947000003</v>
      </c>
      <c r="H30" s="1509">
        <f t="shared" si="2"/>
        <v>0</v>
      </c>
      <c r="I30" s="1509">
        <v>0</v>
      </c>
      <c r="J30" s="1509">
        <v>0</v>
      </c>
      <c r="K30" s="1513"/>
      <c r="L30" s="1513"/>
      <c r="M30" s="1513">
        <f t="shared" si="3"/>
        <v>0</v>
      </c>
      <c r="N30" s="1513">
        <f t="shared" si="4"/>
        <v>0</v>
      </c>
      <c r="O30" s="1510">
        <f t="shared" si="0"/>
        <v>0</v>
      </c>
      <c r="P30" s="1453">
        <f t="shared" si="1"/>
        <v>0</v>
      </c>
    </row>
    <row r="31" spans="1:16" outlineLevel="1" x14ac:dyDescent="0.25">
      <c r="A31" s="1511">
        <v>0</v>
      </c>
      <c r="B31" s="1512" t="s">
        <v>413</v>
      </c>
      <c r="C31" s="1511" t="s">
        <v>1614</v>
      </c>
      <c r="D31" s="1378">
        <v>43055</v>
      </c>
      <c r="E31" s="1513">
        <v>1.37</v>
      </c>
      <c r="F31" s="1509">
        <v>0</v>
      </c>
      <c r="G31" s="1509">
        <v>0</v>
      </c>
      <c r="H31" s="1509">
        <f t="shared" si="2"/>
        <v>0</v>
      </c>
      <c r="I31" s="1509">
        <v>0</v>
      </c>
      <c r="J31" s="1509">
        <v>0</v>
      </c>
      <c r="K31" s="1513"/>
      <c r="L31" s="1513"/>
      <c r="M31" s="1513">
        <f t="shared" si="3"/>
        <v>0</v>
      </c>
      <c r="N31" s="1513">
        <f t="shared" si="4"/>
        <v>0</v>
      </c>
      <c r="O31" s="1510">
        <f t="shared" si="0"/>
        <v>0</v>
      </c>
      <c r="P31" s="1453">
        <f t="shared" si="1"/>
        <v>0</v>
      </c>
    </row>
    <row r="32" spans="1:16" outlineLevel="1" x14ac:dyDescent="0.25">
      <c r="A32" s="1506">
        <v>16</v>
      </c>
      <c r="B32" s="1507" t="s">
        <v>1617</v>
      </c>
      <c r="C32" s="1506" t="s">
        <v>1618</v>
      </c>
      <c r="D32" s="1508">
        <v>43529</v>
      </c>
      <c r="E32" s="1509">
        <v>13.148149</v>
      </c>
      <c r="F32" s="1509">
        <v>0</v>
      </c>
      <c r="G32" s="1509">
        <v>0</v>
      </c>
      <c r="H32" s="1509">
        <f t="shared" si="2"/>
        <v>0</v>
      </c>
      <c r="I32" s="1509">
        <v>0</v>
      </c>
      <c r="J32" s="1509">
        <v>0</v>
      </c>
      <c r="K32" s="1513"/>
      <c r="L32" s="1513"/>
      <c r="M32" s="1513">
        <f t="shared" si="3"/>
        <v>0</v>
      </c>
      <c r="N32" s="1513">
        <f t="shared" si="4"/>
        <v>0</v>
      </c>
      <c r="O32" s="1510">
        <f t="shared" si="0"/>
        <v>0</v>
      </c>
      <c r="P32" s="1453">
        <f t="shared" si="1"/>
        <v>0</v>
      </c>
    </row>
    <row r="33" spans="1:16" outlineLevel="1" x14ac:dyDescent="0.25">
      <c r="A33" s="1511">
        <v>16.100000000000001</v>
      </c>
      <c r="B33" s="1512" t="s">
        <v>1619</v>
      </c>
      <c r="C33" s="1511" t="s">
        <v>1618</v>
      </c>
      <c r="D33" s="1378">
        <v>43529</v>
      </c>
      <c r="E33" s="1513">
        <v>8.0502839999999996</v>
      </c>
      <c r="F33" s="1509">
        <v>5.6193481700000003</v>
      </c>
      <c r="G33" s="1509">
        <v>5.6193481700000003</v>
      </c>
      <c r="H33" s="1509">
        <f t="shared" si="2"/>
        <v>0</v>
      </c>
      <c r="I33" s="1509">
        <v>0</v>
      </c>
      <c r="J33" s="1509">
        <v>0</v>
      </c>
      <c r="K33" s="1513"/>
      <c r="L33" s="1513"/>
      <c r="M33" s="1513">
        <f t="shared" si="3"/>
        <v>0</v>
      </c>
      <c r="N33" s="1513">
        <f t="shared" si="4"/>
        <v>0</v>
      </c>
      <c r="O33" s="1510">
        <f t="shared" si="0"/>
        <v>0</v>
      </c>
      <c r="P33" s="1453">
        <f t="shared" si="1"/>
        <v>0</v>
      </c>
    </row>
    <row r="34" spans="1:16" outlineLevel="1" x14ac:dyDescent="0.25">
      <c r="A34" s="1511">
        <v>16.2</v>
      </c>
      <c r="B34" s="1512" t="s">
        <v>1621</v>
      </c>
      <c r="C34" s="1511" t="s">
        <v>1618</v>
      </c>
      <c r="D34" s="1378">
        <v>43529</v>
      </c>
      <c r="E34" s="1513">
        <v>2.3051249999999999</v>
      </c>
      <c r="F34" s="1509">
        <v>2.0084425239999999</v>
      </c>
      <c r="G34" s="1509">
        <v>2.0084425239999999</v>
      </c>
      <c r="H34" s="1509">
        <f t="shared" si="2"/>
        <v>0</v>
      </c>
      <c r="I34" s="1509">
        <v>0</v>
      </c>
      <c r="J34" s="1509">
        <v>0</v>
      </c>
      <c r="K34" s="1513"/>
      <c r="L34" s="1513"/>
      <c r="M34" s="1513">
        <f t="shared" si="3"/>
        <v>0</v>
      </c>
      <c r="N34" s="1513">
        <f t="shared" si="4"/>
        <v>0</v>
      </c>
      <c r="O34" s="1510">
        <f t="shared" si="0"/>
        <v>0</v>
      </c>
      <c r="P34" s="1453">
        <f t="shared" si="1"/>
        <v>0</v>
      </c>
    </row>
    <row r="35" spans="1:16" outlineLevel="1" x14ac:dyDescent="0.25">
      <c r="A35" s="1511">
        <v>16.3</v>
      </c>
      <c r="B35" s="1512" t="s">
        <v>1624</v>
      </c>
      <c r="C35" s="1511" t="s">
        <v>1618</v>
      </c>
      <c r="D35" s="1378">
        <v>43529</v>
      </c>
      <c r="E35" s="1513">
        <v>2.7927399999999998</v>
      </c>
      <c r="F35" s="1509">
        <v>0.161533649</v>
      </c>
      <c r="G35" s="1509">
        <v>0.161533649</v>
      </c>
      <c r="H35" s="1509">
        <f t="shared" si="2"/>
        <v>0</v>
      </c>
      <c r="I35" s="1509">
        <v>2.9588000000000001E-3</v>
      </c>
      <c r="J35" s="1509">
        <v>2.9588000000000001E-3</v>
      </c>
      <c r="K35" s="1513"/>
      <c r="L35" s="1513"/>
      <c r="M35" s="1513">
        <f t="shared" si="3"/>
        <v>2.9588000000000001E-3</v>
      </c>
      <c r="N35" s="1513">
        <f t="shared" si="4"/>
        <v>0</v>
      </c>
      <c r="O35" s="1510">
        <f t="shared" si="0"/>
        <v>2.9588000000000001E-3</v>
      </c>
      <c r="P35" s="1453">
        <f t="shared" si="1"/>
        <v>0</v>
      </c>
    </row>
    <row r="36" spans="1:16" outlineLevel="1" x14ac:dyDescent="0.25">
      <c r="A36" s="1511">
        <v>16.399999999999999</v>
      </c>
      <c r="B36" s="1512" t="s">
        <v>1626</v>
      </c>
      <c r="C36" s="1511" t="s">
        <v>1618</v>
      </c>
      <c r="D36" s="1378">
        <v>43529</v>
      </c>
      <c r="E36" s="1513">
        <v>0</v>
      </c>
      <c r="F36" s="1509">
        <v>0</v>
      </c>
      <c r="G36" s="1509">
        <v>0</v>
      </c>
      <c r="H36" s="1509">
        <f t="shared" si="2"/>
        <v>0</v>
      </c>
      <c r="I36" s="1509">
        <v>0</v>
      </c>
      <c r="J36" s="1509">
        <v>0</v>
      </c>
      <c r="K36" s="1513"/>
      <c r="L36" s="1513"/>
      <c r="M36" s="1513">
        <f t="shared" si="3"/>
        <v>0</v>
      </c>
      <c r="N36" s="1513">
        <f t="shared" si="4"/>
        <v>0</v>
      </c>
      <c r="O36" s="1510">
        <f t="shared" si="0"/>
        <v>0</v>
      </c>
      <c r="P36" s="1453">
        <f t="shared" si="1"/>
        <v>0</v>
      </c>
    </row>
    <row r="37" spans="1:16" outlineLevel="1" x14ac:dyDescent="0.25">
      <c r="A37" s="1511">
        <v>16.5</v>
      </c>
      <c r="B37" s="1512" t="s">
        <v>1629</v>
      </c>
      <c r="C37" s="1511" t="s">
        <v>1618</v>
      </c>
      <c r="D37" s="1378">
        <v>43529</v>
      </c>
      <c r="E37" s="1513">
        <v>0</v>
      </c>
      <c r="F37" s="1509">
        <v>0</v>
      </c>
      <c r="G37" s="1509">
        <v>0</v>
      </c>
      <c r="H37" s="1509">
        <f t="shared" si="2"/>
        <v>0</v>
      </c>
      <c r="I37" s="1509">
        <v>0</v>
      </c>
      <c r="J37" s="1509">
        <v>0</v>
      </c>
      <c r="K37" s="1513"/>
      <c r="L37" s="1513"/>
      <c r="M37" s="1513">
        <f t="shared" si="3"/>
        <v>0</v>
      </c>
      <c r="N37" s="1513">
        <f t="shared" si="4"/>
        <v>0</v>
      </c>
      <c r="O37" s="1510">
        <f t="shared" si="0"/>
        <v>0</v>
      </c>
      <c r="P37" s="1453">
        <f t="shared" si="1"/>
        <v>0</v>
      </c>
    </row>
    <row r="38" spans="1:16" outlineLevel="1" x14ac:dyDescent="0.25">
      <c r="A38" s="1506">
        <v>17</v>
      </c>
      <c r="B38" s="1507" t="s">
        <v>1630</v>
      </c>
      <c r="C38" s="1506" t="s">
        <v>1631</v>
      </c>
      <c r="D38" s="1508">
        <v>43481</v>
      </c>
      <c r="E38" s="1509">
        <v>11.99868781</v>
      </c>
      <c r="F38" s="1509">
        <v>0</v>
      </c>
      <c r="G38" s="1509">
        <v>0</v>
      </c>
      <c r="H38" s="1509">
        <f t="shared" si="2"/>
        <v>0</v>
      </c>
      <c r="I38" s="1509">
        <v>0</v>
      </c>
      <c r="J38" s="1509">
        <v>0</v>
      </c>
      <c r="K38" s="1513"/>
      <c r="L38" s="1513"/>
      <c r="M38" s="1513">
        <f t="shared" si="3"/>
        <v>0</v>
      </c>
      <c r="N38" s="1513">
        <f t="shared" si="4"/>
        <v>0</v>
      </c>
      <c r="O38" s="1510">
        <f t="shared" si="0"/>
        <v>0</v>
      </c>
      <c r="P38" s="1453">
        <f t="shared" si="1"/>
        <v>0</v>
      </c>
    </row>
    <row r="39" spans="1:16" ht="43.5" outlineLevel="1" x14ac:dyDescent="0.25">
      <c r="A39" s="1511">
        <v>17.100000000000001</v>
      </c>
      <c r="B39" s="1512" t="s">
        <v>1632</v>
      </c>
      <c r="C39" s="1511" t="s">
        <v>1631</v>
      </c>
      <c r="D39" s="1378">
        <v>43481</v>
      </c>
      <c r="E39" s="1513">
        <v>6.1932861680000002</v>
      </c>
      <c r="F39" s="1509">
        <v>5.288301572</v>
      </c>
      <c r="G39" s="1509">
        <v>5.288301572</v>
      </c>
      <c r="H39" s="1509">
        <f t="shared" si="2"/>
        <v>0</v>
      </c>
      <c r="I39" s="1509">
        <v>0.35765140000000001</v>
      </c>
      <c r="J39" s="1509">
        <v>0.35765140000000001</v>
      </c>
      <c r="K39" s="1513"/>
      <c r="L39" s="1513"/>
      <c r="M39" s="1513">
        <f t="shared" si="3"/>
        <v>0.35765140000000001</v>
      </c>
      <c r="N39" s="1513">
        <f t="shared" si="4"/>
        <v>0</v>
      </c>
      <c r="O39" s="1510">
        <f t="shared" si="0"/>
        <v>0.35765140000000001</v>
      </c>
      <c r="P39" s="1453">
        <f t="shared" si="1"/>
        <v>0</v>
      </c>
    </row>
    <row r="40" spans="1:16" ht="29" outlineLevel="1" x14ac:dyDescent="0.25">
      <c r="A40" s="1511">
        <v>17.2</v>
      </c>
      <c r="B40" s="1512" t="s">
        <v>1634</v>
      </c>
      <c r="C40" s="1511" t="s">
        <v>1631</v>
      </c>
      <c r="D40" s="1378">
        <v>43481</v>
      </c>
      <c r="E40" s="1513">
        <v>0.38584171</v>
      </c>
      <c r="F40" s="1509">
        <v>0.28061102900000001</v>
      </c>
      <c r="G40" s="1509">
        <v>0.28061102900000001</v>
      </c>
      <c r="H40" s="1509">
        <f t="shared" si="2"/>
        <v>0</v>
      </c>
      <c r="I40" s="1509">
        <v>0</v>
      </c>
      <c r="J40" s="1509">
        <v>0</v>
      </c>
      <c r="K40" s="1513"/>
      <c r="L40" s="1513"/>
      <c r="M40" s="1513">
        <f t="shared" si="3"/>
        <v>0</v>
      </c>
      <c r="N40" s="1513">
        <f t="shared" si="4"/>
        <v>0</v>
      </c>
      <c r="O40" s="1510">
        <f t="shared" si="0"/>
        <v>0</v>
      </c>
      <c r="P40" s="1453">
        <f t="shared" si="1"/>
        <v>0</v>
      </c>
    </row>
    <row r="41" spans="1:16" ht="29" outlineLevel="1" x14ac:dyDescent="0.25">
      <c r="A41" s="1511">
        <v>17.3</v>
      </c>
      <c r="B41" s="1512" t="s">
        <v>1635</v>
      </c>
      <c r="C41" s="1511" t="s">
        <v>1631</v>
      </c>
      <c r="D41" s="1378">
        <v>43481</v>
      </c>
      <c r="E41" s="1513">
        <v>1.490824862</v>
      </c>
      <c r="F41" s="1509">
        <v>0</v>
      </c>
      <c r="G41" s="1509">
        <v>0</v>
      </c>
      <c r="H41" s="1509">
        <f t="shared" si="2"/>
        <v>0</v>
      </c>
      <c r="I41" s="1509">
        <v>0</v>
      </c>
      <c r="J41" s="1509">
        <v>0</v>
      </c>
      <c r="K41" s="1513"/>
      <c r="L41" s="1513"/>
      <c r="M41" s="1513">
        <f t="shared" si="3"/>
        <v>0</v>
      </c>
      <c r="N41" s="1513">
        <f t="shared" si="4"/>
        <v>0</v>
      </c>
      <c r="O41" s="1510">
        <f t="shared" si="0"/>
        <v>0</v>
      </c>
      <c r="P41" s="1453">
        <f t="shared" si="1"/>
        <v>0</v>
      </c>
    </row>
    <row r="42" spans="1:16" ht="29" outlineLevel="1" x14ac:dyDescent="0.25">
      <c r="A42" s="1511">
        <v>17.399999999999999</v>
      </c>
      <c r="B42" s="1512" t="s">
        <v>1637</v>
      </c>
      <c r="C42" s="1511" t="s">
        <v>1631</v>
      </c>
      <c r="D42" s="1378">
        <v>43481</v>
      </c>
      <c r="E42" s="1513">
        <v>0.32052575999999999</v>
      </c>
      <c r="F42" s="1509">
        <v>0.23293444999999999</v>
      </c>
      <c r="G42" s="1509">
        <v>0.23293444999999999</v>
      </c>
      <c r="H42" s="1509">
        <f t="shared" si="2"/>
        <v>0</v>
      </c>
      <c r="I42" s="1509">
        <v>0</v>
      </c>
      <c r="J42" s="1509">
        <v>0</v>
      </c>
      <c r="K42" s="1513"/>
      <c r="L42" s="1513"/>
      <c r="M42" s="1513">
        <f t="shared" si="3"/>
        <v>0</v>
      </c>
      <c r="N42" s="1513">
        <f t="shared" si="4"/>
        <v>0</v>
      </c>
      <c r="O42" s="1510">
        <f t="shared" si="0"/>
        <v>0</v>
      </c>
      <c r="P42" s="1453">
        <f t="shared" si="1"/>
        <v>0</v>
      </c>
    </row>
    <row r="43" spans="1:16" ht="29" outlineLevel="1" x14ac:dyDescent="0.25">
      <c r="A43" s="1511">
        <v>17.5</v>
      </c>
      <c r="B43" s="1512" t="s">
        <v>1638</v>
      </c>
      <c r="C43" s="1511" t="s">
        <v>1631</v>
      </c>
      <c r="D43" s="1378">
        <v>43481</v>
      </c>
      <c r="E43" s="1513">
        <v>2.7334139500000001</v>
      </c>
      <c r="F43" s="1509">
        <v>0</v>
      </c>
      <c r="G43" s="1509">
        <v>0</v>
      </c>
      <c r="H43" s="1509">
        <f t="shared" si="2"/>
        <v>0</v>
      </c>
      <c r="I43" s="1509">
        <v>0</v>
      </c>
      <c r="J43" s="1509">
        <v>0</v>
      </c>
      <c r="K43" s="1513"/>
      <c r="L43" s="1513"/>
      <c r="M43" s="1513">
        <f t="shared" si="3"/>
        <v>0</v>
      </c>
      <c r="N43" s="1513">
        <f t="shared" si="4"/>
        <v>0</v>
      </c>
      <c r="O43" s="1510">
        <f t="shared" si="0"/>
        <v>0</v>
      </c>
      <c r="P43" s="1453">
        <f t="shared" si="1"/>
        <v>0</v>
      </c>
    </row>
    <row r="44" spans="1:16" ht="43.5" outlineLevel="1" x14ac:dyDescent="0.25">
      <c r="A44" s="1511">
        <v>17.600000000000001</v>
      </c>
      <c r="B44" s="1512" t="s">
        <v>1639</v>
      </c>
      <c r="C44" s="1511" t="s">
        <v>1631</v>
      </c>
      <c r="D44" s="1378">
        <v>43481</v>
      </c>
      <c r="E44" s="1513">
        <v>0.58998525000000002</v>
      </c>
      <c r="F44" s="1509">
        <v>0.43154335300000002</v>
      </c>
      <c r="G44" s="1509">
        <v>0.43154335300000002</v>
      </c>
      <c r="H44" s="1509">
        <f t="shared" si="2"/>
        <v>0</v>
      </c>
      <c r="I44" s="1509">
        <v>0</v>
      </c>
      <c r="J44" s="1509">
        <v>0</v>
      </c>
      <c r="K44" s="1513"/>
      <c r="L44" s="1513"/>
      <c r="M44" s="1513">
        <f t="shared" si="3"/>
        <v>0</v>
      </c>
      <c r="N44" s="1513">
        <f t="shared" si="4"/>
        <v>0</v>
      </c>
      <c r="O44" s="1510">
        <f t="shared" si="0"/>
        <v>0</v>
      </c>
      <c r="P44" s="1453">
        <f t="shared" si="1"/>
        <v>0</v>
      </c>
    </row>
    <row r="45" spans="1:16" ht="29" outlineLevel="1" x14ac:dyDescent="0.25">
      <c r="A45" s="1511">
        <v>17.600000000000001</v>
      </c>
      <c r="B45" s="1512" t="s">
        <v>1640</v>
      </c>
      <c r="C45" s="1511" t="s">
        <v>1631</v>
      </c>
      <c r="D45" s="1378">
        <v>43481</v>
      </c>
      <c r="E45" s="1513">
        <v>0.28481011000000001</v>
      </c>
      <c r="F45" s="1509">
        <v>0.20461170000000001</v>
      </c>
      <c r="G45" s="1509">
        <v>0.20461170000000001</v>
      </c>
      <c r="H45" s="1509">
        <f t="shared" si="2"/>
        <v>0</v>
      </c>
      <c r="I45" s="1509">
        <v>0</v>
      </c>
      <c r="J45" s="1509">
        <v>0</v>
      </c>
      <c r="K45" s="1513"/>
      <c r="L45" s="1513"/>
      <c r="M45" s="1513">
        <f t="shared" si="3"/>
        <v>0</v>
      </c>
      <c r="N45" s="1513">
        <f t="shared" si="4"/>
        <v>0</v>
      </c>
      <c r="O45" s="1510">
        <f t="shared" si="0"/>
        <v>0</v>
      </c>
      <c r="P45" s="1453">
        <f t="shared" si="1"/>
        <v>0</v>
      </c>
    </row>
    <row r="46" spans="1:16" outlineLevel="1" x14ac:dyDescent="0.25">
      <c r="A46" s="1511">
        <v>0</v>
      </c>
      <c r="B46" s="1512" t="s">
        <v>413</v>
      </c>
      <c r="C46" s="1511" t="s">
        <v>1631</v>
      </c>
      <c r="D46" s="1378">
        <v>43481</v>
      </c>
      <c r="E46" s="1513">
        <v>0</v>
      </c>
      <c r="F46" s="1509">
        <v>0</v>
      </c>
      <c r="G46" s="1509">
        <v>0</v>
      </c>
      <c r="H46" s="1509">
        <f t="shared" si="2"/>
        <v>0</v>
      </c>
      <c r="I46" s="1509">
        <v>0</v>
      </c>
      <c r="J46" s="1509">
        <v>0</v>
      </c>
      <c r="K46" s="1513"/>
      <c r="L46" s="1513"/>
      <c r="M46" s="1513">
        <f t="shared" si="3"/>
        <v>0</v>
      </c>
      <c r="N46" s="1513">
        <f t="shared" si="4"/>
        <v>0</v>
      </c>
      <c r="O46" s="1510">
        <f t="shared" si="0"/>
        <v>0</v>
      </c>
      <c r="P46" s="1453">
        <f t="shared" si="1"/>
        <v>0</v>
      </c>
    </row>
    <row r="47" spans="1:16" ht="29" outlineLevel="1" x14ac:dyDescent="0.25">
      <c r="A47" s="1506">
        <v>18</v>
      </c>
      <c r="B47" s="1507" t="s">
        <v>1641</v>
      </c>
      <c r="C47" s="1506" t="s">
        <v>1642</v>
      </c>
      <c r="D47" s="1508">
        <v>43672</v>
      </c>
      <c r="E47" s="1509">
        <v>22.72</v>
      </c>
      <c r="F47" s="1509">
        <v>0</v>
      </c>
      <c r="G47" s="1509">
        <v>0</v>
      </c>
      <c r="H47" s="1509">
        <f t="shared" si="2"/>
        <v>0</v>
      </c>
      <c r="I47" s="1509">
        <v>0</v>
      </c>
      <c r="J47" s="1509">
        <v>0</v>
      </c>
      <c r="K47" s="1513"/>
      <c r="L47" s="1513"/>
      <c r="M47" s="1513">
        <f t="shared" si="3"/>
        <v>0</v>
      </c>
      <c r="N47" s="1513">
        <f t="shared" si="4"/>
        <v>0</v>
      </c>
      <c r="O47" s="1510">
        <f t="shared" si="0"/>
        <v>0</v>
      </c>
      <c r="P47" s="1453">
        <f t="shared" si="1"/>
        <v>0</v>
      </c>
    </row>
    <row r="48" spans="1:16" ht="29" outlineLevel="1" x14ac:dyDescent="0.25">
      <c r="A48" s="1511">
        <v>18.100000000000001</v>
      </c>
      <c r="B48" s="1512" t="s">
        <v>1643</v>
      </c>
      <c r="C48" s="1511" t="s">
        <v>1642</v>
      </c>
      <c r="D48" s="1378">
        <v>43672</v>
      </c>
      <c r="E48" s="1513">
        <v>10.6</v>
      </c>
      <c r="F48" s="1509">
        <v>8.7955000000000005</v>
      </c>
      <c r="G48" s="1509">
        <v>0</v>
      </c>
      <c r="H48" s="1509">
        <f t="shared" si="2"/>
        <v>8.7955000000000005</v>
      </c>
      <c r="I48" s="1509">
        <v>0</v>
      </c>
      <c r="J48" s="1509">
        <v>0</v>
      </c>
      <c r="K48" s="1513"/>
      <c r="L48" s="1513"/>
      <c r="M48" s="1513">
        <f t="shared" si="3"/>
        <v>0</v>
      </c>
      <c r="N48" s="1513">
        <f t="shared" si="4"/>
        <v>8.7955000000000005</v>
      </c>
      <c r="O48" s="1510">
        <f t="shared" si="0"/>
        <v>0</v>
      </c>
      <c r="P48" s="1453">
        <f t="shared" si="1"/>
        <v>0</v>
      </c>
    </row>
    <row r="49" spans="1:16" ht="29" outlineLevel="1" x14ac:dyDescent="0.25">
      <c r="A49" s="1511">
        <v>18.2</v>
      </c>
      <c r="B49" s="1512" t="s">
        <v>1645</v>
      </c>
      <c r="C49" s="1511" t="s">
        <v>1642</v>
      </c>
      <c r="D49" s="1378">
        <v>43672</v>
      </c>
      <c r="E49" s="1513">
        <v>10.6</v>
      </c>
      <c r="F49" s="1509">
        <v>8.7955000000000005</v>
      </c>
      <c r="G49" s="1509">
        <v>0</v>
      </c>
      <c r="H49" s="1509">
        <f t="shared" si="2"/>
        <v>8.7955000000000005</v>
      </c>
      <c r="I49" s="1509">
        <v>3.53</v>
      </c>
      <c r="J49" s="1509">
        <v>12.328390300000001</v>
      </c>
      <c r="K49" s="1513"/>
      <c r="L49" s="1513"/>
      <c r="M49" s="1513">
        <f t="shared" si="3"/>
        <v>12.328390300000001</v>
      </c>
      <c r="N49" s="1513">
        <f t="shared" si="4"/>
        <v>-2.8903000000006784E-3</v>
      </c>
      <c r="O49" s="1510">
        <f t="shared" si="0"/>
        <v>10.6</v>
      </c>
      <c r="P49" s="1453">
        <f t="shared" si="1"/>
        <v>1.7283903000000009</v>
      </c>
    </row>
    <row r="50" spans="1:16" outlineLevel="1" x14ac:dyDescent="0.25">
      <c r="A50" s="1511">
        <v>0</v>
      </c>
      <c r="B50" s="1516" t="s">
        <v>413</v>
      </c>
      <c r="C50" s="1511" t="s">
        <v>1642</v>
      </c>
      <c r="D50" s="1378">
        <v>43672</v>
      </c>
      <c r="E50" s="1513">
        <v>1.52</v>
      </c>
      <c r="F50" s="1509">
        <v>0</v>
      </c>
      <c r="G50" s="1509">
        <v>0</v>
      </c>
      <c r="H50" s="1509">
        <f t="shared" si="2"/>
        <v>0</v>
      </c>
      <c r="I50" s="1509">
        <v>0.81066607999999996</v>
      </c>
      <c r="J50" s="1509">
        <v>0.81066079999999996</v>
      </c>
      <c r="K50" s="1513"/>
      <c r="L50" s="1513"/>
      <c r="M50" s="1513">
        <f t="shared" si="3"/>
        <v>0.81066079999999996</v>
      </c>
      <c r="N50" s="1513">
        <f t="shared" si="4"/>
        <v>5.2799999999963987E-6</v>
      </c>
      <c r="O50" s="1510">
        <f t="shared" si="0"/>
        <v>0.81066079999999996</v>
      </c>
      <c r="P50" s="1453">
        <f t="shared" si="1"/>
        <v>0</v>
      </c>
    </row>
    <row r="51" spans="1:16" ht="29" outlineLevel="1" x14ac:dyDescent="0.25">
      <c r="A51" s="1506">
        <v>19</v>
      </c>
      <c r="B51" s="1507" t="s">
        <v>1646</v>
      </c>
      <c r="C51" s="1506" t="s">
        <v>1647</v>
      </c>
      <c r="D51" s="1508">
        <v>43676</v>
      </c>
      <c r="E51" s="1509">
        <v>10.719999999999999</v>
      </c>
      <c r="F51" s="1509">
        <v>0</v>
      </c>
      <c r="G51" s="1509">
        <v>0</v>
      </c>
      <c r="H51" s="1509">
        <f t="shared" si="2"/>
        <v>0</v>
      </c>
      <c r="I51" s="1509">
        <v>0</v>
      </c>
      <c r="J51" s="1509">
        <v>0</v>
      </c>
      <c r="K51" s="1513"/>
      <c r="L51" s="1513"/>
      <c r="M51" s="1513">
        <f t="shared" si="3"/>
        <v>0</v>
      </c>
      <c r="N51" s="1513">
        <f t="shared" si="4"/>
        <v>0</v>
      </c>
      <c r="O51" s="1510">
        <f t="shared" si="0"/>
        <v>0</v>
      </c>
      <c r="P51" s="1453">
        <f t="shared" si="1"/>
        <v>0</v>
      </c>
    </row>
    <row r="52" spans="1:16" outlineLevel="1" x14ac:dyDescent="0.25">
      <c r="A52" s="1511">
        <v>19.100000000000001</v>
      </c>
      <c r="B52" s="1512" t="s">
        <v>1648</v>
      </c>
      <c r="C52" s="1511" t="s">
        <v>1647</v>
      </c>
      <c r="D52" s="1378">
        <v>43676</v>
      </c>
      <c r="E52" s="1513">
        <v>3.93</v>
      </c>
      <c r="F52" s="1509">
        <v>4.3292536000000004</v>
      </c>
      <c r="G52" s="1509">
        <v>4.3292536000000004</v>
      </c>
      <c r="H52" s="1509">
        <f t="shared" si="2"/>
        <v>0</v>
      </c>
      <c r="I52" s="1509">
        <v>0</v>
      </c>
      <c r="J52" s="1509">
        <v>0</v>
      </c>
      <c r="K52" s="1513"/>
      <c r="L52" s="1513"/>
      <c r="M52" s="1513">
        <f t="shared" si="3"/>
        <v>0</v>
      </c>
      <c r="N52" s="1513">
        <f t="shared" si="4"/>
        <v>0</v>
      </c>
      <c r="O52" s="1510">
        <f t="shared" si="0"/>
        <v>0</v>
      </c>
      <c r="P52" s="1453">
        <f t="shared" si="1"/>
        <v>0</v>
      </c>
    </row>
    <row r="53" spans="1:16" outlineLevel="1" x14ac:dyDescent="0.25">
      <c r="A53" s="1511">
        <v>19.2</v>
      </c>
      <c r="B53" s="1512" t="s">
        <v>1650</v>
      </c>
      <c r="C53" s="1506" t="s">
        <v>1647</v>
      </c>
      <c r="D53" s="1508">
        <v>43676</v>
      </c>
      <c r="E53" s="1509">
        <v>6.25</v>
      </c>
      <c r="F53" s="1509">
        <v>6.4416200000000003</v>
      </c>
      <c r="G53" s="1509">
        <v>6.4416200000000003</v>
      </c>
      <c r="H53" s="1509">
        <f t="shared" si="2"/>
        <v>0</v>
      </c>
      <c r="I53" s="1509">
        <v>0</v>
      </c>
      <c r="J53" s="1509">
        <v>0</v>
      </c>
      <c r="K53" s="1513"/>
      <c r="L53" s="1513"/>
      <c r="M53" s="1513">
        <f t="shared" si="3"/>
        <v>0</v>
      </c>
      <c r="N53" s="1513">
        <f t="shared" si="4"/>
        <v>0</v>
      </c>
      <c r="O53" s="1510">
        <f t="shared" si="0"/>
        <v>0</v>
      </c>
      <c r="P53" s="1453">
        <f t="shared" si="1"/>
        <v>0</v>
      </c>
    </row>
    <row r="54" spans="1:16" outlineLevel="1" x14ac:dyDescent="0.25">
      <c r="A54" s="1511">
        <v>0</v>
      </c>
      <c r="B54" s="1512" t="s">
        <v>413</v>
      </c>
      <c r="C54" s="1511" t="s">
        <v>1647</v>
      </c>
      <c r="D54" s="1378">
        <v>43676</v>
      </c>
      <c r="E54" s="1513">
        <v>0.54</v>
      </c>
      <c r="F54" s="1509">
        <v>0</v>
      </c>
      <c r="G54" s="1509">
        <v>0</v>
      </c>
      <c r="H54" s="1509">
        <f t="shared" si="2"/>
        <v>0</v>
      </c>
      <c r="I54" s="1509">
        <v>0</v>
      </c>
      <c r="J54" s="1509">
        <v>0</v>
      </c>
      <c r="K54" s="1513"/>
      <c r="L54" s="1513"/>
      <c r="M54" s="1513">
        <f t="shared" si="3"/>
        <v>0</v>
      </c>
      <c r="N54" s="1513">
        <f t="shared" si="4"/>
        <v>0</v>
      </c>
      <c r="O54" s="1510">
        <f t="shared" si="0"/>
        <v>0</v>
      </c>
      <c r="P54" s="1453">
        <f t="shared" si="1"/>
        <v>0</v>
      </c>
    </row>
    <row r="55" spans="1:16" ht="58" outlineLevel="1" x14ac:dyDescent="0.25">
      <c r="A55" s="1506">
        <v>20</v>
      </c>
      <c r="B55" s="1507" t="s">
        <v>1653</v>
      </c>
      <c r="C55" s="1506" t="s">
        <v>1654</v>
      </c>
      <c r="D55" s="1508" t="s">
        <v>1655</v>
      </c>
      <c r="E55" s="1509">
        <v>21.26</v>
      </c>
      <c r="F55" s="1509">
        <v>0</v>
      </c>
      <c r="G55" s="1509">
        <v>0</v>
      </c>
      <c r="H55" s="1509">
        <f t="shared" si="2"/>
        <v>0</v>
      </c>
      <c r="I55" s="1509">
        <v>0</v>
      </c>
      <c r="J55" s="1509">
        <v>0</v>
      </c>
      <c r="K55" s="1513"/>
      <c r="L55" s="1513"/>
      <c r="M55" s="1513">
        <f t="shared" si="3"/>
        <v>0</v>
      </c>
      <c r="N55" s="1513">
        <f t="shared" si="4"/>
        <v>0</v>
      </c>
      <c r="O55" s="1510">
        <f t="shared" si="0"/>
        <v>0</v>
      </c>
      <c r="P55" s="1453">
        <f t="shared" si="1"/>
        <v>0</v>
      </c>
    </row>
    <row r="56" spans="1:16" ht="58" outlineLevel="1" x14ac:dyDescent="0.25">
      <c r="A56" s="1511">
        <v>20.100000000000001</v>
      </c>
      <c r="B56" s="1512" t="s">
        <v>1656</v>
      </c>
      <c r="C56" s="1511" t="s">
        <v>1654</v>
      </c>
      <c r="D56" s="1378" t="s">
        <v>1655</v>
      </c>
      <c r="E56" s="1513">
        <v>14.39</v>
      </c>
      <c r="F56" s="1509">
        <v>14.1187</v>
      </c>
      <c r="G56" s="1509">
        <v>14.1187</v>
      </c>
      <c r="H56" s="1509">
        <f t="shared" si="2"/>
        <v>0</v>
      </c>
      <c r="I56" s="1509">
        <v>0</v>
      </c>
      <c r="J56" s="1509">
        <v>0</v>
      </c>
      <c r="K56" s="1513"/>
      <c r="L56" s="1513"/>
      <c r="M56" s="1513">
        <f t="shared" si="3"/>
        <v>0</v>
      </c>
      <c r="N56" s="1513">
        <f t="shared" si="4"/>
        <v>0</v>
      </c>
      <c r="O56" s="1510">
        <f t="shared" si="0"/>
        <v>0</v>
      </c>
      <c r="P56" s="1453">
        <f t="shared" si="1"/>
        <v>0</v>
      </c>
    </row>
    <row r="57" spans="1:16" ht="29" outlineLevel="1" x14ac:dyDescent="0.25">
      <c r="A57" s="1511">
        <v>20.2</v>
      </c>
      <c r="B57" s="1512" t="s">
        <v>1660</v>
      </c>
      <c r="C57" s="1506">
        <v>0</v>
      </c>
      <c r="D57" s="1508" t="s">
        <v>1661</v>
      </c>
      <c r="E57" s="1509">
        <v>0</v>
      </c>
      <c r="F57" s="1509">
        <v>0</v>
      </c>
      <c r="G57" s="1509">
        <v>0</v>
      </c>
      <c r="H57" s="1509">
        <f t="shared" si="2"/>
        <v>0</v>
      </c>
      <c r="I57" s="1509">
        <v>0</v>
      </c>
      <c r="J57" s="1509">
        <v>0</v>
      </c>
      <c r="K57" s="1509"/>
      <c r="L57" s="1509"/>
      <c r="M57" s="1509">
        <f t="shared" si="3"/>
        <v>0</v>
      </c>
      <c r="N57" s="1509">
        <f t="shared" si="4"/>
        <v>0</v>
      </c>
      <c r="O57" s="1510">
        <f t="shared" si="0"/>
        <v>0</v>
      </c>
      <c r="P57" s="1453">
        <f t="shared" si="1"/>
        <v>0</v>
      </c>
    </row>
    <row r="58" spans="1:16" ht="58" outlineLevel="1" x14ac:dyDescent="0.25">
      <c r="A58" s="1511">
        <v>20.3</v>
      </c>
      <c r="B58" s="1512" t="s">
        <v>1664</v>
      </c>
      <c r="C58" s="1511" t="s">
        <v>1654</v>
      </c>
      <c r="D58" s="1378" t="s">
        <v>1655</v>
      </c>
      <c r="E58" s="1513">
        <v>5.94</v>
      </c>
      <c r="F58" s="1509">
        <v>5.9323319999999997</v>
      </c>
      <c r="G58" s="1509">
        <v>0</v>
      </c>
      <c r="H58" s="1509">
        <f t="shared" si="2"/>
        <v>5.9323319999999997</v>
      </c>
      <c r="I58" s="1509">
        <v>0</v>
      </c>
      <c r="J58" s="1509">
        <v>5.9323319999999997</v>
      </c>
      <c r="K58" s="1513"/>
      <c r="L58" s="1513"/>
      <c r="M58" s="1513">
        <f t="shared" si="3"/>
        <v>5.9323319999999997</v>
      </c>
      <c r="N58" s="1513">
        <f t="shared" si="4"/>
        <v>0</v>
      </c>
      <c r="O58" s="1510">
        <f t="shared" si="0"/>
        <v>5.9323319999999997</v>
      </c>
      <c r="P58" s="1453">
        <f t="shared" si="1"/>
        <v>0</v>
      </c>
    </row>
    <row r="59" spans="1:16" ht="58" outlineLevel="1" x14ac:dyDescent="0.25">
      <c r="A59" s="1511">
        <v>20.399999999999999</v>
      </c>
      <c r="B59" s="1512" t="s">
        <v>1667</v>
      </c>
      <c r="C59" s="1511" t="s">
        <v>1654</v>
      </c>
      <c r="D59" s="1378" t="s">
        <v>1655</v>
      </c>
      <c r="E59" s="1513">
        <v>0.28999999999999998</v>
      </c>
      <c r="F59" s="1509">
        <v>0</v>
      </c>
      <c r="G59" s="1509">
        <v>0</v>
      </c>
      <c r="H59" s="1509">
        <f t="shared" si="2"/>
        <v>0</v>
      </c>
      <c r="I59" s="1509">
        <v>0.28320000000000001</v>
      </c>
      <c r="J59" s="1509">
        <v>0.28320000000000001</v>
      </c>
      <c r="K59" s="1513"/>
      <c r="L59" s="1513"/>
      <c r="M59" s="1513">
        <f t="shared" si="3"/>
        <v>0.28320000000000001</v>
      </c>
      <c r="N59" s="1513">
        <f t="shared" si="4"/>
        <v>0</v>
      </c>
      <c r="O59" s="1510">
        <f t="shared" si="0"/>
        <v>0.28320000000000001</v>
      </c>
      <c r="P59" s="1453">
        <f t="shared" si="1"/>
        <v>0</v>
      </c>
    </row>
    <row r="60" spans="1:16" ht="58" outlineLevel="1" x14ac:dyDescent="0.25">
      <c r="A60" s="1511">
        <v>0</v>
      </c>
      <c r="B60" s="1512" t="s">
        <v>413</v>
      </c>
      <c r="C60" s="1511" t="s">
        <v>1654</v>
      </c>
      <c r="D60" s="1378" t="s">
        <v>1655</v>
      </c>
      <c r="E60" s="1513">
        <v>0.64</v>
      </c>
      <c r="F60" s="1509">
        <v>0</v>
      </c>
      <c r="G60" s="1509">
        <v>0</v>
      </c>
      <c r="H60" s="1509">
        <f t="shared" si="2"/>
        <v>0</v>
      </c>
      <c r="I60" s="1509">
        <v>0.51657549999999997</v>
      </c>
      <c r="J60" s="1509">
        <v>0.51657549999999997</v>
      </c>
      <c r="K60" s="1513"/>
      <c r="L60" s="1513"/>
      <c r="M60" s="1513">
        <f t="shared" si="3"/>
        <v>0.51657549999999997</v>
      </c>
      <c r="N60" s="1513">
        <f t="shared" si="4"/>
        <v>0</v>
      </c>
      <c r="O60" s="1510">
        <f t="shared" si="0"/>
        <v>0.51657549999999997</v>
      </c>
      <c r="P60" s="1453">
        <f t="shared" si="1"/>
        <v>0</v>
      </c>
    </row>
    <row r="61" spans="1:16" ht="43.5" outlineLevel="1" x14ac:dyDescent="0.25">
      <c r="A61" s="1506">
        <v>21</v>
      </c>
      <c r="B61" s="1507" t="s">
        <v>1668</v>
      </c>
      <c r="C61" s="1506" t="s">
        <v>1669</v>
      </c>
      <c r="D61" s="1508">
        <v>43748</v>
      </c>
      <c r="E61" s="1509">
        <v>13.2</v>
      </c>
      <c r="F61" s="1509">
        <v>0</v>
      </c>
      <c r="G61" s="1509">
        <v>0</v>
      </c>
      <c r="H61" s="1509">
        <f t="shared" si="2"/>
        <v>0</v>
      </c>
      <c r="I61" s="1509">
        <v>0</v>
      </c>
      <c r="J61" s="1509">
        <v>0</v>
      </c>
      <c r="K61" s="1513"/>
      <c r="L61" s="1513"/>
      <c r="M61" s="1513">
        <f t="shared" si="3"/>
        <v>0</v>
      </c>
      <c r="N61" s="1513">
        <f t="shared" si="4"/>
        <v>0</v>
      </c>
      <c r="O61" s="1510">
        <f t="shared" si="0"/>
        <v>0</v>
      </c>
      <c r="P61" s="1453">
        <f t="shared" si="1"/>
        <v>0</v>
      </c>
    </row>
    <row r="62" spans="1:16" outlineLevel="1" x14ac:dyDescent="0.25">
      <c r="A62" s="1511">
        <v>21.1</v>
      </c>
      <c r="B62" s="1512" t="s">
        <v>1670</v>
      </c>
      <c r="C62" s="1511" t="s">
        <v>1669</v>
      </c>
      <c r="D62" s="1378">
        <v>43748</v>
      </c>
      <c r="E62" s="1513">
        <v>10.49</v>
      </c>
      <c r="F62" s="1509">
        <v>0</v>
      </c>
      <c r="G62" s="1509">
        <v>0</v>
      </c>
      <c r="H62" s="1509">
        <f t="shared" si="2"/>
        <v>0</v>
      </c>
      <c r="I62" s="1509">
        <v>9.06</v>
      </c>
      <c r="J62" s="1509">
        <v>4.7251481000000002</v>
      </c>
      <c r="K62" s="1513"/>
      <c r="L62" s="1513"/>
      <c r="M62" s="1513">
        <f t="shared" si="3"/>
        <v>4.7251481000000002</v>
      </c>
      <c r="N62" s="1513">
        <f t="shared" si="4"/>
        <v>4.3348519000000003</v>
      </c>
      <c r="O62" s="1510">
        <f t="shared" si="0"/>
        <v>4.7251481000000002</v>
      </c>
      <c r="P62" s="1453">
        <f t="shared" si="1"/>
        <v>0</v>
      </c>
    </row>
    <row r="63" spans="1:16" outlineLevel="1" x14ac:dyDescent="0.25">
      <c r="A63" s="1511">
        <v>0</v>
      </c>
      <c r="B63" s="1512" t="s">
        <v>413</v>
      </c>
      <c r="C63" s="1511">
        <v>0</v>
      </c>
      <c r="D63" s="1378" t="s">
        <v>2102</v>
      </c>
      <c r="E63" s="1513">
        <v>0</v>
      </c>
      <c r="F63" s="1509">
        <v>0</v>
      </c>
      <c r="G63" s="1509">
        <v>0</v>
      </c>
      <c r="H63" s="1509">
        <f t="shared" si="2"/>
        <v>0</v>
      </c>
      <c r="I63" s="1509">
        <v>0.20089699999999999</v>
      </c>
      <c r="J63" s="1509">
        <v>0.20089699999999999</v>
      </c>
      <c r="K63" s="1513"/>
      <c r="L63" s="1513"/>
      <c r="M63" s="1513">
        <f t="shared" si="3"/>
        <v>0.20089699999999999</v>
      </c>
      <c r="N63" s="1513">
        <f t="shared" si="4"/>
        <v>0</v>
      </c>
      <c r="O63" s="1510"/>
      <c r="P63" s="1453"/>
    </row>
    <row r="64" spans="1:16" ht="29" outlineLevel="1" x14ac:dyDescent="0.25">
      <c r="A64" s="1511">
        <v>21.2</v>
      </c>
      <c r="B64" s="1512" t="s">
        <v>1673</v>
      </c>
      <c r="C64" s="1506" t="s">
        <v>1669</v>
      </c>
      <c r="D64" s="1508">
        <v>43748</v>
      </c>
      <c r="E64" s="1509">
        <v>1.01</v>
      </c>
      <c r="F64" s="1509">
        <v>0</v>
      </c>
      <c r="G64" s="1509">
        <v>0</v>
      </c>
      <c r="H64" s="1509">
        <f t="shared" si="2"/>
        <v>0</v>
      </c>
      <c r="I64" s="1509">
        <v>1.0442298999999999</v>
      </c>
      <c r="J64" s="1509">
        <v>1.0442298999999999</v>
      </c>
      <c r="K64" s="1513"/>
      <c r="L64" s="1513"/>
      <c r="M64" s="1513">
        <f t="shared" si="3"/>
        <v>1.0442298999999999</v>
      </c>
      <c r="N64" s="1513">
        <f t="shared" si="4"/>
        <v>0</v>
      </c>
      <c r="O64" s="1510">
        <f t="shared" si="0"/>
        <v>1.01</v>
      </c>
      <c r="P64" s="1453">
        <f t="shared" si="1"/>
        <v>3.4229899999999924E-2</v>
      </c>
    </row>
    <row r="65" spans="1:16" ht="29" outlineLevel="1" x14ac:dyDescent="0.25">
      <c r="A65" s="1511">
        <v>21.3</v>
      </c>
      <c r="B65" s="1512" t="s">
        <v>1677</v>
      </c>
      <c r="C65" s="1511" t="s">
        <v>1669</v>
      </c>
      <c r="D65" s="1378">
        <v>43748</v>
      </c>
      <c r="E65" s="1513">
        <v>1.7</v>
      </c>
      <c r="F65" s="1509">
        <v>0</v>
      </c>
      <c r="G65" s="1509">
        <v>0</v>
      </c>
      <c r="H65" s="1509">
        <f t="shared" si="2"/>
        <v>0</v>
      </c>
      <c r="I65" s="1509">
        <v>1.6232219000000001</v>
      </c>
      <c r="J65" s="1509">
        <v>1.6232219000000001</v>
      </c>
      <c r="K65" s="1513"/>
      <c r="L65" s="1513"/>
      <c r="M65" s="1513">
        <f t="shared" si="3"/>
        <v>1.6232219000000001</v>
      </c>
      <c r="N65" s="1513">
        <f t="shared" si="4"/>
        <v>0</v>
      </c>
      <c r="O65" s="1510">
        <f t="shared" si="0"/>
        <v>1.6232219000000001</v>
      </c>
      <c r="P65" s="1453">
        <f t="shared" si="1"/>
        <v>0</v>
      </c>
    </row>
    <row r="66" spans="1:16" outlineLevel="1" x14ac:dyDescent="0.25">
      <c r="A66" s="1511">
        <v>0</v>
      </c>
      <c r="B66" s="1512" t="s">
        <v>413</v>
      </c>
      <c r="C66" s="1511" t="s">
        <v>1669</v>
      </c>
      <c r="D66" s="1378">
        <v>43748</v>
      </c>
      <c r="E66" s="1513">
        <v>0</v>
      </c>
      <c r="F66" s="1509">
        <v>0</v>
      </c>
      <c r="G66" s="1509">
        <v>0</v>
      </c>
      <c r="H66" s="1509">
        <f t="shared" si="2"/>
        <v>0</v>
      </c>
      <c r="I66" s="1509">
        <v>0</v>
      </c>
      <c r="J66" s="1509">
        <v>0</v>
      </c>
      <c r="K66" s="1513"/>
      <c r="L66" s="1513"/>
      <c r="M66" s="1513">
        <f t="shared" si="3"/>
        <v>0</v>
      </c>
      <c r="N66" s="1513">
        <f t="shared" si="4"/>
        <v>0</v>
      </c>
      <c r="O66" s="1510">
        <f t="shared" si="0"/>
        <v>0</v>
      </c>
      <c r="P66" s="1453">
        <f t="shared" si="1"/>
        <v>0</v>
      </c>
    </row>
    <row r="67" spans="1:16" outlineLevel="1" x14ac:dyDescent="0.25">
      <c r="A67" s="1506">
        <v>22</v>
      </c>
      <c r="B67" s="1507" t="s">
        <v>1680</v>
      </c>
      <c r="C67" s="1506" t="s">
        <v>1681</v>
      </c>
      <c r="D67" s="1508">
        <v>44739</v>
      </c>
      <c r="E67" s="1509">
        <v>145.01688209794372</v>
      </c>
      <c r="F67" s="1509">
        <v>0</v>
      </c>
      <c r="G67" s="1509">
        <v>0</v>
      </c>
      <c r="H67" s="1509">
        <f t="shared" si="2"/>
        <v>0</v>
      </c>
      <c r="I67" s="1509">
        <v>0</v>
      </c>
      <c r="J67" s="1509">
        <v>0</v>
      </c>
      <c r="K67" s="1513"/>
      <c r="L67" s="1513"/>
      <c r="M67" s="1513">
        <f t="shared" si="3"/>
        <v>0</v>
      </c>
      <c r="N67" s="1513">
        <f t="shared" si="4"/>
        <v>0</v>
      </c>
      <c r="O67" s="1510">
        <f t="shared" si="0"/>
        <v>0</v>
      </c>
      <c r="P67" s="1453">
        <f t="shared" si="1"/>
        <v>0</v>
      </c>
    </row>
    <row r="68" spans="1:16" outlineLevel="1" x14ac:dyDescent="0.25">
      <c r="A68" s="1511">
        <v>22.1</v>
      </c>
      <c r="B68" s="1512" t="s">
        <v>1682</v>
      </c>
      <c r="C68" s="1511" t="s">
        <v>1681</v>
      </c>
      <c r="D68" s="1378">
        <v>44739</v>
      </c>
      <c r="E68" s="1513">
        <v>138.44</v>
      </c>
      <c r="F68" s="1509">
        <v>0</v>
      </c>
      <c r="G68" s="1509">
        <v>0</v>
      </c>
      <c r="H68" s="1509">
        <f t="shared" si="2"/>
        <v>0</v>
      </c>
      <c r="I68" s="1509">
        <v>0</v>
      </c>
      <c r="J68" s="1509">
        <v>0</v>
      </c>
      <c r="K68" s="1513"/>
      <c r="L68" s="1513"/>
      <c r="M68" s="1513">
        <f t="shared" si="3"/>
        <v>0</v>
      </c>
      <c r="N68" s="1513">
        <f t="shared" si="4"/>
        <v>0</v>
      </c>
      <c r="O68" s="1510">
        <f t="shared" si="0"/>
        <v>0</v>
      </c>
      <c r="P68" s="1453">
        <f t="shared" si="1"/>
        <v>0</v>
      </c>
    </row>
    <row r="69" spans="1:16" outlineLevel="1" x14ac:dyDescent="0.25">
      <c r="A69" s="1511">
        <v>0</v>
      </c>
      <c r="B69" s="1512" t="s">
        <v>413</v>
      </c>
      <c r="C69" s="1511" t="s">
        <v>1681</v>
      </c>
      <c r="D69" s="1378">
        <v>44739</v>
      </c>
      <c r="E69" s="1513">
        <v>6.5768820979437104</v>
      </c>
      <c r="F69" s="1509">
        <v>0</v>
      </c>
      <c r="G69" s="1509">
        <v>0</v>
      </c>
      <c r="H69" s="1509">
        <f t="shared" si="2"/>
        <v>0</v>
      </c>
      <c r="I69" s="1509">
        <v>0</v>
      </c>
      <c r="J69" s="1509">
        <v>0</v>
      </c>
      <c r="K69" s="1513"/>
      <c r="L69" s="1513"/>
      <c r="M69" s="1513">
        <f t="shared" si="3"/>
        <v>0</v>
      </c>
      <c r="N69" s="1513">
        <f t="shared" si="4"/>
        <v>0</v>
      </c>
      <c r="O69" s="1510">
        <f t="shared" si="0"/>
        <v>0</v>
      </c>
      <c r="P69" s="1453">
        <f t="shared" si="1"/>
        <v>0</v>
      </c>
    </row>
    <row r="70" spans="1:16" ht="43.5" outlineLevel="1" x14ac:dyDescent="0.25">
      <c r="A70" s="1506" t="s">
        <v>945</v>
      </c>
      <c r="B70" s="1507" t="s">
        <v>946</v>
      </c>
      <c r="C70" s="1506" t="s">
        <v>947</v>
      </c>
      <c r="D70" s="1508">
        <v>41968</v>
      </c>
      <c r="E70" s="1509">
        <v>3.05</v>
      </c>
      <c r="F70" s="1509">
        <v>0</v>
      </c>
      <c r="G70" s="1509">
        <v>0</v>
      </c>
      <c r="H70" s="1509">
        <f t="shared" si="2"/>
        <v>0</v>
      </c>
      <c r="I70" s="1509">
        <v>0</v>
      </c>
      <c r="J70" s="1509">
        <v>0</v>
      </c>
      <c r="K70" s="1513"/>
      <c r="L70" s="1513"/>
      <c r="M70" s="1513">
        <f t="shared" si="3"/>
        <v>0</v>
      </c>
      <c r="N70" s="1513">
        <f t="shared" si="4"/>
        <v>0</v>
      </c>
      <c r="O70" s="1510">
        <f t="shared" si="0"/>
        <v>0</v>
      </c>
      <c r="P70" s="1453">
        <f t="shared" si="1"/>
        <v>0</v>
      </c>
    </row>
    <row r="71" spans="1:16" ht="43.5" outlineLevel="1" x14ac:dyDescent="0.25">
      <c r="A71" s="1511" t="s">
        <v>1686</v>
      </c>
      <c r="B71" s="1512" t="s">
        <v>1687</v>
      </c>
      <c r="C71" s="1511" t="s">
        <v>947</v>
      </c>
      <c r="D71" s="1378">
        <v>41968</v>
      </c>
      <c r="E71" s="1513">
        <v>3.05</v>
      </c>
      <c r="F71" s="1509">
        <v>1.409902</v>
      </c>
      <c r="G71" s="1509">
        <v>0.67594200000000004</v>
      </c>
      <c r="H71" s="1509">
        <f t="shared" si="2"/>
        <v>0.73395999999999995</v>
      </c>
      <c r="I71" s="1509">
        <v>0</v>
      </c>
      <c r="J71" s="1509">
        <v>0.73395999999999995</v>
      </c>
      <c r="K71" s="1513"/>
      <c r="L71" s="1513"/>
      <c r="M71" s="1513">
        <f t="shared" si="3"/>
        <v>0.73395999999999995</v>
      </c>
      <c r="N71" s="1513">
        <f t="shared" si="4"/>
        <v>0</v>
      </c>
      <c r="O71" s="1510">
        <f t="shared" si="0"/>
        <v>0.73395999999999995</v>
      </c>
      <c r="P71" s="1453">
        <f t="shared" si="1"/>
        <v>0</v>
      </c>
    </row>
    <row r="72" spans="1:16" ht="43.5" outlineLevel="1" x14ac:dyDescent="0.25">
      <c r="A72" s="1506" t="s">
        <v>1691</v>
      </c>
      <c r="B72" s="1507" t="s">
        <v>948</v>
      </c>
      <c r="C72" s="1506" t="s">
        <v>949</v>
      </c>
      <c r="D72" s="1508">
        <v>42585</v>
      </c>
      <c r="E72" s="1509">
        <v>1.3257526714285699</v>
      </c>
      <c r="F72" s="1509">
        <v>0</v>
      </c>
      <c r="G72" s="1509">
        <v>0</v>
      </c>
      <c r="H72" s="1509">
        <f t="shared" si="2"/>
        <v>0</v>
      </c>
      <c r="I72" s="1509">
        <v>0</v>
      </c>
      <c r="J72" s="1509">
        <v>0</v>
      </c>
      <c r="K72" s="1513"/>
      <c r="L72" s="1513"/>
      <c r="M72" s="1513">
        <f t="shared" si="3"/>
        <v>0</v>
      </c>
      <c r="N72" s="1513">
        <f t="shared" si="4"/>
        <v>0</v>
      </c>
      <c r="O72" s="1510">
        <f t="shared" si="0"/>
        <v>0</v>
      </c>
      <c r="P72" s="1453">
        <f t="shared" si="1"/>
        <v>0</v>
      </c>
    </row>
    <row r="73" spans="1:16" ht="43.5" outlineLevel="1" x14ac:dyDescent="0.25">
      <c r="A73" s="1511" t="s">
        <v>1692</v>
      </c>
      <c r="B73" s="1512" t="s">
        <v>1693</v>
      </c>
      <c r="C73" s="1511" t="s">
        <v>949</v>
      </c>
      <c r="D73" s="1378">
        <v>42585</v>
      </c>
      <c r="E73" s="1513">
        <v>1.3257526714285699</v>
      </c>
      <c r="F73" s="1509">
        <v>0.93839989999999995</v>
      </c>
      <c r="G73" s="1509">
        <v>0.93839989999999995</v>
      </c>
      <c r="H73" s="1509">
        <f t="shared" si="2"/>
        <v>0</v>
      </c>
      <c r="I73" s="1509">
        <v>2.875E-3</v>
      </c>
      <c r="J73" s="1509">
        <v>2.875E-3</v>
      </c>
      <c r="K73" s="1513"/>
      <c r="L73" s="1513"/>
      <c r="M73" s="1513">
        <f t="shared" si="3"/>
        <v>2.875E-3</v>
      </c>
      <c r="N73" s="1513">
        <f t="shared" si="4"/>
        <v>0</v>
      </c>
      <c r="O73" s="1510">
        <f t="shared" si="0"/>
        <v>2.875E-3</v>
      </c>
      <c r="P73" s="1453">
        <f t="shared" si="1"/>
        <v>0</v>
      </c>
    </row>
    <row r="74" spans="1:16" outlineLevel="1" x14ac:dyDescent="0.25">
      <c r="A74" s="1511">
        <v>0</v>
      </c>
      <c r="B74" s="1512" t="s">
        <v>413</v>
      </c>
      <c r="C74" s="1511">
        <v>0</v>
      </c>
      <c r="D74" s="1378" t="s">
        <v>2102</v>
      </c>
      <c r="E74" s="1513">
        <v>0</v>
      </c>
      <c r="F74" s="1509">
        <v>0</v>
      </c>
      <c r="G74" s="1509">
        <v>0</v>
      </c>
      <c r="H74" s="1509">
        <f t="shared" si="2"/>
        <v>0</v>
      </c>
      <c r="I74" s="1509">
        <v>3.9603800000000002E-2</v>
      </c>
      <c r="J74" s="1509">
        <v>3.9603800000000002E-2</v>
      </c>
      <c r="K74" s="1513"/>
      <c r="L74" s="1513"/>
      <c r="M74" s="1513">
        <f t="shared" si="3"/>
        <v>3.9603800000000002E-2</v>
      </c>
      <c r="N74" s="1513">
        <f t="shared" si="4"/>
        <v>0</v>
      </c>
      <c r="O74" s="1510"/>
      <c r="P74" s="1453"/>
    </row>
    <row r="75" spans="1:16" ht="43.5" outlineLevel="1" x14ac:dyDescent="0.25">
      <c r="A75" s="1506" t="s">
        <v>950</v>
      </c>
      <c r="B75" s="1507" t="s">
        <v>951</v>
      </c>
      <c r="C75" s="1506" t="s">
        <v>952</v>
      </c>
      <c r="D75" s="1508">
        <v>42643</v>
      </c>
      <c r="E75" s="1509">
        <v>7.0965999999999996</v>
      </c>
      <c r="F75" s="1509">
        <v>0</v>
      </c>
      <c r="G75" s="1509">
        <v>0</v>
      </c>
      <c r="H75" s="1509">
        <f t="shared" ref="H75:H138" si="5">F75-G75</f>
        <v>0</v>
      </c>
      <c r="I75" s="1509">
        <v>0</v>
      </c>
      <c r="J75" s="1509">
        <v>0</v>
      </c>
      <c r="K75" s="1513"/>
      <c r="L75" s="1513"/>
      <c r="M75" s="1513">
        <f t="shared" si="3"/>
        <v>0</v>
      </c>
      <c r="N75" s="1513">
        <f t="shared" si="4"/>
        <v>0</v>
      </c>
      <c r="O75" s="1510">
        <f t="shared" ref="O75:O99" si="6">MAX(0,IF(M75=0,0,IF(G75+M75&lt;E75,M75,E75-G75)))</f>
        <v>0</v>
      </c>
      <c r="P75" s="1453">
        <f t="shared" ref="P75:P99" si="7">M75-O75</f>
        <v>0</v>
      </c>
    </row>
    <row r="76" spans="1:16" ht="43.5" outlineLevel="1" x14ac:dyDescent="0.25">
      <c r="A76" s="1511" t="s">
        <v>1695</v>
      </c>
      <c r="B76" s="1512" t="s">
        <v>1693</v>
      </c>
      <c r="C76" s="1511" t="s">
        <v>952</v>
      </c>
      <c r="D76" s="1378">
        <v>42643</v>
      </c>
      <c r="E76" s="1513">
        <v>7.0965999999999996</v>
      </c>
      <c r="F76" s="1509">
        <v>0</v>
      </c>
      <c r="G76" s="1509">
        <v>0</v>
      </c>
      <c r="H76" s="1509">
        <f t="shared" si="5"/>
        <v>0</v>
      </c>
      <c r="I76" s="1509">
        <v>0</v>
      </c>
      <c r="J76" s="1509">
        <v>0</v>
      </c>
      <c r="K76" s="1513"/>
      <c r="L76" s="1513"/>
      <c r="M76" s="1513">
        <f t="shared" si="3"/>
        <v>0</v>
      </c>
      <c r="N76" s="1513">
        <f t="shared" si="4"/>
        <v>0</v>
      </c>
      <c r="O76" s="1510">
        <f t="shared" si="6"/>
        <v>0</v>
      </c>
      <c r="P76" s="1453">
        <f t="shared" si="7"/>
        <v>0</v>
      </c>
    </row>
    <row r="77" spans="1:16" ht="43.5" outlineLevel="1" x14ac:dyDescent="0.25">
      <c r="A77" s="1506" t="s">
        <v>1698</v>
      </c>
      <c r="B77" s="1507" t="s">
        <v>1699</v>
      </c>
      <c r="C77" s="1506" t="s">
        <v>1700</v>
      </c>
      <c r="D77" s="1508">
        <v>43052</v>
      </c>
      <c r="E77" s="1509">
        <v>3.97</v>
      </c>
      <c r="F77" s="1509">
        <v>0</v>
      </c>
      <c r="G77" s="1509">
        <v>0</v>
      </c>
      <c r="H77" s="1509">
        <f t="shared" si="5"/>
        <v>0</v>
      </c>
      <c r="I77" s="1509">
        <v>0</v>
      </c>
      <c r="J77" s="1509">
        <v>0</v>
      </c>
      <c r="K77" s="1513"/>
      <c r="L77" s="1513"/>
      <c r="M77" s="1513">
        <f t="shared" si="3"/>
        <v>0</v>
      </c>
      <c r="N77" s="1513">
        <f t="shared" si="4"/>
        <v>0</v>
      </c>
      <c r="O77" s="1510">
        <f t="shared" si="6"/>
        <v>0</v>
      </c>
      <c r="P77" s="1453">
        <f t="shared" si="7"/>
        <v>0</v>
      </c>
    </row>
    <row r="78" spans="1:16" ht="43.5" outlineLevel="1" x14ac:dyDescent="0.25">
      <c r="A78" s="1511" t="s">
        <v>1701</v>
      </c>
      <c r="B78" s="1512" t="s">
        <v>1702</v>
      </c>
      <c r="C78" s="1511" t="s">
        <v>1700</v>
      </c>
      <c r="D78" s="1378">
        <v>43052</v>
      </c>
      <c r="E78" s="1513">
        <v>2.72</v>
      </c>
      <c r="F78" s="1509">
        <v>1.7765</v>
      </c>
      <c r="G78" s="1509">
        <v>1.7765</v>
      </c>
      <c r="H78" s="1509">
        <f t="shared" si="5"/>
        <v>0</v>
      </c>
      <c r="I78" s="1509">
        <v>0</v>
      </c>
      <c r="J78" s="1509">
        <v>0</v>
      </c>
      <c r="K78" s="1513"/>
      <c r="L78" s="1513"/>
      <c r="M78" s="1513">
        <f t="shared" ref="M78:M141" si="8">SUM(J78:L78)</f>
        <v>0</v>
      </c>
      <c r="N78" s="1513">
        <f t="shared" ref="N78:N141" si="9">H78+I78-M78</f>
        <v>0</v>
      </c>
      <c r="O78" s="1510">
        <f t="shared" si="6"/>
        <v>0</v>
      </c>
      <c r="P78" s="1453">
        <f t="shared" si="7"/>
        <v>0</v>
      </c>
    </row>
    <row r="79" spans="1:16" ht="43.5" outlineLevel="1" x14ac:dyDescent="0.25">
      <c r="A79" s="1511" t="s">
        <v>1705</v>
      </c>
      <c r="B79" s="1512" t="s">
        <v>1706</v>
      </c>
      <c r="C79" s="1511" t="s">
        <v>1700</v>
      </c>
      <c r="D79" s="1378">
        <v>43052</v>
      </c>
      <c r="E79" s="1513">
        <v>1.25</v>
      </c>
      <c r="F79" s="1509">
        <v>0</v>
      </c>
      <c r="G79" s="1509">
        <v>0</v>
      </c>
      <c r="H79" s="1509">
        <f t="shared" si="5"/>
        <v>0</v>
      </c>
      <c r="I79" s="1509">
        <v>0</v>
      </c>
      <c r="J79" s="1509">
        <v>0</v>
      </c>
      <c r="K79" s="1513"/>
      <c r="L79" s="1513"/>
      <c r="M79" s="1513">
        <f t="shared" si="8"/>
        <v>0</v>
      </c>
      <c r="N79" s="1513">
        <f t="shared" si="9"/>
        <v>0</v>
      </c>
      <c r="O79" s="1510">
        <f t="shared" si="6"/>
        <v>0</v>
      </c>
      <c r="P79" s="1453">
        <f t="shared" si="7"/>
        <v>0</v>
      </c>
    </row>
    <row r="80" spans="1:16" outlineLevel="1" x14ac:dyDescent="0.25">
      <c r="A80" s="1511">
        <v>0</v>
      </c>
      <c r="B80" s="1512" t="s">
        <v>413</v>
      </c>
      <c r="C80" s="1511" t="s">
        <v>1700</v>
      </c>
      <c r="D80" s="1378">
        <v>43052</v>
      </c>
      <c r="E80" s="1513">
        <v>0</v>
      </c>
      <c r="F80" s="1509">
        <v>0</v>
      </c>
      <c r="G80" s="1509">
        <v>0</v>
      </c>
      <c r="H80" s="1509">
        <f t="shared" si="5"/>
        <v>0</v>
      </c>
      <c r="I80" s="1509">
        <v>0</v>
      </c>
      <c r="J80" s="1509">
        <v>0</v>
      </c>
      <c r="K80" s="1513"/>
      <c r="L80" s="1513"/>
      <c r="M80" s="1513">
        <f t="shared" si="8"/>
        <v>0</v>
      </c>
      <c r="N80" s="1513">
        <f t="shared" si="9"/>
        <v>0</v>
      </c>
      <c r="O80" s="1510">
        <f t="shared" si="6"/>
        <v>0</v>
      </c>
      <c r="P80" s="1453">
        <f t="shared" si="7"/>
        <v>0</v>
      </c>
    </row>
    <row r="81" spans="1:16" ht="43.5" outlineLevel="1" x14ac:dyDescent="0.25">
      <c r="A81" s="1506" t="s">
        <v>1707</v>
      </c>
      <c r="B81" s="1507" t="s">
        <v>1708</v>
      </c>
      <c r="C81" s="1506" t="s">
        <v>1709</v>
      </c>
      <c r="D81" s="1508">
        <v>43137</v>
      </c>
      <c r="E81" s="1509">
        <v>2.36</v>
      </c>
      <c r="F81" s="1509">
        <v>0</v>
      </c>
      <c r="G81" s="1509">
        <v>0</v>
      </c>
      <c r="H81" s="1509">
        <f t="shared" si="5"/>
        <v>0</v>
      </c>
      <c r="I81" s="1509">
        <v>0</v>
      </c>
      <c r="J81" s="1509">
        <v>0</v>
      </c>
      <c r="K81" s="1513"/>
      <c r="L81" s="1513"/>
      <c r="M81" s="1513">
        <f t="shared" si="8"/>
        <v>0</v>
      </c>
      <c r="N81" s="1513">
        <f t="shared" si="9"/>
        <v>0</v>
      </c>
      <c r="O81" s="1510">
        <f t="shared" si="6"/>
        <v>0</v>
      </c>
      <c r="P81" s="1453">
        <f t="shared" si="7"/>
        <v>0</v>
      </c>
    </row>
    <row r="82" spans="1:16" ht="43.5" outlineLevel="1" x14ac:dyDescent="0.25">
      <c r="A82" s="1511" t="s">
        <v>1710</v>
      </c>
      <c r="B82" s="1512" t="s">
        <v>1693</v>
      </c>
      <c r="C82" s="1511" t="s">
        <v>1709</v>
      </c>
      <c r="D82" s="1378">
        <v>43137</v>
      </c>
      <c r="E82" s="1513">
        <v>2.36</v>
      </c>
      <c r="F82" s="1509">
        <v>1.584952667</v>
      </c>
      <c r="G82" s="1509">
        <v>1.584952667</v>
      </c>
      <c r="H82" s="1509">
        <f t="shared" si="5"/>
        <v>0</v>
      </c>
      <c r="I82" s="1509">
        <v>0</v>
      </c>
      <c r="J82" s="1509">
        <v>0</v>
      </c>
      <c r="K82" s="1513"/>
      <c r="L82" s="1513"/>
      <c r="M82" s="1513">
        <f t="shared" si="8"/>
        <v>0</v>
      </c>
      <c r="N82" s="1513">
        <f t="shared" si="9"/>
        <v>0</v>
      </c>
      <c r="O82" s="1510">
        <f t="shared" si="6"/>
        <v>0</v>
      </c>
      <c r="P82" s="1453">
        <f t="shared" si="7"/>
        <v>0</v>
      </c>
    </row>
    <row r="83" spans="1:16" ht="43.5" outlineLevel="1" x14ac:dyDescent="0.25">
      <c r="A83" s="1506" t="s">
        <v>1714</v>
      </c>
      <c r="B83" s="1507" t="s">
        <v>1715</v>
      </c>
      <c r="C83" s="1506" t="s">
        <v>1716</v>
      </c>
      <c r="D83" s="1508">
        <v>43703</v>
      </c>
      <c r="E83" s="1509">
        <v>2.12</v>
      </c>
      <c r="F83" s="1509">
        <v>0</v>
      </c>
      <c r="G83" s="1509">
        <v>0</v>
      </c>
      <c r="H83" s="1509">
        <f t="shared" si="5"/>
        <v>0</v>
      </c>
      <c r="I83" s="1509">
        <v>0</v>
      </c>
      <c r="J83" s="1509">
        <v>0</v>
      </c>
      <c r="K83" s="1513"/>
      <c r="L83" s="1513"/>
      <c r="M83" s="1513">
        <f t="shared" si="8"/>
        <v>0</v>
      </c>
      <c r="N83" s="1513">
        <f t="shared" si="9"/>
        <v>0</v>
      </c>
      <c r="O83" s="1510">
        <f t="shared" si="6"/>
        <v>0</v>
      </c>
      <c r="P83" s="1453">
        <f t="shared" si="7"/>
        <v>0</v>
      </c>
    </row>
    <row r="84" spans="1:16" ht="43.5" outlineLevel="1" x14ac:dyDescent="0.25">
      <c r="A84" s="1511" t="s">
        <v>1717</v>
      </c>
      <c r="B84" s="1512" t="s">
        <v>1718</v>
      </c>
      <c r="C84" s="1511" t="s">
        <v>1716</v>
      </c>
      <c r="D84" s="1378">
        <v>43703</v>
      </c>
      <c r="E84" s="1513">
        <v>2.12</v>
      </c>
      <c r="F84" s="1509">
        <v>2.4580069300000003</v>
      </c>
      <c r="G84" s="1509">
        <v>2.4580069300000003</v>
      </c>
      <c r="H84" s="1509">
        <f t="shared" si="5"/>
        <v>0</v>
      </c>
      <c r="I84" s="1509">
        <v>0</v>
      </c>
      <c r="J84" s="1509">
        <v>0</v>
      </c>
      <c r="K84" s="1513"/>
      <c r="L84" s="1513"/>
      <c r="M84" s="1513">
        <f t="shared" si="8"/>
        <v>0</v>
      </c>
      <c r="N84" s="1513">
        <f t="shared" si="9"/>
        <v>0</v>
      </c>
      <c r="O84" s="1510">
        <f t="shared" si="6"/>
        <v>0</v>
      </c>
      <c r="P84" s="1453">
        <f t="shared" si="7"/>
        <v>0</v>
      </c>
    </row>
    <row r="85" spans="1:16" ht="43.5" outlineLevel="1" x14ac:dyDescent="0.25">
      <c r="A85" s="1511" t="s">
        <v>1720</v>
      </c>
      <c r="B85" s="1512" t="s">
        <v>1721</v>
      </c>
      <c r="C85" s="1511" t="s">
        <v>1722</v>
      </c>
      <c r="D85" s="1378">
        <v>44604</v>
      </c>
      <c r="E85" s="1513">
        <v>57</v>
      </c>
      <c r="F85" s="1509">
        <v>0</v>
      </c>
      <c r="G85" s="1509">
        <v>0</v>
      </c>
      <c r="H85" s="1509">
        <f t="shared" si="5"/>
        <v>0</v>
      </c>
      <c r="I85" s="1509">
        <v>0</v>
      </c>
      <c r="J85" s="1509">
        <v>0</v>
      </c>
      <c r="K85" s="1513"/>
      <c r="L85" s="1513"/>
      <c r="M85" s="1513">
        <f t="shared" si="8"/>
        <v>0</v>
      </c>
      <c r="N85" s="1513">
        <f t="shared" si="9"/>
        <v>0</v>
      </c>
      <c r="O85" s="1510"/>
      <c r="P85" s="1453"/>
    </row>
    <row r="86" spans="1:16" ht="43.5" outlineLevel="1" x14ac:dyDescent="0.25">
      <c r="A86" s="1511" t="s">
        <v>1723</v>
      </c>
      <c r="B86" s="1512" t="s">
        <v>1721</v>
      </c>
      <c r="C86" s="1511" t="s">
        <v>1722</v>
      </c>
      <c r="D86" s="1378">
        <v>44604</v>
      </c>
      <c r="E86" s="1513">
        <v>54.24</v>
      </c>
      <c r="F86" s="1509">
        <v>0</v>
      </c>
      <c r="G86" s="1509">
        <v>0</v>
      </c>
      <c r="H86" s="1509">
        <f t="shared" si="5"/>
        <v>0</v>
      </c>
      <c r="I86" s="1509">
        <v>0</v>
      </c>
      <c r="J86" s="1509">
        <v>0</v>
      </c>
      <c r="K86" s="1513"/>
      <c r="L86" s="1513"/>
      <c r="M86" s="1513">
        <f t="shared" si="8"/>
        <v>0</v>
      </c>
      <c r="N86" s="1513">
        <f t="shared" si="9"/>
        <v>0</v>
      </c>
      <c r="O86" s="1510"/>
      <c r="P86" s="1453"/>
    </row>
    <row r="87" spans="1:16" outlineLevel="1" x14ac:dyDescent="0.25">
      <c r="A87" s="1511">
        <v>0</v>
      </c>
      <c r="B87" s="1512" t="s">
        <v>413</v>
      </c>
      <c r="C87" s="1511" t="s">
        <v>1722</v>
      </c>
      <c r="D87" s="1378">
        <v>44604</v>
      </c>
      <c r="E87" s="1513">
        <v>2.76</v>
      </c>
      <c r="F87" s="1509">
        <v>0</v>
      </c>
      <c r="G87" s="1509">
        <v>0</v>
      </c>
      <c r="H87" s="1509">
        <f t="shared" si="5"/>
        <v>0</v>
      </c>
      <c r="I87" s="1509">
        <v>0</v>
      </c>
      <c r="J87" s="1509">
        <v>0</v>
      </c>
      <c r="K87" s="1513"/>
      <c r="L87" s="1513"/>
      <c r="M87" s="1513">
        <f t="shared" si="8"/>
        <v>0</v>
      </c>
      <c r="N87" s="1513">
        <f t="shared" si="9"/>
        <v>0</v>
      </c>
      <c r="O87" s="1510"/>
      <c r="P87" s="1453"/>
    </row>
    <row r="88" spans="1:16" ht="43.5" outlineLevel="1" x14ac:dyDescent="0.25">
      <c r="A88" s="1511" t="s">
        <v>1724</v>
      </c>
      <c r="B88" s="1512" t="s">
        <v>1725</v>
      </c>
      <c r="C88" s="1511" t="s">
        <v>1726</v>
      </c>
      <c r="D88" s="1378">
        <v>45232</v>
      </c>
      <c r="E88" s="1513">
        <v>69.308999999999997</v>
      </c>
      <c r="F88" s="1509">
        <v>0</v>
      </c>
      <c r="G88" s="1509">
        <v>0</v>
      </c>
      <c r="H88" s="1509">
        <f t="shared" si="5"/>
        <v>0</v>
      </c>
      <c r="I88" s="1509">
        <v>0</v>
      </c>
      <c r="J88" s="1509">
        <v>0</v>
      </c>
      <c r="K88" s="1513"/>
      <c r="L88" s="1513"/>
      <c r="M88" s="1513">
        <f t="shared" si="8"/>
        <v>0</v>
      </c>
      <c r="N88" s="1513">
        <f t="shared" si="9"/>
        <v>0</v>
      </c>
      <c r="O88" s="1510"/>
      <c r="P88" s="1453"/>
    </row>
    <row r="89" spans="1:16" ht="43.5" outlineLevel="1" x14ac:dyDescent="0.25">
      <c r="A89" s="1511" t="s">
        <v>1727</v>
      </c>
      <c r="B89" s="1512" t="s">
        <v>1725</v>
      </c>
      <c r="C89" s="1511" t="s">
        <v>1726</v>
      </c>
      <c r="D89" s="1378">
        <v>45232</v>
      </c>
      <c r="E89" s="1513">
        <v>66.009</v>
      </c>
      <c r="F89" s="1509">
        <v>0</v>
      </c>
      <c r="G89" s="1509">
        <v>0</v>
      </c>
      <c r="H89" s="1509">
        <f t="shared" si="5"/>
        <v>0</v>
      </c>
      <c r="I89" s="1509">
        <v>0</v>
      </c>
      <c r="J89" s="1509">
        <v>0</v>
      </c>
      <c r="K89" s="1513"/>
      <c r="L89" s="1513"/>
      <c r="M89" s="1513">
        <f t="shared" si="8"/>
        <v>0</v>
      </c>
      <c r="N89" s="1513">
        <f t="shared" si="9"/>
        <v>0</v>
      </c>
      <c r="O89" s="1510"/>
      <c r="P89" s="1453"/>
    </row>
    <row r="90" spans="1:16" outlineLevel="1" x14ac:dyDescent="0.25">
      <c r="A90" s="1511">
        <v>0</v>
      </c>
      <c r="B90" s="1512" t="s">
        <v>413</v>
      </c>
      <c r="C90" s="1511" t="s">
        <v>1726</v>
      </c>
      <c r="D90" s="1378">
        <v>45232</v>
      </c>
      <c r="E90" s="1513">
        <v>3.3</v>
      </c>
      <c r="F90" s="1509">
        <v>0</v>
      </c>
      <c r="G90" s="1509">
        <v>0</v>
      </c>
      <c r="H90" s="1509">
        <f t="shared" si="5"/>
        <v>0</v>
      </c>
      <c r="I90" s="1509">
        <v>0</v>
      </c>
      <c r="J90" s="1509">
        <v>0</v>
      </c>
      <c r="K90" s="1513"/>
      <c r="L90" s="1513"/>
      <c r="M90" s="1513">
        <f t="shared" si="8"/>
        <v>0</v>
      </c>
      <c r="N90" s="1513">
        <f t="shared" si="9"/>
        <v>0</v>
      </c>
      <c r="O90" s="1510"/>
      <c r="P90" s="1453"/>
    </row>
    <row r="91" spans="1:16" ht="29" outlineLevel="1" x14ac:dyDescent="0.25">
      <c r="A91" s="1506">
        <v>23</v>
      </c>
      <c r="B91" s="1507" t="s">
        <v>1728</v>
      </c>
      <c r="C91" s="1506" t="s">
        <v>1729</v>
      </c>
      <c r="D91" s="1378" t="s">
        <v>2102</v>
      </c>
      <c r="E91" s="1513">
        <v>0</v>
      </c>
      <c r="F91" s="1509">
        <v>0</v>
      </c>
      <c r="G91" s="1509">
        <v>0</v>
      </c>
      <c r="H91" s="1509">
        <f t="shared" si="5"/>
        <v>0</v>
      </c>
      <c r="I91" s="1509">
        <v>0</v>
      </c>
      <c r="J91" s="1509">
        <v>0</v>
      </c>
      <c r="K91" s="1513"/>
      <c r="L91" s="1513"/>
      <c r="M91" s="1513">
        <f t="shared" si="8"/>
        <v>0</v>
      </c>
      <c r="N91" s="1513">
        <f t="shared" si="9"/>
        <v>0</v>
      </c>
      <c r="O91" s="1510">
        <f t="shared" si="6"/>
        <v>0</v>
      </c>
      <c r="P91" s="1453">
        <f t="shared" si="7"/>
        <v>0</v>
      </c>
    </row>
    <row r="92" spans="1:16" ht="43.5" outlineLevel="1" x14ac:dyDescent="0.25">
      <c r="A92" s="1511">
        <v>23.1</v>
      </c>
      <c r="B92" s="1515" t="s">
        <v>2103</v>
      </c>
      <c r="C92" s="1511" t="s">
        <v>1729</v>
      </c>
      <c r="D92" s="1378" t="s">
        <v>2102</v>
      </c>
      <c r="E92" s="1513">
        <v>0</v>
      </c>
      <c r="F92" s="1509">
        <v>0</v>
      </c>
      <c r="G92" s="1509">
        <v>0</v>
      </c>
      <c r="H92" s="1509">
        <f t="shared" si="5"/>
        <v>0</v>
      </c>
      <c r="I92" s="1509">
        <v>0</v>
      </c>
      <c r="J92" s="1509">
        <v>0</v>
      </c>
      <c r="K92" s="1513"/>
      <c r="L92" s="1513"/>
      <c r="M92" s="1513">
        <f t="shared" si="8"/>
        <v>0</v>
      </c>
      <c r="N92" s="1513">
        <f t="shared" si="9"/>
        <v>0</v>
      </c>
      <c r="O92" s="1510">
        <f t="shared" si="6"/>
        <v>0</v>
      </c>
      <c r="P92" s="1453">
        <f t="shared" si="7"/>
        <v>0</v>
      </c>
    </row>
    <row r="93" spans="1:16" ht="43.5" outlineLevel="1" x14ac:dyDescent="0.25">
      <c r="A93" s="1511">
        <v>23.2</v>
      </c>
      <c r="B93" s="1515" t="s">
        <v>2104</v>
      </c>
      <c r="C93" s="1511" t="s">
        <v>1729</v>
      </c>
      <c r="D93" s="1378" t="s">
        <v>2102</v>
      </c>
      <c r="E93" s="1513">
        <v>0</v>
      </c>
      <c r="F93" s="1509">
        <v>0</v>
      </c>
      <c r="G93" s="1509">
        <v>0</v>
      </c>
      <c r="H93" s="1509">
        <f t="shared" si="5"/>
        <v>0</v>
      </c>
      <c r="I93" s="1509">
        <v>0</v>
      </c>
      <c r="J93" s="1509">
        <v>0</v>
      </c>
      <c r="K93" s="1513"/>
      <c r="L93" s="1513"/>
      <c r="M93" s="1513">
        <f t="shared" si="8"/>
        <v>0</v>
      </c>
      <c r="N93" s="1513">
        <f t="shared" si="9"/>
        <v>0</v>
      </c>
      <c r="O93" s="1510">
        <f t="shared" si="6"/>
        <v>0</v>
      </c>
      <c r="P93" s="1453">
        <f t="shared" si="7"/>
        <v>0</v>
      </c>
    </row>
    <row r="94" spans="1:16" ht="58" outlineLevel="1" x14ac:dyDescent="0.25">
      <c r="A94" s="1511">
        <v>23.3</v>
      </c>
      <c r="B94" s="1515" t="s">
        <v>2105</v>
      </c>
      <c r="C94" s="1506" t="s">
        <v>1729</v>
      </c>
      <c r="D94" s="1378" t="s">
        <v>2102</v>
      </c>
      <c r="E94" s="1513">
        <v>0</v>
      </c>
      <c r="F94" s="1509">
        <v>0</v>
      </c>
      <c r="G94" s="1509">
        <v>0</v>
      </c>
      <c r="H94" s="1509">
        <f t="shared" si="5"/>
        <v>0</v>
      </c>
      <c r="I94" s="1509">
        <v>0</v>
      </c>
      <c r="J94" s="1509">
        <v>0</v>
      </c>
      <c r="K94" s="1509"/>
      <c r="L94" s="1509"/>
      <c r="M94" s="1509">
        <f t="shared" si="8"/>
        <v>0</v>
      </c>
      <c r="N94" s="1509">
        <f t="shared" si="9"/>
        <v>0</v>
      </c>
      <c r="O94" s="1510">
        <f t="shared" si="6"/>
        <v>0</v>
      </c>
      <c r="P94" s="1453">
        <f t="shared" si="7"/>
        <v>0</v>
      </c>
    </row>
    <row r="95" spans="1:16" ht="43.5" outlineLevel="1" x14ac:dyDescent="0.25">
      <c r="A95" s="1511">
        <v>23.4</v>
      </c>
      <c r="B95" s="1515" t="s">
        <v>2106</v>
      </c>
      <c r="C95" s="1511" t="s">
        <v>1729</v>
      </c>
      <c r="D95" s="1378" t="s">
        <v>2102</v>
      </c>
      <c r="E95" s="1513">
        <v>0</v>
      </c>
      <c r="F95" s="1509">
        <v>0</v>
      </c>
      <c r="G95" s="1509">
        <v>0</v>
      </c>
      <c r="H95" s="1509">
        <f t="shared" si="5"/>
        <v>0</v>
      </c>
      <c r="I95" s="1509">
        <v>0</v>
      </c>
      <c r="J95" s="1509">
        <v>0</v>
      </c>
      <c r="K95" s="1513"/>
      <c r="L95" s="1513"/>
      <c r="M95" s="1513">
        <f t="shared" si="8"/>
        <v>0</v>
      </c>
      <c r="N95" s="1513">
        <f t="shared" si="9"/>
        <v>0</v>
      </c>
      <c r="O95" s="1510">
        <f t="shared" si="6"/>
        <v>0</v>
      </c>
      <c r="P95" s="1453">
        <f t="shared" si="7"/>
        <v>0</v>
      </c>
    </row>
    <row r="96" spans="1:16" outlineLevel="1" x14ac:dyDescent="0.25">
      <c r="A96" s="1511">
        <v>0</v>
      </c>
      <c r="B96" s="1515" t="s">
        <v>413</v>
      </c>
      <c r="C96" s="1396" t="s">
        <v>1729</v>
      </c>
      <c r="D96" s="1378" t="s">
        <v>2102</v>
      </c>
      <c r="E96" s="1513">
        <v>0</v>
      </c>
      <c r="F96" s="1509">
        <v>0</v>
      </c>
      <c r="G96" s="1509">
        <v>0</v>
      </c>
      <c r="H96" s="1509">
        <f t="shared" si="5"/>
        <v>0</v>
      </c>
      <c r="I96" s="1509">
        <v>0</v>
      </c>
      <c r="J96" s="1509">
        <v>0</v>
      </c>
      <c r="K96" s="1505"/>
      <c r="L96" s="1505"/>
      <c r="M96" s="1505">
        <f t="shared" si="8"/>
        <v>0</v>
      </c>
      <c r="N96" s="1505">
        <f t="shared" si="9"/>
        <v>0</v>
      </c>
      <c r="O96" s="1510">
        <f t="shared" si="6"/>
        <v>0</v>
      </c>
      <c r="P96" s="1453">
        <f t="shared" si="7"/>
        <v>0</v>
      </c>
    </row>
    <row r="97" spans="1:16" ht="29" outlineLevel="1" x14ac:dyDescent="0.25">
      <c r="A97" s="1506">
        <v>24</v>
      </c>
      <c r="B97" s="1507" t="s">
        <v>1738</v>
      </c>
      <c r="C97" s="1506" t="s">
        <v>1729</v>
      </c>
      <c r="D97" s="1378" t="s">
        <v>2102</v>
      </c>
      <c r="E97" s="1513">
        <v>0</v>
      </c>
      <c r="F97" s="1509">
        <v>0</v>
      </c>
      <c r="G97" s="1509">
        <v>0</v>
      </c>
      <c r="H97" s="1509">
        <f t="shared" si="5"/>
        <v>0</v>
      </c>
      <c r="I97" s="1509">
        <v>0</v>
      </c>
      <c r="J97" s="1509">
        <v>0</v>
      </c>
      <c r="K97" s="1513"/>
      <c r="L97" s="1513"/>
      <c r="M97" s="1513">
        <f t="shared" si="8"/>
        <v>0</v>
      </c>
      <c r="N97" s="1513">
        <f t="shared" si="9"/>
        <v>0</v>
      </c>
      <c r="O97" s="1510">
        <f t="shared" si="6"/>
        <v>0</v>
      </c>
      <c r="P97" s="1453">
        <f t="shared" si="7"/>
        <v>0</v>
      </c>
    </row>
    <row r="98" spans="1:16" ht="43.5" outlineLevel="1" x14ac:dyDescent="0.25">
      <c r="A98" s="1511">
        <v>24.1</v>
      </c>
      <c r="B98" s="1515" t="s">
        <v>2107</v>
      </c>
      <c r="C98" s="1396" t="s">
        <v>1729</v>
      </c>
      <c r="D98" s="1378" t="s">
        <v>2102</v>
      </c>
      <c r="E98" s="1513">
        <v>0</v>
      </c>
      <c r="F98" s="1509">
        <v>0</v>
      </c>
      <c r="G98" s="1509">
        <v>0</v>
      </c>
      <c r="H98" s="1509">
        <f t="shared" si="5"/>
        <v>0</v>
      </c>
      <c r="I98" s="1509">
        <v>0</v>
      </c>
      <c r="J98" s="1509">
        <v>0</v>
      </c>
      <c r="K98" s="1505"/>
      <c r="L98" s="1505"/>
      <c r="M98" s="1505">
        <f t="shared" si="8"/>
        <v>0</v>
      </c>
      <c r="N98" s="1505">
        <f t="shared" si="9"/>
        <v>0</v>
      </c>
      <c r="O98" s="1510">
        <f t="shared" si="6"/>
        <v>0</v>
      </c>
      <c r="P98" s="1453">
        <f t="shared" si="7"/>
        <v>0</v>
      </c>
    </row>
    <row r="99" spans="1:16" ht="43.5" outlineLevel="1" x14ac:dyDescent="0.25">
      <c r="A99" s="1511">
        <v>24.2</v>
      </c>
      <c r="B99" s="1515" t="s">
        <v>2108</v>
      </c>
      <c r="C99" s="1396" t="s">
        <v>1729</v>
      </c>
      <c r="D99" s="1378" t="s">
        <v>2102</v>
      </c>
      <c r="E99" s="1513">
        <v>0</v>
      </c>
      <c r="F99" s="1509">
        <v>0</v>
      </c>
      <c r="G99" s="1509">
        <v>0</v>
      </c>
      <c r="H99" s="1509">
        <f t="shared" si="5"/>
        <v>0</v>
      </c>
      <c r="I99" s="1509">
        <v>0</v>
      </c>
      <c r="J99" s="1509">
        <v>0</v>
      </c>
      <c r="K99" s="1505"/>
      <c r="L99" s="1505"/>
      <c r="M99" s="1505">
        <f t="shared" si="8"/>
        <v>0</v>
      </c>
      <c r="N99" s="1505">
        <f t="shared" si="9"/>
        <v>0</v>
      </c>
      <c r="O99" s="1510">
        <f t="shared" si="6"/>
        <v>0</v>
      </c>
      <c r="P99" s="1453">
        <f t="shared" si="7"/>
        <v>0</v>
      </c>
    </row>
    <row r="100" spans="1:16" ht="29" outlineLevel="1" x14ac:dyDescent="0.25">
      <c r="A100" s="1511">
        <v>24.3</v>
      </c>
      <c r="B100" s="1515" t="s">
        <v>2109</v>
      </c>
      <c r="C100" s="1396" t="s">
        <v>1729</v>
      </c>
      <c r="D100" s="1378" t="s">
        <v>2102</v>
      </c>
      <c r="E100" s="1513">
        <v>0</v>
      </c>
      <c r="F100" s="1509">
        <v>0</v>
      </c>
      <c r="G100" s="1509">
        <v>0</v>
      </c>
      <c r="H100" s="1509">
        <f t="shared" si="5"/>
        <v>0</v>
      </c>
      <c r="I100" s="1509">
        <v>0</v>
      </c>
      <c r="J100" s="1509">
        <v>0</v>
      </c>
      <c r="K100" s="1505"/>
      <c r="L100" s="1505"/>
      <c r="M100" s="1505">
        <f t="shared" si="8"/>
        <v>0</v>
      </c>
      <c r="N100" s="1505">
        <f t="shared" si="9"/>
        <v>0</v>
      </c>
    </row>
    <row r="101" spans="1:16" ht="29" outlineLevel="1" x14ac:dyDescent="0.25">
      <c r="A101" s="1511">
        <v>24.4</v>
      </c>
      <c r="B101" s="1515" t="s">
        <v>2110</v>
      </c>
      <c r="C101" s="1396" t="s">
        <v>1729</v>
      </c>
      <c r="D101" s="1378" t="s">
        <v>2102</v>
      </c>
      <c r="E101" s="1513">
        <v>0</v>
      </c>
      <c r="F101" s="1509">
        <v>0</v>
      </c>
      <c r="G101" s="1509">
        <v>0</v>
      </c>
      <c r="H101" s="1509">
        <f t="shared" si="5"/>
        <v>0</v>
      </c>
      <c r="I101" s="1509">
        <v>0</v>
      </c>
      <c r="J101" s="1509">
        <v>0</v>
      </c>
      <c r="K101" s="1505"/>
      <c r="L101" s="1505"/>
      <c r="M101" s="1505">
        <f t="shared" si="8"/>
        <v>0</v>
      </c>
      <c r="N101" s="1505">
        <f t="shared" si="9"/>
        <v>0</v>
      </c>
    </row>
    <row r="102" spans="1:16" ht="29" outlineLevel="1" x14ac:dyDescent="0.25">
      <c r="A102" s="1511">
        <v>24.5</v>
      </c>
      <c r="B102" s="1515" t="s">
        <v>2111</v>
      </c>
      <c r="C102" s="1396" t="s">
        <v>1729</v>
      </c>
      <c r="D102" s="1378" t="s">
        <v>2102</v>
      </c>
      <c r="E102" s="1513">
        <v>0</v>
      </c>
      <c r="F102" s="1509">
        <v>0</v>
      </c>
      <c r="G102" s="1509">
        <v>0</v>
      </c>
      <c r="H102" s="1509">
        <f t="shared" si="5"/>
        <v>0</v>
      </c>
      <c r="I102" s="1509">
        <v>0</v>
      </c>
      <c r="J102" s="1509">
        <v>0</v>
      </c>
      <c r="K102" s="1505"/>
      <c r="L102" s="1505"/>
      <c r="M102" s="1505">
        <f t="shared" si="8"/>
        <v>0</v>
      </c>
      <c r="N102" s="1505">
        <f t="shared" si="9"/>
        <v>0</v>
      </c>
    </row>
    <row r="103" spans="1:16" outlineLevel="1" x14ac:dyDescent="0.25">
      <c r="A103" s="1511">
        <v>0</v>
      </c>
      <c r="B103" s="1515" t="s">
        <v>413</v>
      </c>
      <c r="C103" s="1396" t="s">
        <v>1729</v>
      </c>
      <c r="D103" s="1378" t="s">
        <v>2102</v>
      </c>
      <c r="E103" s="1513">
        <v>0</v>
      </c>
      <c r="F103" s="1509">
        <v>0</v>
      </c>
      <c r="G103" s="1509">
        <v>0</v>
      </c>
      <c r="H103" s="1509">
        <f t="shared" si="5"/>
        <v>0</v>
      </c>
      <c r="I103" s="1509">
        <v>0</v>
      </c>
      <c r="J103" s="1509">
        <v>0</v>
      </c>
      <c r="K103" s="1505"/>
      <c r="L103" s="1505"/>
      <c r="M103" s="1505">
        <f t="shared" si="8"/>
        <v>0</v>
      </c>
      <c r="N103" s="1505">
        <f t="shared" si="9"/>
        <v>0</v>
      </c>
    </row>
    <row r="104" spans="1:16" outlineLevel="1" x14ac:dyDescent="0.25">
      <c r="A104" s="1506">
        <v>25</v>
      </c>
      <c r="B104" s="1507" t="s">
        <v>1753</v>
      </c>
      <c r="C104" s="1506" t="s">
        <v>1754</v>
      </c>
      <c r="D104" s="1378" t="s">
        <v>2102</v>
      </c>
      <c r="E104" s="1513">
        <v>0</v>
      </c>
      <c r="F104" s="1509">
        <v>0</v>
      </c>
      <c r="G104" s="1509">
        <v>0</v>
      </c>
      <c r="H104" s="1509">
        <f t="shared" si="5"/>
        <v>0</v>
      </c>
      <c r="I104" s="1509">
        <v>0</v>
      </c>
      <c r="J104" s="1509">
        <v>0</v>
      </c>
      <c r="K104" s="1513"/>
      <c r="L104" s="1513"/>
      <c r="M104" s="1513">
        <f t="shared" si="8"/>
        <v>0</v>
      </c>
      <c r="N104" s="1513">
        <f t="shared" si="9"/>
        <v>0</v>
      </c>
      <c r="O104" s="1510"/>
      <c r="P104" s="1453"/>
    </row>
    <row r="105" spans="1:16" outlineLevel="1" x14ac:dyDescent="0.25">
      <c r="A105" s="1511">
        <v>25.1</v>
      </c>
      <c r="B105" s="1515" t="s">
        <v>1753</v>
      </c>
      <c r="C105" s="1396" t="s">
        <v>1754</v>
      </c>
      <c r="D105" s="1378" t="s">
        <v>2102</v>
      </c>
      <c r="E105" s="1513">
        <v>0</v>
      </c>
      <c r="F105" s="1509">
        <v>0</v>
      </c>
      <c r="G105" s="1509">
        <v>0</v>
      </c>
      <c r="H105" s="1509">
        <f t="shared" si="5"/>
        <v>0</v>
      </c>
      <c r="I105" s="1509">
        <v>0</v>
      </c>
      <c r="J105" s="1509">
        <v>0</v>
      </c>
      <c r="K105" s="1505"/>
      <c r="L105" s="1505"/>
      <c r="M105" s="1505">
        <f t="shared" si="8"/>
        <v>0</v>
      </c>
      <c r="N105" s="1505">
        <f t="shared" si="9"/>
        <v>0</v>
      </c>
    </row>
    <row r="106" spans="1:16" ht="72.5" outlineLevel="1" x14ac:dyDescent="0.25">
      <c r="A106" s="1511">
        <v>26</v>
      </c>
      <c r="B106" s="1515" t="s">
        <v>1757</v>
      </c>
      <c r="C106" s="1396" t="s">
        <v>1754</v>
      </c>
      <c r="D106" s="1378" t="s">
        <v>2102</v>
      </c>
      <c r="E106" s="1513">
        <v>0</v>
      </c>
      <c r="F106" s="1509">
        <v>0</v>
      </c>
      <c r="G106" s="1509">
        <v>0</v>
      </c>
      <c r="H106" s="1509">
        <f t="shared" si="5"/>
        <v>0</v>
      </c>
      <c r="I106" s="1509">
        <v>0</v>
      </c>
      <c r="J106" s="1509">
        <v>0</v>
      </c>
      <c r="K106" s="1505"/>
      <c r="L106" s="1505"/>
      <c r="M106" s="1505">
        <f t="shared" si="8"/>
        <v>0</v>
      </c>
      <c r="N106" s="1505">
        <f t="shared" si="9"/>
        <v>0</v>
      </c>
    </row>
    <row r="107" spans="1:16" ht="29" outlineLevel="1" x14ac:dyDescent="0.25">
      <c r="A107" s="1511">
        <v>26.1</v>
      </c>
      <c r="B107" s="1515" t="s">
        <v>1759</v>
      </c>
      <c r="C107" s="1396" t="s">
        <v>1754</v>
      </c>
      <c r="D107" s="1378" t="s">
        <v>2102</v>
      </c>
      <c r="E107" s="1513">
        <v>0</v>
      </c>
      <c r="F107" s="1509">
        <v>0</v>
      </c>
      <c r="G107" s="1509">
        <v>0</v>
      </c>
      <c r="H107" s="1509">
        <f t="shared" si="5"/>
        <v>0</v>
      </c>
      <c r="I107" s="1509">
        <v>0</v>
      </c>
      <c r="J107" s="1509">
        <v>0</v>
      </c>
      <c r="K107" s="1505"/>
      <c r="L107" s="1505"/>
      <c r="M107" s="1505">
        <f t="shared" si="8"/>
        <v>0</v>
      </c>
      <c r="N107" s="1505">
        <f t="shared" si="9"/>
        <v>0</v>
      </c>
    </row>
    <row r="108" spans="1:16" ht="29" outlineLevel="1" x14ac:dyDescent="0.25">
      <c r="A108" s="1511">
        <v>26.2</v>
      </c>
      <c r="B108" s="1515" t="s">
        <v>1761</v>
      </c>
      <c r="C108" s="1396" t="s">
        <v>1754</v>
      </c>
      <c r="D108" s="1378" t="s">
        <v>2102</v>
      </c>
      <c r="E108" s="1513">
        <v>0</v>
      </c>
      <c r="F108" s="1509">
        <v>0</v>
      </c>
      <c r="G108" s="1509">
        <v>0</v>
      </c>
      <c r="H108" s="1509">
        <f t="shared" si="5"/>
        <v>0</v>
      </c>
      <c r="I108" s="1509">
        <v>0</v>
      </c>
      <c r="J108" s="1509">
        <v>0</v>
      </c>
      <c r="K108" s="1505"/>
      <c r="L108" s="1505"/>
      <c r="M108" s="1505">
        <f t="shared" si="8"/>
        <v>0</v>
      </c>
      <c r="N108" s="1505">
        <f t="shared" si="9"/>
        <v>0</v>
      </c>
    </row>
    <row r="109" spans="1:16" ht="29" outlineLevel="1" x14ac:dyDescent="0.25">
      <c r="A109" s="1511">
        <v>26.3</v>
      </c>
      <c r="B109" s="1515" t="s">
        <v>1763</v>
      </c>
      <c r="C109" s="1396" t="s">
        <v>1754</v>
      </c>
      <c r="D109" s="1378" t="s">
        <v>2102</v>
      </c>
      <c r="E109" s="1513">
        <v>0</v>
      </c>
      <c r="F109" s="1509">
        <v>0</v>
      </c>
      <c r="G109" s="1509">
        <v>0</v>
      </c>
      <c r="H109" s="1509">
        <f t="shared" si="5"/>
        <v>0</v>
      </c>
      <c r="I109" s="1509">
        <v>0</v>
      </c>
      <c r="J109" s="1509">
        <v>0</v>
      </c>
      <c r="K109" s="1505"/>
      <c r="L109" s="1505"/>
      <c r="M109" s="1505">
        <f t="shared" si="8"/>
        <v>0</v>
      </c>
      <c r="N109" s="1505">
        <f t="shared" si="9"/>
        <v>0</v>
      </c>
    </row>
    <row r="110" spans="1:16" ht="29" outlineLevel="1" x14ac:dyDescent="0.25">
      <c r="A110" s="1511">
        <v>26.4</v>
      </c>
      <c r="B110" s="1515" t="s">
        <v>1765</v>
      </c>
      <c r="C110" s="1396" t="s">
        <v>1754</v>
      </c>
      <c r="D110" s="1378" t="s">
        <v>2102</v>
      </c>
      <c r="E110" s="1513">
        <v>0</v>
      </c>
      <c r="F110" s="1509">
        <v>0</v>
      </c>
      <c r="G110" s="1509">
        <v>0</v>
      </c>
      <c r="H110" s="1509">
        <f t="shared" si="5"/>
        <v>0</v>
      </c>
      <c r="I110" s="1509">
        <v>0</v>
      </c>
      <c r="J110" s="1509">
        <v>0</v>
      </c>
      <c r="K110" s="1505"/>
      <c r="L110" s="1505"/>
      <c r="M110" s="1505">
        <f t="shared" si="8"/>
        <v>0</v>
      </c>
      <c r="N110" s="1505">
        <f t="shared" si="9"/>
        <v>0</v>
      </c>
    </row>
    <row r="111" spans="1:16" outlineLevel="1" x14ac:dyDescent="0.25">
      <c r="A111" s="1511">
        <v>0</v>
      </c>
      <c r="B111" s="1515" t="s">
        <v>413</v>
      </c>
      <c r="C111" s="1396">
        <v>0</v>
      </c>
      <c r="D111" s="1378" t="s">
        <v>2102</v>
      </c>
      <c r="E111" s="1513">
        <v>0</v>
      </c>
      <c r="F111" s="1509">
        <v>0</v>
      </c>
      <c r="G111" s="1509">
        <v>0</v>
      </c>
      <c r="H111" s="1509">
        <f t="shared" si="5"/>
        <v>0</v>
      </c>
      <c r="I111" s="1509">
        <v>0</v>
      </c>
      <c r="J111" s="1509">
        <v>0</v>
      </c>
      <c r="K111" s="1505"/>
      <c r="L111" s="1505"/>
      <c r="M111" s="1505">
        <f t="shared" si="8"/>
        <v>0</v>
      </c>
      <c r="N111" s="1505">
        <f t="shared" si="9"/>
        <v>0</v>
      </c>
    </row>
    <row r="112" spans="1:16" ht="58" outlineLevel="1" x14ac:dyDescent="0.25">
      <c r="A112" s="1506" t="s">
        <v>1767</v>
      </c>
      <c r="B112" s="1507" t="s">
        <v>1768</v>
      </c>
      <c r="C112" s="1506" t="s">
        <v>936</v>
      </c>
      <c r="D112" s="1508" t="s">
        <v>2102</v>
      </c>
      <c r="E112" s="1509">
        <v>0</v>
      </c>
      <c r="F112" s="1509">
        <v>3.8414035910000002</v>
      </c>
      <c r="G112" s="1509">
        <v>3.8414035910000002</v>
      </c>
      <c r="H112" s="1509">
        <f t="shared" si="5"/>
        <v>0</v>
      </c>
      <c r="I112" s="1509">
        <v>0</v>
      </c>
      <c r="J112" s="1509">
        <v>0</v>
      </c>
      <c r="K112" s="1513"/>
      <c r="L112" s="1513"/>
      <c r="M112" s="1513">
        <f t="shared" si="8"/>
        <v>0</v>
      </c>
      <c r="N112" s="1513">
        <f t="shared" si="9"/>
        <v>0</v>
      </c>
      <c r="O112" s="1510"/>
      <c r="P112" s="1453"/>
    </row>
    <row r="113" spans="1:14" outlineLevel="1" x14ac:dyDescent="0.25">
      <c r="A113" s="1511">
        <v>0</v>
      </c>
      <c r="B113" s="1515">
        <v>0</v>
      </c>
      <c r="C113" s="1396">
        <v>0</v>
      </c>
      <c r="D113" s="1378" t="s">
        <v>2102</v>
      </c>
      <c r="E113" s="1505">
        <v>0</v>
      </c>
      <c r="F113" s="1509">
        <v>0</v>
      </c>
      <c r="G113" s="1509">
        <v>0</v>
      </c>
      <c r="H113" s="1509">
        <f t="shared" si="5"/>
        <v>0</v>
      </c>
      <c r="I113" s="1509">
        <v>0</v>
      </c>
      <c r="J113" s="1509">
        <v>0</v>
      </c>
      <c r="K113" s="1505"/>
      <c r="L113" s="1505"/>
      <c r="M113" s="1505">
        <f t="shared" si="8"/>
        <v>0</v>
      </c>
      <c r="N113" s="1505">
        <f t="shared" si="9"/>
        <v>0</v>
      </c>
    </row>
    <row r="114" spans="1:14" ht="18.5" outlineLevel="1" x14ac:dyDescent="0.25">
      <c r="A114" s="1339" t="s">
        <v>184</v>
      </c>
      <c r="B114" s="1339" t="s">
        <v>1770</v>
      </c>
      <c r="C114" s="1396">
        <v>0</v>
      </c>
      <c r="D114" s="1378" t="s">
        <v>2102</v>
      </c>
      <c r="E114" s="1505">
        <v>0</v>
      </c>
      <c r="F114" s="1509">
        <v>0</v>
      </c>
      <c r="G114" s="1509">
        <v>0</v>
      </c>
      <c r="H114" s="1509">
        <f t="shared" si="5"/>
        <v>0</v>
      </c>
      <c r="I114" s="1509">
        <v>0</v>
      </c>
      <c r="J114" s="1509">
        <v>0</v>
      </c>
      <c r="K114" s="1505"/>
      <c r="L114" s="1505"/>
      <c r="M114" s="1505">
        <f t="shared" si="8"/>
        <v>0</v>
      </c>
      <c r="N114" s="1505">
        <f t="shared" si="9"/>
        <v>0</v>
      </c>
    </row>
    <row r="115" spans="1:14" outlineLevel="1" x14ac:dyDescent="0.25">
      <c r="A115" s="1511">
        <v>1</v>
      </c>
      <c r="B115" s="1515" t="s">
        <v>1772</v>
      </c>
      <c r="C115" s="1396" t="s">
        <v>936</v>
      </c>
      <c r="D115" s="1378" t="s">
        <v>2102</v>
      </c>
      <c r="E115" s="1505">
        <v>0</v>
      </c>
      <c r="F115" s="1509">
        <v>0.72651449999999995</v>
      </c>
      <c r="G115" s="1509">
        <v>0.72651449999999995</v>
      </c>
      <c r="H115" s="1509">
        <f t="shared" si="5"/>
        <v>0</v>
      </c>
      <c r="I115" s="1509">
        <v>0</v>
      </c>
      <c r="J115" s="1509">
        <v>0</v>
      </c>
      <c r="K115" s="1505"/>
      <c r="L115" s="1505"/>
      <c r="M115" s="1505">
        <f t="shared" si="8"/>
        <v>0</v>
      </c>
      <c r="N115" s="1505">
        <f t="shared" si="9"/>
        <v>0</v>
      </c>
    </row>
    <row r="116" spans="1:14" outlineLevel="1" x14ac:dyDescent="0.25">
      <c r="A116" s="1511">
        <v>2</v>
      </c>
      <c r="B116" s="1515" t="s">
        <v>1774</v>
      </c>
      <c r="C116" s="1396" t="s">
        <v>936</v>
      </c>
      <c r="D116" s="1378" t="s">
        <v>2102</v>
      </c>
      <c r="E116" s="1505">
        <v>0</v>
      </c>
      <c r="F116" s="1509">
        <v>14.2796416</v>
      </c>
      <c r="G116" s="1509">
        <v>14.2796416</v>
      </c>
      <c r="H116" s="1509">
        <f t="shared" si="5"/>
        <v>0</v>
      </c>
      <c r="I116" s="1509">
        <v>0</v>
      </c>
      <c r="J116" s="1509">
        <v>0</v>
      </c>
      <c r="K116" s="1505"/>
      <c r="L116" s="1505"/>
      <c r="M116" s="1505">
        <f t="shared" si="8"/>
        <v>0</v>
      </c>
      <c r="N116" s="1505">
        <f t="shared" si="9"/>
        <v>0</v>
      </c>
    </row>
    <row r="117" spans="1:14" outlineLevel="1" x14ac:dyDescent="0.25">
      <c r="A117" s="1511">
        <v>3</v>
      </c>
      <c r="B117" s="1515" t="s">
        <v>1776</v>
      </c>
      <c r="C117" s="1396" t="s">
        <v>936</v>
      </c>
      <c r="D117" s="1378" t="s">
        <v>2102</v>
      </c>
      <c r="E117" s="1505">
        <v>0</v>
      </c>
      <c r="F117" s="1509">
        <v>0.118890178</v>
      </c>
      <c r="G117" s="1509">
        <v>0.118890178</v>
      </c>
      <c r="H117" s="1509">
        <f t="shared" si="5"/>
        <v>0</v>
      </c>
      <c r="I117" s="1509">
        <v>0</v>
      </c>
      <c r="J117" s="1509">
        <v>0</v>
      </c>
      <c r="K117" s="1505"/>
      <c r="L117" s="1505"/>
      <c r="M117" s="1505">
        <f t="shared" si="8"/>
        <v>0</v>
      </c>
      <c r="N117" s="1505">
        <f t="shared" si="9"/>
        <v>0</v>
      </c>
    </row>
    <row r="118" spans="1:14" ht="29" outlineLevel="1" x14ac:dyDescent="0.25">
      <c r="A118" s="1511">
        <v>4</v>
      </c>
      <c r="B118" s="1515" t="s">
        <v>1778</v>
      </c>
      <c r="C118" s="1396" t="s">
        <v>936</v>
      </c>
      <c r="D118" s="1378" t="s">
        <v>2102</v>
      </c>
      <c r="E118" s="1505">
        <v>0</v>
      </c>
      <c r="F118" s="1509">
        <v>0.118890178</v>
      </c>
      <c r="G118" s="1509">
        <v>0.118890178</v>
      </c>
      <c r="H118" s="1509">
        <f t="shared" si="5"/>
        <v>0</v>
      </c>
      <c r="I118" s="1509">
        <v>0</v>
      </c>
      <c r="J118" s="1509">
        <v>0</v>
      </c>
      <c r="K118" s="1505"/>
      <c r="L118" s="1505"/>
      <c r="M118" s="1505">
        <f t="shared" si="8"/>
        <v>0</v>
      </c>
      <c r="N118" s="1505">
        <f t="shared" si="9"/>
        <v>0</v>
      </c>
    </row>
    <row r="119" spans="1:14" outlineLevel="1" x14ac:dyDescent="0.25">
      <c r="A119" s="1511">
        <v>5</v>
      </c>
      <c r="B119" s="1515" t="s">
        <v>1779</v>
      </c>
      <c r="C119" s="1396" t="s">
        <v>936</v>
      </c>
      <c r="D119" s="1378" t="s">
        <v>2102</v>
      </c>
      <c r="E119" s="1505">
        <v>0</v>
      </c>
      <c r="F119" s="1509">
        <v>7.6350699999999994E-2</v>
      </c>
      <c r="G119" s="1509">
        <v>7.6350699999999994E-2</v>
      </c>
      <c r="H119" s="1509">
        <f t="shared" si="5"/>
        <v>0</v>
      </c>
      <c r="I119" s="1509">
        <v>0</v>
      </c>
      <c r="J119" s="1509">
        <v>0</v>
      </c>
      <c r="K119" s="1505"/>
      <c r="L119" s="1505"/>
      <c r="M119" s="1505">
        <f t="shared" si="8"/>
        <v>0</v>
      </c>
      <c r="N119" s="1505">
        <f t="shared" si="9"/>
        <v>0</v>
      </c>
    </row>
    <row r="120" spans="1:14" outlineLevel="1" x14ac:dyDescent="0.25">
      <c r="A120" s="1511">
        <v>6</v>
      </c>
      <c r="B120" s="1515" t="s">
        <v>1781</v>
      </c>
      <c r="C120" s="1396" t="s">
        <v>936</v>
      </c>
      <c r="D120" s="1378" t="s">
        <v>2102</v>
      </c>
      <c r="E120" s="1505">
        <v>0</v>
      </c>
      <c r="F120" s="1509">
        <v>4.2359800000000003E-2</v>
      </c>
      <c r="G120" s="1509">
        <v>4.2359800000000003E-2</v>
      </c>
      <c r="H120" s="1509">
        <f t="shared" si="5"/>
        <v>0</v>
      </c>
      <c r="I120" s="1509">
        <v>0</v>
      </c>
      <c r="J120" s="1509">
        <v>0</v>
      </c>
      <c r="K120" s="1505"/>
      <c r="L120" s="1505"/>
      <c r="M120" s="1505">
        <f t="shared" si="8"/>
        <v>0</v>
      </c>
      <c r="N120" s="1505">
        <f t="shared" si="9"/>
        <v>0</v>
      </c>
    </row>
    <row r="121" spans="1:14" customFormat="1" outlineLevel="1" x14ac:dyDescent="0.25">
      <c r="A121" s="1511">
        <v>7</v>
      </c>
      <c r="B121" s="1515" t="s">
        <v>1783</v>
      </c>
      <c r="C121" s="1396" t="s">
        <v>936</v>
      </c>
      <c r="D121" s="1378" t="s">
        <v>2102</v>
      </c>
      <c r="E121" s="1505">
        <v>0</v>
      </c>
      <c r="F121" s="1509">
        <v>0.60786030000000002</v>
      </c>
      <c r="G121" s="1509">
        <v>0.60786030000000002</v>
      </c>
      <c r="H121" s="1509">
        <f t="shared" si="5"/>
        <v>0</v>
      </c>
      <c r="I121" s="1509">
        <v>0</v>
      </c>
      <c r="J121" s="1509">
        <v>0</v>
      </c>
      <c r="K121" s="1505"/>
      <c r="L121" s="1505"/>
      <c r="M121" s="1505">
        <f t="shared" si="8"/>
        <v>0</v>
      </c>
      <c r="N121" s="1505">
        <f t="shared" si="9"/>
        <v>0</v>
      </c>
    </row>
    <row r="122" spans="1:14" customFormat="1" outlineLevel="1" x14ac:dyDescent="0.25">
      <c r="A122" s="1511">
        <v>8</v>
      </c>
      <c r="B122" s="1515" t="s">
        <v>1776</v>
      </c>
      <c r="C122" s="1396" t="s">
        <v>936</v>
      </c>
      <c r="D122" s="1378" t="s">
        <v>2102</v>
      </c>
      <c r="E122" s="1505">
        <v>0</v>
      </c>
      <c r="F122" s="1509">
        <v>2.6342887240000001</v>
      </c>
      <c r="G122" s="1509">
        <v>2.6342887240000001</v>
      </c>
      <c r="H122" s="1509">
        <f t="shared" si="5"/>
        <v>0</v>
      </c>
      <c r="I122" s="1509">
        <v>0</v>
      </c>
      <c r="J122" s="1509">
        <v>0</v>
      </c>
      <c r="K122" s="1505"/>
      <c r="L122" s="1505"/>
      <c r="M122" s="1505">
        <f t="shared" si="8"/>
        <v>0</v>
      </c>
      <c r="N122" s="1505">
        <f t="shared" si="9"/>
        <v>0</v>
      </c>
    </row>
    <row r="123" spans="1:14" customFormat="1" ht="29" outlineLevel="1" x14ac:dyDescent="0.25">
      <c r="A123" s="1511">
        <v>9</v>
      </c>
      <c r="B123" s="1515" t="s">
        <v>1778</v>
      </c>
      <c r="C123" s="1396" t="s">
        <v>936</v>
      </c>
      <c r="D123" s="1378" t="s">
        <v>2102</v>
      </c>
      <c r="E123" s="1505">
        <v>0</v>
      </c>
      <c r="F123" s="1509">
        <v>2.6342887240000001</v>
      </c>
      <c r="G123" s="1509">
        <v>2.6342887240000001</v>
      </c>
      <c r="H123" s="1509">
        <f t="shared" si="5"/>
        <v>0</v>
      </c>
      <c r="I123" s="1509">
        <v>0</v>
      </c>
      <c r="J123" s="1509">
        <v>0</v>
      </c>
      <c r="K123" s="1505"/>
      <c r="L123" s="1505"/>
      <c r="M123" s="1505">
        <f t="shared" si="8"/>
        <v>0</v>
      </c>
      <c r="N123" s="1505">
        <f t="shared" si="9"/>
        <v>0</v>
      </c>
    </row>
    <row r="124" spans="1:14" customFormat="1" outlineLevel="1" x14ac:dyDescent="0.25">
      <c r="A124" s="1511">
        <v>10</v>
      </c>
      <c r="B124" s="1515" t="s">
        <v>1784</v>
      </c>
      <c r="C124" s="1396" t="s">
        <v>936</v>
      </c>
      <c r="D124" s="1378" t="s">
        <v>2102</v>
      </c>
      <c r="E124" s="1505">
        <v>0</v>
      </c>
      <c r="F124" s="1509">
        <v>1.20114E-2</v>
      </c>
      <c r="G124" s="1509">
        <v>1.20114E-2</v>
      </c>
      <c r="H124" s="1509">
        <f t="shared" si="5"/>
        <v>0</v>
      </c>
      <c r="I124" s="1509">
        <v>0</v>
      </c>
      <c r="J124" s="1509">
        <v>0</v>
      </c>
      <c r="K124" s="1505"/>
      <c r="L124" s="1505"/>
      <c r="M124" s="1505">
        <f t="shared" si="8"/>
        <v>0</v>
      </c>
      <c r="N124" s="1505">
        <f t="shared" si="9"/>
        <v>0</v>
      </c>
    </row>
    <row r="125" spans="1:14" customFormat="1" outlineLevel="1" x14ac:dyDescent="0.25">
      <c r="A125" s="1511">
        <v>11</v>
      </c>
      <c r="B125" s="1515" t="s">
        <v>1785</v>
      </c>
      <c r="C125" s="1396">
        <v>0</v>
      </c>
      <c r="D125" s="1378" t="s">
        <v>2102</v>
      </c>
      <c r="E125" s="1505">
        <v>0</v>
      </c>
      <c r="F125" s="1509">
        <v>0</v>
      </c>
      <c r="G125" s="1509">
        <v>0</v>
      </c>
      <c r="H125" s="1509">
        <f t="shared" si="5"/>
        <v>0</v>
      </c>
      <c r="I125" s="1509">
        <v>0</v>
      </c>
      <c r="J125" s="1509">
        <v>0</v>
      </c>
      <c r="K125" s="1505"/>
      <c r="L125" s="1505"/>
      <c r="M125" s="1505">
        <f t="shared" si="8"/>
        <v>0</v>
      </c>
      <c r="N125" s="1505">
        <f t="shared" si="9"/>
        <v>0</v>
      </c>
    </row>
    <row r="126" spans="1:14" customFormat="1" outlineLevel="1" x14ac:dyDescent="0.25">
      <c r="A126" s="1511">
        <v>12</v>
      </c>
      <c r="B126" s="1515" t="s">
        <v>1787</v>
      </c>
      <c r="C126" s="1396">
        <v>0</v>
      </c>
      <c r="D126" s="1378" t="s">
        <v>2102</v>
      </c>
      <c r="E126" s="1505">
        <v>0</v>
      </c>
      <c r="F126" s="1509">
        <v>0</v>
      </c>
      <c r="G126" s="1509">
        <v>0</v>
      </c>
      <c r="H126" s="1509">
        <f t="shared" si="5"/>
        <v>0</v>
      </c>
      <c r="I126" s="1509">
        <v>0</v>
      </c>
      <c r="J126" s="1509">
        <v>0</v>
      </c>
      <c r="K126" s="1505"/>
      <c r="L126" s="1505"/>
      <c r="M126" s="1505">
        <f t="shared" si="8"/>
        <v>0</v>
      </c>
      <c r="N126" s="1505">
        <f t="shared" si="9"/>
        <v>0</v>
      </c>
    </row>
    <row r="127" spans="1:14" customFormat="1" outlineLevel="1" x14ac:dyDescent="0.25">
      <c r="A127" s="1511">
        <v>13</v>
      </c>
      <c r="B127" s="1515" t="s">
        <v>1787</v>
      </c>
      <c r="C127" s="1396">
        <v>0</v>
      </c>
      <c r="D127" s="1378" t="s">
        <v>2102</v>
      </c>
      <c r="E127" s="1505">
        <v>0</v>
      </c>
      <c r="F127" s="1509">
        <v>0</v>
      </c>
      <c r="G127" s="1509">
        <v>0</v>
      </c>
      <c r="H127" s="1509">
        <f t="shared" si="5"/>
        <v>0</v>
      </c>
      <c r="I127" s="1509">
        <v>0</v>
      </c>
      <c r="J127" s="1509">
        <v>0</v>
      </c>
      <c r="K127" s="1505"/>
      <c r="L127" s="1505"/>
      <c r="M127" s="1505">
        <f t="shared" si="8"/>
        <v>0</v>
      </c>
      <c r="N127" s="1505">
        <f t="shared" si="9"/>
        <v>0</v>
      </c>
    </row>
    <row r="128" spans="1:14" customFormat="1" ht="29" outlineLevel="1" x14ac:dyDescent="0.25">
      <c r="A128" s="1511">
        <v>14</v>
      </c>
      <c r="B128" s="1515" t="s">
        <v>1789</v>
      </c>
      <c r="C128" s="1396">
        <v>0</v>
      </c>
      <c r="D128" s="1378" t="s">
        <v>2102</v>
      </c>
      <c r="E128" s="1505">
        <v>0</v>
      </c>
      <c r="F128" s="1509">
        <v>0</v>
      </c>
      <c r="G128" s="1509">
        <v>0</v>
      </c>
      <c r="H128" s="1509">
        <f t="shared" si="5"/>
        <v>0</v>
      </c>
      <c r="I128" s="1509">
        <v>0</v>
      </c>
      <c r="J128" s="1509">
        <v>0</v>
      </c>
      <c r="K128" s="1505"/>
      <c r="L128" s="1505"/>
      <c r="M128" s="1505">
        <f t="shared" si="8"/>
        <v>0</v>
      </c>
      <c r="N128" s="1505">
        <f t="shared" si="9"/>
        <v>0</v>
      </c>
    </row>
    <row r="129" spans="1:14" customFormat="1" outlineLevel="1" x14ac:dyDescent="0.25">
      <c r="A129" s="1511">
        <v>15</v>
      </c>
      <c r="B129" s="1515" t="s">
        <v>2097</v>
      </c>
      <c r="C129" s="1396">
        <v>0</v>
      </c>
      <c r="D129" s="1378" t="s">
        <v>2102</v>
      </c>
      <c r="E129" s="1505">
        <v>0</v>
      </c>
      <c r="F129" s="1509">
        <v>0</v>
      </c>
      <c r="G129" s="1509">
        <v>0</v>
      </c>
      <c r="H129" s="1509">
        <f t="shared" si="5"/>
        <v>0</v>
      </c>
      <c r="I129" s="1509">
        <v>0</v>
      </c>
      <c r="J129" s="1509">
        <v>0</v>
      </c>
      <c r="K129" s="1505"/>
      <c r="L129" s="1505"/>
      <c r="M129" s="1505">
        <f t="shared" si="8"/>
        <v>0</v>
      </c>
      <c r="N129" s="1505">
        <f t="shared" si="9"/>
        <v>0</v>
      </c>
    </row>
    <row r="130" spans="1:14" customFormat="1" ht="18.5" outlineLevel="1" x14ac:dyDescent="0.25">
      <c r="A130" s="1339" t="s">
        <v>185</v>
      </c>
      <c r="B130" s="1339" t="s">
        <v>1790</v>
      </c>
      <c r="C130" s="1339">
        <v>0</v>
      </c>
      <c r="D130" s="1378" t="s">
        <v>2102</v>
      </c>
      <c r="E130" s="1505">
        <v>0</v>
      </c>
      <c r="F130" s="1509">
        <v>0</v>
      </c>
      <c r="G130" s="1509">
        <v>0</v>
      </c>
      <c r="H130" s="1509">
        <f t="shared" si="5"/>
        <v>0</v>
      </c>
      <c r="I130" s="1509">
        <v>0</v>
      </c>
      <c r="J130" s="1509">
        <v>0</v>
      </c>
      <c r="K130" s="1505"/>
      <c r="L130" s="1505"/>
      <c r="M130" s="1505">
        <f t="shared" si="8"/>
        <v>0</v>
      </c>
      <c r="N130" s="1505">
        <f t="shared" si="9"/>
        <v>0</v>
      </c>
    </row>
    <row r="131" spans="1:14" customFormat="1" ht="58" outlineLevel="1" x14ac:dyDescent="0.25">
      <c r="A131" s="1506">
        <v>2</v>
      </c>
      <c r="B131" s="1507" t="s">
        <v>1791</v>
      </c>
      <c r="C131" s="1506" t="s">
        <v>1754</v>
      </c>
      <c r="D131" s="1507" t="s">
        <v>2102</v>
      </c>
      <c r="E131" s="1506">
        <v>0</v>
      </c>
      <c r="F131" s="1509">
        <v>0</v>
      </c>
      <c r="G131" s="1509">
        <v>0</v>
      </c>
      <c r="H131" s="1509">
        <f t="shared" si="5"/>
        <v>0</v>
      </c>
      <c r="I131" s="1509">
        <v>0</v>
      </c>
      <c r="J131" s="1509">
        <v>0</v>
      </c>
      <c r="K131" s="1506"/>
      <c r="L131" s="1507"/>
      <c r="M131" s="1506">
        <f t="shared" si="8"/>
        <v>0</v>
      </c>
      <c r="N131" s="1507">
        <f t="shared" si="9"/>
        <v>0</v>
      </c>
    </row>
    <row r="132" spans="1:14" customFormat="1" ht="43.5" outlineLevel="1" x14ac:dyDescent="0.25">
      <c r="A132" s="1511">
        <v>2.1</v>
      </c>
      <c r="B132" s="1515" t="s">
        <v>1794</v>
      </c>
      <c r="C132" s="1396" t="s">
        <v>1754</v>
      </c>
      <c r="D132" s="1378" t="s">
        <v>2102</v>
      </c>
      <c r="E132" s="1505">
        <v>0</v>
      </c>
      <c r="F132" s="1509">
        <v>0</v>
      </c>
      <c r="G132" s="1509">
        <v>0</v>
      </c>
      <c r="H132" s="1509">
        <f t="shared" si="5"/>
        <v>0</v>
      </c>
      <c r="I132" s="1509">
        <v>0</v>
      </c>
      <c r="J132" s="1509">
        <v>0</v>
      </c>
      <c r="K132" s="1505"/>
      <c r="L132" s="1505"/>
      <c r="M132" s="1505">
        <f t="shared" si="8"/>
        <v>0</v>
      </c>
      <c r="N132" s="1505">
        <f t="shared" si="9"/>
        <v>0</v>
      </c>
    </row>
    <row r="133" spans="1:14" customFormat="1" ht="29" outlineLevel="1" x14ac:dyDescent="0.25">
      <c r="A133" s="1511">
        <v>2.2000000000000002</v>
      </c>
      <c r="B133" s="1515" t="s">
        <v>1796</v>
      </c>
      <c r="C133" s="1396" t="s">
        <v>1754</v>
      </c>
      <c r="D133" s="1378" t="s">
        <v>2102</v>
      </c>
      <c r="E133" s="1505">
        <v>0</v>
      </c>
      <c r="F133" s="1509">
        <v>0</v>
      </c>
      <c r="G133" s="1509">
        <v>0</v>
      </c>
      <c r="H133" s="1509">
        <f t="shared" si="5"/>
        <v>0</v>
      </c>
      <c r="I133" s="1509">
        <v>0</v>
      </c>
      <c r="J133" s="1509">
        <v>0</v>
      </c>
      <c r="K133" s="1505"/>
      <c r="L133" s="1505"/>
      <c r="M133" s="1505">
        <f t="shared" si="8"/>
        <v>0</v>
      </c>
      <c r="N133" s="1505">
        <f t="shared" si="9"/>
        <v>0</v>
      </c>
    </row>
    <row r="134" spans="1:14" customFormat="1" outlineLevel="1" x14ac:dyDescent="0.25">
      <c r="A134" s="1511">
        <v>2.2999999999999998</v>
      </c>
      <c r="B134" s="1515" t="s">
        <v>1798</v>
      </c>
      <c r="C134" s="1396" t="s">
        <v>1754</v>
      </c>
      <c r="D134" s="1378" t="s">
        <v>2102</v>
      </c>
      <c r="E134" s="1505">
        <v>0</v>
      </c>
      <c r="F134" s="1509">
        <v>0</v>
      </c>
      <c r="G134" s="1509">
        <v>0</v>
      </c>
      <c r="H134" s="1509">
        <f t="shared" si="5"/>
        <v>0</v>
      </c>
      <c r="I134" s="1509">
        <v>0</v>
      </c>
      <c r="J134" s="1509">
        <v>0</v>
      </c>
      <c r="K134" s="1505"/>
      <c r="L134" s="1505"/>
      <c r="M134" s="1505">
        <f t="shared" si="8"/>
        <v>0</v>
      </c>
      <c r="N134" s="1505">
        <f t="shared" si="9"/>
        <v>0</v>
      </c>
    </row>
    <row r="135" spans="1:14" customFormat="1" ht="29" outlineLevel="1" x14ac:dyDescent="0.25">
      <c r="A135" s="1511">
        <v>2.4</v>
      </c>
      <c r="B135" s="1515" t="s">
        <v>1800</v>
      </c>
      <c r="C135" s="1396" t="s">
        <v>1754</v>
      </c>
      <c r="D135" s="1378" t="s">
        <v>2102</v>
      </c>
      <c r="E135" s="1505">
        <v>0</v>
      </c>
      <c r="F135" s="1509">
        <v>0</v>
      </c>
      <c r="G135" s="1509">
        <v>0</v>
      </c>
      <c r="H135" s="1509">
        <f t="shared" si="5"/>
        <v>0</v>
      </c>
      <c r="I135" s="1509">
        <v>0</v>
      </c>
      <c r="J135" s="1509">
        <v>0</v>
      </c>
      <c r="K135" s="1505"/>
      <c r="L135" s="1505"/>
      <c r="M135" s="1505">
        <f t="shared" si="8"/>
        <v>0</v>
      </c>
      <c r="N135" s="1505">
        <f t="shared" si="9"/>
        <v>0</v>
      </c>
    </row>
    <row r="136" spans="1:14" customFormat="1" ht="43.5" outlineLevel="1" x14ac:dyDescent="0.25">
      <c r="A136" s="1511">
        <v>2.5</v>
      </c>
      <c r="B136" s="1515" t="s">
        <v>1802</v>
      </c>
      <c r="C136" s="1396" t="s">
        <v>1754</v>
      </c>
      <c r="D136" s="1378" t="s">
        <v>2102</v>
      </c>
      <c r="E136" s="1505">
        <v>0</v>
      </c>
      <c r="F136" s="1509">
        <v>0</v>
      </c>
      <c r="G136" s="1509">
        <v>0</v>
      </c>
      <c r="H136" s="1509">
        <f t="shared" si="5"/>
        <v>0</v>
      </c>
      <c r="I136" s="1509">
        <v>0</v>
      </c>
      <c r="J136" s="1509">
        <v>0</v>
      </c>
      <c r="K136" s="1505"/>
      <c r="L136" s="1505"/>
      <c r="M136" s="1505">
        <f t="shared" si="8"/>
        <v>0</v>
      </c>
      <c r="N136" s="1505">
        <f t="shared" si="9"/>
        <v>0</v>
      </c>
    </row>
    <row r="137" spans="1:14" customFormat="1" ht="58" outlineLevel="1" x14ac:dyDescent="0.25">
      <c r="A137" s="1511">
        <v>2.6</v>
      </c>
      <c r="B137" s="1515" t="s">
        <v>1804</v>
      </c>
      <c r="C137" s="1396" t="s">
        <v>1754</v>
      </c>
      <c r="D137" s="1378" t="s">
        <v>2102</v>
      </c>
      <c r="E137" s="1505">
        <v>0</v>
      </c>
      <c r="F137" s="1509">
        <v>0</v>
      </c>
      <c r="G137" s="1509">
        <v>0</v>
      </c>
      <c r="H137" s="1509">
        <f t="shared" si="5"/>
        <v>0</v>
      </c>
      <c r="I137" s="1509">
        <v>0</v>
      </c>
      <c r="J137" s="1509">
        <v>0</v>
      </c>
      <c r="K137" s="1505"/>
      <c r="L137" s="1505"/>
      <c r="M137" s="1505">
        <f t="shared" si="8"/>
        <v>0</v>
      </c>
      <c r="N137" s="1505">
        <f t="shared" si="9"/>
        <v>0</v>
      </c>
    </row>
    <row r="138" spans="1:14" customFormat="1" outlineLevel="1" x14ac:dyDescent="0.25">
      <c r="A138" s="1511">
        <v>2.7</v>
      </c>
      <c r="B138" s="1515" t="s">
        <v>1806</v>
      </c>
      <c r="C138" s="1396" t="s">
        <v>1754</v>
      </c>
      <c r="D138" s="1378" t="s">
        <v>2102</v>
      </c>
      <c r="E138" s="1505">
        <v>0</v>
      </c>
      <c r="F138" s="1509">
        <v>0</v>
      </c>
      <c r="G138" s="1509">
        <v>0</v>
      </c>
      <c r="H138" s="1509">
        <f t="shared" si="5"/>
        <v>0</v>
      </c>
      <c r="I138" s="1509">
        <v>0</v>
      </c>
      <c r="J138" s="1509">
        <v>0</v>
      </c>
      <c r="K138" s="1505"/>
      <c r="L138" s="1505"/>
      <c r="M138" s="1505">
        <f t="shared" si="8"/>
        <v>0</v>
      </c>
      <c r="N138" s="1505">
        <f t="shared" si="9"/>
        <v>0</v>
      </c>
    </row>
    <row r="139" spans="1:14" customFormat="1" outlineLevel="1" x14ac:dyDescent="0.25">
      <c r="A139" s="1515">
        <v>0</v>
      </c>
      <c r="B139" s="1515" t="s">
        <v>413</v>
      </c>
      <c r="C139" s="1396">
        <v>0</v>
      </c>
      <c r="D139" s="1378" t="s">
        <v>2102</v>
      </c>
      <c r="E139" s="1505">
        <v>0</v>
      </c>
      <c r="F139" s="1509">
        <v>0</v>
      </c>
      <c r="G139" s="1509">
        <v>0</v>
      </c>
      <c r="H139" s="1509">
        <f t="shared" ref="H139:H202" si="10">F139-G139</f>
        <v>0</v>
      </c>
      <c r="I139" s="1509">
        <v>0</v>
      </c>
      <c r="J139" s="1509">
        <v>0</v>
      </c>
      <c r="K139" s="1505"/>
      <c r="L139" s="1505"/>
      <c r="M139" s="1505">
        <f t="shared" si="8"/>
        <v>0</v>
      </c>
      <c r="N139" s="1505">
        <f t="shared" si="9"/>
        <v>0</v>
      </c>
    </row>
    <row r="140" spans="1:14" customFormat="1" ht="43.5" outlineLevel="1" x14ac:dyDescent="0.25">
      <c r="A140" s="1506">
        <v>3</v>
      </c>
      <c r="B140" s="1507" t="s">
        <v>1808</v>
      </c>
      <c r="C140" s="1506" t="s">
        <v>1754</v>
      </c>
      <c r="D140" s="1507" t="s">
        <v>2102</v>
      </c>
      <c r="E140" s="1506">
        <v>0</v>
      </c>
      <c r="F140" s="1509">
        <v>0</v>
      </c>
      <c r="G140" s="1509">
        <v>0</v>
      </c>
      <c r="H140" s="1509">
        <f t="shared" si="10"/>
        <v>0</v>
      </c>
      <c r="I140" s="1509">
        <v>0</v>
      </c>
      <c r="J140" s="1509">
        <v>0</v>
      </c>
      <c r="K140" s="1506"/>
      <c r="L140" s="1507"/>
      <c r="M140" s="1506">
        <f t="shared" si="8"/>
        <v>0</v>
      </c>
      <c r="N140" s="1507">
        <f t="shared" si="9"/>
        <v>0</v>
      </c>
    </row>
    <row r="141" spans="1:14" customFormat="1" ht="29" outlineLevel="1" x14ac:dyDescent="0.25">
      <c r="A141" s="1511">
        <v>3.1</v>
      </c>
      <c r="B141" s="1515" t="s">
        <v>1810</v>
      </c>
      <c r="C141" s="1396" t="s">
        <v>1754</v>
      </c>
      <c r="D141" s="1378" t="s">
        <v>2102</v>
      </c>
      <c r="E141" s="1505">
        <v>0</v>
      </c>
      <c r="F141" s="1509">
        <v>0</v>
      </c>
      <c r="G141" s="1509">
        <v>0</v>
      </c>
      <c r="H141" s="1509">
        <f t="shared" si="10"/>
        <v>0</v>
      </c>
      <c r="I141" s="1509">
        <v>0</v>
      </c>
      <c r="J141" s="1509">
        <v>0</v>
      </c>
      <c r="K141" s="1505"/>
      <c r="L141" s="1505"/>
      <c r="M141" s="1505">
        <f t="shared" si="8"/>
        <v>0</v>
      </c>
      <c r="N141" s="1505">
        <f t="shared" si="9"/>
        <v>0</v>
      </c>
    </row>
    <row r="142" spans="1:14" customFormat="1" outlineLevel="1" x14ac:dyDescent="0.25">
      <c r="A142" s="1511">
        <v>3.2</v>
      </c>
      <c r="B142" s="1515" t="s">
        <v>1812</v>
      </c>
      <c r="C142" s="1396" t="s">
        <v>1754</v>
      </c>
      <c r="D142" s="1378" t="s">
        <v>2102</v>
      </c>
      <c r="E142" s="1505">
        <v>0</v>
      </c>
      <c r="F142" s="1509">
        <v>0</v>
      </c>
      <c r="G142" s="1509">
        <v>0</v>
      </c>
      <c r="H142" s="1509">
        <f t="shared" si="10"/>
        <v>0</v>
      </c>
      <c r="I142" s="1509">
        <v>0</v>
      </c>
      <c r="J142" s="1509">
        <v>0</v>
      </c>
      <c r="K142" s="1505"/>
      <c r="L142" s="1505"/>
      <c r="M142" s="1505">
        <f t="shared" ref="M142:M205" si="11">SUM(J142:L142)</f>
        <v>0</v>
      </c>
      <c r="N142" s="1505">
        <f t="shared" ref="N142:N205" si="12">H142+I142-M142</f>
        <v>0</v>
      </c>
    </row>
    <row r="143" spans="1:14" customFormat="1" outlineLevel="1" x14ac:dyDescent="0.25">
      <c r="A143" s="1511">
        <v>0</v>
      </c>
      <c r="B143" s="1515" t="s">
        <v>413</v>
      </c>
      <c r="C143" s="1396" t="s">
        <v>1754</v>
      </c>
      <c r="D143" s="1378" t="s">
        <v>2102</v>
      </c>
      <c r="E143" s="1505">
        <v>0</v>
      </c>
      <c r="F143" s="1509">
        <v>0</v>
      </c>
      <c r="G143" s="1509">
        <v>0</v>
      </c>
      <c r="H143" s="1509">
        <f t="shared" si="10"/>
        <v>0</v>
      </c>
      <c r="I143" s="1509">
        <v>0</v>
      </c>
      <c r="J143" s="1509">
        <v>0</v>
      </c>
      <c r="K143" s="1505"/>
      <c r="L143" s="1505"/>
      <c r="M143" s="1505">
        <f t="shared" si="11"/>
        <v>0</v>
      </c>
      <c r="N143" s="1505">
        <f t="shared" si="12"/>
        <v>0</v>
      </c>
    </row>
    <row r="144" spans="1:14" customFormat="1" ht="101.5" outlineLevel="1" x14ac:dyDescent="0.25">
      <c r="A144" s="1506">
        <v>4</v>
      </c>
      <c r="B144" s="1507" t="s">
        <v>1814</v>
      </c>
      <c r="C144" s="1506" t="s">
        <v>1754</v>
      </c>
      <c r="D144" s="1507" t="s">
        <v>2102</v>
      </c>
      <c r="E144" s="1506">
        <v>0</v>
      </c>
      <c r="F144" s="1509">
        <v>0</v>
      </c>
      <c r="G144" s="1509">
        <v>0</v>
      </c>
      <c r="H144" s="1509">
        <f t="shared" si="10"/>
        <v>0</v>
      </c>
      <c r="I144" s="1509">
        <v>0</v>
      </c>
      <c r="J144" s="1509">
        <v>0</v>
      </c>
      <c r="K144" s="1506"/>
      <c r="L144" s="1507"/>
      <c r="M144" s="1506">
        <f t="shared" si="11"/>
        <v>0</v>
      </c>
      <c r="N144" s="1507">
        <f t="shared" si="12"/>
        <v>0</v>
      </c>
    </row>
    <row r="145" spans="1:14" customFormat="1" ht="29" outlineLevel="1" x14ac:dyDescent="0.25">
      <c r="A145" s="1511">
        <v>4.0999999999999996</v>
      </c>
      <c r="B145" s="1515" t="s">
        <v>1815</v>
      </c>
      <c r="C145" s="1396" t="s">
        <v>1754</v>
      </c>
      <c r="D145" s="1378" t="s">
        <v>2102</v>
      </c>
      <c r="E145" s="1505">
        <v>0</v>
      </c>
      <c r="F145" s="1509">
        <v>0</v>
      </c>
      <c r="G145" s="1509">
        <v>0</v>
      </c>
      <c r="H145" s="1509">
        <f t="shared" si="10"/>
        <v>0</v>
      </c>
      <c r="I145" s="1509">
        <v>0</v>
      </c>
      <c r="J145" s="1509">
        <v>0</v>
      </c>
      <c r="K145" s="1505"/>
      <c r="L145" s="1505"/>
      <c r="M145" s="1505">
        <f t="shared" si="11"/>
        <v>0</v>
      </c>
      <c r="N145" s="1505">
        <f t="shared" si="12"/>
        <v>0</v>
      </c>
    </row>
    <row r="146" spans="1:14" customFormat="1" ht="29" outlineLevel="1" x14ac:dyDescent="0.25">
      <c r="A146" s="1511">
        <v>4.2</v>
      </c>
      <c r="B146" s="1515" t="s">
        <v>1817</v>
      </c>
      <c r="C146" s="1396" t="s">
        <v>1754</v>
      </c>
      <c r="D146" s="1378" t="s">
        <v>2102</v>
      </c>
      <c r="E146" s="1505">
        <v>0</v>
      </c>
      <c r="F146" s="1509">
        <v>0</v>
      </c>
      <c r="G146" s="1509">
        <v>0</v>
      </c>
      <c r="H146" s="1509">
        <f t="shared" si="10"/>
        <v>0</v>
      </c>
      <c r="I146" s="1509">
        <v>0</v>
      </c>
      <c r="J146" s="1509">
        <v>0</v>
      </c>
      <c r="K146" s="1505"/>
      <c r="L146" s="1505"/>
      <c r="M146" s="1505">
        <f t="shared" si="11"/>
        <v>0</v>
      </c>
      <c r="N146" s="1505">
        <f t="shared" si="12"/>
        <v>0</v>
      </c>
    </row>
    <row r="147" spans="1:14" customFormat="1" ht="29" outlineLevel="1" x14ac:dyDescent="0.25">
      <c r="A147" s="1511">
        <v>4.3</v>
      </c>
      <c r="B147" s="1515" t="s">
        <v>1819</v>
      </c>
      <c r="C147" s="1396" t="s">
        <v>1754</v>
      </c>
      <c r="D147" s="1378" t="s">
        <v>2102</v>
      </c>
      <c r="E147" s="1505">
        <v>0</v>
      </c>
      <c r="F147" s="1509">
        <v>0</v>
      </c>
      <c r="G147" s="1509">
        <v>0</v>
      </c>
      <c r="H147" s="1509">
        <f t="shared" si="10"/>
        <v>0</v>
      </c>
      <c r="I147" s="1509">
        <v>0</v>
      </c>
      <c r="J147" s="1509">
        <v>0</v>
      </c>
      <c r="K147" s="1505"/>
      <c r="L147" s="1505"/>
      <c r="M147" s="1505">
        <f t="shared" si="11"/>
        <v>0</v>
      </c>
      <c r="N147" s="1505">
        <f t="shared" si="12"/>
        <v>0</v>
      </c>
    </row>
    <row r="148" spans="1:14" customFormat="1" ht="58" outlineLevel="1" x14ac:dyDescent="0.25">
      <c r="A148" s="1511">
        <v>4.4000000000000004</v>
      </c>
      <c r="B148" s="1515" t="s">
        <v>1821</v>
      </c>
      <c r="C148" s="1396" t="s">
        <v>1754</v>
      </c>
      <c r="D148" s="1378" t="s">
        <v>2102</v>
      </c>
      <c r="E148" s="1505">
        <v>0</v>
      </c>
      <c r="F148" s="1509">
        <v>0</v>
      </c>
      <c r="G148" s="1509">
        <v>0</v>
      </c>
      <c r="H148" s="1509">
        <f t="shared" si="10"/>
        <v>0</v>
      </c>
      <c r="I148" s="1509">
        <v>0</v>
      </c>
      <c r="J148" s="1509">
        <v>0</v>
      </c>
      <c r="K148" s="1505"/>
      <c r="L148" s="1505"/>
      <c r="M148" s="1505">
        <f t="shared" si="11"/>
        <v>0</v>
      </c>
      <c r="N148" s="1505">
        <f t="shared" si="12"/>
        <v>0</v>
      </c>
    </row>
    <row r="149" spans="1:14" customFormat="1" outlineLevel="1" x14ac:dyDescent="0.25">
      <c r="A149" s="1511">
        <v>0</v>
      </c>
      <c r="B149" s="1515" t="s">
        <v>413</v>
      </c>
      <c r="C149" s="1396" t="s">
        <v>1754</v>
      </c>
      <c r="D149" s="1378" t="s">
        <v>2102</v>
      </c>
      <c r="E149" s="1505">
        <v>0</v>
      </c>
      <c r="F149" s="1509">
        <v>0</v>
      </c>
      <c r="G149" s="1509">
        <v>0</v>
      </c>
      <c r="H149" s="1509">
        <f t="shared" si="10"/>
        <v>0</v>
      </c>
      <c r="I149" s="1509">
        <v>0</v>
      </c>
      <c r="J149" s="1509">
        <v>0</v>
      </c>
      <c r="K149" s="1505"/>
      <c r="L149" s="1505"/>
      <c r="M149" s="1505">
        <f t="shared" si="11"/>
        <v>0</v>
      </c>
      <c r="N149" s="1505">
        <f t="shared" si="12"/>
        <v>0</v>
      </c>
    </row>
    <row r="150" spans="1:14" customFormat="1" outlineLevel="1" x14ac:dyDescent="0.25">
      <c r="A150" s="1506">
        <v>5</v>
      </c>
      <c r="B150" s="1507" t="s">
        <v>1823</v>
      </c>
      <c r="C150" s="1506" t="s">
        <v>1754</v>
      </c>
      <c r="D150" s="1507" t="s">
        <v>2102</v>
      </c>
      <c r="E150" s="1506">
        <v>0</v>
      </c>
      <c r="F150" s="1509">
        <v>0</v>
      </c>
      <c r="G150" s="1509">
        <v>0</v>
      </c>
      <c r="H150" s="1509">
        <f t="shared" si="10"/>
        <v>0</v>
      </c>
      <c r="I150" s="1509">
        <v>0</v>
      </c>
      <c r="J150" s="1509">
        <v>0</v>
      </c>
      <c r="K150" s="1506"/>
      <c r="L150" s="1507"/>
      <c r="M150" s="1506">
        <f t="shared" si="11"/>
        <v>0</v>
      </c>
      <c r="N150" s="1507">
        <f t="shared" si="12"/>
        <v>0</v>
      </c>
    </row>
    <row r="151" spans="1:14" customFormat="1" ht="29" outlineLevel="1" x14ac:dyDescent="0.25">
      <c r="A151" s="1511">
        <v>5.0999999999999996</v>
      </c>
      <c r="B151" s="1515" t="s">
        <v>1824</v>
      </c>
      <c r="C151" s="1396" t="s">
        <v>1754</v>
      </c>
      <c r="D151" s="1378" t="s">
        <v>2102</v>
      </c>
      <c r="E151" s="1505">
        <v>0</v>
      </c>
      <c r="F151" s="1509">
        <v>0</v>
      </c>
      <c r="G151" s="1509">
        <v>0</v>
      </c>
      <c r="H151" s="1509">
        <f t="shared" si="10"/>
        <v>0</v>
      </c>
      <c r="I151" s="1509">
        <v>0</v>
      </c>
      <c r="J151" s="1509">
        <v>0</v>
      </c>
      <c r="K151" s="1505"/>
      <c r="L151" s="1505"/>
      <c r="M151" s="1505">
        <f t="shared" si="11"/>
        <v>0</v>
      </c>
      <c r="N151" s="1505">
        <f t="shared" si="12"/>
        <v>0</v>
      </c>
    </row>
    <row r="152" spans="1:14" customFormat="1" ht="29" outlineLevel="1" x14ac:dyDescent="0.25">
      <c r="A152" s="1511">
        <v>5.2</v>
      </c>
      <c r="B152" s="1515" t="s">
        <v>1825</v>
      </c>
      <c r="C152" s="1396" t="s">
        <v>1754</v>
      </c>
      <c r="D152" s="1378" t="s">
        <v>2102</v>
      </c>
      <c r="E152" s="1505">
        <v>0</v>
      </c>
      <c r="F152" s="1509">
        <v>0</v>
      </c>
      <c r="G152" s="1509">
        <v>0</v>
      </c>
      <c r="H152" s="1509">
        <f t="shared" si="10"/>
        <v>0</v>
      </c>
      <c r="I152" s="1509">
        <v>0</v>
      </c>
      <c r="J152" s="1509">
        <v>0</v>
      </c>
      <c r="K152" s="1505"/>
      <c r="L152" s="1505"/>
      <c r="M152" s="1505">
        <f t="shared" si="11"/>
        <v>0</v>
      </c>
      <c r="N152" s="1505">
        <f t="shared" si="12"/>
        <v>0</v>
      </c>
    </row>
    <row r="153" spans="1:14" customFormat="1" ht="29" outlineLevel="1" x14ac:dyDescent="0.25">
      <c r="A153" s="1511">
        <v>5.3</v>
      </c>
      <c r="B153" s="1515" t="s">
        <v>1827</v>
      </c>
      <c r="C153" s="1396" t="s">
        <v>1754</v>
      </c>
      <c r="D153" s="1378" t="s">
        <v>2102</v>
      </c>
      <c r="E153" s="1505">
        <v>0</v>
      </c>
      <c r="F153" s="1509">
        <v>0</v>
      </c>
      <c r="G153" s="1509">
        <v>0</v>
      </c>
      <c r="H153" s="1509">
        <f t="shared" si="10"/>
        <v>0</v>
      </c>
      <c r="I153" s="1509">
        <v>0</v>
      </c>
      <c r="J153" s="1509">
        <v>0</v>
      </c>
      <c r="K153" s="1505"/>
      <c r="L153" s="1505"/>
      <c r="M153" s="1505">
        <f t="shared" si="11"/>
        <v>0</v>
      </c>
      <c r="N153" s="1505">
        <f t="shared" si="12"/>
        <v>0</v>
      </c>
    </row>
    <row r="154" spans="1:14" customFormat="1" ht="29" outlineLevel="1" x14ac:dyDescent="0.25">
      <c r="A154" s="1511">
        <v>5.4</v>
      </c>
      <c r="B154" s="1515" t="s">
        <v>1828</v>
      </c>
      <c r="C154" s="1396" t="s">
        <v>1754</v>
      </c>
      <c r="D154" s="1378" t="s">
        <v>2102</v>
      </c>
      <c r="E154" s="1505">
        <v>0</v>
      </c>
      <c r="F154" s="1509">
        <v>0</v>
      </c>
      <c r="G154" s="1509">
        <v>0</v>
      </c>
      <c r="H154" s="1509">
        <f t="shared" si="10"/>
        <v>0</v>
      </c>
      <c r="I154" s="1509">
        <v>0</v>
      </c>
      <c r="J154" s="1509">
        <v>0</v>
      </c>
      <c r="K154" s="1505"/>
      <c r="L154" s="1505"/>
      <c r="M154" s="1505">
        <f t="shared" si="11"/>
        <v>0</v>
      </c>
      <c r="N154" s="1505">
        <f t="shared" si="12"/>
        <v>0</v>
      </c>
    </row>
    <row r="155" spans="1:14" customFormat="1" outlineLevel="1" x14ac:dyDescent="0.25">
      <c r="A155" s="1511">
        <v>5.5</v>
      </c>
      <c r="B155" s="1515" t="s">
        <v>1829</v>
      </c>
      <c r="C155" s="1396" t="s">
        <v>1754</v>
      </c>
      <c r="D155" s="1378" t="s">
        <v>2102</v>
      </c>
      <c r="E155" s="1505">
        <v>0</v>
      </c>
      <c r="F155" s="1509">
        <v>0</v>
      </c>
      <c r="G155" s="1509">
        <v>0</v>
      </c>
      <c r="H155" s="1509">
        <f t="shared" si="10"/>
        <v>0</v>
      </c>
      <c r="I155" s="1509">
        <v>0</v>
      </c>
      <c r="J155" s="1509">
        <v>0</v>
      </c>
      <c r="K155" s="1505"/>
      <c r="L155" s="1505"/>
      <c r="M155" s="1505">
        <f t="shared" si="11"/>
        <v>0</v>
      </c>
      <c r="N155" s="1505">
        <f t="shared" si="12"/>
        <v>0</v>
      </c>
    </row>
    <row r="156" spans="1:14" customFormat="1" ht="29" outlineLevel="1" x14ac:dyDescent="0.25">
      <c r="A156" s="1511">
        <v>5.6</v>
      </c>
      <c r="B156" s="1515" t="s">
        <v>1830</v>
      </c>
      <c r="C156" s="1396" t="s">
        <v>1754</v>
      </c>
      <c r="D156" s="1378" t="s">
        <v>2102</v>
      </c>
      <c r="E156" s="1505">
        <v>0</v>
      </c>
      <c r="F156" s="1509">
        <v>0</v>
      </c>
      <c r="G156" s="1509">
        <v>0</v>
      </c>
      <c r="H156" s="1509">
        <f t="shared" si="10"/>
        <v>0</v>
      </c>
      <c r="I156" s="1509">
        <v>0</v>
      </c>
      <c r="J156" s="1509">
        <v>0</v>
      </c>
      <c r="K156" s="1505"/>
      <c r="L156" s="1505"/>
      <c r="M156" s="1505">
        <f t="shared" si="11"/>
        <v>0</v>
      </c>
      <c r="N156" s="1505">
        <f t="shared" si="12"/>
        <v>0</v>
      </c>
    </row>
    <row r="157" spans="1:14" customFormat="1" outlineLevel="1" x14ac:dyDescent="0.25">
      <c r="A157" s="1511">
        <v>0</v>
      </c>
      <c r="B157" s="1515" t="s">
        <v>413</v>
      </c>
      <c r="C157" s="1396" t="s">
        <v>1754</v>
      </c>
      <c r="D157" s="1378" t="s">
        <v>2102</v>
      </c>
      <c r="E157" s="1505">
        <v>0</v>
      </c>
      <c r="F157" s="1509">
        <v>0</v>
      </c>
      <c r="G157" s="1509">
        <v>0</v>
      </c>
      <c r="H157" s="1509">
        <f t="shared" si="10"/>
        <v>0</v>
      </c>
      <c r="I157" s="1509">
        <v>0</v>
      </c>
      <c r="J157" s="1509">
        <v>0</v>
      </c>
      <c r="K157" s="1505"/>
      <c r="L157" s="1505"/>
      <c r="M157" s="1505">
        <f t="shared" si="11"/>
        <v>0</v>
      </c>
      <c r="N157" s="1505">
        <f t="shared" si="12"/>
        <v>0</v>
      </c>
    </row>
    <row r="158" spans="1:14" customFormat="1" outlineLevel="1" x14ac:dyDescent="0.25">
      <c r="A158" s="1506">
        <v>6</v>
      </c>
      <c r="B158" s="1507" t="s">
        <v>1831</v>
      </c>
      <c r="C158" s="1506" t="s">
        <v>1754</v>
      </c>
      <c r="D158" s="1507" t="s">
        <v>2102</v>
      </c>
      <c r="E158" s="1506">
        <v>0</v>
      </c>
      <c r="F158" s="1509">
        <v>0</v>
      </c>
      <c r="G158" s="1509">
        <v>0</v>
      </c>
      <c r="H158" s="1509">
        <f t="shared" si="10"/>
        <v>0</v>
      </c>
      <c r="I158" s="1509">
        <v>0</v>
      </c>
      <c r="J158" s="1509">
        <v>0</v>
      </c>
      <c r="K158" s="1506"/>
      <c r="L158" s="1507"/>
      <c r="M158" s="1506">
        <f t="shared" si="11"/>
        <v>0</v>
      </c>
      <c r="N158" s="1507">
        <f t="shared" si="12"/>
        <v>0</v>
      </c>
    </row>
    <row r="159" spans="1:14" customFormat="1" ht="29" outlineLevel="1" x14ac:dyDescent="0.25">
      <c r="A159" s="1511">
        <v>6.1</v>
      </c>
      <c r="B159" s="1515" t="s">
        <v>1832</v>
      </c>
      <c r="C159" s="1396" t="s">
        <v>1754</v>
      </c>
      <c r="D159" s="1378" t="s">
        <v>2102</v>
      </c>
      <c r="E159" s="1505">
        <v>0</v>
      </c>
      <c r="F159" s="1509">
        <v>0</v>
      </c>
      <c r="G159" s="1509">
        <v>0</v>
      </c>
      <c r="H159" s="1509">
        <f t="shared" si="10"/>
        <v>0</v>
      </c>
      <c r="I159" s="1509">
        <v>0</v>
      </c>
      <c r="J159" s="1509">
        <v>0</v>
      </c>
      <c r="K159" s="1505"/>
      <c r="L159" s="1505"/>
      <c r="M159" s="1505">
        <f t="shared" si="11"/>
        <v>0</v>
      </c>
      <c r="N159" s="1505">
        <f t="shared" si="12"/>
        <v>0</v>
      </c>
    </row>
    <row r="160" spans="1:14" customFormat="1" outlineLevel="1" x14ac:dyDescent="0.25">
      <c r="A160" s="1511">
        <v>6.2</v>
      </c>
      <c r="B160" s="1515" t="s">
        <v>1829</v>
      </c>
      <c r="C160" s="1396" t="s">
        <v>1754</v>
      </c>
      <c r="D160" s="1378" t="s">
        <v>2102</v>
      </c>
      <c r="E160" s="1505">
        <v>0</v>
      </c>
      <c r="F160" s="1509">
        <v>0</v>
      </c>
      <c r="G160" s="1509">
        <v>0</v>
      </c>
      <c r="H160" s="1509">
        <f t="shared" si="10"/>
        <v>0</v>
      </c>
      <c r="I160" s="1509">
        <v>0</v>
      </c>
      <c r="J160" s="1509">
        <v>0</v>
      </c>
      <c r="K160" s="1505"/>
      <c r="L160" s="1505"/>
      <c r="M160" s="1505">
        <f t="shared" si="11"/>
        <v>0</v>
      </c>
      <c r="N160" s="1505">
        <f t="shared" si="12"/>
        <v>0</v>
      </c>
    </row>
    <row r="161" spans="1:14" customFormat="1" ht="29" outlineLevel="1" x14ac:dyDescent="0.25">
      <c r="A161" s="1511">
        <v>6.3</v>
      </c>
      <c r="B161" s="1515" t="s">
        <v>1833</v>
      </c>
      <c r="C161" s="1396" t="s">
        <v>1754</v>
      </c>
      <c r="D161" s="1378" t="s">
        <v>2102</v>
      </c>
      <c r="E161" s="1505">
        <v>0</v>
      </c>
      <c r="F161" s="1509">
        <v>0</v>
      </c>
      <c r="G161" s="1509">
        <v>0</v>
      </c>
      <c r="H161" s="1509">
        <f t="shared" si="10"/>
        <v>0</v>
      </c>
      <c r="I161" s="1509">
        <v>0</v>
      </c>
      <c r="J161" s="1509">
        <v>0</v>
      </c>
      <c r="K161" s="1505"/>
      <c r="L161" s="1505"/>
      <c r="M161" s="1505">
        <f t="shared" si="11"/>
        <v>0</v>
      </c>
      <c r="N161" s="1505">
        <f t="shared" si="12"/>
        <v>0</v>
      </c>
    </row>
    <row r="162" spans="1:14" customFormat="1" ht="29" outlineLevel="1" x14ac:dyDescent="0.25">
      <c r="A162" s="1511">
        <v>6.4</v>
      </c>
      <c r="B162" s="1515" t="s">
        <v>1834</v>
      </c>
      <c r="C162" s="1396" t="s">
        <v>1754</v>
      </c>
      <c r="D162" s="1378" t="s">
        <v>2102</v>
      </c>
      <c r="E162" s="1505">
        <v>0</v>
      </c>
      <c r="F162" s="1509">
        <v>0</v>
      </c>
      <c r="G162" s="1509">
        <v>0</v>
      </c>
      <c r="H162" s="1509">
        <f t="shared" si="10"/>
        <v>0</v>
      </c>
      <c r="I162" s="1509">
        <v>0</v>
      </c>
      <c r="J162" s="1509">
        <v>0</v>
      </c>
      <c r="K162" s="1505"/>
      <c r="L162" s="1505"/>
      <c r="M162" s="1505">
        <f t="shared" si="11"/>
        <v>0</v>
      </c>
      <c r="N162" s="1505">
        <f t="shared" si="12"/>
        <v>0</v>
      </c>
    </row>
    <row r="163" spans="1:14" customFormat="1" outlineLevel="1" x14ac:dyDescent="0.25">
      <c r="A163" s="1511">
        <v>0</v>
      </c>
      <c r="B163" s="1515" t="s">
        <v>413</v>
      </c>
      <c r="C163" s="1396" t="s">
        <v>1754</v>
      </c>
      <c r="D163" s="1378" t="s">
        <v>2102</v>
      </c>
      <c r="E163" s="1505">
        <v>0</v>
      </c>
      <c r="F163" s="1509">
        <v>0</v>
      </c>
      <c r="G163" s="1509">
        <v>0</v>
      </c>
      <c r="H163" s="1509">
        <f t="shared" si="10"/>
        <v>0</v>
      </c>
      <c r="I163" s="1509">
        <v>0</v>
      </c>
      <c r="J163" s="1509">
        <v>0</v>
      </c>
      <c r="K163" s="1505"/>
      <c r="L163" s="1505"/>
      <c r="M163" s="1505">
        <f t="shared" si="11"/>
        <v>0</v>
      </c>
      <c r="N163" s="1505">
        <f t="shared" si="12"/>
        <v>0</v>
      </c>
    </row>
    <row r="164" spans="1:14" customFormat="1" outlineLevel="1" x14ac:dyDescent="0.25">
      <c r="A164" s="1506">
        <v>7</v>
      </c>
      <c r="B164" s="1507" t="s">
        <v>1835</v>
      </c>
      <c r="C164" s="1506" t="s">
        <v>1754</v>
      </c>
      <c r="D164" s="1507" t="s">
        <v>2102</v>
      </c>
      <c r="E164" s="1506">
        <v>0</v>
      </c>
      <c r="F164" s="1509">
        <v>0</v>
      </c>
      <c r="G164" s="1509">
        <v>0</v>
      </c>
      <c r="H164" s="1509">
        <f t="shared" si="10"/>
        <v>0</v>
      </c>
      <c r="I164" s="1509">
        <v>0</v>
      </c>
      <c r="J164" s="1509">
        <v>0</v>
      </c>
      <c r="K164" s="1506"/>
      <c r="L164" s="1507"/>
      <c r="M164" s="1506">
        <f t="shared" si="11"/>
        <v>0</v>
      </c>
      <c r="N164" s="1507">
        <f t="shared" si="12"/>
        <v>0</v>
      </c>
    </row>
    <row r="165" spans="1:14" customFormat="1" ht="58" outlineLevel="1" x14ac:dyDescent="0.25">
      <c r="A165" s="1511">
        <v>7.1</v>
      </c>
      <c r="B165" s="1515" t="s">
        <v>1836</v>
      </c>
      <c r="C165" s="1396" t="s">
        <v>1754</v>
      </c>
      <c r="D165" s="1378" t="s">
        <v>2102</v>
      </c>
      <c r="E165" s="1505">
        <v>0</v>
      </c>
      <c r="F165" s="1509">
        <v>0</v>
      </c>
      <c r="G165" s="1509">
        <v>0</v>
      </c>
      <c r="H165" s="1509">
        <f t="shared" si="10"/>
        <v>0</v>
      </c>
      <c r="I165" s="1509">
        <v>0</v>
      </c>
      <c r="J165" s="1509">
        <v>0</v>
      </c>
      <c r="K165" s="1505"/>
      <c r="L165" s="1505"/>
      <c r="M165" s="1505">
        <f t="shared" si="11"/>
        <v>0</v>
      </c>
      <c r="N165" s="1505">
        <f t="shared" si="12"/>
        <v>0</v>
      </c>
    </row>
    <row r="166" spans="1:14" customFormat="1" ht="29" outlineLevel="1" x14ac:dyDescent="0.25">
      <c r="A166" s="1511">
        <v>7.2</v>
      </c>
      <c r="B166" s="1515" t="s">
        <v>1837</v>
      </c>
      <c r="C166" s="1396" t="s">
        <v>1754</v>
      </c>
      <c r="D166" s="1378" t="s">
        <v>2102</v>
      </c>
      <c r="E166" s="1505">
        <v>0</v>
      </c>
      <c r="F166" s="1509">
        <v>0</v>
      </c>
      <c r="G166" s="1509">
        <v>0</v>
      </c>
      <c r="H166" s="1509">
        <f t="shared" si="10"/>
        <v>0</v>
      </c>
      <c r="I166" s="1509">
        <v>0</v>
      </c>
      <c r="J166" s="1509">
        <v>0</v>
      </c>
      <c r="K166" s="1505"/>
      <c r="L166" s="1505"/>
      <c r="M166" s="1505">
        <f t="shared" si="11"/>
        <v>0</v>
      </c>
      <c r="N166" s="1505">
        <f t="shared" si="12"/>
        <v>0</v>
      </c>
    </row>
    <row r="167" spans="1:14" customFormat="1" outlineLevel="1" x14ac:dyDescent="0.25">
      <c r="A167" s="1511">
        <v>0</v>
      </c>
      <c r="B167" s="1515" t="s">
        <v>413</v>
      </c>
      <c r="C167" s="1396" t="s">
        <v>1754</v>
      </c>
      <c r="D167" s="1378" t="s">
        <v>2102</v>
      </c>
      <c r="E167" s="1505">
        <v>0</v>
      </c>
      <c r="F167" s="1509">
        <v>0</v>
      </c>
      <c r="G167" s="1509">
        <v>0</v>
      </c>
      <c r="H167" s="1509">
        <f t="shared" si="10"/>
        <v>0</v>
      </c>
      <c r="I167" s="1509">
        <v>0</v>
      </c>
      <c r="J167" s="1509">
        <v>0</v>
      </c>
      <c r="K167" s="1505"/>
      <c r="L167" s="1505"/>
      <c r="M167" s="1505">
        <f t="shared" si="11"/>
        <v>0</v>
      </c>
      <c r="N167" s="1505">
        <f t="shared" si="12"/>
        <v>0</v>
      </c>
    </row>
    <row r="168" spans="1:14" customFormat="1" outlineLevel="1" x14ac:dyDescent="0.25">
      <c r="A168" s="1506">
        <v>8</v>
      </c>
      <c r="B168" s="1507" t="s">
        <v>1838</v>
      </c>
      <c r="C168" s="1506" t="s">
        <v>1754</v>
      </c>
      <c r="D168" s="1507" t="s">
        <v>2102</v>
      </c>
      <c r="E168" s="1506">
        <v>0</v>
      </c>
      <c r="F168" s="1509">
        <v>0</v>
      </c>
      <c r="G168" s="1509">
        <v>0</v>
      </c>
      <c r="H168" s="1509">
        <f t="shared" si="10"/>
        <v>0</v>
      </c>
      <c r="I168" s="1509">
        <v>0</v>
      </c>
      <c r="J168" s="1509">
        <v>0</v>
      </c>
      <c r="K168" s="1506"/>
      <c r="L168" s="1507"/>
      <c r="M168" s="1506">
        <f t="shared" si="11"/>
        <v>0</v>
      </c>
      <c r="N168" s="1507">
        <f t="shared" si="12"/>
        <v>0</v>
      </c>
    </row>
    <row r="169" spans="1:14" customFormat="1" ht="29" outlineLevel="1" x14ac:dyDescent="0.25">
      <c r="A169" s="1511">
        <v>8.1</v>
      </c>
      <c r="B169" s="1515" t="s">
        <v>1839</v>
      </c>
      <c r="C169" s="1396" t="s">
        <v>1754</v>
      </c>
      <c r="D169" s="1378" t="s">
        <v>2102</v>
      </c>
      <c r="E169" s="1505">
        <v>0</v>
      </c>
      <c r="F169" s="1509">
        <v>0</v>
      </c>
      <c r="G169" s="1509">
        <v>0</v>
      </c>
      <c r="H169" s="1509">
        <f t="shared" si="10"/>
        <v>0</v>
      </c>
      <c r="I169" s="1509">
        <v>0</v>
      </c>
      <c r="J169" s="1509">
        <v>0</v>
      </c>
      <c r="K169" s="1505"/>
      <c r="L169" s="1505"/>
      <c r="M169" s="1505">
        <f t="shared" si="11"/>
        <v>0</v>
      </c>
      <c r="N169" s="1505">
        <f t="shared" si="12"/>
        <v>0</v>
      </c>
    </row>
    <row r="170" spans="1:14" customFormat="1" ht="43.5" outlineLevel="1" x14ac:dyDescent="0.25">
      <c r="A170" s="1511">
        <v>8.1999999999999993</v>
      </c>
      <c r="B170" s="1515" t="s">
        <v>1841</v>
      </c>
      <c r="C170" s="1396" t="s">
        <v>1754</v>
      </c>
      <c r="D170" s="1378" t="s">
        <v>2102</v>
      </c>
      <c r="E170" s="1505">
        <v>0</v>
      </c>
      <c r="F170" s="1509">
        <v>0</v>
      </c>
      <c r="G170" s="1509">
        <v>0</v>
      </c>
      <c r="H170" s="1509">
        <f t="shared" si="10"/>
        <v>0</v>
      </c>
      <c r="I170" s="1509">
        <v>0</v>
      </c>
      <c r="J170" s="1509">
        <v>0</v>
      </c>
      <c r="K170" s="1505"/>
      <c r="L170" s="1505"/>
      <c r="M170" s="1505">
        <f t="shared" si="11"/>
        <v>0</v>
      </c>
      <c r="N170" s="1505">
        <f t="shared" si="12"/>
        <v>0</v>
      </c>
    </row>
    <row r="171" spans="1:14" customFormat="1" ht="29" outlineLevel="1" x14ac:dyDescent="0.25">
      <c r="A171" s="1511">
        <v>8.3000000000000007</v>
      </c>
      <c r="B171" s="1515" t="s">
        <v>1842</v>
      </c>
      <c r="C171" s="1396" t="s">
        <v>1754</v>
      </c>
      <c r="D171" s="1378" t="s">
        <v>2102</v>
      </c>
      <c r="E171" s="1505">
        <v>0</v>
      </c>
      <c r="F171" s="1509">
        <v>0</v>
      </c>
      <c r="G171" s="1509">
        <v>0</v>
      </c>
      <c r="H171" s="1509">
        <f t="shared" si="10"/>
        <v>0</v>
      </c>
      <c r="I171" s="1509">
        <v>0</v>
      </c>
      <c r="J171" s="1509">
        <v>0</v>
      </c>
      <c r="K171" s="1505"/>
      <c r="L171" s="1505"/>
      <c r="M171" s="1505">
        <f t="shared" si="11"/>
        <v>0</v>
      </c>
      <c r="N171" s="1505">
        <f t="shared" si="12"/>
        <v>0</v>
      </c>
    </row>
    <row r="172" spans="1:14" customFormat="1" outlineLevel="1" x14ac:dyDescent="0.25">
      <c r="A172" s="1511">
        <v>0</v>
      </c>
      <c r="B172" s="1515" t="s">
        <v>413</v>
      </c>
      <c r="C172" s="1396" t="s">
        <v>1754</v>
      </c>
      <c r="D172" s="1378" t="s">
        <v>2102</v>
      </c>
      <c r="E172" s="1505">
        <v>0</v>
      </c>
      <c r="F172" s="1509">
        <v>0</v>
      </c>
      <c r="G172" s="1509">
        <v>0</v>
      </c>
      <c r="H172" s="1509">
        <f t="shared" si="10"/>
        <v>0</v>
      </c>
      <c r="I172" s="1509">
        <v>0</v>
      </c>
      <c r="J172" s="1509">
        <v>0</v>
      </c>
      <c r="K172" s="1505"/>
      <c r="L172" s="1505"/>
      <c r="M172" s="1505">
        <f t="shared" si="11"/>
        <v>0</v>
      </c>
      <c r="N172" s="1505">
        <f t="shared" si="12"/>
        <v>0</v>
      </c>
    </row>
    <row r="173" spans="1:14" customFormat="1" ht="43.5" outlineLevel="1" x14ac:dyDescent="0.25">
      <c r="A173" s="1506">
        <v>9</v>
      </c>
      <c r="B173" s="1507" t="s">
        <v>1843</v>
      </c>
      <c r="C173" s="1506" t="s">
        <v>1754</v>
      </c>
      <c r="D173" s="1507" t="s">
        <v>2102</v>
      </c>
      <c r="E173" s="1506">
        <v>0</v>
      </c>
      <c r="F173" s="1509">
        <v>0</v>
      </c>
      <c r="G173" s="1509">
        <v>0</v>
      </c>
      <c r="H173" s="1509">
        <f t="shared" si="10"/>
        <v>0</v>
      </c>
      <c r="I173" s="1509">
        <v>0</v>
      </c>
      <c r="J173" s="1509">
        <v>0</v>
      </c>
      <c r="K173" s="1506"/>
      <c r="L173" s="1507"/>
      <c r="M173" s="1506">
        <f t="shared" si="11"/>
        <v>0</v>
      </c>
      <c r="N173" s="1507">
        <f t="shared" si="12"/>
        <v>0</v>
      </c>
    </row>
    <row r="174" spans="1:14" customFormat="1" ht="29" outlineLevel="1" x14ac:dyDescent="0.25">
      <c r="A174" s="1511">
        <v>9.1</v>
      </c>
      <c r="B174" s="1515" t="s">
        <v>1844</v>
      </c>
      <c r="C174" s="1396">
        <v>0</v>
      </c>
      <c r="D174" s="1378" t="s">
        <v>2102</v>
      </c>
      <c r="E174" s="1505">
        <v>0</v>
      </c>
      <c r="F174" s="1509">
        <v>0</v>
      </c>
      <c r="G174" s="1509">
        <v>0</v>
      </c>
      <c r="H174" s="1509">
        <f t="shared" si="10"/>
        <v>0</v>
      </c>
      <c r="I174" s="1509">
        <v>0</v>
      </c>
      <c r="J174" s="1509">
        <v>0</v>
      </c>
      <c r="K174" s="1505"/>
      <c r="L174" s="1505"/>
      <c r="M174" s="1505">
        <f t="shared" si="11"/>
        <v>0</v>
      </c>
      <c r="N174" s="1505">
        <f t="shared" si="12"/>
        <v>0</v>
      </c>
    </row>
    <row r="175" spans="1:14" customFormat="1" outlineLevel="1" x14ac:dyDescent="0.25">
      <c r="A175" s="1511">
        <v>9.1999999999999993</v>
      </c>
      <c r="B175" s="1515" t="s">
        <v>1845</v>
      </c>
      <c r="C175" s="1396" t="s">
        <v>1754</v>
      </c>
      <c r="D175" s="1378" t="s">
        <v>2102</v>
      </c>
      <c r="E175" s="1505">
        <v>0</v>
      </c>
      <c r="F175" s="1509">
        <v>0</v>
      </c>
      <c r="G175" s="1509">
        <v>0</v>
      </c>
      <c r="H175" s="1509">
        <f t="shared" si="10"/>
        <v>0</v>
      </c>
      <c r="I175" s="1509">
        <v>0</v>
      </c>
      <c r="J175" s="1509">
        <v>0</v>
      </c>
      <c r="K175" s="1505"/>
      <c r="L175" s="1505"/>
      <c r="M175" s="1505">
        <f t="shared" si="11"/>
        <v>0</v>
      </c>
      <c r="N175" s="1505">
        <f t="shared" si="12"/>
        <v>0</v>
      </c>
    </row>
    <row r="176" spans="1:14" customFormat="1" outlineLevel="1" x14ac:dyDescent="0.25">
      <c r="A176" s="1511">
        <v>0</v>
      </c>
      <c r="B176" s="1515" t="s">
        <v>413</v>
      </c>
      <c r="C176" s="1396" t="s">
        <v>1754</v>
      </c>
      <c r="D176" s="1378" t="s">
        <v>2102</v>
      </c>
      <c r="E176" s="1505">
        <v>0</v>
      </c>
      <c r="F176" s="1509">
        <v>0</v>
      </c>
      <c r="G176" s="1509">
        <v>0</v>
      </c>
      <c r="H176" s="1509">
        <f t="shared" si="10"/>
        <v>0</v>
      </c>
      <c r="I176" s="1509">
        <v>0</v>
      </c>
      <c r="J176" s="1509">
        <v>0</v>
      </c>
      <c r="K176" s="1505"/>
      <c r="L176" s="1505"/>
      <c r="M176" s="1505">
        <f t="shared" si="11"/>
        <v>0</v>
      </c>
      <c r="N176" s="1505">
        <f t="shared" si="12"/>
        <v>0</v>
      </c>
    </row>
    <row r="177" spans="1:14" customFormat="1" ht="29" outlineLevel="1" x14ac:dyDescent="0.25">
      <c r="A177" s="1506">
        <v>10</v>
      </c>
      <c r="B177" s="1507" t="s">
        <v>1846</v>
      </c>
      <c r="C177" s="1506" t="s">
        <v>1754</v>
      </c>
      <c r="D177" s="1507" t="s">
        <v>2102</v>
      </c>
      <c r="E177" s="1506">
        <v>0</v>
      </c>
      <c r="F177" s="1509">
        <v>0</v>
      </c>
      <c r="G177" s="1509">
        <v>0</v>
      </c>
      <c r="H177" s="1509">
        <f t="shared" si="10"/>
        <v>0</v>
      </c>
      <c r="I177" s="1509">
        <v>0</v>
      </c>
      <c r="J177" s="1509">
        <v>0</v>
      </c>
      <c r="K177" s="1506"/>
      <c r="L177" s="1507"/>
      <c r="M177" s="1506">
        <f t="shared" si="11"/>
        <v>0</v>
      </c>
      <c r="N177" s="1507">
        <f t="shared" si="12"/>
        <v>0</v>
      </c>
    </row>
    <row r="178" spans="1:14" customFormat="1" ht="29" outlineLevel="1" x14ac:dyDescent="0.25">
      <c r="A178" s="1511">
        <v>10.1</v>
      </c>
      <c r="B178" s="1515" t="s">
        <v>1847</v>
      </c>
      <c r="C178" s="1396" t="s">
        <v>1754</v>
      </c>
      <c r="D178" s="1378" t="s">
        <v>2102</v>
      </c>
      <c r="E178" s="1505">
        <v>0</v>
      </c>
      <c r="F178" s="1509">
        <v>0</v>
      </c>
      <c r="G178" s="1509">
        <v>0</v>
      </c>
      <c r="H178" s="1509">
        <f t="shared" si="10"/>
        <v>0</v>
      </c>
      <c r="I178" s="1509">
        <v>0</v>
      </c>
      <c r="J178" s="1509">
        <v>0</v>
      </c>
      <c r="K178" s="1505"/>
      <c r="L178" s="1505"/>
      <c r="M178" s="1505">
        <f t="shared" si="11"/>
        <v>0</v>
      </c>
      <c r="N178" s="1505">
        <f t="shared" si="12"/>
        <v>0</v>
      </c>
    </row>
    <row r="179" spans="1:14" customFormat="1" outlineLevel="1" x14ac:dyDescent="0.25">
      <c r="A179" s="1511">
        <v>0</v>
      </c>
      <c r="B179" s="1515" t="s">
        <v>413</v>
      </c>
      <c r="C179" s="1396" t="s">
        <v>1754</v>
      </c>
      <c r="D179" s="1378" t="s">
        <v>2102</v>
      </c>
      <c r="E179" s="1505">
        <v>0</v>
      </c>
      <c r="F179" s="1509">
        <v>0</v>
      </c>
      <c r="G179" s="1509">
        <v>0</v>
      </c>
      <c r="H179" s="1509">
        <f t="shared" si="10"/>
        <v>0</v>
      </c>
      <c r="I179" s="1509">
        <v>0</v>
      </c>
      <c r="J179" s="1509">
        <v>0</v>
      </c>
      <c r="K179" s="1505"/>
      <c r="L179" s="1505"/>
      <c r="M179" s="1505">
        <f t="shared" si="11"/>
        <v>0</v>
      </c>
      <c r="N179" s="1505">
        <f t="shared" si="12"/>
        <v>0</v>
      </c>
    </row>
    <row r="180" spans="1:14" customFormat="1" outlineLevel="1" x14ac:dyDescent="0.25">
      <c r="A180" s="1506">
        <v>11</v>
      </c>
      <c r="B180" s="1507" t="s">
        <v>1848</v>
      </c>
      <c r="C180" s="1506" t="s">
        <v>1754</v>
      </c>
      <c r="D180" s="1507" t="s">
        <v>2102</v>
      </c>
      <c r="E180" s="1506">
        <v>0</v>
      </c>
      <c r="F180" s="1509">
        <v>0</v>
      </c>
      <c r="G180" s="1509">
        <v>0</v>
      </c>
      <c r="H180" s="1509">
        <f t="shared" si="10"/>
        <v>0</v>
      </c>
      <c r="I180" s="1509">
        <v>0</v>
      </c>
      <c r="J180" s="1509">
        <v>0</v>
      </c>
      <c r="K180" s="1506"/>
      <c r="L180" s="1507"/>
      <c r="M180" s="1506">
        <f t="shared" si="11"/>
        <v>0</v>
      </c>
      <c r="N180" s="1507">
        <f t="shared" si="12"/>
        <v>0</v>
      </c>
    </row>
    <row r="181" spans="1:14" customFormat="1" outlineLevel="1" x14ac:dyDescent="0.25">
      <c r="A181" s="1511">
        <v>11.1</v>
      </c>
      <c r="B181" s="1515" t="s">
        <v>1849</v>
      </c>
      <c r="C181" s="1396" t="s">
        <v>1754</v>
      </c>
      <c r="D181" s="1378" t="s">
        <v>2102</v>
      </c>
      <c r="E181" s="1505">
        <v>0</v>
      </c>
      <c r="F181" s="1509">
        <v>0</v>
      </c>
      <c r="G181" s="1509">
        <v>0</v>
      </c>
      <c r="H181" s="1509">
        <f t="shared" si="10"/>
        <v>0</v>
      </c>
      <c r="I181" s="1509">
        <v>0</v>
      </c>
      <c r="J181" s="1509">
        <v>0</v>
      </c>
      <c r="K181" s="1505"/>
      <c r="L181" s="1505"/>
      <c r="M181" s="1505">
        <f t="shared" si="11"/>
        <v>0</v>
      </c>
      <c r="N181" s="1505">
        <f t="shared" si="12"/>
        <v>0</v>
      </c>
    </row>
    <row r="182" spans="1:14" customFormat="1" outlineLevel="1" x14ac:dyDescent="0.25">
      <c r="A182" s="1511">
        <v>0</v>
      </c>
      <c r="B182" s="1515" t="s">
        <v>413</v>
      </c>
      <c r="C182" s="1396" t="s">
        <v>1754</v>
      </c>
      <c r="D182" s="1378" t="s">
        <v>2102</v>
      </c>
      <c r="E182" s="1505">
        <v>0</v>
      </c>
      <c r="F182" s="1509">
        <v>0</v>
      </c>
      <c r="G182" s="1509">
        <v>0</v>
      </c>
      <c r="H182" s="1509">
        <f t="shared" si="10"/>
        <v>0</v>
      </c>
      <c r="I182" s="1509">
        <v>0</v>
      </c>
      <c r="J182" s="1509">
        <v>0</v>
      </c>
      <c r="K182" s="1505"/>
      <c r="L182" s="1505"/>
      <c r="M182" s="1505">
        <f t="shared" si="11"/>
        <v>0</v>
      </c>
      <c r="N182" s="1505">
        <f t="shared" si="12"/>
        <v>0</v>
      </c>
    </row>
    <row r="183" spans="1:14" customFormat="1" ht="29" outlineLevel="1" x14ac:dyDescent="0.25">
      <c r="A183" s="1506">
        <v>12</v>
      </c>
      <c r="B183" s="1507" t="s">
        <v>1850</v>
      </c>
      <c r="C183" s="1506" t="s">
        <v>1754</v>
      </c>
      <c r="D183" s="1507" t="s">
        <v>2102</v>
      </c>
      <c r="E183" s="1506">
        <v>0</v>
      </c>
      <c r="F183" s="1509">
        <v>0</v>
      </c>
      <c r="G183" s="1509">
        <v>0</v>
      </c>
      <c r="H183" s="1509">
        <f t="shared" si="10"/>
        <v>0</v>
      </c>
      <c r="I183" s="1509">
        <v>0</v>
      </c>
      <c r="J183" s="1509">
        <v>0</v>
      </c>
      <c r="K183" s="1506"/>
      <c r="L183" s="1507"/>
      <c r="M183" s="1506">
        <f t="shared" si="11"/>
        <v>0</v>
      </c>
      <c r="N183" s="1507">
        <f t="shared" si="12"/>
        <v>0</v>
      </c>
    </row>
    <row r="184" spans="1:14" customFormat="1" outlineLevel="1" x14ac:dyDescent="0.25">
      <c r="A184" s="1511">
        <v>12.1</v>
      </c>
      <c r="B184" s="1515" t="s">
        <v>1851</v>
      </c>
      <c r="C184" s="1396" t="s">
        <v>1754</v>
      </c>
      <c r="D184" s="1378" t="s">
        <v>2102</v>
      </c>
      <c r="E184" s="1505">
        <v>0</v>
      </c>
      <c r="F184" s="1509">
        <v>0</v>
      </c>
      <c r="G184" s="1509">
        <v>0</v>
      </c>
      <c r="H184" s="1509">
        <f t="shared" si="10"/>
        <v>0</v>
      </c>
      <c r="I184" s="1509">
        <v>0</v>
      </c>
      <c r="J184" s="1509">
        <v>0</v>
      </c>
      <c r="K184" s="1505"/>
      <c r="L184" s="1505"/>
      <c r="M184" s="1505">
        <f t="shared" si="11"/>
        <v>0</v>
      </c>
      <c r="N184" s="1505">
        <f t="shared" si="12"/>
        <v>0</v>
      </c>
    </row>
    <row r="185" spans="1:14" customFormat="1" outlineLevel="1" x14ac:dyDescent="0.25">
      <c r="A185" s="1511">
        <v>12.2</v>
      </c>
      <c r="B185" s="1515" t="s">
        <v>1852</v>
      </c>
      <c r="C185" s="1396" t="s">
        <v>1754</v>
      </c>
      <c r="D185" s="1378" t="s">
        <v>2102</v>
      </c>
      <c r="E185" s="1505">
        <v>0</v>
      </c>
      <c r="F185" s="1509">
        <v>0</v>
      </c>
      <c r="G185" s="1509">
        <v>0</v>
      </c>
      <c r="H185" s="1509">
        <f t="shared" si="10"/>
        <v>0</v>
      </c>
      <c r="I185" s="1509">
        <v>0</v>
      </c>
      <c r="J185" s="1509">
        <v>0</v>
      </c>
      <c r="K185" s="1505"/>
      <c r="L185" s="1505"/>
      <c r="M185" s="1505">
        <f t="shared" si="11"/>
        <v>0</v>
      </c>
      <c r="N185" s="1505">
        <f t="shared" si="12"/>
        <v>0</v>
      </c>
    </row>
    <row r="186" spans="1:14" customFormat="1" outlineLevel="1" x14ac:dyDescent="0.25">
      <c r="A186" s="1511">
        <v>0</v>
      </c>
      <c r="B186" s="1515" t="s">
        <v>413</v>
      </c>
      <c r="C186" s="1396" t="s">
        <v>1754</v>
      </c>
      <c r="D186" s="1378" t="s">
        <v>2102</v>
      </c>
      <c r="E186" s="1505">
        <v>0</v>
      </c>
      <c r="F186" s="1509">
        <v>0</v>
      </c>
      <c r="G186" s="1509">
        <v>0</v>
      </c>
      <c r="H186" s="1509">
        <f t="shared" si="10"/>
        <v>0</v>
      </c>
      <c r="I186" s="1509">
        <v>0</v>
      </c>
      <c r="J186" s="1509">
        <v>0</v>
      </c>
      <c r="K186" s="1505"/>
      <c r="L186" s="1505"/>
      <c r="M186" s="1505">
        <f t="shared" si="11"/>
        <v>0</v>
      </c>
      <c r="N186" s="1505">
        <f t="shared" si="12"/>
        <v>0</v>
      </c>
    </row>
    <row r="187" spans="1:14" customFormat="1" outlineLevel="1" x14ac:dyDescent="0.25">
      <c r="A187" s="1506">
        <v>13</v>
      </c>
      <c r="B187" s="1507" t="s">
        <v>1853</v>
      </c>
      <c r="C187" s="1506" t="s">
        <v>1754</v>
      </c>
      <c r="D187" s="1507" t="s">
        <v>2102</v>
      </c>
      <c r="E187" s="1506">
        <v>0</v>
      </c>
      <c r="F187" s="1509">
        <v>0</v>
      </c>
      <c r="G187" s="1509">
        <v>0</v>
      </c>
      <c r="H187" s="1509">
        <f t="shared" si="10"/>
        <v>0</v>
      </c>
      <c r="I187" s="1509">
        <v>0</v>
      </c>
      <c r="J187" s="1509">
        <v>0</v>
      </c>
      <c r="K187" s="1506"/>
      <c r="L187" s="1507"/>
      <c r="M187" s="1506">
        <f t="shared" si="11"/>
        <v>0</v>
      </c>
      <c r="N187" s="1507">
        <f t="shared" si="12"/>
        <v>0</v>
      </c>
    </row>
    <row r="188" spans="1:14" customFormat="1" ht="29" outlineLevel="1" x14ac:dyDescent="0.25">
      <c r="A188" s="1511">
        <v>13.1</v>
      </c>
      <c r="B188" s="1515" t="s">
        <v>1854</v>
      </c>
      <c r="C188" s="1396" t="s">
        <v>1754</v>
      </c>
      <c r="D188" s="1378" t="s">
        <v>2102</v>
      </c>
      <c r="E188" s="1505">
        <v>0</v>
      </c>
      <c r="F188" s="1509">
        <v>0</v>
      </c>
      <c r="G188" s="1509">
        <v>0</v>
      </c>
      <c r="H188" s="1509">
        <f t="shared" si="10"/>
        <v>0</v>
      </c>
      <c r="I188" s="1509">
        <v>0</v>
      </c>
      <c r="J188" s="1509">
        <v>0</v>
      </c>
      <c r="K188" s="1505"/>
      <c r="L188" s="1505"/>
      <c r="M188" s="1505">
        <f t="shared" si="11"/>
        <v>0</v>
      </c>
      <c r="N188" s="1505">
        <f t="shared" si="12"/>
        <v>0</v>
      </c>
    </row>
    <row r="189" spans="1:14" customFormat="1" outlineLevel="1" x14ac:dyDescent="0.25">
      <c r="A189" s="1511">
        <v>0</v>
      </c>
      <c r="B189" s="1515" t="s">
        <v>413</v>
      </c>
      <c r="C189" s="1396" t="s">
        <v>1754</v>
      </c>
      <c r="D189" s="1378" t="s">
        <v>2102</v>
      </c>
      <c r="E189" s="1505">
        <v>0</v>
      </c>
      <c r="F189" s="1509">
        <v>0</v>
      </c>
      <c r="G189" s="1509">
        <v>0</v>
      </c>
      <c r="H189" s="1509">
        <f t="shared" si="10"/>
        <v>0</v>
      </c>
      <c r="I189" s="1509">
        <v>0</v>
      </c>
      <c r="J189" s="1509">
        <v>0</v>
      </c>
      <c r="K189" s="1505"/>
      <c r="L189" s="1505"/>
      <c r="M189" s="1505">
        <f t="shared" si="11"/>
        <v>0</v>
      </c>
      <c r="N189" s="1505">
        <f t="shared" si="12"/>
        <v>0</v>
      </c>
    </row>
    <row r="190" spans="1:14" customFormat="1" ht="72.5" outlineLevel="1" x14ac:dyDescent="0.25">
      <c r="A190" s="1506">
        <v>14</v>
      </c>
      <c r="B190" s="1507" t="s">
        <v>1855</v>
      </c>
      <c r="C190" s="1506" t="s">
        <v>1754</v>
      </c>
      <c r="D190" s="1507" t="s">
        <v>2102</v>
      </c>
      <c r="E190" s="1506">
        <v>0</v>
      </c>
      <c r="F190" s="1509">
        <v>0</v>
      </c>
      <c r="G190" s="1509">
        <v>0</v>
      </c>
      <c r="H190" s="1509">
        <f t="shared" si="10"/>
        <v>0</v>
      </c>
      <c r="I190" s="1509">
        <v>0</v>
      </c>
      <c r="J190" s="1509">
        <v>0</v>
      </c>
      <c r="K190" s="1506"/>
      <c r="L190" s="1507"/>
      <c r="M190" s="1506">
        <f t="shared" si="11"/>
        <v>0</v>
      </c>
      <c r="N190" s="1507">
        <f t="shared" si="12"/>
        <v>0</v>
      </c>
    </row>
    <row r="191" spans="1:14" customFormat="1" outlineLevel="1" x14ac:dyDescent="0.25">
      <c r="A191" s="1511">
        <v>14.1</v>
      </c>
      <c r="B191" s="1515" t="s">
        <v>1856</v>
      </c>
      <c r="C191" s="1396" t="s">
        <v>1754</v>
      </c>
      <c r="D191" s="1378" t="s">
        <v>2102</v>
      </c>
      <c r="E191" s="1505">
        <v>0</v>
      </c>
      <c r="F191" s="1509">
        <v>0</v>
      </c>
      <c r="G191" s="1509">
        <v>0</v>
      </c>
      <c r="H191" s="1509">
        <f t="shared" si="10"/>
        <v>0</v>
      </c>
      <c r="I191" s="1509">
        <v>0</v>
      </c>
      <c r="J191" s="1509">
        <v>0</v>
      </c>
      <c r="K191" s="1505"/>
      <c r="L191" s="1505"/>
      <c r="M191" s="1505">
        <f t="shared" si="11"/>
        <v>0</v>
      </c>
      <c r="N191" s="1505">
        <f t="shared" si="12"/>
        <v>0</v>
      </c>
    </row>
    <row r="192" spans="1:14" customFormat="1" ht="29" outlineLevel="1" x14ac:dyDescent="0.25">
      <c r="A192" s="1511">
        <v>14.2</v>
      </c>
      <c r="B192" s="1515" t="s">
        <v>1857</v>
      </c>
      <c r="C192" s="1396" t="s">
        <v>1754</v>
      </c>
      <c r="D192" s="1378" t="s">
        <v>2102</v>
      </c>
      <c r="E192" s="1505">
        <v>0</v>
      </c>
      <c r="F192" s="1509">
        <v>0</v>
      </c>
      <c r="G192" s="1509">
        <v>0</v>
      </c>
      <c r="H192" s="1509">
        <f t="shared" si="10"/>
        <v>0</v>
      </c>
      <c r="I192" s="1509">
        <v>0</v>
      </c>
      <c r="J192" s="1509">
        <v>0</v>
      </c>
      <c r="K192" s="1505"/>
      <c r="L192" s="1505"/>
      <c r="M192" s="1505">
        <f t="shared" si="11"/>
        <v>0</v>
      </c>
      <c r="N192" s="1505">
        <f t="shared" si="12"/>
        <v>0</v>
      </c>
    </row>
    <row r="193" spans="1:14" customFormat="1" ht="29" outlineLevel="1" x14ac:dyDescent="0.25">
      <c r="A193" s="1511">
        <v>14.3</v>
      </c>
      <c r="B193" s="1515" t="s">
        <v>1858</v>
      </c>
      <c r="C193" s="1396" t="s">
        <v>1754</v>
      </c>
      <c r="D193" s="1378" t="s">
        <v>2102</v>
      </c>
      <c r="E193" s="1505">
        <v>0</v>
      </c>
      <c r="F193" s="1509">
        <v>0</v>
      </c>
      <c r="G193" s="1509">
        <v>0</v>
      </c>
      <c r="H193" s="1509">
        <f t="shared" si="10"/>
        <v>0</v>
      </c>
      <c r="I193" s="1509">
        <v>0</v>
      </c>
      <c r="J193" s="1509">
        <v>0</v>
      </c>
      <c r="K193" s="1505"/>
      <c r="L193" s="1505"/>
      <c r="M193" s="1505">
        <f t="shared" si="11"/>
        <v>0</v>
      </c>
      <c r="N193" s="1505">
        <f t="shared" si="12"/>
        <v>0</v>
      </c>
    </row>
    <row r="194" spans="1:14" customFormat="1" outlineLevel="1" x14ac:dyDescent="0.25">
      <c r="A194" s="1511">
        <v>0</v>
      </c>
      <c r="B194" s="1515" t="s">
        <v>413</v>
      </c>
      <c r="C194" s="1396" t="s">
        <v>1754</v>
      </c>
      <c r="D194" s="1378" t="s">
        <v>2102</v>
      </c>
      <c r="E194" s="1505">
        <v>0</v>
      </c>
      <c r="F194" s="1509">
        <v>0</v>
      </c>
      <c r="G194" s="1509">
        <v>0</v>
      </c>
      <c r="H194" s="1509">
        <f t="shared" si="10"/>
        <v>0</v>
      </c>
      <c r="I194" s="1509">
        <v>0</v>
      </c>
      <c r="J194" s="1509">
        <v>0</v>
      </c>
      <c r="K194" s="1505"/>
      <c r="L194" s="1505"/>
      <c r="M194" s="1505">
        <f t="shared" si="11"/>
        <v>0</v>
      </c>
      <c r="N194" s="1505">
        <f t="shared" si="12"/>
        <v>0</v>
      </c>
    </row>
    <row r="195" spans="1:14" customFormat="1" ht="29" outlineLevel="1" x14ac:dyDescent="0.25">
      <c r="A195" s="1506">
        <v>15</v>
      </c>
      <c r="B195" s="1507" t="s">
        <v>1859</v>
      </c>
      <c r="C195" s="1506" t="s">
        <v>1754</v>
      </c>
      <c r="D195" s="1507" t="s">
        <v>2102</v>
      </c>
      <c r="E195" s="1506">
        <v>0</v>
      </c>
      <c r="F195" s="1509">
        <v>0</v>
      </c>
      <c r="G195" s="1509">
        <v>0</v>
      </c>
      <c r="H195" s="1509">
        <f t="shared" si="10"/>
        <v>0</v>
      </c>
      <c r="I195" s="1509">
        <v>0</v>
      </c>
      <c r="J195" s="1509">
        <v>0</v>
      </c>
      <c r="K195" s="1506"/>
      <c r="L195" s="1507"/>
      <c r="M195" s="1506">
        <f t="shared" si="11"/>
        <v>0</v>
      </c>
      <c r="N195" s="1507">
        <f t="shared" si="12"/>
        <v>0</v>
      </c>
    </row>
    <row r="196" spans="1:14" customFormat="1" ht="43.5" outlineLevel="1" x14ac:dyDescent="0.25">
      <c r="A196" s="1511">
        <v>15.1</v>
      </c>
      <c r="B196" s="1515" t="s">
        <v>1860</v>
      </c>
      <c r="C196" s="1396" t="s">
        <v>1754</v>
      </c>
      <c r="D196" s="1378" t="s">
        <v>2102</v>
      </c>
      <c r="E196" s="1505">
        <v>0</v>
      </c>
      <c r="F196" s="1509">
        <v>0</v>
      </c>
      <c r="G196" s="1509">
        <v>0</v>
      </c>
      <c r="H196" s="1509">
        <f t="shared" si="10"/>
        <v>0</v>
      </c>
      <c r="I196" s="1509">
        <v>0</v>
      </c>
      <c r="J196" s="1509">
        <v>0</v>
      </c>
      <c r="K196" s="1505"/>
      <c r="L196" s="1505"/>
      <c r="M196" s="1505">
        <f t="shared" si="11"/>
        <v>0</v>
      </c>
      <c r="N196" s="1505">
        <f t="shared" si="12"/>
        <v>0</v>
      </c>
    </row>
    <row r="197" spans="1:14" customFormat="1" ht="43.5" outlineLevel="1" x14ac:dyDescent="0.25">
      <c r="A197" s="1511">
        <v>15.2</v>
      </c>
      <c r="B197" s="1515" t="s">
        <v>1862</v>
      </c>
      <c r="C197" s="1396" t="s">
        <v>1754</v>
      </c>
      <c r="D197" s="1378" t="s">
        <v>2102</v>
      </c>
      <c r="E197" s="1505">
        <v>0</v>
      </c>
      <c r="F197" s="1509">
        <v>0</v>
      </c>
      <c r="G197" s="1509">
        <v>0</v>
      </c>
      <c r="H197" s="1509">
        <f t="shared" si="10"/>
        <v>0</v>
      </c>
      <c r="I197" s="1509">
        <v>0</v>
      </c>
      <c r="J197" s="1509">
        <v>0</v>
      </c>
      <c r="K197" s="1505"/>
      <c r="L197" s="1505"/>
      <c r="M197" s="1505">
        <f t="shared" si="11"/>
        <v>0</v>
      </c>
      <c r="N197" s="1505">
        <f t="shared" si="12"/>
        <v>0</v>
      </c>
    </row>
    <row r="198" spans="1:14" customFormat="1" ht="43.5" outlineLevel="1" x14ac:dyDescent="0.25">
      <c r="A198" s="1511">
        <v>15.3</v>
      </c>
      <c r="B198" s="1515" t="s">
        <v>1863</v>
      </c>
      <c r="C198" s="1396" t="s">
        <v>1754</v>
      </c>
      <c r="D198" s="1378" t="s">
        <v>2102</v>
      </c>
      <c r="E198" s="1505">
        <v>0</v>
      </c>
      <c r="F198" s="1509">
        <v>0</v>
      </c>
      <c r="G198" s="1509">
        <v>0</v>
      </c>
      <c r="H198" s="1509">
        <f t="shared" si="10"/>
        <v>0</v>
      </c>
      <c r="I198" s="1509">
        <v>0</v>
      </c>
      <c r="J198" s="1509">
        <v>0</v>
      </c>
      <c r="K198" s="1505"/>
      <c r="L198" s="1505"/>
      <c r="M198" s="1505">
        <f t="shared" si="11"/>
        <v>0</v>
      </c>
      <c r="N198" s="1505">
        <f t="shared" si="12"/>
        <v>0</v>
      </c>
    </row>
    <row r="199" spans="1:14" customFormat="1" ht="43.5" outlineLevel="1" x14ac:dyDescent="0.25">
      <c r="A199" s="1511">
        <v>15.4</v>
      </c>
      <c r="B199" s="1515" t="s">
        <v>1864</v>
      </c>
      <c r="C199" s="1396" t="s">
        <v>1754</v>
      </c>
      <c r="D199" s="1378" t="s">
        <v>2102</v>
      </c>
      <c r="E199" s="1505">
        <v>0</v>
      </c>
      <c r="F199" s="1509">
        <v>0</v>
      </c>
      <c r="G199" s="1509">
        <v>0</v>
      </c>
      <c r="H199" s="1509">
        <f t="shared" si="10"/>
        <v>0</v>
      </c>
      <c r="I199" s="1509">
        <v>0</v>
      </c>
      <c r="J199" s="1509">
        <v>0</v>
      </c>
      <c r="K199" s="1505"/>
      <c r="L199" s="1505"/>
      <c r="M199" s="1505">
        <f t="shared" si="11"/>
        <v>0</v>
      </c>
      <c r="N199" s="1505">
        <f t="shared" si="12"/>
        <v>0</v>
      </c>
    </row>
    <row r="200" spans="1:14" customFormat="1" ht="29" outlineLevel="1" x14ac:dyDescent="0.25">
      <c r="A200" s="1511">
        <v>15.5</v>
      </c>
      <c r="B200" s="1515" t="s">
        <v>1865</v>
      </c>
      <c r="C200" s="1396" t="s">
        <v>1754</v>
      </c>
      <c r="D200" s="1378" t="s">
        <v>2102</v>
      </c>
      <c r="E200" s="1505">
        <v>0</v>
      </c>
      <c r="F200" s="1509">
        <v>0</v>
      </c>
      <c r="G200" s="1509">
        <v>0</v>
      </c>
      <c r="H200" s="1509">
        <f t="shared" si="10"/>
        <v>0</v>
      </c>
      <c r="I200" s="1509">
        <v>0</v>
      </c>
      <c r="J200" s="1509">
        <v>0</v>
      </c>
      <c r="K200" s="1505"/>
      <c r="L200" s="1505"/>
      <c r="M200" s="1505">
        <f t="shared" si="11"/>
        <v>0</v>
      </c>
      <c r="N200" s="1505">
        <f t="shared" si="12"/>
        <v>0</v>
      </c>
    </row>
    <row r="201" spans="1:14" customFormat="1" outlineLevel="1" x14ac:dyDescent="0.25">
      <c r="A201" s="1511">
        <v>15.6</v>
      </c>
      <c r="B201" s="1515" t="s">
        <v>1867</v>
      </c>
      <c r="C201" s="1396" t="s">
        <v>1754</v>
      </c>
      <c r="D201" s="1378" t="s">
        <v>2102</v>
      </c>
      <c r="E201" s="1505">
        <v>0</v>
      </c>
      <c r="F201" s="1509">
        <v>0</v>
      </c>
      <c r="G201" s="1509">
        <v>0</v>
      </c>
      <c r="H201" s="1509">
        <f t="shared" si="10"/>
        <v>0</v>
      </c>
      <c r="I201" s="1509">
        <v>0</v>
      </c>
      <c r="J201" s="1509">
        <v>0</v>
      </c>
      <c r="K201" s="1505"/>
      <c r="L201" s="1505"/>
      <c r="M201" s="1505">
        <f t="shared" si="11"/>
        <v>0</v>
      </c>
      <c r="N201" s="1505">
        <f t="shared" si="12"/>
        <v>0</v>
      </c>
    </row>
    <row r="202" spans="1:14" customFormat="1" ht="29" outlineLevel="1" x14ac:dyDescent="0.25">
      <c r="A202" s="1511">
        <v>15.7</v>
      </c>
      <c r="B202" s="1515" t="s">
        <v>1869</v>
      </c>
      <c r="C202" s="1396" t="s">
        <v>1754</v>
      </c>
      <c r="D202" s="1378" t="s">
        <v>2102</v>
      </c>
      <c r="E202" s="1505">
        <v>0</v>
      </c>
      <c r="F202" s="1509">
        <v>0</v>
      </c>
      <c r="G202" s="1509">
        <v>0</v>
      </c>
      <c r="H202" s="1509">
        <f t="shared" si="10"/>
        <v>0</v>
      </c>
      <c r="I202" s="1509">
        <v>0</v>
      </c>
      <c r="J202" s="1509">
        <v>0</v>
      </c>
      <c r="K202" s="1505"/>
      <c r="L202" s="1505"/>
      <c r="M202" s="1505">
        <f t="shared" si="11"/>
        <v>0</v>
      </c>
      <c r="N202" s="1505">
        <f t="shared" si="12"/>
        <v>0</v>
      </c>
    </row>
    <row r="203" spans="1:14" customFormat="1" ht="29" outlineLevel="1" x14ac:dyDescent="0.25">
      <c r="A203" s="1511">
        <v>15.8</v>
      </c>
      <c r="B203" s="1515" t="s">
        <v>1871</v>
      </c>
      <c r="C203" s="1396" t="s">
        <v>1754</v>
      </c>
      <c r="D203" s="1378" t="s">
        <v>2102</v>
      </c>
      <c r="E203" s="1505">
        <v>0</v>
      </c>
      <c r="F203" s="1509">
        <v>0</v>
      </c>
      <c r="G203" s="1509">
        <v>0</v>
      </c>
      <c r="H203" s="1509">
        <f t="shared" ref="H203:H266" si="13">F203-G203</f>
        <v>0</v>
      </c>
      <c r="I203" s="1509">
        <v>0</v>
      </c>
      <c r="J203" s="1509">
        <v>0</v>
      </c>
      <c r="K203" s="1505"/>
      <c r="L203" s="1505"/>
      <c r="M203" s="1505">
        <f t="shared" si="11"/>
        <v>0</v>
      </c>
      <c r="N203" s="1505">
        <f t="shared" si="12"/>
        <v>0</v>
      </c>
    </row>
    <row r="204" spans="1:14" customFormat="1" outlineLevel="1" x14ac:dyDescent="0.25">
      <c r="A204" s="1511">
        <v>0</v>
      </c>
      <c r="B204" s="1515" t="s">
        <v>413</v>
      </c>
      <c r="C204" s="1396" t="s">
        <v>1754</v>
      </c>
      <c r="D204" s="1378" t="s">
        <v>2102</v>
      </c>
      <c r="E204" s="1505">
        <v>0</v>
      </c>
      <c r="F204" s="1509">
        <v>0</v>
      </c>
      <c r="G204" s="1509">
        <v>0</v>
      </c>
      <c r="H204" s="1509">
        <f t="shared" si="13"/>
        <v>0</v>
      </c>
      <c r="I204" s="1509">
        <v>0</v>
      </c>
      <c r="J204" s="1509">
        <v>0</v>
      </c>
      <c r="K204" s="1505"/>
      <c r="L204" s="1505"/>
      <c r="M204" s="1505">
        <f t="shared" si="11"/>
        <v>0</v>
      </c>
      <c r="N204" s="1505">
        <f t="shared" si="12"/>
        <v>0</v>
      </c>
    </row>
    <row r="205" spans="1:14" customFormat="1" ht="29" outlineLevel="1" x14ac:dyDescent="0.25">
      <c r="A205" s="1506">
        <v>16</v>
      </c>
      <c r="B205" s="1507" t="s">
        <v>1873</v>
      </c>
      <c r="C205" s="1506">
        <v>0</v>
      </c>
      <c r="D205" s="1507" t="s">
        <v>2102</v>
      </c>
      <c r="E205" s="1506">
        <v>0</v>
      </c>
      <c r="F205" s="1509">
        <v>0</v>
      </c>
      <c r="G205" s="1509">
        <v>0</v>
      </c>
      <c r="H205" s="1509">
        <f t="shared" si="13"/>
        <v>0</v>
      </c>
      <c r="I205" s="1509">
        <v>0</v>
      </c>
      <c r="J205" s="1509">
        <v>0</v>
      </c>
      <c r="K205" s="1506"/>
      <c r="L205" s="1507"/>
      <c r="M205" s="1506">
        <f t="shared" si="11"/>
        <v>0</v>
      </c>
      <c r="N205" s="1507">
        <f t="shared" si="12"/>
        <v>0</v>
      </c>
    </row>
    <row r="206" spans="1:14" customFormat="1" outlineLevel="1" x14ac:dyDescent="0.25">
      <c r="A206" s="1511">
        <v>16.100000000000001</v>
      </c>
      <c r="B206" s="1515" t="s">
        <v>1874</v>
      </c>
      <c r="C206" s="1396" t="s">
        <v>1754</v>
      </c>
      <c r="D206" s="1378" t="s">
        <v>2102</v>
      </c>
      <c r="E206" s="1505">
        <v>0</v>
      </c>
      <c r="F206" s="1509">
        <v>0</v>
      </c>
      <c r="G206" s="1509">
        <v>0</v>
      </c>
      <c r="H206" s="1509">
        <f t="shared" si="13"/>
        <v>0</v>
      </c>
      <c r="I206" s="1509">
        <v>0</v>
      </c>
      <c r="J206" s="1509">
        <v>0</v>
      </c>
      <c r="K206" s="1505"/>
      <c r="L206" s="1505"/>
      <c r="M206" s="1505">
        <f t="shared" ref="M206:M269" si="14">SUM(J206:L206)</f>
        <v>0</v>
      </c>
      <c r="N206" s="1505">
        <f t="shared" ref="N206:N269" si="15">H206+I206-M206</f>
        <v>0</v>
      </c>
    </row>
    <row r="207" spans="1:14" customFormat="1" outlineLevel="1" x14ac:dyDescent="0.25">
      <c r="A207" s="1511">
        <v>16.2</v>
      </c>
      <c r="B207" s="1515" t="s">
        <v>1876</v>
      </c>
      <c r="C207" s="1396" t="s">
        <v>1754</v>
      </c>
      <c r="D207" s="1378" t="s">
        <v>2102</v>
      </c>
      <c r="E207" s="1505">
        <v>0</v>
      </c>
      <c r="F207" s="1509">
        <v>0</v>
      </c>
      <c r="G207" s="1509">
        <v>0</v>
      </c>
      <c r="H207" s="1509">
        <f t="shared" si="13"/>
        <v>0</v>
      </c>
      <c r="I207" s="1509">
        <v>0</v>
      </c>
      <c r="J207" s="1509">
        <v>0</v>
      </c>
      <c r="K207" s="1505"/>
      <c r="L207" s="1505"/>
      <c r="M207" s="1505">
        <f t="shared" si="14"/>
        <v>0</v>
      </c>
      <c r="N207" s="1505">
        <f t="shared" si="15"/>
        <v>0</v>
      </c>
    </row>
    <row r="208" spans="1:14" customFormat="1" outlineLevel="1" x14ac:dyDescent="0.25">
      <c r="A208" s="1511">
        <v>16.3</v>
      </c>
      <c r="B208" s="1515" t="s">
        <v>1878</v>
      </c>
      <c r="C208" s="1396" t="s">
        <v>1754</v>
      </c>
      <c r="D208" s="1378" t="s">
        <v>2102</v>
      </c>
      <c r="E208" s="1505">
        <v>0</v>
      </c>
      <c r="F208" s="1509">
        <v>0</v>
      </c>
      <c r="G208" s="1509">
        <v>0</v>
      </c>
      <c r="H208" s="1509">
        <f t="shared" si="13"/>
        <v>0</v>
      </c>
      <c r="I208" s="1509">
        <v>0</v>
      </c>
      <c r="J208" s="1509">
        <v>0</v>
      </c>
      <c r="K208" s="1505"/>
      <c r="L208" s="1505"/>
      <c r="M208" s="1505">
        <f t="shared" si="14"/>
        <v>0</v>
      </c>
      <c r="N208" s="1505">
        <f t="shared" si="15"/>
        <v>0</v>
      </c>
    </row>
    <row r="209" spans="1:14" customFormat="1" outlineLevel="1" x14ac:dyDescent="0.25">
      <c r="A209" s="1511">
        <v>16.399999999999999</v>
      </c>
      <c r="B209" s="1515" t="s">
        <v>1880</v>
      </c>
      <c r="C209" s="1396" t="s">
        <v>1754</v>
      </c>
      <c r="D209" s="1378" t="s">
        <v>2102</v>
      </c>
      <c r="E209" s="1505">
        <v>0</v>
      </c>
      <c r="F209" s="1509">
        <v>0</v>
      </c>
      <c r="G209" s="1509">
        <v>0</v>
      </c>
      <c r="H209" s="1509">
        <f t="shared" si="13"/>
        <v>0</v>
      </c>
      <c r="I209" s="1509">
        <v>0</v>
      </c>
      <c r="J209" s="1509">
        <v>0</v>
      </c>
      <c r="K209" s="1505"/>
      <c r="L209" s="1505"/>
      <c r="M209" s="1505">
        <f t="shared" si="14"/>
        <v>0</v>
      </c>
      <c r="N209" s="1505">
        <f t="shared" si="15"/>
        <v>0</v>
      </c>
    </row>
    <row r="210" spans="1:14" customFormat="1" outlineLevel="1" x14ac:dyDescent="0.25">
      <c r="A210" s="1511">
        <v>16.5</v>
      </c>
      <c r="B210" s="1515" t="s">
        <v>1882</v>
      </c>
      <c r="C210" s="1396" t="s">
        <v>1754</v>
      </c>
      <c r="D210" s="1378" t="s">
        <v>2102</v>
      </c>
      <c r="E210" s="1505">
        <v>0</v>
      </c>
      <c r="F210" s="1509">
        <v>0</v>
      </c>
      <c r="G210" s="1509">
        <v>0</v>
      </c>
      <c r="H210" s="1509">
        <f t="shared" si="13"/>
        <v>0</v>
      </c>
      <c r="I210" s="1509">
        <v>0</v>
      </c>
      <c r="J210" s="1509">
        <v>0</v>
      </c>
      <c r="K210" s="1505"/>
      <c r="L210" s="1505"/>
      <c r="M210" s="1505">
        <f t="shared" si="14"/>
        <v>0</v>
      </c>
      <c r="N210" s="1505">
        <f t="shared" si="15"/>
        <v>0</v>
      </c>
    </row>
    <row r="211" spans="1:14" customFormat="1" ht="29" outlineLevel="1" x14ac:dyDescent="0.25">
      <c r="A211" s="1511">
        <v>16.600000000000001</v>
      </c>
      <c r="B211" s="1515" t="s">
        <v>1884</v>
      </c>
      <c r="C211" s="1396" t="s">
        <v>1754</v>
      </c>
      <c r="D211" s="1378" t="s">
        <v>2102</v>
      </c>
      <c r="E211" s="1505">
        <v>0</v>
      </c>
      <c r="F211" s="1509">
        <v>0</v>
      </c>
      <c r="G211" s="1509">
        <v>0</v>
      </c>
      <c r="H211" s="1509">
        <f t="shared" si="13"/>
        <v>0</v>
      </c>
      <c r="I211" s="1509">
        <v>0</v>
      </c>
      <c r="J211" s="1509">
        <v>0</v>
      </c>
      <c r="K211" s="1505"/>
      <c r="L211" s="1505"/>
      <c r="M211" s="1505">
        <f t="shared" si="14"/>
        <v>0</v>
      </c>
      <c r="N211" s="1505">
        <f t="shared" si="15"/>
        <v>0</v>
      </c>
    </row>
    <row r="212" spans="1:14" customFormat="1" outlineLevel="1" x14ac:dyDescent="0.25">
      <c r="A212" s="1511">
        <v>16.7</v>
      </c>
      <c r="B212" s="1515" t="s">
        <v>1886</v>
      </c>
      <c r="C212" s="1396" t="s">
        <v>1754</v>
      </c>
      <c r="D212" s="1378" t="s">
        <v>2102</v>
      </c>
      <c r="E212" s="1505">
        <v>0</v>
      </c>
      <c r="F212" s="1509">
        <v>0</v>
      </c>
      <c r="G212" s="1509">
        <v>0</v>
      </c>
      <c r="H212" s="1509">
        <f t="shared" si="13"/>
        <v>0</v>
      </c>
      <c r="I212" s="1509">
        <v>0</v>
      </c>
      <c r="J212" s="1509">
        <v>0</v>
      </c>
      <c r="K212" s="1505"/>
      <c r="L212" s="1505"/>
      <c r="M212" s="1505">
        <f t="shared" si="14"/>
        <v>0</v>
      </c>
      <c r="N212" s="1505">
        <f t="shared" si="15"/>
        <v>0</v>
      </c>
    </row>
    <row r="213" spans="1:14" customFormat="1" ht="29" outlineLevel="1" x14ac:dyDescent="0.25">
      <c r="A213" s="1511">
        <v>16.8</v>
      </c>
      <c r="B213" s="1515" t="s">
        <v>1888</v>
      </c>
      <c r="C213" s="1396" t="s">
        <v>1754</v>
      </c>
      <c r="D213" s="1378" t="s">
        <v>2102</v>
      </c>
      <c r="E213" s="1505">
        <v>0</v>
      </c>
      <c r="F213" s="1509">
        <v>0</v>
      </c>
      <c r="G213" s="1509">
        <v>0</v>
      </c>
      <c r="H213" s="1509">
        <f t="shared" si="13"/>
        <v>0</v>
      </c>
      <c r="I213" s="1509">
        <v>0</v>
      </c>
      <c r="J213" s="1509">
        <v>0</v>
      </c>
      <c r="K213" s="1505"/>
      <c r="L213" s="1505"/>
      <c r="M213" s="1505">
        <f t="shared" si="14"/>
        <v>0</v>
      </c>
      <c r="N213" s="1505">
        <f t="shared" si="15"/>
        <v>0</v>
      </c>
    </row>
    <row r="214" spans="1:14" customFormat="1" outlineLevel="1" x14ac:dyDescent="0.25">
      <c r="A214" s="1511">
        <v>0</v>
      </c>
      <c r="B214" s="1515" t="s">
        <v>413</v>
      </c>
      <c r="C214" s="1396" t="s">
        <v>1754</v>
      </c>
      <c r="D214" s="1378" t="s">
        <v>2102</v>
      </c>
      <c r="E214" s="1505">
        <v>0</v>
      </c>
      <c r="F214" s="1509">
        <v>0</v>
      </c>
      <c r="G214" s="1509">
        <v>0</v>
      </c>
      <c r="H214" s="1509">
        <f t="shared" si="13"/>
        <v>0</v>
      </c>
      <c r="I214" s="1509">
        <v>0</v>
      </c>
      <c r="J214" s="1509">
        <v>0</v>
      </c>
      <c r="K214" s="1505"/>
      <c r="L214" s="1505"/>
      <c r="M214" s="1505">
        <f t="shared" si="14"/>
        <v>0</v>
      </c>
      <c r="N214" s="1505">
        <f t="shared" si="15"/>
        <v>0</v>
      </c>
    </row>
    <row r="215" spans="1:14" customFormat="1" outlineLevel="1" x14ac:dyDescent="0.25">
      <c r="A215" s="1506">
        <v>17</v>
      </c>
      <c r="B215" s="1507" t="s">
        <v>1890</v>
      </c>
      <c r="C215" s="1506" t="s">
        <v>1754</v>
      </c>
      <c r="D215" s="1507" t="s">
        <v>2102</v>
      </c>
      <c r="E215" s="1506">
        <v>0</v>
      </c>
      <c r="F215" s="1509">
        <v>0</v>
      </c>
      <c r="G215" s="1509">
        <v>0</v>
      </c>
      <c r="H215" s="1509">
        <f t="shared" si="13"/>
        <v>0</v>
      </c>
      <c r="I215" s="1509">
        <v>0</v>
      </c>
      <c r="J215" s="1509">
        <v>0</v>
      </c>
      <c r="K215" s="1506"/>
      <c r="L215" s="1507"/>
      <c r="M215" s="1506">
        <f t="shared" si="14"/>
        <v>0</v>
      </c>
      <c r="N215" s="1507">
        <f t="shared" si="15"/>
        <v>0</v>
      </c>
    </row>
    <row r="216" spans="1:14" customFormat="1" outlineLevel="1" x14ac:dyDescent="0.25">
      <c r="A216" s="1511">
        <v>17.100000000000001</v>
      </c>
      <c r="B216" s="1515" t="s">
        <v>1891</v>
      </c>
      <c r="C216" s="1396" t="s">
        <v>1754</v>
      </c>
      <c r="D216" s="1378" t="s">
        <v>2102</v>
      </c>
      <c r="E216" s="1505">
        <v>0</v>
      </c>
      <c r="F216" s="1509">
        <v>0</v>
      </c>
      <c r="G216" s="1509">
        <v>0</v>
      </c>
      <c r="H216" s="1509">
        <f t="shared" si="13"/>
        <v>0</v>
      </c>
      <c r="I216" s="1509">
        <v>0</v>
      </c>
      <c r="J216" s="1509">
        <v>0</v>
      </c>
      <c r="K216" s="1505"/>
      <c r="L216" s="1505"/>
      <c r="M216" s="1505">
        <f t="shared" si="14"/>
        <v>0</v>
      </c>
      <c r="N216" s="1505">
        <f t="shared" si="15"/>
        <v>0</v>
      </c>
    </row>
    <row r="217" spans="1:14" customFormat="1" outlineLevel="1" x14ac:dyDescent="0.25">
      <c r="A217" s="1511">
        <v>17.2</v>
      </c>
      <c r="B217" s="1515" t="s">
        <v>1878</v>
      </c>
      <c r="C217" s="1396" t="s">
        <v>1754</v>
      </c>
      <c r="D217" s="1378" t="s">
        <v>2102</v>
      </c>
      <c r="E217" s="1505">
        <v>0</v>
      </c>
      <c r="F217" s="1509">
        <v>0</v>
      </c>
      <c r="G217" s="1509">
        <v>0</v>
      </c>
      <c r="H217" s="1509">
        <f t="shared" si="13"/>
        <v>0</v>
      </c>
      <c r="I217" s="1509">
        <v>0</v>
      </c>
      <c r="J217" s="1509">
        <v>0</v>
      </c>
      <c r="K217" s="1505"/>
      <c r="L217" s="1505"/>
      <c r="M217" s="1505">
        <f t="shared" si="14"/>
        <v>0</v>
      </c>
      <c r="N217" s="1505">
        <f t="shared" si="15"/>
        <v>0</v>
      </c>
    </row>
    <row r="218" spans="1:14" customFormat="1" ht="29" outlineLevel="1" x14ac:dyDescent="0.25">
      <c r="A218" s="1511">
        <v>17.3</v>
      </c>
      <c r="B218" s="1515" t="s">
        <v>1893</v>
      </c>
      <c r="C218" s="1396" t="s">
        <v>1754</v>
      </c>
      <c r="D218" s="1378" t="s">
        <v>2102</v>
      </c>
      <c r="E218" s="1505">
        <v>0</v>
      </c>
      <c r="F218" s="1509">
        <v>0</v>
      </c>
      <c r="G218" s="1509">
        <v>0</v>
      </c>
      <c r="H218" s="1509">
        <f t="shared" si="13"/>
        <v>0</v>
      </c>
      <c r="I218" s="1509">
        <v>0</v>
      </c>
      <c r="J218" s="1509">
        <v>0</v>
      </c>
      <c r="K218" s="1505"/>
      <c r="L218" s="1505"/>
      <c r="M218" s="1505">
        <f t="shared" si="14"/>
        <v>0</v>
      </c>
      <c r="N218" s="1505">
        <f t="shared" si="15"/>
        <v>0</v>
      </c>
    </row>
    <row r="219" spans="1:14" customFormat="1" outlineLevel="1" x14ac:dyDescent="0.25">
      <c r="A219" s="1511">
        <v>17.399999999999999</v>
      </c>
      <c r="B219" s="1515" t="s">
        <v>1895</v>
      </c>
      <c r="C219" s="1396" t="s">
        <v>1754</v>
      </c>
      <c r="D219" s="1378" t="s">
        <v>2102</v>
      </c>
      <c r="E219" s="1505">
        <v>0</v>
      </c>
      <c r="F219" s="1509">
        <v>0</v>
      </c>
      <c r="G219" s="1509">
        <v>0</v>
      </c>
      <c r="H219" s="1509">
        <f t="shared" si="13"/>
        <v>0</v>
      </c>
      <c r="I219" s="1509">
        <v>0</v>
      </c>
      <c r="J219" s="1509">
        <v>0</v>
      </c>
      <c r="K219" s="1505"/>
      <c r="L219" s="1505"/>
      <c r="M219" s="1505">
        <f t="shared" si="14"/>
        <v>0</v>
      </c>
      <c r="N219" s="1505">
        <f t="shared" si="15"/>
        <v>0</v>
      </c>
    </row>
    <row r="220" spans="1:14" customFormat="1" ht="29" outlineLevel="1" x14ac:dyDescent="0.25">
      <c r="A220" s="1511">
        <v>17.5</v>
      </c>
      <c r="B220" s="1515" t="s">
        <v>1897</v>
      </c>
      <c r="C220" s="1396" t="s">
        <v>1754</v>
      </c>
      <c r="D220" s="1378" t="s">
        <v>2102</v>
      </c>
      <c r="E220" s="1505">
        <v>0</v>
      </c>
      <c r="F220" s="1509">
        <v>0</v>
      </c>
      <c r="G220" s="1509">
        <v>0</v>
      </c>
      <c r="H220" s="1509">
        <f t="shared" si="13"/>
        <v>0</v>
      </c>
      <c r="I220" s="1509">
        <v>0</v>
      </c>
      <c r="J220" s="1509">
        <v>0</v>
      </c>
      <c r="K220" s="1505"/>
      <c r="L220" s="1505"/>
      <c r="M220" s="1505">
        <f t="shared" si="14"/>
        <v>0</v>
      </c>
      <c r="N220" s="1505">
        <f t="shared" si="15"/>
        <v>0</v>
      </c>
    </row>
    <row r="221" spans="1:14" customFormat="1" outlineLevel="1" x14ac:dyDescent="0.25">
      <c r="A221" s="1511">
        <v>17.600000000000001</v>
      </c>
      <c r="B221" s="1515" t="s">
        <v>1899</v>
      </c>
      <c r="C221" s="1396" t="s">
        <v>1754</v>
      </c>
      <c r="D221" s="1378" t="s">
        <v>2102</v>
      </c>
      <c r="E221" s="1505">
        <v>0</v>
      </c>
      <c r="F221" s="1509">
        <v>0</v>
      </c>
      <c r="G221" s="1509">
        <v>0</v>
      </c>
      <c r="H221" s="1509">
        <f t="shared" si="13"/>
        <v>0</v>
      </c>
      <c r="I221" s="1509">
        <v>0</v>
      </c>
      <c r="J221" s="1509">
        <v>0</v>
      </c>
      <c r="K221" s="1505"/>
      <c r="L221" s="1505"/>
      <c r="M221" s="1505">
        <f t="shared" si="14"/>
        <v>0</v>
      </c>
      <c r="N221" s="1505">
        <f t="shared" si="15"/>
        <v>0</v>
      </c>
    </row>
    <row r="222" spans="1:14" customFormat="1" outlineLevel="1" x14ac:dyDescent="0.25">
      <c r="A222" s="1511">
        <v>17.7</v>
      </c>
      <c r="B222" s="1515" t="s">
        <v>1901</v>
      </c>
      <c r="C222" s="1396" t="s">
        <v>1754</v>
      </c>
      <c r="D222" s="1378" t="s">
        <v>2102</v>
      </c>
      <c r="E222" s="1505">
        <v>0</v>
      </c>
      <c r="F222" s="1509">
        <v>0</v>
      </c>
      <c r="G222" s="1509">
        <v>0</v>
      </c>
      <c r="H222" s="1509">
        <f t="shared" si="13"/>
        <v>0</v>
      </c>
      <c r="I222" s="1509">
        <v>0</v>
      </c>
      <c r="J222" s="1509">
        <v>0</v>
      </c>
      <c r="K222" s="1505"/>
      <c r="L222" s="1505"/>
      <c r="M222" s="1505">
        <f t="shared" si="14"/>
        <v>0</v>
      </c>
      <c r="N222" s="1505">
        <f t="shared" si="15"/>
        <v>0</v>
      </c>
    </row>
    <row r="223" spans="1:14" customFormat="1" outlineLevel="1" x14ac:dyDescent="0.25">
      <c r="A223" s="1511">
        <v>0</v>
      </c>
      <c r="B223" s="1515" t="s">
        <v>413</v>
      </c>
      <c r="C223" s="1396" t="s">
        <v>1754</v>
      </c>
      <c r="D223" s="1378" t="s">
        <v>2102</v>
      </c>
      <c r="E223" s="1505">
        <v>0</v>
      </c>
      <c r="F223" s="1509">
        <v>0</v>
      </c>
      <c r="G223" s="1509">
        <v>0</v>
      </c>
      <c r="H223" s="1509">
        <f t="shared" si="13"/>
        <v>0</v>
      </c>
      <c r="I223" s="1509">
        <v>0</v>
      </c>
      <c r="J223" s="1509">
        <v>0</v>
      </c>
      <c r="K223" s="1505"/>
      <c r="L223" s="1505"/>
      <c r="M223" s="1505">
        <f t="shared" si="14"/>
        <v>0</v>
      </c>
      <c r="N223" s="1505">
        <f t="shared" si="15"/>
        <v>0</v>
      </c>
    </row>
    <row r="224" spans="1:14" customFormat="1" outlineLevel="1" x14ac:dyDescent="0.25">
      <c r="A224" s="1506">
        <v>18</v>
      </c>
      <c r="B224" s="1507" t="s">
        <v>1902</v>
      </c>
      <c r="C224" s="1506" t="s">
        <v>1754</v>
      </c>
      <c r="D224" s="1507" t="s">
        <v>2102</v>
      </c>
      <c r="E224" s="1506">
        <v>0</v>
      </c>
      <c r="F224" s="1509">
        <v>0</v>
      </c>
      <c r="G224" s="1509">
        <v>0</v>
      </c>
      <c r="H224" s="1509">
        <f t="shared" si="13"/>
        <v>0</v>
      </c>
      <c r="I224" s="1509">
        <v>0</v>
      </c>
      <c r="J224" s="1509">
        <v>0</v>
      </c>
      <c r="K224" s="1506"/>
      <c r="L224" s="1507"/>
      <c r="M224" s="1506">
        <f t="shared" si="14"/>
        <v>0</v>
      </c>
      <c r="N224" s="1507">
        <f t="shared" si="15"/>
        <v>0</v>
      </c>
    </row>
    <row r="225" spans="1:14" customFormat="1" ht="29" outlineLevel="1" x14ac:dyDescent="0.25">
      <c r="A225" s="1511">
        <v>18.100000000000001</v>
      </c>
      <c r="B225" s="1515" t="s">
        <v>1903</v>
      </c>
      <c r="C225" s="1396" t="s">
        <v>1754</v>
      </c>
      <c r="D225" s="1378" t="s">
        <v>2102</v>
      </c>
      <c r="E225" s="1505">
        <v>0</v>
      </c>
      <c r="F225" s="1509">
        <v>0</v>
      </c>
      <c r="G225" s="1509">
        <v>0</v>
      </c>
      <c r="H225" s="1509">
        <f t="shared" si="13"/>
        <v>0</v>
      </c>
      <c r="I225" s="1509">
        <v>0</v>
      </c>
      <c r="J225" s="1509">
        <v>0</v>
      </c>
      <c r="K225" s="1505"/>
      <c r="L225" s="1505"/>
      <c r="M225" s="1505">
        <f t="shared" si="14"/>
        <v>0</v>
      </c>
      <c r="N225" s="1505">
        <f t="shared" si="15"/>
        <v>0</v>
      </c>
    </row>
    <row r="226" spans="1:14" customFormat="1" outlineLevel="1" x14ac:dyDescent="0.25">
      <c r="A226" s="1511">
        <v>18.2</v>
      </c>
      <c r="B226" s="1515" t="s">
        <v>1905</v>
      </c>
      <c r="C226" s="1396" t="s">
        <v>1754</v>
      </c>
      <c r="D226" s="1378" t="s">
        <v>2102</v>
      </c>
      <c r="E226" s="1505">
        <v>0</v>
      </c>
      <c r="F226" s="1509">
        <v>0</v>
      </c>
      <c r="G226" s="1509">
        <v>0</v>
      </c>
      <c r="H226" s="1509">
        <f t="shared" si="13"/>
        <v>0</v>
      </c>
      <c r="I226" s="1509">
        <v>0</v>
      </c>
      <c r="J226" s="1509">
        <v>0</v>
      </c>
      <c r="K226" s="1505"/>
      <c r="L226" s="1505"/>
      <c r="M226" s="1505">
        <f t="shared" si="14"/>
        <v>0</v>
      </c>
      <c r="N226" s="1505">
        <f t="shared" si="15"/>
        <v>0</v>
      </c>
    </row>
    <row r="227" spans="1:14" customFormat="1" outlineLevel="1" x14ac:dyDescent="0.25">
      <c r="A227" s="1511">
        <v>18.3</v>
      </c>
      <c r="B227" s="1515" t="s">
        <v>1906</v>
      </c>
      <c r="C227" s="1396" t="s">
        <v>1754</v>
      </c>
      <c r="D227" s="1378" t="s">
        <v>2102</v>
      </c>
      <c r="E227" s="1505">
        <v>0</v>
      </c>
      <c r="F227" s="1509">
        <v>0</v>
      </c>
      <c r="G227" s="1509">
        <v>0</v>
      </c>
      <c r="H227" s="1509">
        <f t="shared" si="13"/>
        <v>0</v>
      </c>
      <c r="I227" s="1509">
        <v>0</v>
      </c>
      <c r="J227" s="1509">
        <v>0</v>
      </c>
      <c r="K227" s="1505"/>
      <c r="L227" s="1505"/>
      <c r="M227" s="1505">
        <f t="shared" si="14"/>
        <v>0</v>
      </c>
      <c r="N227" s="1505">
        <f t="shared" si="15"/>
        <v>0</v>
      </c>
    </row>
    <row r="228" spans="1:14" customFormat="1" outlineLevel="1" x14ac:dyDescent="0.25">
      <c r="A228" s="1511">
        <v>18.399999999999999</v>
      </c>
      <c r="B228" s="1515" t="s">
        <v>1907</v>
      </c>
      <c r="C228" s="1396" t="s">
        <v>1754</v>
      </c>
      <c r="D228" s="1378" t="s">
        <v>2102</v>
      </c>
      <c r="E228" s="1505">
        <v>0</v>
      </c>
      <c r="F228" s="1509">
        <v>0</v>
      </c>
      <c r="G228" s="1509">
        <v>0</v>
      </c>
      <c r="H228" s="1509">
        <f t="shared" si="13"/>
        <v>0</v>
      </c>
      <c r="I228" s="1509">
        <v>0</v>
      </c>
      <c r="J228" s="1509">
        <v>0</v>
      </c>
      <c r="K228" s="1505"/>
      <c r="L228" s="1505"/>
      <c r="M228" s="1505">
        <f t="shared" si="14"/>
        <v>0</v>
      </c>
      <c r="N228" s="1505">
        <f t="shared" si="15"/>
        <v>0</v>
      </c>
    </row>
    <row r="229" spans="1:14" customFormat="1" outlineLevel="1" x14ac:dyDescent="0.25">
      <c r="A229" s="1511">
        <v>0</v>
      </c>
      <c r="B229" s="1515" t="s">
        <v>413</v>
      </c>
      <c r="C229" s="1396" t="s">
        <v>1754</v>
      </c>
      <c r="D229" s="1378" t="s">
        <v>2102</v>
      </c>
      <c r="E229" s="1505">
        <v>0</v>
      </c>
      <c r="F229" s="1509">
        <v>0</v>
      </c>
      <c r="G229" s="1509">
        <v>0</v>
      </c>
      <c r="H229" s="1509">
        <f t="shared" si="13"/>
        <v>0</v>
      </c>
      <c r="I229" s="1509">
        <v>0</v>
      </c>
      <c r="J229" s="1509">
        <v>0</v>
      </c>
      <c r="K229" s="1505"/>
      <c r="L229" s="1505"/>
      <c r="M229" s="1505">
        <f t="shared" si="14"/>
        <v>0</v>
      </c>
      <c r="N229" s="1505">
        <f t="shared" si="15"/>
        <v>0</v>
      </c>
    </row>
    <row r="230" spans="1:14" customFormat="1" outlineLevel="1" x14ac:dyDescent="0.25">
      <c r="A230" s="1506">
        <v>19</v>
      </c>
      <c r="B230" s="1507" t="s">
        <v>1908</v>
      </c>
      <c r="C230" s="1506" t="s">
        <v>1754</v>
      </c>
      <c r="D230" s="1507" t="s">
        <v>2102</v>
      </c>
      <c r="E230" s="1506">
        <v>0</v>
      </c>
      <c r="F230" s="1509">
        <v>0</v>
      </c>
      <c r="G230" s="1509">
        <v>0</v>
      </c>
      <c r="H230" s="1509">
        <f t="shared" si="13"/>
        <v>0</v>
      </c>
      <c r="I230" s="1509">
        <v>0</v>
      </c>
      <c r="J230" s="1509">
        <v>0</v>
      </c>
      <c r="K230" s="1506"/>
      <c r="L230" s="1507"/>
      <c r="M230" s="1506">
        <f t="shared" si="14"/>
        <v>0</v>
      </c>
      <c r="N230" s="1507">
        <f t="shared" si="15"/>
        <v>0</v>
      </c>
    </row>
    <row r="231" spans="1:14" customFormat="1" outlineLevel="1" x14ac:dyDescent="0.25">
      <c r="A231" s="1511">
        <v>19.100000000000001</v>
      </c>
      <c r="B231" s="1515" t="s">
        <v>1909</v>
      </c>
      <c r="C231" s="1396" t="s">
        <v>1754</v>
      </c>
      <c r="D231" s="1378" t="s">
        <v>2102</v>
      </c>
      <c r="E231" s="1505">
        <v>0</v>
      </c>
      <c r="F231" s="1509">
        <v>0</v>
      </c>
      <c r="G231" s="1509">
        <v>0</v>
      </c>
      <c r="H231" s="1509">
        <f t="shared" si="13"/>
        <v>0</v>
      </c>
      <c r="I231" s="1509">
        <v>0</v>
      </c>
      <c r="J231" s="1509">
        <v>0</v>
      </c>
      <c r="K231" s="1505"/>
      <c r="L231" s="1505"/>
      <c r="M231" s="1505">
        <f t="shared" si="14"/>
        <v>0</v>
      </c>
      <c r="N231" s="1505">
        <f t="shared" si="15"/>
        <v>0</v>
      </c>
    </row>
    <row r="232" spans="1:14" customFormat="1" outlineLevel="1" x14ac:dyDescent="0.25">
      <c r="A232" s="1511">
        <v>19.2</v>
      </c>
      <c r="B232" s="1515" t="s">
        <v>1911</v>
      </c>
      <c r="C232" s="1396" t="s">
        <v>1754</v>
      </c>
      <c r="D232" s="1378" t="s">
        <v>2102</v>
      </c>
      <c r="E232" s="1505">
        <v>0</v>
      </c>
      <c r="F232" s="1509">
        <v>0</v>
      </c>
      <c r="G232" s="1509">
        <v>0</v>
      </c>
      <c r="H232" s="1509">
        <f t="shared" si="13"/>
        <v>0</v>
      </c>
      <c r="I232" s="1509">
        <v>0</v>
      </c>
      <c r="J232" s="1509">
        <v>0</v>
      </c>
      <c r="K232" s="1505"/>
      <c r="L232" s="1505"/>
      <c r="M232" s="1505">
        <f t="shared" si="14"/>
        <v>0</v>
      </c>
      <c r="N232" s="1505">
        <f t="shared" si="15"/>
        <v>0</v>
      </c>
    </row>
    <row r="233" spans="1:14" customFormat="1" outlineLevel="1" x14ac:dyDescent="0.25">
      <c r="A233" s="1511">
        <v>19.3</v>
      </c>
      <c r="B233" s="1515" t="s">
        <v>1912</v>
      </c>
      <c r="C233" s="1396" t="s">
        <v>1754</v>
      </c>
      <c r="D233" s="1378" t="s">
        <v>2102</v>
      </c>
      <c r="E233" s="1505">
        <v>0</v>
      </c>
      <c r="F233" s="1509">
        <v>0</v>
      </c>
      <c r="G233" s="1509">
        <v>0</v>
      </c>
      <c r="H233" s="1509">
        <f t="shared" si="13"/>
        <v>0</v>
      </c>
      <c r="I233" s="1509">
        <v>0</v>
      </c>
      <c r="J233" s="1509">
        <v>0</v>
      </c>
      <c r="K233" s="1505"/>
      <c r="L233" s="1505"/>
      <c r="M233" s="1505">
        <f t="shared" si="14"/>
        <v>0</v>
      </c>
      <c r="N233" s="1505">
        <f t="shared" si="15"/>
        <v>0</v>
      </c>
    </row>
    <row r="234" spans="1:14" customFormat="1" outlineLevel="1" x14ac:dyDescent="0.25">
      <c r="A234" s="1511">
        <v>19.399999999999999</v>
      </c>
      <c r="B234" s="1515" t="s">
        <v>1913</v>
      </c>
      <c r="C234" s="1396" t="s">
        <v>1754</v>
      </c>
      <c r="D234" s="1378" t="s">
        <v>2102</v>
      </c>
      <c r="E234" s="1505">
        <v>0</v>
      </c>
      <c r="F234" s="1509">
        <v>0</v>
      </c>
      <c r="G234" s="1509">
        <v>0</v>
      </c>
      <c r="H234" s="1509">
        <f t="shared" si="13"/>
        <v>0</v>
      </c>
      <c r="I234" s="1509">
        <v>0</v>
      </c>
      <c r="J234" s="1509">
        <v>0</v>
      </c>
      <c r="K234" s="1505"/>
      <c r="L234" s="1505"/>
      <c r="M234" s="1505">
        <f t="shared" si="14"/>
        <v>0</v>
      </c>
      <c r="N234" s="1505">
        <f t="shared" si="15"/>
        <v>0</v>
      </c>
    </row>
    <row r="235" spans="1:14" customFormat="1" outlineLevel="1" x14ac:dyDescent="0.25">
      <c r="A235" s="1511">
        <v>0</v>
      </c>
      <c r="B235" s="1515" t="s">
        <v>413</v>
      </c>
      <c r="C235" s="1396" t="s">
        <v>1754</v>
      </c>
      <c r="D235" s="1378" t="s">
        <v>2102</v>
      </c>
      <c r="E235" s="1505">
        <v>0</v>
      </c>
      <c r="F235" s="1509">
        <v>0</v>
      </c>
      <c r="G235" s="1509">
        <v>0</v>
      </c>
      <c r="H235" s="1509">
        <f t="shared" si="13"/>
        <v>0</v>
      </c>
      <c r="I235" s="1509">
        <v>0</v>
      </c>
      <c r="J235" s="1509">
        <v>0</v>
      </c>
      <c r="K235" s="1505"/>
      <c r="L235" s="1505"/>
      <c r="M235" s="1505">
        <f t="shared" si="14"/>
        <v>0</v>
      </c>
      <c r="N235" s="1505">
        <f t="shared" si="15"/>
        <v>0</v>
      </c>
    </row>
    <row r="236" spans="1:14" customFormat="1" ht="29" outlineLevel="1" x14ac:dyDescent="0.25">
      <c r="A236" s="1506">
        <v>20</v>
      </c>
      <c r="B236" s="1507" t="s">
        <v>1914</v>
      </c>
      <c r="C236" s="1506" t="s">
        <v>1754</v>
      </c>
      <c r="D236" s="1507" t="s">
        <v>2102</v>
      </c>
      <c r="E236" s="1506">
        <v>0</v>
      </c>
      <c r="F236" s="1509">
        <v>0</v>
      </c>
      <c r="G236" s="1509">
        <v>0</v>
      </c>
      <c r="H236" s="1509">
        <f t="shared" si="13"/>
        <v>0</v>
      </c>
      <c r="I236" s="1509">
        <v>0</v>
      </c>
      <c r="J236" s="1509">
        <v>0</v>
      </c>
      <c r="K236" s="1506"/>
      <c r="L236" s="1507"/>
      <c r="M236" s="1506">
        <f t="shared" si="14"/>
        <v>0</v>
      </c>
      <c r="N236" s="1507">
        <f t="shared" si="15"/>
        <v>0</v>
      </c>
    </row>
    <row r="237" spans="1:14" customFormat="1" ht="43.5" outlineLevel="1" x14ac:dyDescent="0.25">
      <c r="A237" s="1511">
        <v>20.100000000000001</v>
      </c>
      <c r="B237" s="1515" t="s">
        <v>1914</v>
      </c>
      <c r="C237" s="1396" t="s">
        <v>1754</v>
      </c>
      <c r="D237" s="1378" t="s">
        <v>2102</v>
      </c>
      <c r="E237" s="1505">
        <v>0</v>
      </c>
      <c r="F237" s="1509">
        <v>0</v>
      </c>
      <c r="G237" s="1509">
        <v>0</v>
      </c>
      <c r="H237" s="1509">
        <f t="shared" si="13"/>
        <v>0</v>
      </c>
      <c r="I237" s="1509">
        <v>0</v>
      </c>
      <c r="J237" s="1509">
        <v>0</v>
      </c>
      <c r="K237" s="1505"/>
      <c r="L237" s="1505"/>
      <c r="M237" s="1505">
        <f t="shared" si="14"/>
        <v>0</v>
      </c>
      <c r="N237" s="1505">
        <f t="shared" si="15"/>
        <v>0</v>
      </c>
    </row>
    <row r="238" spans="1:14" customFormat="1" outlineLevel="1" x14ac:dyDescent="0.25">
      <c r="A238" s="1511">
        <v>0</v>
      </c>
      <c r="B238" s="1515" t="s">
        <v>413</v>
      </c>
      <c r="C238" s="1396" t="s">
        <v>1754</v>
      </c>
      <c r="D238" s="1378" t="s">
        <v>2102</v>
      </c>
      <c r="E238" s="1505">
        <v>0</v>
      </c>
      <c r="F238" s="1509">
        <v>0</v>
      </c>
      <c r="G238" s="1509">
        <v>0</v>
      </c>
      <c r="H238" s="1509">
        <f t="shared" si="13"/>
        <v>0</v>
      </c>
      <c r="I238" s="1509">
        <v>0</v>
      </c>
      <c r="J238" s="1509">
        <v>0</v>
      </c>
      <c r="K238" s="1505"/>
      <c r="L238" s="1505"/>
      <c r="M238" s="1505">
        <f t="shared" si="14"/>
        <v>0</v>
      </c>
      <c r="N238" s="1505">
        <f t="shared" si="15"/>
        <v>0</v>
      </c>
    </row>
    <row r="239" spans="1:14" customFormat="1" ht="29" outlineLevel="1" x14ac:dyDescent="0.25">
      <c r="A239" s="1506">
        <v>21</v>
      </c>
      <c r="B239" s="1507" t="s">
        <v>1915</v>
      </c>
      <c r="C239" s="1506" t="s">
        <v>1754</v>
      </c>
      <c r="D239" s="1507" t="s">
        <v>2102</v>
      </c>
      <c r="E239" s="1506">
        <v>0</v>
      </c>
      <c r="F239" s="1509">
        <v>0</v>
      </c>
      <c r="G239" s="1509">
        <v>0</v>
      </c>
      <c r="H239" s="1509">
        <f t="shared" si="13"/>
        <v>0</v>
      </c>
      <c r="I239" s="1509">
        <v>0</v>
      </c>
      <c r="J239" s="1509">
        <v>0</v>
      </c>
      <c r="K239" s="1506"/>
      <c r="L239" s="1507"/>
      <c r="M239" s="1506">
        <f t="shared" si="14"/>
        <v>0</v>
      </c>
      <c r="N239" s="1507">
        <f t="shared" si="15"/>
        <v>0</v>
      </c>
    </row>
    <row r="240" spans="1:14" customFormat="1" ht="29" outlineLevel="1" x14ac:dyDescent="0.25">
      <c r="A240" s="1511">
        <v>21.1</v>
      </c>
      <c r="B240" s="1515" t="s">
        <v>1916</v>
      </c>
      <c r="C240" s="1396" t="s">
        <v>1754</v>
      </c>
      <c r="D240" s="1378" t="s">
        <v>2102</v>
      </c>
      <c r="E240" s="1505">
        <v>0</v>
      </c>
      <c r="F240" s="1509">
        <v>0</v>
      </c>
      <c r="G240" s="1509">
        <v>0</v>
      </c>
      <c r="H240" s="1509">
        <f t="shared" si="13"/>
        <v>0</v>
      </c>
      <c r="I240" s="1509">
        <v>0</v>
      </c>
      <c r="J240" s="1509">
        <v>0</v>
      </c>
      <c r="K240" s="1505"/>
      <c r="L240" s="1505"/>
      <c r="M240" s="1505">
        <f t="shared" si="14"/>
        <v>0</v>
      </c>
      <c r="N240" s="1505">
        <f t="shared" si="15"/>
        <v>0</v>
      </c>
    </row>
    <row r="241" spans="1:14" customFormat="1" ht="29" outlineLevel="1" x14ac:dyDescent="0.25">
      <c r="A241" s="1511">
        <v>21.2</v>
      </c>
      <c r="B241" s="1515" t="s">
        <v>1917</v>
      </c>
      <c r="C241" s="1396" t="s">
        <v>1754</v>
      </c>
      <c r="D241" s="1378" t="s">
        <v>2102</v>
      </c>
      <c r="E241" s="1505">
        <v>0</v>
      </c>
      <c r="F241" s="1509">
        <v>0</v>
      </c>
      <c r="G241" s="1509">
        <v>0</v>
      </c>
      <c r="H241" s="1509">
        <f t="shared" si="13"/>
        <v>0</v>
      </c>
      <c r="I241" s="1509">
        <v>0</v>
      </c>
      <c r="J241" s="1509">
        <v>0</v>
      </c>
      <c r="K241" s="1505"/>
      <c r="L241" s="1505"/>
      <c r="M241" s="1505">
        <f t="shared" si="14"/>
        <v>0</v>
      </c>
      <c r="N241" s="1505">
        <f t="shared" si="15"/>
        <v>0</v>
      </c>
    </row>
    <row r="242" spans="1:14" customFormat="1" outlineLevel="1" x14ac:dyDescent="0.25">
      <c r="A242" s="1511">
        <v>21.3</v>
      </c>
      <c r="B242" s="1515" t="s">
        <v>1918</v>
      </c>
      <c r="C242" s="1396" t="s">
        <v>1754</v>
      </c>
      <c r="D242" s="1378" t="s">
        <v>2102</v>
      </c>
      <c r="E242" s="1505">
        <v>0</v>
      </c>
      <c r="F242" s="1509">
        <v>0</v>
      </c>
      <c r="G242" s="1509">
        <v>0</v>
      </c>
      <c r="H242" s="1509">
        <f t="shared" si="13"/>
        <v>0</v>
      </c>
      <c r="I242" s="1509">
        <v>0</v>
      </c>
      <c r="J242" s="1509">
        <v>0</v>
      </c>
      <c r="K242" s="1505"/>
      <c r="L242" s="1505"/>
      <c r="M242" s="1505">
        <f t="shared" si="14"/>
        <v>0</v>
      </c>
      <c r="N242" s="1505">
        <f t="shared" si="15"/>
        <v>0</v>
      </c>
    </row>
    <row r="243" spans="1:14" customFormat="1" ht="29" outlineLevel="1" x14ac:dyDescent="0.25">
      <c r="A243" s="1511">
        <v>21.4</v>
      </c>
      <c r="B243" s="1515" t="s">
        <v>1919</v>
      </c>
      <c r="C243" s="1396" t="s">
        <v>1754</v>
      </c>
      <c r="D243" s="1378" t="s">
        <v>2102</v>
      </c>
      <c r="E243" s="1505">
        <v>0</v>
      </c>
      <c r="F243" s="1509">
        <v>0</v>
      </c>
      <c r="G243" s="1509">
        <v>0</v>
      </c>
      <c r="H243" s="1509">
        <f t="shared" si="13"/>
        <v>0</v>
      </c>
      <c r="I243" s="1509">
        <v>0</v>
      </c>
      <c r="J243" s="1509">
        <v>0</v>
      </c>
      <c r="K243" s="1505"/>
      <c r="L243" s="1505"/>
      <c r="M243" s="1505">
        <f t="shared" si="14"/>
        <v>0</v>
      </c>
      <c r="N243" s="1505">
        <f t="shared" si="15"/>
        <v>0</v>
      </c>
    </row>
    <row r="244" spans="1:14" customFormat="1" ht="29" outlineLevel="1" x14ac:dyDescent="0.25">
      <c r="A244" s="1511">
        <v>21.5</v>
      </c>
      <c r="B244" s="1515" t="s">
        <v>1920</v>
      </c>
      <c r="C244" s="1396" t="s">
        <v>1754</v>
      </c>
      <c r="D244" s="1378" t="s">
        <v>2102</v>
      </c>
      <c r="E244" s="1505">
        <v>0</v>
      </c>
      <c r="F244" s="1509">
        <v>0</v>
      </c>
      <c r="G244" s="1509">
        <v>0</v>
      </c>
      <c r="H244" s="1509">
        <f t="shared" si="13"/>
        <v>0</v>
      </c>
      <c r="I244" s="1509">
        <v>0</v>
      </c>
      <c r="J244" s="1509">
        <v>0</v>
      </c>
      <c r="K244" s="1505"/>
      <c r="L244" s="1505"/>
      <c r="M244" s="1505">
        <f t="shared" si="14"/>
        <v>0</v>
      </c>
      <c r="N244" s="1505">
        <f t="shared" si="15"/>
        <v>0</v>
      </c>
    </row>
    <row r="245" spans="1:14" customFormat="1" outlineLevel="1" x14ac:dyDescent="0.25">
      <c r="A245" s="1511">
        <v>0</v>
      </c>
      <c r="B245" s="1515" t="s">
        <v>413</v>
      </c>
      <c r="C245" s="1396" t="s">
        <v>1754</v>
      </c>
      <c r="D245" s="1378" t="s">
        <v>2102</v>
      </c>
      <c r="E245" s="1505">
        <v>0</v>
      </c>
      <c r="F245" s="1509">
        <v>0</v>
      </c>
      <c r="G245" s="1509">
        <v>0</v>
      </c>
      <c r="H245" s="1509">
        <f t="shared" si="13"/>
        <v>0</v>
      </c>
      <c r="I245" s="1509">
        <v>0</v>
      </c>
      <c r="J245" s="1509">
        <v>0</v>
      </c>
      <c r="K245" s="1505"/>
      <c r="L245" s="1505"/>
      <c r="M245" s="1505">
        <f t="shared" si="14"/>
        <v>0</v>
      </c>
      <c r="N245" s="1505">
        <f t="shared" si="15"/>
        <v>0</v>
      </c>
    </row>
    <row r="246" spans="1:14" customFormat="1" ht="29" outlineLevel="1" x14ac:dyDescent="0.25">
      <c r="A246" s="1506">
        <v>22</v>
      </c>
      <c r="B246" s="1507" t="s">
        <v>1921</v>
      </c>
      <c r="C246" s="1506" t="s">
        <v>1754</v>
      </c>
      <c r="D246" s="1507" t="s">
        <v>2102</v>
      </c>
      <c r="E246" s="1506">
        <v>0</v>
      </c>
      <c r="F246" s="1509">
        <v>0</v>
      </c>
      <c r="G246" s="1509">
        <v>0</v>
      </c>
      <c r="H246" s="1509">
        <f t="shared" si="13"/>
        <v>0</v>
      </c>
      <c r="I246" s="1509">
        <v>0</v>
      </c>
      <c r="J246" s="1509">
        <v>0</v>
      </c>
      <c r="K246" s="1506"/>
      <c r="L246" s="1507"/>
      <c r="M246" s="1506">
        <f t="shared" si="14"/>
        <v>0</v>
      </c>
      <c r="N246" s="1507">
        <f t="shared" si="15"/>
        <v>0</v>
      </c>
    </row>
    <row r="247" spans="1:14" customFormat="1" ht="29" outlineLevel="1" x14ac:dyDescent="0.25">
      <c r="A247" s="1511">
        <v>22.1</v>
      </c>
      <c r="B247" s="1515" t="s">
        <v>1921</v>
      </c>
      <c r="C247" s="1396" t="s">
        <v>1754</v>
      </c>
      <c r="D247" s="1378" t="s">
        <v>2102</v>
      </c>
      <c r="E247" s="1505">
        <v>0</v>
      </c>
      <c r="F247" s="1509">
        <v>0</v>
      </c>
      <c r="G247" s="1509">
        <v>0</v>
      </c>
      <c r="H247" s="1509">
        <f t="shared" si="13"/>
        <v>0</v>
      </c>
      <c r="I247" s="1509">
        <v>0</v>
      </c>
      <c r="J247" s="1509">
        <v>0</v>
      </c>
      <c r="K247" s="1505"/>
      <c r="L247" s="1505"/>
      <c r="M247" s="1505">
        <f t="shared" si="14"/>
        <v>0</v>
      </c>
      <c r="N247" s="1505">
        <f t="shared" si="15"/>
        <v>0</v>
      </c>
    </row>
    <row r="248" spans="1:14" customFormat="1" outlineLevel="1" x14ac:dyDescent="0.25">
      <c r="A248" s="1511">
        <v>0</v>
      </c>
      <c r="B248" s="1515" t="s">
        <v>413</v>
      </c>
      <c r="C248" s="1396" t="s">
        <v>1754</v>
      </c>
      <c r="D248" s="1378" t="s">
        <v>2102</v>
      </c>
      <c r="E248" s="1505">
        <v>0</v>
      </c>
      <c r="F248" s="1509">
        <v>0</v>
      </c>
      <c r="G248" s="1509">
        <v>0</v>
      </c>
      <c r="H248" s="1509">
        <f t="shared" si="13"/>
        <v>0</v>
      </c>
      <c r="I248" s="1509">
        <v>0</v>
      </c>
      <c r="J248" s="1509">
        <v>0</v>
      </c>
      <c r="K248" s="1505"/>
      <c r="L248" s="1505"/>
      <c r="M248" s="1505">
        <f t="shared" si="14"/>
        <v>0</v>
      </c>
      <c r="N248" s="1505">
        <f t="shared" si="15"/>
        <v>0</v>
      </c>
    </row>
    <row r="249" spans="1:14" customFormat="1" ht="58" outlineLevel="1" x14ac:dyDescent="0.25">
      <c r="A249" s="1506">
        <v>23</v>
      </c>
      <c r="B249" s="1507" t="s">
        <v>1922</v>
      </c>
      <c r="C249" s="1506" t="s">
        <v>1754</v>
      </c>
      <c r="D249" s="1507" t="s">
        <v>2102</v>
      </c>
      <c r="E249" s="1506">
        <v>0</v>
      </c>
      <c r="F249" s="1509">
        <v>0</v>
      </c>
      <c r="G249" s="1509">
        <v>0</v>
      </c>
      <c r="H249" s="1509">
        <f t="shared" si="13"/>
        <v>0</v>
      </c>
      <c r="I249" s="1509">
        <v>0</v>
      </c>
      <c r="J249" s="1509">
        <v>0</v>
      </c>
      <c r="K249" s="1506"/>
      <c r="L249" s="1507"/>
      <c r="M249" s="1506">
        <f t="shared" si="14"/>
        <v>0</v>
      </c>
      <c r="N249" s="1507">
        <f t="shared" si="15"/>
        <v>0</v>
      </c>
    </row>
    <row r="250" spans="1:14" customFormat="1" ht="43.5" outlineLevel="1" x14ac:dyDescent="0.25">
      <c r="A250" s="1511">
        <v>23.1</v>
      </c>
      <c r="B250" s="1515" t="s">
        <v>1923</v>
      </c>
      <c r="C250" s="1396" t="s">
        <v>1754</v>
      </c>
      <c r="D250" s="1378" t="s">
        <v>2102</v>
      </c>
      <c r="E250" s="1505">
        <v>0</v>
      </c>
      <c r="F250" s="1509">
        <v>0</v>
      </c>
      <c r="G250" s="1509">
        <v>0</v>
      </c>
      <c r="H250" s="1509">
        <f t="shared" si="13"/>
        <v>0</v>
      </c>
      <c r="I250" s="1509">
        <v>0</v>
      </c>
      <c r="J250" s="1509">
        <v>0</v>
      </c>
      <c r="K250" s="1505"/>
      <c r="L250" s="1505"/>
      <c r="M250" s="1505">
        <f t="shared" si="14"/>
        <v>0</v>
      </c>
      <c r="N250" s="1505">
        <f t="shared" si="15"/>
        <v>0</v>
      </c>
    </row>
    <row r="251" spans="1:14" customFormat="1" outlineLevel="1" x14ac:dyDescent="0.25">
      <c r="A251" s="1511">
        <v>23.2</v>
      </c>
      <c r="B251" s="1515" t="s">
        <v>1925</v>
      </c>
      <c r="C251" s="1396" t="s">
        <v>1754</v>
      </c>
      <c r="D251" s="1378" t="s">
        <v>2102</v>
      </c>
      <c r="E251" s="1505">
        <v>0</v>
      </c>
      <c r="F251" s="1509">
        <v>0</v>
      </c>
      <c r="G251" s="1509">
        <v>0</v>
      </c>
      <c r="H251" s="1509">
        <f t="shared" si="13"/>
        <v>0</v>
      </c>
      <c r="I251" s="1509">
        <v>0</v>
      </c>
      <c r="J251" s="1509">
        <v>0</v>
      </c>
      <c r="K251" s="1505"/>
      <c r="L251" s="1505"/>
      <c r="M251" s="1505">
        <f t="shared" si="14"/>
        <v>0</v>
      </c>
      <c r="N251" s="1505">
        <f t="shared" si="15"/>
        <v>0</v>
      </c>
    </row>
    <row r="252" spans="1:14" customFormat="1" outlineLevel="1" x14ac:dyDescent="0.25">
      <c r="A252" s="1511">
        <v>23.3</v>
      </c>
      <c r="B252" s="1515" t="s">
        <v>1927</v>
      </c>
      <c r="C252" s="1396" t="s">
        <v>1754</v>
      </c>
      <c r="D252" s="1378" t="s">
        <v>2102</v>
      </c>
      <c r="E252" s="1505">
        <v>0</v>
      </c>
      <c r="F252" s="1509">
        <v>0</v>
      </c>
      <c r="G252" s="1509">
        <v>0</v>
      </c>
      <c r="H252" s="1509">
        <f t="shared" si="13"/>
        <v>0</v>
      </c>
      <c r="I252" s="1509">
        <v>0</v>
      </c>
      <c r="J252" s="1509">
        <v>0</v>
      </c>
      <c r="K252" s="1505"/>
      <c r="L252" s="1505"/>
      <c r="M252" s="1505">
        <f t="shared" si="14"/>
        <v>0</v>
      </c>
      <c r="N252" s="1505">
        <f t="shared" si="15"/>
        <v>0</v>
      </c>
    </row>
    <row r="253" spans="1:14" customFormat="1" ht="29" outlineLevel="1" x14ac:dyDescent="0.25">
      <c r="A253" s="1511">
        <v>23.4</v>
      </c>
      <c r="B253" s="1515" t="s">
        <v>1929</v>
      </c>
      <c r="C253" s="1396" t="s">
        <v>1754</v>
      </c>
      <c r="D253" s="1378" t="s">
        <v>2102</v>
      </c>
      <c r="E253" s="1505">
        <v>0</v>
      </c>
      <c r="F253" s="1509">
        <v>0</v>
      </c>
      <c r="G253" s="1509">
        <v>0</v>
      </c>
      <c r="H253" s="1509">
        <f t="shared" si="13"/>
        <v>0</v>
      </c>
      <c r="I253" s="1509">
        <v>0</v>
      </c>
      <c r="J253" s="1509">
        <v>0</v>
      </c>
      <c r="K253" s="1505"/>
      <c r="L253" s="1505"/>
      <c r="M253" s="1505">
        <f t="shared" si="14"/>
        <v>0</v>
      </c>
      <c r="N253" s="1505">
        <f t="shared" si="15"/>
        <v>0</v>
      </c>
    </row>
    <row r="254" spans="1:14" customFormat="1" outlineLevel="1" x14ac:dyDescent="0.25">
      <c r="A254" s="1511">
        <v>23.5</v>
      </c>
      <c r="B254" s="1515" t="s">
        <v>1931</v>
      </c>
      <c r="C254" s="1396" t="s">
        <v>1754</v>
      </c>
      <c r="D254" s="1378" t="s">
        <v>2102</v>
      </c>
      <c r="E254" s="1505">
        <v>0</v>
      </c>
      <c r="F254" s="1509">
        <v>0</v>
      </c>
      <c r="G254" s="1509">
        <v>0</v>
      </c>
      <c r="H254" s="1509">
        <f t="shared" si="13"/>
        <v>0</v>
      </c>
      <c r="I254" s="1509">
        <v>0</v>
      </c>
      <c r="J254" s="1509">
        <v>0</v>
      </c>
      <c r="K254" s="1505"/>
      <c r="L254" s="1505"/>
      <c r="M254" s="1505">
        <f t="shared" si="14"/>
        <v>0</v>
      </c>
      <c r="N254" s="1505">
        <f t="shared" si="15"/>
        <v>0</v>
      </c>
    </row>
    <row r="255" spans="1:14" customFormat="1" ht="43.5" outlineLevel="1" x14ac:dyDescent="0.25">
      <c r="A255" s="1511">
        <v>23.6</v>
      </c>
      <c r="B255" s="1515" t="s">
        <v>1933</v>
      </c>
      <c r="C255" s="1396" t="s">
        <v>1754</v>
      </c>
      <c r="D255" s="1378" t="s">
        <v>2102</v>
      </c>
      <c r="E255" s="1505">
        <v>0</v>
      </c>
      <c r="F255" s="1509">
        <v>0</v>
      </c>
      <c r="G255" s="1509">
        <v>0</v>
      </c>
      <c r="H255" s="1509">
        <f t="shared" si="13"/>
        <v>0</v>
      </c>
      <c r="I255" s="1509">
        <v>0</v>
      </c>
      <c r="J255" s="1509">
        <v>0</v>
      </c>
      <c r="K255" s="1505"/>
      <c r="L255" s="1505"/>
      <c r="M255" s="1505">
        <f t="shared" si="14"/>
        <v>0</v>
      </c>
      <c r="N255" s="1505">
        <f t="shared" si="15"/>
        <v>0</v>
      </c>
    </row>
    <row r="256" spans="1:14" customFormat="1" outlineLevel="1" x14ac:dyDescent="0.25">
      <c r="A256" s="1511">
        <v>23.7</v>
      </c>
      <c r="B256" s="1515" t="s">
        <v>1935</v>
      </c>
      <c r="C256" s="1396" t="s">
        <v>1754</v>
      </c>
      <c r="D256" s="1378" t="s">
        <v>2102</v>
      </c>
      <c r="E256" s="1505">
        <v>0</v>
      </c>
      <c r="F256" s="1509">
        <v>0</v>
      </c>
      <c r="G256" s="1509">
        <v>0</v>
      </c>
      <c r="H256" s="1509">
        <f t="shared" si="13"/>
        <v>0</v>
      </c>
      <c r="I256" s="1509">
        <v>0</v>
      </c>
      <c r="J256" s="1509">
        <v>0</v>
      </c>
      <c r="K256" s="1505"/>
      <c r="L256" s="1505"/>
      <c r="M256" s="1505">
        <f t="shared" si="14"/>
        <v>0</v>
      </c>
      <c r="N256" s="1505">
        <f t="shared" si="15"/>
        <v>0</v>
      </c>
    </row>
    <row r="257" spans="1:14" customFormat="1" outlineLevel="1" x14ac:dyDescent="0.25">
      <c r="A257" s="1511">
        <v>23.8</v>
      </c>
      <c r="B257" s="1515" t="s">
        <v>1937</v>
      </c>
      <c r="C257" s="1396" t="s">
        <v>1754</v>
      </c>
      <c r="D257" s="1378" t="s">
        <v>2102</v>
      </c>
      <c r="E257" s="1505">
        <v>0</v>
      </c>
      <c r="F257" s="1509">
        <v>0</v>
      </c>
      <c r="G257" s="1509">
        <v>0</v>
      </c>
      <c r="H257" s="1509">
        <f t="shared" si="13"/>
        <v>0</v>
      </c>
      <c r="I257" s="1509">
        <v>0</v>
      </c>
      <c r="J257" s="1509">
        <v>0</v>
      </c>
      <c r="K257" s="1505"/>
      <c r="L257" s="1505"/>
      <c r="M257" s="1505">
        <f t="shared" si="14"/>
        <v>0</v>
      </c>
      <c r="N257" s="1505">
        <f t="shared" si="15"/>
        <v>0</v>
      </c>
    </row>
    <row r="258" spans="1:14" customFormat="1" outlineLevel="1" x14ac:dyDescent="0.25">
      <c r="A258" s="1511">
        <v>0</v>
      </c>
      <c r="B258" s="1515" t="s">
        <v>413</v>
      </c>
      <c r="C258" s="1396" t="s">
        <v>1754</v>
      </c>
      <c r="D258" s="1378" t="s">
        <v>2102</v>
      </c>
      <c r="E258" s="1505">
        <v>0</v>
      </c>
      <c r="F258" s="1509">
        <v>0</v>
      </c>
      <c r="G258" s="1509">
        <v>0</v>
      </c>
      <c r="H258" s="1509">
        <f t="shared" si="13"/>
        <v>0</v>
      </c>
      <c r="I258" s="1509">
        <v>0</v>
      </c>
      <c r="J258" s="1509">
        <v>0</v>
      </c>
      <c r="K258" s="1505"/>
      <c r="L258" s="1505"/>
      <c r="M258" s="1505">
        <f t="shared" si="14"/>
        <v>0</v>
      </c>
      <c r="N258" s="1505">
        <f t="shared" si="15"/>
        <v>0</v>
      </c>
    </row>
    <row r="259" spans="1:14" customFormat="1" ht="29" outlineLevel="1" x14ac:dyDescent="0.25">
      <c r="A259" s="1506">
        <v>24</v>
      </c>
      <c r="B259" s="1507" t="s">
        <v>1939</v>
      </c>
      <c r="C259" s="1506" t="s">
        <v>1754</v>
      </c>
      <c r="D259" s="1507" t="s">
        <v>2102</v>
      </c>
      <c r="E259" s="1506">
        <v>0</v>
      </c>
      <c r="F259" s="1509">
        <v>0</v>
      </c>
      <c r="G259" s="1509">
        <v>0</v>
      </c>
      <c r="H259" s="1509">
        <f t="shared" si="13"/>
        <v>0</v>
      </c>
      <c r="I259" s="1509">
        <v>0</v>
      </c>
      <c r="J259" s="1509">
        <v>0</v>
      </c>
      <c r="K259" s="1506"/>
      <c r="L259" s="1507"/>
      <c r="M259" s="1506">
        <f t="shared" si="14"/>
        <v>0</v>
      </c>
      <c r="N259" s="1507">
        <f t="shared" si="15"/>
        <v>0</v>
      </c>
    </row>
    <row r="260" spans="1:14" customFormat="1" outlineLevel="1" x14ac:dyDescent="0.25">
      <c r="A260" s="1511">
        <v>24.1</v>
      </c>
      <c r="B260" s="1515" t="s">
        <v>1940</v>
      </c>
      <c r="C260" s="1396" t="s">
        <v>1754</v>
      </c>
      <c r="D260" s="1378" t="s">
        <v>2102</v>
      </c>
      <c r="E260" s="1505">
        <v>0</v>
      </c>
      <c r="F260" s="1509">
        <v>0</v>
      </c>
      <c r="G260" s="1509">
        <v>0</v>
      </c>
      <c r="H260" s="1509">
        <f t="shared" si="13"/>
        <v>0</v>
      </c>
      <c r="I260" s="1509">
        <v>0</v>
      </c>
      <c r="J260" s="1509">
        <v>0</v>
      </c>
      <c r="K260" s="1505"/>
      <c r="L260" s="1505"/>
      <c r="M260" s="1505">
        <f t="shared" si="14"/>
        <v>0</v>
      </c>
      <c r="N260" s="1505">
        <f t="shared" si="15"/>
        <v>0</v>
      </c>
    </row>
    <row r="261" spans="1:14" customFormat="1" ht="29" outlineLevel="1" x14ac:dyDescent="0.25">
      <c r="A261" s="1511">
        <v>24.2</v>
      </c>
      <c r="B261" s="1515" t="s">
        <v>1942</v>
      </c>
      <c r="C261" s="1396" t="s">
        <v>1754</v>
      </c>
      <c r="D261" s="1378" t="s">
        <v>2102</v>
      </c>
      <c r="E261" s="1505">
        <v>0</v>
      </c>
      <c r="F261" s="1509">
        <v>0</v>
      </c>
      <c r="G261" s="1509">
        <v>0</v>
      </c>
      <c r="H261" s="1509">
        <f t="shared" si="13"/>
        <v>0</v>
      </c>
      <c r="I261" s="1509">
        <v>0</v>
      </c>
      <c r="J261" s="1509">
        <v>0</v>
      </c>
      <c r="K261" s="1505"/>
      <c r="L261" s="1505"/>
      <c r="M261" s="1505">
        <f t="shared" si="14"/>
        <v>0</v>
      </c>
      <c r="N261" s="1505">
        <f t="shared" si="15"/>
        <v>0</v>
      </c>
    </row>
    <row r="262" spans="1:14" customFormat="1" outlineLevel="1" x14ac:dyDescent="0.25">
      <c r="A262" s="1511">
        <v>24.3</v>
      </c>
      <c r="B262" s="1515" t="s">
        <v>1944</v>
      </c>
      <c r="C262" s="1396" t="s">
        <v>1754</v>
      </c>
      <c r="D262" s="1378" t="s">
        <v>2102</v>
      </c>
      <c r="E262" s="1505">
        <v>0</v>
      </c>
      <c r="F262" s="1509">
        <v>0</v>
      </c>
      <c r="G262" s="1509">
        <v>0</v>
      </c>
      <c r="H262" s="1509">
        <f t="shared" si="13"/>
        <v>0</v>
      </c>
      <c r="I262" s="1509">
        <v>0</v>
      </c>
      <c r="J262" s="1509">
        <v>0</v>
      </c>
      <c r="K262" s="1505"/>
      <c r="L262" s="1505"/>
      <c r="M262" s="1505">
        <f t="shared" si="14"/>
        <v>0</v>
      </c>
      <c r="N262" s="1505">
        <f t="shared" si="15"/>
        <v>0</v>
      </c>
    </row>
    <row r="263" spans="1:14" customFormat="1" ht="58" outlineLevel="1" x14ac:dyDescent="0.25">
      <c r="A263" s="1511">
        <v>24.4</v>
      </c>
      <c r="B263" s="1515" t="s">
        <v>1945</v>
      </c>
      <c r="C263" s="1396" t="s">
        <v>1754</v>
      </c>
      <c r="D263" s="1378" t="s">
        <v>2102</v>
      </c>
      <c r="E263" s="1505">
        <v>0</v>
      </c>
      <c r="F263" s="1509">
        <v>0</v>
      </c>
      <c r="G263" s="1509">
        <v>0</v>
      </c>
      <c r="H263" s="1509">
        <f t="shared" si="13"/>
        <v>0</v>
      </c>
      <c r="I263" s="1509">
        <v>0</v>
      </c>
      <c r="J263" s="1509">
        <v>0</v>
      </c>
      <c r="K263" s="1505"/>
      <c r="L263" s="1505"/>
      <c r="M263" s="1505">
        <f t="shared" si="14"/>
        <v>0</v>
      </c>
      <c r="N263" s="1505">
        <f t="shared" si="15"/>
        <v>0</v>
      </c>
    </row>
    <row r="264" spans="1:14" customFormat="1" outlineLevel="1" x14ac:dyDescent="0.25">
      <c r="A264" s="1511">
        <v>24.5</v>
      </c>
      <c r="B264" s="1515" t="s">
        <v>1946</v>
      </c>
      <c r="C264" s="1396" t="s">
        <v>1754</v>
      </c>
      <c r="D264" s="1378" t="s">
        <v>2102</v>
      </c>
      <c r="E264" s="1505">
        <v>0</v>
      </c>
      <c r="F264" s="1509">
        <v>0</v>
      </c>
      <c r="G264" s="1509">
        <v>0</v>
      </c>
      <c r="H264" s="1509">
        <f t="shared" si="13"/>
        <v>0</v>
      </c>
      <c r="I264" s="1509">
        <v>0</v>
      </c>
      <c r="J264" s="1509">
        <v>0</v>
      </c>
      <c r="K264" s="1505"/>
      <c r="L264" s="1505"/>
      <c r="M264" s="1505">
        <f t="shared" si="14"/>
        <v>0</v>
      </c>
      <c r="N264" s="1505">
        <f t="shared" si="15"/>
        <v>0</v>
      </c>
    </row>
    <row r="265" spans="1:14" customFormat="1" ht="43.5" outlineLevel="1" x14ac:dyDescent="0.25">
      <c r="A265" s="1511">
        <v>24.6</v>
      </c>
      <c r="B265" s="1515" t="s">
        <v>1948</v>
      </c>
      <c r="C265" s="1396" t="s">
        <v>1754</v>
      </c>
      <c r="D265" s="1378" t="s">
        <v>2102</v>
      </c>
      <c r="E265" s="1505">
        <v>0</v>
      </c>
      <c r="F265" s="1509">
        <v>0</v>
      </c>
      <c r="G265" s="1509">
        <v>0</v>
      </c>
      <c r="H265" s="1509">
        <f t="shared" si="13"/>
        <v>0</v>
      </c>
      <c r="I265" s="1509">
        <v>0</v>
      </c>
      <c r="J265" s="1509">
        <v>0</v>
      </c>
      <c r="K265" s="1505"/>
      <c r="L265" s="1505"/>
      <c r="M265" s="1505">
        <f t="shared" si="14"/>
        <v>0</v>
      </c>
      <c r="N265" s="1505">
        <f t="shared" si="15"/>
        <v>0</v>
      </c>
    </row>
    <row r="266" spans="1:14" customFormat="1" ht="43.5" outlineLevel="1" x14ac:dyDescent="0.25">
      <c r="A266" s="1511">
        <v>24.7</v>
      </c>
      <c r="B266" s="1515" t="s">
        <v>1950</v>
      </c>
      <c r="C266" s="1396" t="s">
        <v>1754</v>
      </c>
      <c r="D266" s="1378" t="s">
        <v>2102</v>
      </c>
      <c r="E266" s="1505">
        <v>0</v>
      </c>
      <c r="F266" s="1509">
        <v>0</v>
      </c>
      <c r="G266" s="1509">
        <v>0</v>
      </c>
      <c r="H266" s="1509">
        <f t="shared" si="13"/>
        <v>0</v>
      </c>
      <c r="I266" s="1509">
        <v>0</v>
      </c>
      <c r="J266" s="1509">
        <v>0</v>
      </c>
      <c r="K266" s="1505"/>
      <c r="L266" s="1505"/>
      <c r="M266" s="1505">
        <f t="shared" si="14"/>
        <v>0</v>
      </c>
      <c r="N266" s="1505">
        <f t="shared" si="15"/>
        <v>0</v>
      </c>
    </row>
    <row r="267" spans="1:14" customFormat="1" outlineLevel="1" x14ac:dyDescent="0.25">
      <c r="A267" s="1511">
        <v>0</v>
      </c>
      <c r="B267" s="1515" t="s">
        <v>413</v>
      </c>
      <c r="C267" s="1396" t="s">
        <v>1754</v>
      </c>
      <c r="D267" s="1378" t="s">
        <v>2102</v>
      </c>
      <c r="E267" s="1505">
        <v>0</v>
      </c>
      <c r="F267" s="1509">
        <v>0</v>
      </c>
      <c r="G267" s="1509">
        <v>0</v>
      </c>
      <c r="H267" s="1509">
        <f t="shared" ref="H267:H330" si="16">F267-G267</f>
        <v>0</v>
      </c>
      <c r="I267" s="1509">
        <v>0</v>
      </c>
      <c r="J267" s="1509">
        <v>0</v>
      </c>
      <c r="K267" s="1505"/>
      <c r="L267" s="1505"/>
      <c r="M267" s="1505">
        <f t="shared" si="14"/>
        <v>0</v>
      </c>
      <c r="N267" s="1505">
        <f t="shared" si="15"/>
        <v>0</v>
      </c>
    </row>
    <row r="268" spans="1:14" customFormat="1" ht="87" outlineLevel="1" x14ac:dyDescent="0.25">
      <c r="A268" s="1506">
        <v>25</v>
      </c>
      <c r="B268" s="1507" t="s">
        <v>1952</v>
      </c>
      <c r="C268" s="1506" t="s">
        <v>1754</v>
      </c>
      <c r="D268" s="1507" t="s">
        <v>2102</v>
      </c>
      <c r="E268" s="1506">
        <v>0</v>
      </c>
      <c r="F268" s="1509">
        <v>0</v>
      </c>
      <c r="G268" s="1509">
        <v>0</v>
      </c>
      <c r="H268" s="1509">
        <f t="shared" si="16"/>
        <v>0</v>
      </c>
      <c r="I268" s="1509">
        <v>0</v>
      </c>
      <c r="J268" s="1509">
        <v>0</v>
      </c>
      <c r="K268" s="1506"/>
      <c r="L268" s="1507"/>
      <c r="M268" s="1506">
        <f t="shared" si="14"/>
        <v>0</v>
      </c>
      <c r="N268" s="1507">
        <f t="shared" si="15"/>
        <v>0</v>
      </c>
    </row>
    <row r="269" spans="1:14" customFormat="1" ht="58" outlineLevel="1" x14ac:dyDescent="0.25">
      <c r="A269" s="1511">
        <v>25.1</v>
      </c>
      <c r="B269" s="1515" t="s">
        <v>1953</v>
      </c>
      <c r="C269" s="1396" t="s">
        <v>1754</v>
      </c>
      <c r="D269" s="1378" t="s">
        <v>2102</v>
      </c>
      <c r="E269" s="1505">
        <v>0</v>
      </c>
      <c r="F269" s="1509">
        <v>0</v>
      </c>
      <c r="G269" s="1509">
        <v>0</v>
      </c>
      <c r="H269" s="1509">
        <f t="shared" si="16"/>
        <v>0</v>
      </c>
      <c r="I269" s="1509">
        <v>0</v>
      </c>
      <c r="J269" s="1509">
        <v>0</v>
      </c>
      <c r="K269" s="1505"/>
      <c r="L269" s="1505"/>
      <c r="M269" s="1505">
        <f t="shared" si="14"/>
        <v>0</v>
      </c>
      <c r="N269" s="1505">
        <f t="shared" si="15"/>
        <v>0</v>
      </c>
    </row>
    <row r="270" spans="1:14" customFormat="1" ht="58" outlineLevel="1" x14ac:dyDescent="0.25">
      <c r="A270" s="1511">
        <v>25.2</v>
      </c>
      <c r="B270" s="1515" t="s">
        <v>1955</v>
      </c>
      <c r="C270" s="1396" t="s">
        <v>1754</v>
      </c>
      <c r="D270" s="1378" t="s">
        <v>2102</v>
      </c>
      <c r="E270" s="1505">
        <v>0</v>
      </c>
      <c r="F270" s="1509">
        <v>0</v>
      </c>
      <c r="G270" s="1509">
        <v>0</v>
      </c>
      <c r="H270" s="1509">
        <f t="shared" si="16"/>
        <v>0</v>
      </c>
      <c r="I270" s="1509">
        <v>0</v>
      </c>
      <c r="J270" s="1509">
        <v>0</v>
      </c>
      <c r="K270" s="1505"/>
      <c r="L270" s="1505"/>
      <c r="M270" s="1505">
        <f t="shared" ref="M270:M333" si="17">SUM(J270:L270)</f>
        <v>0</v>
      </c>
      <c r="N270" s="1505">
        <f t="shared" ref="N270:N333" si="18">H270+I270-M270</f>
        <v>0</v>
      </c>
    </row>
    <row r="271" spans="1:14" customFormat="1" ht="29" outlineLevel="1" x14ac:dyDescent="0.25">
      <c r="A271" s="1511">
        <v>25.3</v>
      </c>
      <c r="B271" s="1515" t="s">
        <v>1957</v>
      </c>
      <c r="C271" s="1396" t="s">
        <v>1754</v>
      </c>
      <c r="D271" s="1378" t="s">
        <v>2102</v>
      </c>
      <c r="E271" s="1505">
        <v>0</v>
      </c>
      <c r="F271" s="1509">
        <v>0</v>
      </c>
      <c r="G271" s="1509">
        <v>0</v>
      </c>
      <c r="H271" s="1509">
        <f t="shared" si="16"/>
        <v>0</v>
      </c>
      <c r="I271" s="1509">
        <v>0</v>
      </c>
      <c r="J271" s="1509">
        <v>0</v>
      </c>
      <c r="K271" s="1505"/>
      <c r="L271" s="1505"/>
      <c r="M271" s="1505">
        <f t="shared" si="17"/>
        <v>0</v>
      </c>
      <c r="N271" s="1505">
        <f t="shared" si="18"/>
        <v>0</v>
      </c>
    </row>
    <row r="272" spans="1:14" customFormat="1" outlineLevel="1" x14ac:dyDescent="0.25">
      <c r="A272" s="1511">
        <v>0</v>
      </c>
      <c r="B272" s="1515" t="s">
        <v>413</v>
      </c>
      <c r="C272" s="1396" t="s">
        <v>1754</v>
      </c>
      <c r="D272" s="1378" t="s">
        <v>2102</v>
      </c>
      <c r="E272" s="1505">
        <v>0</v>
      </c>
      <c r="F272" s="1509">
        <v>0</v>
      </c>
      <c r="G272" s="1509">
        <v>0</v>
      </c>
      <c r="H272" s="1509">
        <f t="shared" si="16"/>
        <v>0</v>
      </c>
      <c r="I272" s="1509">
        <v>0</v>
      </c>
      <c r="J272" s="1509">
        <v>0</v>
      </c>
      <c r="K272" s="1505"/>
      <c r="L272" s="1505"/>
      <c r="M272" s="1505">
        <f t="shared" si="17"/>
        <v>0</v>
      </c>
      <c r="N272" s="1505">
        <f t="shared" si="18"/>
        <v>0</v>
      </c>
    </row>
    <row r="273" spans="1:14" customFormat="1" ht="29" outlineLevel="1" x14ac:dyDescent="0.25">
      <c r="A273" s="1506">
        <v>26</v>
      </c>
      <c r="B273" s="1507" t="s">
        <v>1958</v>
      </c>
      <c r="C273" s="1506" t="s">
        <v>1754</v>
      </c>
      <c r="D273" s="1507" t="s">
        <v>2102</v>
      </c>
      <c r="E273" s="1506">
        <v>0</v>
      </c>
      <c r="F273" s="1509">
        <v>0</v>
      </c>
      <c r="G273" s="1509">
        <v>0</v>
      </c>
      <c r="H273" s="1509">
        <f t="shared" si="16"/>
        <v>0</v>
      </c>
      <c r="I273" s="1509">
        <v>0</v>
      </c>
      <c r="J273" s="1509">
        <v>0</v>
      </c>
      <c r="K273" s="1506"/>
      <c r="L273" s="1507"/>
      <c r="M273" s="1506">
        <f t="shared" si="17"/>
        <v>0</v>
      </c>
      <c r="N273" s="1507">
        <f t="shared" si="18"/>
        <v>0</v>
      </c>
    </row>
    <row r="274" spans="1:14" customFormat="1" ht="29" outlineLevel="1" x14ac:dyDescent="0.25">
      <c r="A274" s="1511">
        <v>26.1</v>
      </c>
      <c r="B274" s="1515" t="s">
        <v>1959</v>
      </c>
      <c r="C274" s="1396" t="s">
        <v>1754</v>
      </c>
      <c r="D274" s="1378" t="s">
        <v>2102</v>
      </c>
      <c r="E274" s="1505">
        <v>0</v>
      </c>
      <c r="F274" s="1509">
        <v>0</v>
      </c>
      <c r="G274" s="1509">
        <v>0</v>
      </c>
      <c r="H274" s="1509">
        <f t="shared" si="16"/>
        <v>0</v>
      </c>
      <c r="I274" s="1509">
        <v>0</v>
      </c>
      <c r="J274" s="1509">
        <v>0</v>
      </c>
      <c r="K274" s="1505"/>
      <c r="L274" s="1505"/>
      <c r="M274" s="1505">
        <f t="shared" si="17"/>
        <v>0</v>
      </c>
      <c r="N274" s="1505">
        <f t="shared" si="18"/>
        <v>0</v>
      </c>
    </row>
    <row r="275" spans="1:14" customFormat="1" ht="29" outlineLevel="1" x14ac:dyDescent="0.25">
      <c r="A275" s="1511">
        <v>26.2</v>
      </c>
      <c r="B275" s="1515" t="s">
        <v>1961</v>
      </c>
      <c r="C275" s="1396" t="s">
        <v>1754</v>
      </c>
      <c r="D275" s="1378" t="s">
        <v>2102</v>
      </c>
      <c r="E275" s="1505">
        <v>0</v>
      </c>
      <c r="F275" s="1509">
        <v>0</v>
      </c>
      <c r="G275" s="1509">
        <v>0</v>
      </c>
      <c r="H275" s="1509">
        <f t="shared" si="16"/>
        <v>0</v>
      </c>
      <c r="I275" s="1509">
        <v>0</v>
      </c>
      <c r="J275" s="1509">
        <v>0</v>
      </c>
      <c r="K275" s="1505"/>
      <c r="L275" s="1505"/>
      <c r="M275" s="1505">
        <f t="shared" si="17"/>
        <v>0</v>
      </c>
      <c r="N275" s="1505">
        <f t="shared" si="18"/>
        <v>0</v>
      </c>
    </row>
    <row r="276" spans="1:14" customFormat="1" ht="29" outlineLevel="1" x14ac:dyDescent="0.25">
      <c r="A276" s="1511">
        <v>26.3</v>
      </c>
      <c r="B276" s="1515" t="s">
        <v>1962</v>
      </c>
      <c r="C276" s="1396" t="s">
        <v>1754</v>
      </c>
      <c r="D276" s="1378" t="s">
        <v>2102</v>
      </c>
      <c r="E276" s="1505">
        <v>0</v>
      </c>
      <c r="F276" s="1509">
        <v>0</v>
      </c>
      <c r="G276" s="1509">
        <v>0</v>
      </c>
      <c r="H276" s="1509">
        <f t="shared" si="16"/>
        <v>0</v>
      </c>
      <c r="I276" s="1509">
        <v>0</v>
      </c>
      <c r="J276" s="1509">
        <v>0</v>
      </c>
      <c r="K276" s="1505"/>
      <c r="L276" s="1505"/>
      <c r="M276" s="1505">
        <f t="shared" si="17"/>
        <v>0</v>
      </c>
      <c r="N276" s="1505">
        <f t="shared" si="18"/>
        <v>0</v>
      </c>
    </row>
    <row r="277" spans="1:14" customFormat="1" ht="29" outlineLevel="1" x14ac:dyDescent="0.25">
      <c r="A277" s="1511">
        <v>26.4</v>
      </c>
      <c r="B277" s="1515" t="s">
        <v>1963</v>
      </c>
      <c r="C277" s="1396" t="s">
        <v>1754</v>
      </c>
      <c r="D277" s="1378" t="s">
        <v>2102</v>
      </c>
      <c r="E277" s="1505">
        <v>0</v>
      </c>
      <c r="F277" s="1509">
        <v>0</v>
      </c>
      <c r="G277" s="1509">
        <v>0</v>
      </c>
      <c r="H277" s="1509">
        <f t="shared" si="16"/>
        <v>0</v>
      </c>
      <c r="I277" s="1509">
        <v>0</v>
      </c>
      <c r="J277" s="1509">
        <v>0</v>
      </c>
      <c r="K277" s="1505"/>
      <c r="L277" s="1505"/>
      <c r="M277" s="1505">
        <f t="shared" si="17"/>
        <v>0</v>
      </c>
      <c r="N277" s="1505">
        <f t="shared" si="18"/>
        <v>0</v>
      </c>
    </row>
    <row r="278" spans="1:14" customFormat="1" ht="43.5" outlineLevel="1" x14ac:dyDescent="0.25">
      <c r="A278" s="1511">
        <v>26.5</v>
      </c>
      <c r="B278" s="1515" t="s">
        <v>1964</v>
      </c>
      <c r="C278" s="1396" t="s">
        <v>1754</v>
      </c>
      <c r="D278" s="1378" t="s">
        <v>2102</v>
      </c>
      <c r="E278" s="1505">
        <v>0</v>
      </c>
      <c r="F278" s="1509">
        <v>0</v>
      </c>
      <c r="G278" s="1509">
        <v>0</v>
      </c>
      <c r="H278" s="1509">
        <f t="shared" si="16"/>
        <v>0</v>
      </c>
      <c r="I278" s="1509">
        <v>0</v>
      </c>
      <c r="J278" s="1509">
        <v>0</v>
      </c>
      <c r="K278" s="1505"/>
      <c r="L278" s="1505"/>
      <c r="M278" s="1505">
        <f t="shared" si="17"/>
        <v>0</v>
      </c>
      <c r="N278" s="1505">
        <f t="shared" si="18"/>
        <v>0</v>
      </c>
    </row>
    <row r="279" spans="1:14" customFormat="1" outlineLevel="1" x14ac:dyDescent="0.25">
      <c r="A279" s="1511">
        <v>26.6</v>
      </c>
      <c r="B279" s="1515" t="s">
        <v>1965</v>
      </c>
      <c r="C279" s="1396" t="s">
        <v>1754</v>
      </c>
      <c r="D279" s="1378" t="s">
        <v>2102</v>
      </c>
      <c r="E279" s="1505">
        <v>0</v>
      </c>
      <c r="F279" s="1509">
        <v>0</v>
      </c>
      <c r="G279" s="1509">
        <v>0</v>
      </c>
      <c r="H279" s="1509">
        <f t="shared" si="16"/>
        <v>0</v>
      </c>
      <c r="I279" s="1509">
        <v>0</v>
      </c>
      <c r="J279" s="1509">
        <v>0</v>
      </c>
      <c r="K279" s="1505"/>
      <c r="L279" s="1505"/>
      <c r="M279" s="1505">
        <f t="shared" si="17"/>
        <v>0</v>
      </c>
      <c r="N279" s="1505">
        <f t="shared" si="18"/>
        <v>0</v>
      </c>
    </row>
    <row r="280" spans="1:14" customFormat="1" ht="43.5" outlineLevel="1" x14ac:dyDescent="0.25">
      <c r="A280" s="1511">
        <v>26.7</v>
      </c>
      <c r="B280" s="1515" t="s">
        <v>1966</v>
      </c>
      <c r="C280" s="1396" t="s">
        <v>1754</v>
      </c>
      <c r="D280" s="1378" t="s">
        <v>2102</v>
      </c>
      <c r="E280" s="1505">
        <v>0</v>
      </c>
      <c r="F280" s="1509">
        <v>0</v>
      </c>
      <c r="G280" s="1509">
        <v>0</v>
      </c>
      <c r="H280" s="1509">
        <f t="shared" si="16"/>
        <v>0</v>
      </c>
      <c r="I280" s="1509">
        <v>0</v>
      </c>
      <c r="J280" s="1509">
        <v>0</v>
      </c>
      <c r="K280" s="1505"/>
      <c r="L280" s="1505"/>
      <c r="M280" s="1505">
        <f t="shared" si="17"/>
        <v>0</v>
      </c>
      <c r="N280" s="1505">
        <f t="shared" si="18"/>
        <v>0</v>
      </c>
    </row>
    <row r="281" spans="1:14" customFormat="1" ht="29" outlineLevel="1" x14ac:dyDescent="0.25">
      <c r="A281" s="1511">
        <v>26.8</v>
      </c>
      <c r="B281" s="1515" t="s">
        <v>1967</v>
      </c>
      <c r="C281" s="1396" t="s">
        <v>1754</v>
      </c>
      <c r="D281" s="1378" t="s">
        <v>2102</v>
      </c>
      <c r="E281" s="1505">
        <v>0</v>
      </c>
      <c r="F281" s="1509">
        <v>0</v>
      </c>
      <c r="G281" s="1509">
        <v>0</v>
      </c>
      <c r="H281" s="1509">
        <f t="shared" si="16"/>
        <v>0</v>
      </c>
      <c r="I281" s="1509">
        <v>0</v>
      </c>
      <c r="J281" s="1509">
        <v>0</v>
      </c>
      <c r="K281" s="1505"/>
      <c r="L281" s="1505"/>
      <c r="M281" s="1505">
        <f t="shared" si="17"/>
        <v>0</v>
      </c>
      <c r="N281" s="1505">
        <f t="shared" si="18"/>
        <v>0</v>
      </c>
    </row>
    <row r="282" spans="1:14" customFormat="1" outlineLevel="1" x14ac:dyDescent="0.25">
      <c r="A282" s="1511">
        <v>26.9</v>
      </c>
      <c r="B282" s="1515" t="s">
        <v>1968</v>
      </c>
      <c r="C282" s="1396" t="s">
        <v>1754</v>
      </c>
      <c r="D282" s="1378" t="s">
        <v>2102</v>
      </c>
      <c r="E282" s="1505">
        <v>0</v>
      </c>
      <c r="F282" s="1509">
        <v>0</v>
      </c>
      <c r="G282" s="1509">
        <v>0</v>
      </c>
      <c r="H282" s="1509">
        <f t="shared" si="16"/>
        <v>0</v>
      </c>
      <c r="I282" s="1509">
        <v>0</v>
      </c>
      <c r="J282" s="1509">
        <v>0</v>
      </c>
      <c r="K282" s="1505"/>
      <c r="L282" s="1505"/>
      <c r="M282" s="1505">
        <f t="shared" si="17"/>
        <v>0</v>
      </c>
      <c r="N282" s="1505">
        <f t="shared" si="18"/>
        <v>0</v>
      </c>
    </row>
    <row r="283" spans="1:14" customFormat="1" ht="29" outlineLevel="1" x14ac:dyDescent="0.25">
      <c r="A283" s="1511">
        <v>26.1</v>
      </c>
      <c r="B283" s="1515" t="s">
        <v>1969</v>
      </c>
      <c r="C283" s="1396" t="s">
        <v>1754</v>
      </c>
      <c r="D283" s="1378" t="s">
        <v>2102</v>
      </c>
      <c r="E283" s="1505">
        <v>0</v>
      </c>
      <c r="F283" s="1509">
        <v>0</v>
      </c>
      <c r="G283" s="1509">
        <v>0</v>
      </c>
      <c r="H283" s="1509">
        <f t="shared" si="16"/>
        <v>0</v>
      </c>
      <c r="I283" s="1509">
        <v>0</v>
      </c>
      <c r="J283" s="1509">
        <v>0</v>
      </c>
      <c r="K283" s="1505"/>
      <c r="L283" s="1505"/>
      <c r="M283" s="1505">
        <f t="shared" si="17"/>
        <v>0</v>
      </c>
      <c r="N283" s="1505">
        <f t="shared" si="18"/>
        <v>0</v>
      </c>
    </row>
    <row r="284" spans="1:14" customFormat="1" ht="43.5" outlineLevel="1" x14ac:dyDescent="0.25">
      <c r="A284" s="1511">
        <v>26.11</v>
      </c>
      <c r="B284" s="1515" t="s">
        <v>1970</v>
      </c>
      <c r="C284" s="1396" t="s">
        <v>1754</v>
      </c>
      <c r="D284" s="1378" t="s">
        <v>2102</v>
      </c>
      <c r="E284" s="1505">
        <v>0</v>
      </c>
      <c r="F284" s="1509">
        <v>0</v>
      </c>
      <c r="G284" s="1509">
        <v>0</v>
      </c>
      <c r="H284" s="1509">
        <f t="shared" si="16"/>
        <v>0</v>
      </c>
      <c r="I284" s="1509">
        <v>0</v>
      </c>
      <c r="J284" s="1509">
        <v>0</v>
      </c>
      <c r="K284" s="1505"/>
      <c r="L284" s="1505"/>
      <c r="M284" s="1505">
        <f t="shared" si="17"/>
        <v>0</v>
      </c>
      <c r="N284" s="1505">
        <f t="shared" si="18"/>
        <v>0</v>
      </c>
    </row>
    <row r="285" spans="1:14" customFormat="1" outlineLevel="1" x14ac:dyDescent="0.25">
      <c r="A285" s="1511">
        <v>0</v>
      </c>
      <c r="B285" s="1515" t="s">
        <v>413</v>
      </c>
      <c r="C285" s="1396" t="s">
        <v>1754</v>
      </c>
      <c r="D285" s="1378" t="s">
        <v>2102</v>
      </c>
      <c r="E285" s="1505">
        <v>0</v>
      </c>
      <c r="F285" s="1509">
        <v>0</v>
      </c>
      <c r="G285" s="1509">
        <v>0</v>
      </c>
      <c r="H285" s="1509">
        <f t="shared" si="16"/>
        <v>0</v>
      </c>
      <c r="I285" s="1509">
        <v>0</v>
      </c>
      <c r="J285" s="1509">
        <v>0</v>
      </c>
      <c r="K285" s="1505"/>
      <c r="L285" s="1505"/>
      <c r="M285" s="1505">
        <f t="shared" si="17"/>
        <v>0</v>
      </c>
      <c r="N285" s="1505">
        <f t="shared" si="18"/>
        <v>0</v>
      </c>
    </row>
    <row r="286" spans="1:14" customFormat="1" ht="29" outlineLevel="1" x14ac:dyDescent="0.25">
      <c r="A286" s="1506">
        <v>27</v>
      </c>
      <c r="B286" s="1507" t="s">
        <v>1958</v>
      </c>
      <c r="C286" s="1506" t="s">
        <v>1754</v>
      </c>
      <c r="D286" s="1507" t="s">
        <v>2102</v>
      </c>
      <c r="E286" s="1506">
        <v>0</v>
      </c>
      <c r="F286" s="1509">
        <v>0</v>
      </c>
      <c r="G286" s="1509">
        <v>0</v>
      </c>
      <c r="H286" s="1509">
        <f t="shared" si="16"/>
        <v>0</v>
      </c>
      <c r="I286" s="1509">
        <v>0</v>
      </c>
      <c r="J286" s="1509">
        <v>0</v>
      </c>
      <c r="K286" s="1506"/>
      <c r="L286" s="1507"/>
      <c r="M286" s="1506">
        <f t="shared" si="17"/>
        <v>0</v>
      </c>
      <c r="N286" s="1507">
        <f t="shared" si="18"/>
        <v>0</v>
      </c>
    </row>
    <row r="287" spans="1:14" customFormat="1" ht="29" outlineLevel="1" x14ac:dyDescent="0.25">
      <c r="A287" s="1511">
        <v>27.1</v>
      </c>
      <c r="B287" s="1515" t="s">
        <v>1971</v>
      </c>
      <c r="C287" s="1396" t="s">
        <v>1754</v>
      </c>
      <c r="D287" s="1378" t="s">
        <v>2102</v>
      </c>
      <c r="E287" s="1505">
        <v>0</v>
      </c>
      <c r="F287" s="1509">
        <v>0</v>
      </c>
      <c r="G287" s="1509">
        <v>0</v>
      </c>
      <c r="H287" s="1509">
        <f t="shared" si="16"/>
        <v>0</v>
      </c>
      <c r="I287" s="1509">
        <v>0</v>
      </c>
      <c r="J287" s="1509">
        <v>0</v>
      </c>
      <c r="K287" s="1505"/>
      <c r="L287" s="1505"/>
      <c r="M287" s="1505">
        <f t="shared" si="17"/>
        <v>0</v>
      </c>
      <c r="N287" s="1505">
        <f t="shared" si="18"/>
        <v>0</v>
      </c>
    </row>
    <row r="288" spans="1:14" customFormat="1" ht="29" outlineLevel="1" x14ac:dyDescent="0.25">
      <c r="A288" s="1511">
        <v>27.2</v>
      </c>
      <c r="B288" s="1515" t="s">
        <v>1972</v>
      </c>
      <c r="C288" s="1396" t="s">
        <v>1754</v>
      </c>
      <c r="D288" s="1378" t="s">
        <v>2102</v>
      </c>
      <c r="E288" s="1505">
        <v>0</v>
      </c>
      <c r="F288" s="1509">
        <v>0</v>
      </c>
      <c r="G288" s="1509">
        <v>0</v>
      </c>
      <c r="H288" s="1509">
        <f t="shared" si="16"/>
        <v>0</v>
      </c>
      <c r="I288" s="1509">
        <v>0</v>
      </c>
      <c r="J288" s="1509">
        <v>0</v>
      </c>
      <c r="K288" s="1505"/>
      <c r="L288" s="1505"/>
      <c r="M288" s="1505">
        <f t="shared" si="17"/>
        <v>0</v>
      </c>
      <c r="N288" s="1505">
        <f t="shared" si="18"/>
        <v>0</v>
      </c>
    </row>
    <row r="289" spans="1:14" customFormat="1" ht="29" outlineLevel="1" x14ac:dyDescent="0.25">
      <c r="A289" s="1511">
        <v>27.3</v>
      </c>
      <c r="B289" s="1515" t="s">
        <v>1973</v>
      </c>
      <c r="C289" s="1396" t="s">
        <v>1754</v>
      </c>
      <c r="D289" s="1378" t="s">
        <v>2102</v>
      </c>
      <c r="E289" s="1505">
        <v>0</v>
      </c>
      <c r="F289" s="1509">
        <v>0</v>
      </c>
      <c r="G289" s="1509">
        <v>0</v>
      </c>
      <c r="H289" s="1509">
        <f t="shared" si="16"/>
        <v>0</v>
      </c>
      <c r="I289" s="1509">
        <v>0</v>
      </c>
      <c r="J289" s="1509">
        <v>0</v>
      </c>
      <c r="K289" s="1505"/>
      <c r="L289" s="1505"/>
      <c r="M289" s="1505">
        <f t="shared" si="17"/>
        <v>0</v>
      </c>
      <c r="N289" s="1505">
        <f t="shared" si="18"/>
        <v>0</v>
      </c>
    </row>
    <row r="290" spans="1:14" customFormat="1" ht="29" outlineLevel="1" x14ac:dyDescent="0.25">
      <c r="A290" s="1511">
        <v>27.4</v>
      </c>
      <c r="B290" s="1515" t="s">
        <v>1974</v>
      </c>
      <c r="C290" s="1396" t="s">
        <v>1754</v>
      </c>
      <c r="D290" s="1378" t="s">
        <v>2102</v>
      </c>
      <c r="E290" s="1505">
        <v>0</v>
      </c>
      <c r="F290" s="1509">
        <v>0</v>
      </c>
      <c r="G290" s="1509">
        <v>0</v>
      </c>
      <c r="H290" s="1509">
        <f t="shared" si="16"/>
        <v>0</v>
      </c>
      <c r="I290" s="1509">
        <v>0</v>
      </c>
      <c r="J290" s="1509">
        <v>0</v>
      </c>
      <c r="K290" s="1505"/>
      <c r="L290" s="1505"/>
      <c r="M290" s="1505">
        <f t="shared" si="17"/>
        <v>0</v>
      </c>
      <c r="N290" s="1505">
        <f t="shared" si="18"/>
        <v>0</v>
      </c>
    </row>
    <row r="291" spans="1:14" customFormat="1" outlineLevel="1" x14ac:dyDescent="0.25">
      <c r="A291" s="1511">
        <v>27.5</v>
      </c>
      <c r="B291" s="1515" t="s">
        <v>1975</v>
      </c>
      <c r="C291" s="1396" t="s">
        <v>1754</v>
      </c>
      <c r="D291" s="1378" t="s">
        <v>2102</v>
      </c>
      <c r="E291" s="1505">
        <v>0</v>
      </c>
      <c r="F291" s="1509">
        <v>0</v>
      </c>
      <c r="G291" s="1509">
        <v>0</v>
      </c>
      <c r="H291" s="1509">
        <f t="shared" si="16"/>
        <v>0</v>
      </c>
      <c r="I291" s="1509">
        <v>0</v>
      </c>
      <c r="J291" s="1509">
        <v>0</v>
      </c>
      <c r="K291" s="1505"/>
      <c r="L291" s="1505"/>
      <c r="M291" s="1505">
        <f t="shared" si="17"/>
        <v>0</v>
      </c>
      <c r="N291" s="1505">
        <f t="shared" si="18"/>
        <v>0</v>
      </c>
    </row>
    <row r="292" spans="1:14" customFormat="1" ht="29" outlineLevel="1" x14ac:dyDescent="0.25">
      <c r="A292" s="1511">
        <v>27.6</v>
      </c>
      <c r="B292" s="1515" t="s">
        <v>1976</v>
      </c>
      <c r="C292" s="1396" t="s">
        <v>1754</v>
      </c>
      <c r="D292" s="1378" t="s">
        <v>2102</v>
      </c>
      <c r="E292" s="1505">
        <v>0</v>
      </c>
      <c r="F292" s="1509">
        <v>0</v>
      </c>
      <c r="G292" s="1509">
        <v>0</v>
      </c>
      <c r="H292" s="1509">
        <f t="shared" si="16"/>
        <v>0</v>
      </c>
      <c r="I292" s="1509">
        <v>0</v>
      </c>
      <c r="J292" s="1509">
        <v>0</v>
      </c>
      <c r="K292" s="1505"/>
      <c r="L292" s="1505"/>
      <c r="M292" s="1505">
        <f t="shared" si="17"/>
        <v>0</v>
      </c>
      <c r="N292" s="1505">
        <f t="shared" si="18"/>
        <v>0</v>
      </c>
    </row>
    <row r="293" spans="1:14" customFormat="1" ht="29" outlineLevel="1" x14ac:dyDescent="0.25">
      <c r="A293" s="1511">
        <v>27.7</v>
      </c>
      <c r="B293" s="1515" t="s">
        <v>1977</v>
      </c>
      <c r="C293" s="1396" t="s">
        <v>1754</v>
      </c>
      <c r="D293" s="1378" t="s">
        <v>2102</v>
      </c>
      <c r="E293" s="1505">
        <v>0</v>
      </c>
      <c r="F293" s="1509">
        <v>0</v>
      </c>
      <c r="G293" s="1509">
        <v>0</v>
      </c>
      <c r="H293" s="1509">
        <f t="shared" si="16"/>
        <v>0</v>
      </c>
      <c r="I293" s="1509">
        <v>0</v>
      </c>
      <c r="J293" s="1509">
        <v>0</v>
      </c>
      <c r="K293" s="1505"/>
      <c r="L293" s="1505"/>
      <c r="M293" s="1505">
        <f t="shared" si="17"/>
        <v>0</v>
      </c>
      <c r="N293" s="1505">
        <f t="shared" si="18"/>
        <v>0</v>
      </c>
    </row>
    <row r="294" spans="1:14" customFormat="1" ht="43.5" outlineLevel="1" x14ac:dyDescent="0.25">
      <c r="A294" s="1511">
        <v>27.8</v>
      </c>
      <c r="B294" s="1515" t="s">
        <v>1978</v>
      </c>
      <c r="C294" s="1396" t="s">
        <v>1754</v>
      </c>
      <c r="D294" s="1378" t="s">
        <v>2102</v>
      </c>
      <c r="E294" s="1505">
        <v>0</v>
      </c>
      <c r="F294" s="1509">
        <v>0</v>
      </c>
      <c r="G294" s="1509">
        <v>0</v>
      </c>
      <c r="H294" s="1509">
        <f t="shared" si="16"/>
        <v>0</v>
      </c>
      <c r="I294" s="1509">
        <v>0</v>
      </c>
      <c r="J294" s="1509">
        <v>0</v>
      </c>
      <c r="K294" s="1505"/>
      <c r="L294" s="1505"/>
      <c r="M294" s="1505">
        <f t="shared" si="17"/>
        <v>0</v>
      </c>
      <c r="N294" s="1505">
        <f t="shared" si="18"/>
        <v>0</v>
      </c>
    </row>
    <row r="295" spans="1:14" customFormat="1" outlineLevel="1" x14ac:dyDescent="0.25">
      <c r="A295" s="1511">
        <v>27.9</v>
      </c>
      <c r="B295" s="1515" t="s">
        <v>1979</v>
      </c>
      <c r="C295" s="1396" t="s">
        <v>1754</v>
      </c>
      <c r="D295" s="1378" t="s">
        <v>2102</v>
      </c>
      <c r="E295" s="1505">
        <v>0</v>
      </c>
      <c r="F295" s="1509">
        <v>0</v>
      </c>
      <c r="G295" s="1509">
        <v>0</v>
      </c>
      <c r="H295" s="1509">
        <f t="shared" si="16"/>
        <v>0</v>
      </c>
      <c r="I295" s="1509">
        <v>0</v>
      </c>
      <c r="J295" s="1509">
        <v>0</v>
      </c>
      <c r="K295" s="1505"/>
      <c r="L295" s="1505"/>
      <c r="M295" s="1505">
        <f t="shared" si="17"/>
        <v>0</v>
      </c>
      <c r="N295" s="1505">
        <f t="shared" si="18"/>
        <v>0</v>
      </c>
    </row>
    <row r="296" spans="1:14" customFormat="1" outlineLevel="1" x14ac:dyDescent="0.25">
      <c r="A296" s="1511">
        <v>27.1</v>
      </c>
      <c r="B296" s="1515" t="s">
        <v>1980</v>
      </c>
      <c r="C296" s="1396" t="s">
        <v>1754</v>
      </c>
      <c r="D296" s="1378" t="s">
        <v>2102</v>
      </c>
      <c r="E296" s="1505">
        <v>0</v>
      </c>
      <c r="F296" s="1509">
        <v>0</v>
      </c>
      <c r="G296" s="1509">
        <v>0</v>
      </c>
      <c r="H296" s="1509">
        <f t="shared" si="16"/>
        <v>0</v>
      </c>
      <c r="I296" s="1509">
        <v>0</v>
      </c>
      <c r="J296" s="1509">
        <v>0</v>
      </c>
      <c r="K296" s="1505"/>
      <c r="L296" s="1505"/>
      <c r="M296" s="1505">
        <f t="shared" si="17"/>
        <v>0</v>
      </c>
      <c r="N296" s="1505">
        <f t="shared" si="18"/>
        <v>0</v>
      </c>
    </row>
    <row r="297" spans="1:14" customFormat="1" ht="43.5" outlineLevel="1" x14ac:dyDescent="0.25">
      <c r="A297" s="1511">
        <v>27.11</v>
      </c>
      <c r="B297" s="1515" t="s">
        <v>1981</v>
      </c>
      <c r="C297" s="1396" t="s">
        <v>1754</v>
      </c>
      <c r="D297" s="1378" t="s">
        <v>2102</v>
      </c>
      <c r="E297" s="1505">
        <v>0</v>
      </c>
      <c r="F297" s="1509">
        <v>0</v>
      </c>
      <c r="G297" s="1509">
        <v>0</v>
      </c>
      <c r="H297" s="1509">
        <f t="shared" si="16"/>
        <v>0</v>
      </c>
      <c r="I297" s="1509">
        <v>0</v>
      </c>
      <c r="J297" s="1509">
        <v>0</v>
      </c>
      <c r="K297" s="1505"/>
      <c r="L297" s="1505"/>
      <c r="M297" s="1505">
        <f t="shared" si="17"/>
        <v>0</v>
      </c>
      <c r="N297" s="1505">
        <f t="shared" si="18"/>
        <v>0</v>
      </c>
    </row>
    <row r="298" spans="1:14" customFormat="1" outlineLevel="1" x14ac:dyDescent="0.25">
      <c r="A298" s="1511">
        <v>0</v>
      </c>
      <c r="B298" s="1515" t="s">
        <v>413</v>
      </c>
      <c r="C298" s="1396" t="s">
        <v>1754</v>
      </c>
      <c r="D298" s="1378" t="s">
        <v>2102</v>
      </c>
      <c r="E298" s="1505">
        <v>0</v>
      </c>
      <c r="F298" s="1509">
        <v>0</v>
      </c>
      <c r="G298" s="1509">
        <v>0</v>
      </c>
      <c r="H298" s="1509">
        <f t="shared" si="16"/>
        <v>0</v>
      </c>
      <c r="I298" s="1509">
        <v>0</v>
      </c>
      <c r="J298" s="1509">
        <v>0</v>
      </c>
      <c r="K298" s="1505"/>
      <c r="L298" s="1505"/>
      <c r="M298" s="1505">
        <f t="shared" si="17"/>
        <v>0</v>
      </c>
      <c r="N298" s="1505">
        <f t="shared" si="18"/>
        <v>0</v>
      </c>
    </row>
    <row r="299" spans="1:14" customFormat="1" ht="29" outlineLevel="1" x14ac:dyDescent="0.25">
      <c r="A299" s="1506">
        <v>28</v>
      </c>
      <c r="B299" s="1507" t="s">
        <v>1958</v>
      </c>
      <c r="C299" s="1506" t="s">
        <v>1754</v>
      </c>
      <c r="D299" s="1507" t="s">
        <v>2102</v>
      </c>
      <c r="E299" s="1506">
        <v>0</v>
      </c>
      <c r="F299" s="1509">
        <v>0</v>
      </c>
      <c r="G299" s="1509">
        <v>0</v>
      </c>
      <c r="H299" s="1509">
        <f t="shared" si="16"/>
        <v>0</v>
      </c>
      <c r="I299" s="1509">
        <v>0</v>
      </c>
      <c r="J299" s="1509">
        <v>0</v>
      </c>
      <c r="K299" s="1506"/>
      <c r="L299" s="1507"/>
      <c r="M299" s="1506">
        <f t="shared" si="17"/>
        <v>0</v>
      </c>
      <c r="N299" s="1507">
        <f t="shared" si="18"/>
        <v>0</v>
      </c>
    </row>
    <row r="300" spans="1:14" customFormat="1" outlineLevel="1" x14ac:dyDescent="0.25">
      <c r="A300" s="1511">
        <v>28.1</v>
      </c>
      <c r="B300" s="1515" t="s">
        <v>1982</v>
      </c>
      <c r="C300" s="1396" t="s">
        <v>1754</v>
      </c>
      <c r="D300" s="1378" t="s">
        <v>2102</v>
      </c>
      <c r="E300" s="1505">
        <v>0</v>
      </c>
      <c r="F300" s="1509">
        <v>0</v>
      </c>
      <c r="G300" s="1509">
        <v>0</v>
      </c>
      <c r="H300" s="1509">
        <f t="shared" si="16"/>
        <v>0</v>
      </c>
      <c r="I300" s="1509">
        <v>0</v>
      </c>
      <c r="J300" s="1509">
        <v>0</v>
      </c>
      <c r="K300" s="1505"/>
      <c r="L300" s="1505"/>
      <c r="M300" s="1505">
        <f t="shared" si="17"/>
        <v>0</v>
      </c>
      <c r="N300" s="1505">
        <f t="shared" si="18"/>
        <v>0</v>
      </c>
    </row>
    <row r="301" spans="1:14" customFormat="1" ht="29" outlineLevel="1" x14ac:dyDescent="0.25">
      <c r="A301" s="1511">
        <v>28.2</v>
      </c>
      <c r="B301" s="1515" t="s">
        <v>1983</v>
      </c>
      <c r="C301" s="1396" t="s">
        <v>1754</v>
      </c>
      <c r="D301" s="1378" t="s">
        <v>2102</v>
      </c>
      <c r="E301" s="1505">
        <v>0</v>
      </c>
      <c r="F301" s="1509">
        <v>0</v>
      </c>
      <c r="G301" s="1509">
        <v>0</v>
      </c>
      <c r="H301" s="1509">
        <f t="shared" si="16"/>
        <v>0</v>
      </c>
      <c r="I301" s="1509">
        <v>0</v>
      </c>
      <c r="J301" s="1509">
        <v>0</v>
      </c>
      <c r="K301" s="1505"/>
      <c r="L301" s="1505"/>
      <c r="M301" s="1505">
        <f t="shared" si="17"/>
        <v>0</v>
      </c>
      <c r="N301" s="1505">
        <f t="shared" si="18"/>
        <v>0</v>
      </c>
    </row>
    <row r="302" spans="1:14" customFormat="1" outlineLevel="1" x14ac:dyDescent="0.25">
      <c r="A302" s="1511">
        <v>28.3</v>
      </c>
      <c r="B302" s="1515" t="s">
        <v>1984</v>
      </c>
      <c r="C302" s="1396" t="s">
        <v>1754</v>
      </c>
      <c r="D302" s="1378" t="s">
        <v>2102</v>
      </c>
      <c r="E302" s="1505">
        <v>0</v>
      </c>
      <c r="F302" s="1509">
        <v>0</v>
      </c>
      <c r="G302" s="1509">
        <v>0</v>
      </c>
      <c r="H302" s="1509">
        <f t="shared" si="16"/>
        <v>0</v>
      </c>
      <c r="I302" s="1509">
        <v>0</v>
      </c>
      <c r="J302" s="1509">
        <v>0</v>
      </c>
      <c r="K302" s="1505"/>
      <c r="L302" s="1505"/>
      <c r="M302" s="1505">
        <f t="shared" si="17"/>
        <v>0</v>
      </c>
      <c r="N302" s="1505">
        <f t="shared" si="18"/>
        <v>0</v>
      </c>
    </row>
    <row r="303" spans="1:14" customFormat="1" ht="29" outlineLevel="1" x14ac:dyDescent="0.25">
      <c r="A303" s="1511">
        <v>28.4</v>
      </c>
      <c r="B303" s="1515" t="s">
        <v>1985</v>
      </c>
      <c r="C303" s="1396" t="s">
        <v>1754</v>
      </c>
      <c r="D303" s="1378" t="s">
        <v>2102</v>
      </c>
      <c r="E303" s="1505">
        <v>0</v>
      </c>
      <c r="F303" s="1509">
        <v>0</v>
      </c>
      <c r="G303" s="1509">
        <v>0</v>
      </c>
      <c r="H303" s="1509">
        <f t="shared" si="16"/>
        <v>0</v>
      </c>
      <c r="I303" s="1509">
        <v>0</v>
      </c>
      <c r="J303" s="1509">
        <v>0</v>
      </c>
      <c r="K303" s="1505"/>
      <c r="L303" s="1505"/>
      <c r="M303" s="1505">
        <f t="shared" si="17"/>
        <v>0</v>
      </c>
      <c r="N303" s="1505">
        <f t="shared" si="18"/>
        <v>0</v>
      </c>
    </row>
    <row r="304" spans="1:14" customFormat="1" outlineLevel="1" x14ac:dyDescent="0.25">
      <c r="A304" s="1511">
        <v>28.5</v>
      </c>
      <c r="B304" s="1515" t="s">
        <v>1986</v>
      </c>
      <c r="C304" s="1396" t="s">
        <v>1754</v>
      </c>
      <c r="D304" s="1378" t="s">
        <v>2102</v>
      </c>
      <c r="E304" s="1505">
        <v>0</v>
      </c>
      <c r="F304" s="1509">
        <v>0</v>
      </c>
      <c r="G304" s="1509">
        <v>0</v>
      </c>
      <c r="H304" s="1509">
        <f t="shared" si="16"/>
        <v>0</v>
      </c>
      <c r="I304" s="1509">
        <v>0</v>
      </c>
      <c r="J304" s="1509">
        <v>0</v>
      </c>
      <c r="K304" s="1505"/>
      <c r="L304" s="1505"/>
      <c r="M304" s="1505">
        <f t="shared" si="17"/>
        <v>0</v>
      </c>
      <c r="N304" s="1505">
        <f t="shared" si="18"/>
        <v>0</v>
      </c>
    </row>
    <row r="305" spans="1:14" customFormat="1" outlineLevel="1" x14ac:dyDescent="0.25">
      <c r="A305" s="1511">
        <v>28.6</v>
      </c>
      <c r="B305" s="1515" t="s">
        <v>1987</v>
      </c>
      <c r="C305" s="1396" t="s">
        <v>1754</v>
      </c>
      <c r="D305" s="1378" t="s">
        <v>2102</v>
      </c>
      <c r="E305" s="1505">
        <v>0</v>
      </c>
      <c r="F305" s="1509">
        <v>0</v>
      </c>
      <c r="G305" s="1509">
        <v>0</v>
      </c>
      <c r="H305" s="1509">
        <f t="shared" si="16"/>
        <v>0</v>
      </c>
      <c r="I305" s="1509">
        <v>0</v>
      </c>
      <c r="J305" s="1509">
        <v>0</v>
      </c>
      <c r="K305" s="1505"/>
      <c r="L305" s="1505"/>
      <c r="M305" s="1505">
        <f t="shared" si="17"/>
        <v>0</v>
      </c>
      <c r="N305" s="1505">
        <f t="shared" si="18"/>
        <v>0</v>
      </c>
    </row>
    <row r="306" spans="1:14" customFormat="1" outlineLevel="1" x14ac:dyDescent="0.25">
      <c r="A306" s="1511">
        <v>0</v>
      </c>
      <c r="B306" s="1515" t="s">
        <v>413</v>
      </c>
      <c r="C306" s="1396" t="s">
        <v>1754</v>
      </c>
      <c r="D306" s="1378" t="s">
        <v>2102</v>
      </c>
      <c r="E306" s="1505">
        <v>0</v>
      </c>
      <c r="F306" s="1509">
        <v>0</v>
      </c>
      <c r="G306" s="1509">
        <v>0</v>
      </c>
      <c r="H306" s="1509">
        <f t="shared" si="16"/>
        <v>0</v>
      </c>
      <c r="I306" s="1509">
        <v>0</v>
      </c>
      <c r="J306" s="1509">
        <v>0</v>
      </c>
      <c r="K306" s="1505"/>
      <c r="L306" s="1505"/>
      <c r="M306" s="1505">
        <f t="shared" si="17"/>
        <v>0</v>
      </c>
      <c r="N306" s="1505">
        <f t="shared" si="18"/>
        <v>0</v>
      </c>
    </row>
    <row r="307" spans="1:14" customFormat="1" ht="29" outlineLevel="1" x14ac:dyDescent="0.25">
      <c r="A307" s="1506">
        <v>29</v>
      </c>
      <c r="B307" s="1507" t="s">
        <v>1958</v>
      </c>
      <c r="C307" s="1506" t="s">
        <v>1754</v>
      </c>
      <c r="D307" s="1507" t="s">
        <v>2102</v>
      </c>
      <c r="E307" s="1506">
        <v>0</v>
      </c>
      <c r="F307" s="1509">
        <v>0</v>
      </c>
      <c r="G307" s="1509">
        <v>0</v>
      </c>
      <c r="H307" s="1509">
        <f t="shared" si="16"/>
        <v>0</v>
      </c>
      <c r="I307" s="1509">
        <v>0</v>
      </c>
      <c r="J307" s="1509">
        <v>0</v>
      </c>
      <c r="K307" s="1506"/>
      <c r="L307" s="1507"/>
      <c r="M307" s="1506">
        <f t="shared" si="17"/>
        <v>0</v>
      </c>
      <c r="N307" s="1507">
        <f t="shared" si="18"/>
        <v>0</v>
      </c>
    </row>
    <row r="308" spans="1:14" customFormat="1" ht="43.5" outlineLevel="1" x14ac:dyDescent="0.25">
      <c r="A308" s="1511">
        <v>29.1</v>
      </c>
      <c r="B308" s="1515" t="s">
        <v>1964</v>
      </c>
      <c r="C308" s="1396" t="s">
        <v>1754</v>
      </c>
      <c r="D308" s="1378" t="s">
        <v>2102</v>
      </c>
      <c r="E308" s="1505">
        <v>0</v>
      </c>
      <c r="F308" s="1509">
        <v>0</v>
      </c>
      <c r="G308" s="1509">
        <v>0</v>
      </c>
      <c r="H308" s="1509">
        <f t="shared" si="16"/>
        <v>0</v>
      </c>
      <c r="I308" s="1509">
        <v>0</v>
      </c>
      <c r="J308" s="1509">
        <v>0</v>
      </c>
      <c r="K308" s="1505"/>
      <c r="L308" s="1505"/>
      <c r="M308" s="1505">
        <f t="shared" si="17"/>
        <v>0</v>
      </c>
      <c r="N308" s="1505">
        <f t="shared" si="18"/>
        <v>0</v>
      </c>
    </row>
    <row r="309" spans="1:14" customFormat="1" ht="43.5" outlineLevel="1" x14ac:dyDescent="0.25">
      <c r="A309" s="1511">
        <v>29.2</v>
      </c>
      <c r="B309" s="1515" t="s">
        <v>1988</v>
      </c>
      <c r="C309" s="1396" t="s">
        <v>1754</v>
      </c>
      <c r="D309" s="1378" t="s">
        <v>2102</v>
      </c>
      <c r="E309" s="1505">
        <v>0</v>
      </c>
      <c r="F309" s="1509">
        <v>0</v>
      </c>
      <c r="G309" s="1509">
        <v>0</v>
      </c>
      <c r="H309" s="1509">
        <f t="shared" si="16"/>
        <v>0</v>
      </c>
      <c r="I309" s="1509">
        <v>0</v>
      </c>
      <c r="J309" s="1509">
        <v>0</v>
      </c>
      <c r="K309" s="1505"/>
      <c r="L309" s="1505"/>
      <c r="M309" s="1505">
        <f t="shared" si="17"/>
        <v>0</v>
      </c>
      <c r="N309" s="1505">
        <f t="shared" si="18"/>
        <v>0</v>
      </c>
    </row>
    <row r="310" spans="1:14" customFormat="1" outlineLevel="1" x14ac:dyDescent="0.25">
      <c r="A310" s="1511">
        <v>29.3</v>
      </c>
      <c r="B310" s="1515" t="s">
        <v>1989</v>
      </c>
      <c r="C310" s="1396" t="s">
        <v>1754</v>
      </c>
      <c r="D310" s="1378" t="s">
        <v>2102</v>
      </c>
      <c r="E310" s="1505">
        <v>0</v>
      </c>
      <c r="F310" s="1509">
        <v>0</v>
      </c>
      <c r="G310" s="1509">
        <v>0</v>
      </c>
      <c r="H310" s="1509">
        <f t="shared" si="16"/>
        <v>0</v>
      </c>
      <c r="I310" s="1509">
        <v>0</v>
      </c>
      <c r="J310" s="1509">
        <v>0</v>
      </c>
      <c r="K310" s="1505"/>
      <c r="L310" s="1505"/>
      <c r="M310" s="1505">
        <f t="shared" si="17"/>
        <v>0</v>
      </c>
      <c r="N310" s="1505">
        <f t="shared" si="18"/>
        <v>0</v>
      </c>
    </row>
    <row r="311" spans="1:14" customFormat="1" outlineLevel="1" x14ac:dyDescent="0.25">
      <c r="A311" s="1511">
        <v>0</v>
      </c>
      <c r="B311" s="1515" t="s">
        <v>413</v>
      </c>
      <c r="C311" s="1396" t="s">
        <v>1754</v>
      </c>
      <c r="D311" s="1378" t="s">
        <v>2102</v>
      </c>
      <c r="E311" s="1505">
        <v>0</v>
      </c>
      <c r="F311" s="1509">
        <v>0</v>
      </c>
      <c r="G311" s="1509">
        <v>0</v>
      </c>
      <c r="H311" s="1509">
        <f t="shared" si="16"/>
        <v>0</v>
      </c>
      <c r="I311" s="1509">
        <v>0</v>
      </c>
      <c r="J311" s="1509">
        <v>0</v>
      </c>
      <c r="K311" s="1505"/>
      <c r="L311" s="1505"/>
      <c r="M311" s="1505">
        <f t="shared" si="17"/>
        <v>0</v>
      </c>
      <c r="N311" s="1505">
        <f t="shared" si="18"/>
        <v>0</v>
      </c>
    </row>
    <row r="312" spans="1:14" customFormat="1" ht="29" outlineLevel="1" x14ac:dyDescent="0.25">
      <c r="A312" s="1506">
        <v>30</v>
      </c>
      <c r="B312" s="1507" t="s">
        <v>1958</v>
      </c>
      <c r="C312" s="1506" t="s">
        <v>1754</v>
      </c>
      <c r="D312" s="1507" t="s">
        <v>2102</v>
      </c>
      <c r="E312" s="1506">
        <v>0</v>
      </c>
      <c r="F312" s="1509">
        <v>0</v>
      </c>
      <c r="G312" s="1509">
        <v>0</v>
      </c>
      <c r="H312" s="1509">
        <f t="shared" si="16"/>
        <v>0</v>
      </c>
      <c r="I312" s="1509">
        <v>0</v>
      </c>
      <c r="J312" s="1509">
        <v>0</v>
      </c>
      <c r="K312" s="1506"/>
      <c r="L312" s="1507"/>
      <c r="M312" s="1506">
        <f t="shared" si="17"/>
        <v>0</v>
      </c>
      <c r="N312" s="1507">
        <f t="shared" si="18"/>
        <v>0</v>
      </c>
    </row>
    <row r="313" spans="1:14" customFormat="1" outlineLevel="1" x14ac:dyDescent="0.25">
      <c r="A313" s="1511">
        <v>30.1</v>
      </c>
      <c r="B313" s="1515" t="s">
        <v>1990</v>
      </c>
      <c r="C313" s="1396" t="s">
        <v>1754</v>
      </c>
      <c r="D313" s="1378" t="s">
        <v>2102</v>
      </c>
      <c r="E313" s="1505">
        <v>0</v>
      </c>
      <c r="F313" s="1509">
        <v>0</v>
      </c>
      <c r="G313" s="1509">
        <v>0</v>
      </c>
      <c r="H313" s="1509">
        <f t="shared" si="16"/>
        <v>0</v>
      </c>
      <c r="I313" s="1509">
        <v>0</v>
      </c>
      <c r="J313" s="1509">
        <v>0</v>
      </c>
      <c r="K313" s="1505"/>
      <c r="L313" s="1505"/>
      <c r="M313" s="1505">
        <f t="shared" si="17"/>
        <v>0</v>
      </c>
      <c r="N313" s="1505">
        <f t="shared" si="18"/>
        <v>0</v>
      </c>
    </row>
    <row r="314" spans="1:14" customFormat="1" ht="29" outlineLevel="1" x14ac:dyDescent="0.25">
      <c r="A314" s="1511">
        <v>30.2</v>
      </c>
      <c r="B314" s="1515" t="s">
        <v>1991</v>
      </c>
      <c r="C314" s="1396" t="s">
        <v>1754</v>
      </c>
      <c r="D314" s="1378" t="s">
        <v>2102</v>
      </c>
      <c r="E314" s="1505">
        <v>0</v>
      </c>
      <c r="F314" s="1509">
        <v>0</v>
      </c>
      <c r="G314" s="1509">
        <v>0</v>
      </c>
      <c r="H314" s="1509">
        <f t="shared" si="16"/>
        <v>0</v>
      </c>
      <c r="I314" s="1509">
        <v>0</v>
      </c>
      <c r="J314" s="1509">
        <v>0</v>
      </c>
      <c r="K314" s="1505"/>
      <c r="L314" s="1505"/>
      <c r="M314" s="1505">
        <f t="shared" si="17"/>
        <v>0</v>
      </c>
      <c r="N314" s="1505">
        <f t="shared" si="18"/>
        <v>0</v>
      </c>
    </row>
    <row r="315" spans="1:14" customFormat="1" ht="29" outlineLevel="1" x14ac:dyDescent="0.25">
      <c r="A315" s="1511">
        <v>30.3</v>
      </c>
      <c r="B315" s="1515" t="s">
        <v>1992</v>
      </c>
      <c r="C315" s="1396" t="s">
        <v>1754</v>
      </c>
      <c r="D315" s="1378" t="s">
        <v>2102</v>
      </c>
      <c r="E315" s="1505">
        <v>0</v>
      </c>
      <c r="F315" s="1509">
        <v>0</v>
      </c>
      <c r="G315" s="1509">
        <v>0</v>
      </c>
      <c r="H315" s="1509">
        <f t="shared" si="16"/>
        <v>0</v>
      </c>
      <c r="I315" s="1509">
        <v>0</v>
      </c>
      <c r="J315" s="1509">
        <v>0</v>
      </c>
      <c r="K315" s="1505"/>
      <c r="L315" s="1505"/>
      <c r="M315" s="1505">
        <f t="shared" si="17"/>
        <v>0</v>
      </c>
      <c r="N315" s="1505">
        <f t="shared" si="18"/>
        <v>0</v>
      </c>
    </row>
    <row r="316" spans="1:14" customFormat="1" ht="43.5" outlineLevel="1" x14ac:dyDescent="0.25">
      <c r="A316" s="1511">
        <v>30.4</v>
      </c>
      <c r="B316" s="1515" t="s">
        <v>1993</v>
      </c>
      <c r="C316" s="1396" t="s">
        <v>1754</v>
      </c>
      <c r="D316" s="1378" t="s">
        <v>2102</v>
      </c>
      <c r="E316" s="1505">
        <v>0</v>
      </c>
      <c r="F316" s="1509">
        <v>0</v>
      </c>
      <c r="G316" s="1509">
        <v>0</v>
      </c>
      <c r="H316" s="1509">
        <f t="shared" si="16"/>
        <v>0</v>
      </c>
      <c r="I316" s="1509">
        <v>0</v>
      </c>
      <c r="J316" s="1509">
        <v>0</v>
      </c>
      <c r="K316" s="1505"/>
      <c r="L316" s="1505"/>
      <c r="M316" s="1505">
        <f t="shared" si="17"/>
        <v>0</v>
      </c>
      <c r="N316" s="1505">
        <f t="shared" si="18"/>
        <v>0</v>
      </c>
    </row>
    <row r="317" spans="1:14" customFormat="1" ht="29" outlineLevel="1" x14ac:dyDescent="0.25">
      <c r="A317" s="1511">
        <v>30.5</v>
      </c>
      <c r="B317" s="1515" t="s">
        <v>1962</v>
      </c>
      <c r="C317" s="1396" t="s">
        <v>1754</v>
      </c>
      <c r="D317" s="1378" t="s">
        <v>2102</v>
      </c>
      <c r="E317" s="1505">
        <v>0</v>
      </c>
      <c r="F317" s="1509">
        <v>0</v>
      </c>
      <c r="G317" s="1509">
        <v>0</v>
      </c>
      <c r="H317" s="1509">
        <f t="shared" si="16"/>
        <v>0</v>
      </c>
      <c r="I317" s="1509">
        <v>0</v>
      </c>
      <c r="J317" s="1509">
        <v>0</v>
      </c>
      <c r="K317" s="1505"/>
      <c r="L317" s="1505"/>
      <c r="M317" s="1505">
        <f t="shared" si="17"/>
        <v>0</v>
      </c>
      <c r="N317" s="1505">
        <f t="shared" si="18"/>
        <v>0</v>
      </c>
    </row>
    <row r="318" spans="1:14" customFormat="1" ht="29" outlineLevel="1" x14ac:dyDescent="0.25">
      <c r="A318" s="1511">
        <v>30.6</v>
      </c>
      <c r="B318" s="1515" t="s">
        <v>1994</v>
      </c>
      <c r="C318" s="1396" t="s">
        <v>1754</v>
      </c>
      <c r="D318" s="1378" t="s">
        <v>2102</v>
      </c>
      <c r="E318" s="1505">
        <v>0</v>
      </c>
      <c r="F318" s="1509">
        <v>0</v>
      </c>
      <c r="G318" s="1509">
        <v>0</v>
      </c>
      <c r="H318" s="1509">
        <f t="shared" si="16"/>
        <v>0</v>
      </c>
      <c r="I318" s="1509">
        <v>0</v>
      </c>
      <c r="J318" s="1509">
        <v>0</v>
      </c>
      <c r="K318" s="1505"/>
      <c r="L318" s="1505"/>
      <c r="M318" s="1505">
        <f t="shared" si="17"/>
        <v>0</v>
      </c>
      <c r="N318" s="1505">
        <f t="shared" si="18"/>
        <v>0</v>
      </c>
    </row>
    <row r="319" spans="1:14" customFormat="1" outlineLevel="1" x14ac:dyDescent="0.25">
      <c r="A319" s="1511">
        <v>0</v>
      </c>
      <c r="B319" s="1515" t="s">
        <v>413</v>
      </c>
      <c r="C319" s="1396" t="s">
        <v>1754</v>
      </c>
      <c r="D319" s="1378" t="s">
        <v>2102</v>
      </c>
      <c r="E319" s="1505">
        <v>0</v>
      </c>
      <c r="F319" s="1509">
        <v>0</v>
      </c>
      <c r="G319" s="1509">
        <v>0</v>
      </c>
      <c r="H319" s="1509">
        <f t="shared" si="16"/>
        <v>0</v>
      </c>
      <c r="I319" s="1509">
        <v>0</v>
      </c>
      <c r="J319" s="1509">
        <v>0</v>
      </c>
      <c r="K319" s="1505"/>
      <c r="L319" s="1505"/>
      <c r="M319" s="1505">
        <f t="shared" si="17"/>
        <v>0</v>
      </c>
      <c r="N319" s="1505">
        <f t="shared" si="18"/>
        <v>0</v>
      </c>
    </row>
    <row r="320" spans="1:14" customFormat="1" outlineLevel="1" x14ac:dyDescent="0.25">
      <c r="A320" s="1506">
        <v>31</v>
      </c>
      <c r="B320" s="1507" t="s">
        <v>1995</v>
      </c>
      <c r="C320" s="1506" t="s">
        <v>1754</v>
      </c>
      <c r="D320" s="1507" t="s">
        <v>2102</v>
      </c>
      <c r="E320" s="1506">
        <v>0</v>
      </c>
      <c r="F320" s="1509">
        <v>0</v>
      </c>
      <c r="G320" s="1509">
        <v>0</v>
      </c>
      <c r="H320" s="1509">
        <f t="shared" si="16"/>
        <v>0</v>
      </c>
      <c r="I320" s="1509">
        <v>0</v>
      </c>
      <c r="J320" s="1509">
        <v>0</v>
      </c>
      <c r="K320" s="1506"/>
      <c r="L320" s="1507"/>
      <c r="M320" s="1506">
        <f t="shared" si="17"/>
        <v>0</v>
      </c>
      <c r="N320" s="1507">
        <f t="shared" si="18"/>
        <v>0</v>
      </c>
    </row>
    <row r="321" spans="1:14" customFormat="1" outlineLevel="1" x14ac:dyDescent="0.25">
      <c r="A321" s="1511">
        <v>31.1</v>
      </c>
      <c r="B321" s="1515" t="s">
        <v>1995</v>
      </c>
      <c r="C321" s="1396" t="s">
        <v>1754</v>
      </c>
      <c r="D321" s="1378" t="s">
        <v>2102</v>
      </c>
      <c r="E321" s="1505">
        <v>0</v>
      </c>
      <c r="F321" s="1509">
        <v>0</v>
      </c>
      <c r="G321" s="1509">
        <v>0</v>
      </c>
      <c r="H321" s="1509">
        <f t="shared" si="16"/>
        <v>0</v>
      </c>
      <c r="I321" s="1509">
        <v>0</v>
      </c>
      <c r="J321" s="1509">
        <v>0</v>
      </c>
      <c r="K321" s="1505"/>
      <c r="L321" s="1505"/>
      <c r="M321" s="1505">
        <f t="shared" si="17"/>
        <v>0</v>
      </c>
      <c r="N321" s="1505">
        <f t="shared" si="18"/>
        <v>0</v>
      </c>
    </row>
    <row r="322" spans="1:14" customFormat="1" ht="43.5" outlineLevel="1" x14ac:dyDescent="0.25">
      <c r="A322" s="1506">
        <v>32</v>
      </c>
      <c r="B322" s="1507" t="s">
        <v>1996</v>
      </c>
      <c r="C322" s="1506" t="s">
        <v>1754</v>
      </c>
      <c r="D322" s="1507" t="s">
        <v>2102</v>
      </c>
      <c r="E322" s="1506">
        <v>0</v>
      </c>
      <c r="F322" s="1509">
        <v>0</v>
      </c>
      <c r="G322" s="1509">
        <v>0</v>
      </c>
      <c r="H322" s="1509">
        <f t="shared" si="16"/>
        <v>0</v>
      </c>
      <c r="I322" s="1509">
        <v>0</v>
      </c>
      <c r="J322" s="1509">
        <v>0</v>
      </c>
      <c r="K322" s="1506"/>
      <c r="L322" s="1507"/>
      <c r="M322" s="1506">
        <f t="shared" si="17"/>
        <v>0</v>
      </c>
      <c r="N322" s="1507">
        <f t="shared" si="18"/>
        <v>0</v>
      </c>
    </row>
    <row r="323" spans="1:14" customFormat="1" ht="43.5" outlineLevel="1" x14ac:dyDescent="0.25">
      <c r="A323" s="1511">
        <v>32.1</v>
      </c>
      <c r="B323" s="1515" t="s">
        <v>1996</v>
      </c>
      <c r="C323" s="1396" t="s">
        <v>1754</v>
      </c>
      <c r="D323" s="1378" t="s">
        <v>2102</v>
      </c>
      <c r="E323" s="1505">
        <v>0</v>
      </c>
      <c r="F323" s="1509">
        <v>0</v>
      </c>
      <c r="G323" s="1509">
        <v>0</v>
      </c>
      <c r="H323" s="1509">
        <f t="shared" si="16"/>
        <v>0</v>
      </c>
      <c r="I323" s="1509">
        <v>0</v>
      </c>
      <c r="J323" s="1509">
        <v>0</v>
      </c>
      <c r="K323" s="1505"/>
      <c r="L323" s="1505"/>
      <c r="M323" s="1505">
        <f t="shared" si="17"/>
        <v>0</v>
      </c>
      <c r="N323" s="1505">
        <f t="shared" si="18"/>
        <v>0</v>
      </c>
    </row>
    <row r="324" spans="1:14" customFormat="1" ht="29" outlineLevel="1" x14ac:dyDescent="0.25">
      <c r="A324" s="1511">
        <v>32.200000000000003</v>
      </c>
      <c r="B324" s="1515" t="s">
        <v>1997</v>
      </c>
      <c r="C324" s="1396" t="s">
        <v>1754</v>
      </c>
      <c r="D324" s="1378" t="s">
        <v>2102</v>
      </c>
      <c r="E324" s="1505">
        <v>0</v>
      </c>
      <c r="F324" s="1509">
        <v>0</v>
      </c>
      <c r="G324" s="1509">
        <v>0</v>
      </c>
      <c r="H324" s="1509">
        <f t="shared" si="16"/>
        <v>0</v>
      </c>
      <c r="I324" s="1509">
        <v>0</v>
      </c>
      <c r="J324" s="1509">
        <v>0</v>
      </c>
      <c r="K324" s="1505"/>
      <c r="L324" s="1505"/>
      <c r="M324" s="1505">
        <f t="shared" si="17"/>
        <v>0</v>
      </c>
      <c r="N324" s="1505">
        <f t="shared" si="18"/>
        <v>0</v>
      </c>
    </row>
    <row r="325" spans="1:14" customFormat="1" outlineLevel="1" x14ac:dyDescent="0.25">
      <c r="A325" s="1506">
        <v>33</v>
      </c>
      <c r="B325" s="1507" t="s">
        <v>1998</v>
      </c>
      <c r="C325" s="1506" t="s">
        <v>1754</v>
      </c>
      <c r="D325" s="1507" t="s">
        <v>2102</v>
      </c>
      <c r="E325" s="1506">
        <v>0</v>
      </c>
      <c r="F325" s="1509">
        <v>0</v>
      </c>
      <c r="G325" s="1509">
        <v>0</v>
      </c>
      <c r="H325" s="1509">
        <f t="shared" si="16"/>
        <v>0</v>
      </c>
      <c r="I325" s="1509">
        <v>0</v>
      </c>
      <c r="J325" s="1509">
        <v>0</v>
      </c>
      <c r="K325" s="1506"/>
      <c r="L325" s="1507"/>
      <c r="M325" s="1506">
        <f t="shared" si="17"/>
        <v>0</v>
      </c>
      <c r="N325" s="1507">
        <f t="shared" si="18"/>
        <v>0</v>
      </c>
    </row>
    <row r="326" spans="1:14" customFormat="1" outlineLevel="1" x14ac:dyDescent="0.25">
      <c r="A326" s="1511">
        <v>33.1</v>
      </c>
      <c r="B326" s="1515" t="s">
        <v>1999</v>
      </c>
      <c r="C326" s="1396" t="s">
        <v>1754</v>
      </c>
      <c r="D326" s="1378" t="s">
        <v>2102</v>
      </c>
      <c r="E326" s="1505">
        <v>0</v>
      </c>
      <c r="F326" s="1509">
        <v>0</v>
      </c>
      <c r="G326" s="1509">
        <v>0</v>
      </c>
      <c r="H326" s="1509">
        <f t="shared" si="16"/>
        <v>0</v>
      </c>
      <c r="I326" s="1509">
        <v>0</v>
      </c>
      <c r="J326" s="1509">
        <v>0</v>
      </c>
      <c r="K326" s="1505"/>
      <c r="L326" s="1505"/>
      <c r="M326" s="1505">
        <f t="shared" si="17"/>
        <v>0</v>
      </c>
      <c r="N326" s="1505">
        <f t="shared" si="18"/>
        <v>0</v>
      </c>
    </row>
    <row r="327" spans="1:14" customFormat="1" ht="29" outlineLevel="1" x14ac:dyDescent="0.25">
      <c r="A327" s="1506">
        <v>34</v>
      </c>
      <c r="B327" s="1507" t="s">
        <v>2000</v>
      </c>
      <c r="C327" s="1506" t="s">
        <v>1754</v>
      </c>
      <c r="D327" s="1507" t="s">
        <v>2102</v>
      </c>
      <c r="E327" s="1506">
        <v>0</v>
      </c>
      <c r="F327" s="1509">
        <v>0</v>
      </c>
      <c r="G327" s="1509">
        <v>0</v>
      </c>
      <c r="H327" s="1509">
        <f t="shared" si="16"/>
        <v>0</v>
      </c>
      <c r="I327" s="1509">
        <v>0</v>
      </c>
      <c r="J327" s="1509">
        <v>0</v>
      </c>
      <c r="K327" s="1506"/>
      <c r="L327" s="1507"/>
      <c r="M327" s="1506">
        <f t="shared" si="17"/>
        <v>0</v>
      </c>
      <c r="N327" s="1507">
        <f t="shared" si="18"/>
        <v>0</v>
      </c>
    </row>
    <row r="328" spans="1:14" customFormat="1" outlineLevel="1" x14ac:dyDescent="0.25">
      <c r="A328" s="1511">
        <v>34.1</v>
      </c>
      <c r="B328" s="1515" t="s">
        <v>2001</v>
      </c>
      <c r="C328" s="1396" t="s">
        <v>1754</v>
      </c>
      <c r="D328" s="1378" t="s">
        <v>2102</v>
      </c>
      <c r="E328" s="1505">
        <v>0</v>
      </c>
      <c r="F328" s="1509">
        <v>0</v>
      </c>
      <c r="G328" s="1509">
        <v>0</v>
      </c>
      <c r="H328" s="1509">
        <f t="shared" si="16"/>
        <v>0</v>
      </c>
      <c r="I328" s="1509">
        <v>0</v>
      </c>
      <c r="J328" s="1509">
        <v>0</v>
      </c>
      <c r="K328" s="1505"/>
      <c r="L328" s="1505"/>
      <c r="M328" s="1505">
        <f t="shared" si="17"/>
        <v>0</v>
      </c>
      <c r="N328" s="1505">
        <f t="shared" si="18"/>
        <v>0</v>
      </c>
    </row>
    <row r="329" spans="1:14" customFormat="1" outlineLevel="1" x14ac:dyDescent="0.25">
      <c r="A329" s="1511">
        <v>34.200000000000003</v>
      </c>
      <c r="B329" s="1515" t="s">
        <v>2003</v>
      </c>
      <c r="C329" s="1396" t="s">
        <v>1754</v>
      </c>
      <c r="D329" s="1378" t="s">
        <v>2102</v>
      </c>
      <c r="E329" s="1505">
        <v>0</v>
      </c>
      <c r="F329" s="1509">
        <v>0</v>
      </c>
      <c r="G329" s="1509">
        <v>0</v>
      </c>
      <c r="H329" s="1509">
        <f t="shared" si="16"/>
        <v>0</v>
      </c>
      <c r="I329" s="1509">
        <v>0</v>
      </c>
      <c r="J329" s="1509">
        <v>0</v>
      </c>
      <c r="K329" s="1505"/>
      <c r="L329" s="1505"/>
      <c r="M329" s="1505">
        <f t="shared" si="17"/>
        <v>0</v>
      </c>
      <c r="N329" s="1505">
        <f t="shared" si="18"/>
        <v>0</v>
      </c>
    </row>
    <row r="330" spans="1:14" customFormat="1" ht="29" outlineLevel="1" x14ac:dyDescent="0.25">
      <c r="A330" s="1511">
        <v>34.299999999999997</v>
      </c>
      <c r="B330" s="1515" t="s">
        <v>2004</v>
      </c>
      <c r="C330" s="1396" t="s">
        <v>1754</v>
      </c>
      <c r="D330" s="1378" t="s">
        <v>2102</v>
      </c>
      <c r="E330" s="1505">
        <v>0</v>
      </c>
      <c r="F330" s="1509">
        <v>0</v>
      </c>
      <c r="G330" s="1509">
        <v>0</v>
      </c>
      <c r="H330" s="1509">
        <f t="shared" si="16"/>
        <v>0</v>
      </c>
      <c r="I330" s="1509">
        <v>0</v>
      </c>
      <c r="J330" s="1509">
        <v>0</v>
      </c>
      <c r="K330" s="1505"/>
      <c r="L330" s="1505"/>
      <c r="M330" s="1505">
        <f t="shared" si="17"/>
        <v>0</v>
      </c>
      <c r="N330" s="1505">
        <f t="shared" si="18"/>
        <v>0</v>
      </c>
    </row>
    <row r="331" spans="1:14" customFormat="1" ht="29" outlineLevel="1" x14ac:dyDescent="0.25">
      <c r="A331" s="1511">
        <v>34.4</v>
      </c>
      <c r="B331" s="1515" t="s">
        <v>2005</v>
      </c>
      <c r="C331" s="1396" t="s">
        <v>1754</v>
      </c>
      <c r="D331" s="1378" t="s">
        <v>2102</v>
      </c>
      <c r="E331" s="1505">
        <v>0</v>
      </c>
      <c r="F331" s="1509">
        <v>0</v>
      </c>
      <c r="G331" s="1509">
        <v>0</v>
      </c>
      <c r="H331" s="1509">
        <f t="shared" ref="H331:H361" si="19">F331-G331</f>
        <v>0</v>
      </c>
      <c r="I331" s="1509">
        <v>0</v>
      </c>
      <c r="J331" s="1509">
        <v>0</v>
      </c>
      <c r="K331" s="1505"/>
      <c r="L331" s="1505"/>
      <c r="M331" s="1505">
        <f t="shared" si="17"/>
        <v>0</v>
      </c>
      <c r="N331" s="1505">
        <f t="shared" si="18"/>
        <v>0</v>
      </c>
    </row>
    <row r="332" spans="1:14" customFormat="1" ht="29" outlineLevel="1" x14ac:dyDescent="0.25">
      <c r="A332" s="1506">
        <v>35</v>
      </c>
      <c r="B332" s="1507" t="s">
        <v>2007</v>
      </c>
      <c r="C332" s="1506" t="s">
        <v>1754</v>
      </c>
      <c r="D332" s="1507" t="s">
        <v>2102</v>
      </c>
      <c r="E332" s="1506">
        <v>0</v>
      </c>
      <c r="F332" s="1509">
        <v>0</v>
      </c>
      <c r="G332" s="1509">
        <v>0</v>
      </c>
      <c r="H332" s="1509">
        <f t="shared" si="19"/>
        <v>0</v>
      </c>
      <c r="I332" s="1509">
        <v>0</v>
      </c>
      <c r="J332" s="1509">
        <v>0</v>
      </c>
      <c r="K332" s="1506"/>
      <c r="L332" s="1507"/>
      <c r="M332" s="1506">
        <f t="shared" si="17"/>
        <v>0</v>
      </c>
      <c r="N332" s="1507">
        <f t="shared" si="18"/>
        <v>0</v>
      </c>
    </row>
    <row r="333" spans="1:14" customFormat="1" ht="43.5" outlineLevel="1" x14ac:dyDescent="0.25">
      <c r="A333" s="1511">
        <v>35.1</v>
      </c>
      <c r="B333" s="1515" t="s">
        <v>2008</v>
      </c>
      <c r="C333" s="1396" t="s">
        <v>1754</v>
      </c>
      <c r="D333" s="1378" t="s">
        <v>2102</v>
      </c>
      <c r="E333" s="1505">
        <v>0</v>
      </c>
      <c r="F333" s="1509">
        <v>0</v>
      </c>
      <c r="G333" s="1509">
        <v>0</v>
      </c>
      <c r="H333" s="1509">
        <f t="shared" si="19"/>
        <v>0</v>
      </c>
      <c r="I333" s="1509">
        <v>0</v>
      </c>
      <c r="J333" s="1509">
        <v>0</v>
      </c>
      <c r="K333" s="1505"/>
      <c r="L333" s="1505"/>
      <c r="M333" s="1505">
        <f t="shared" si="17"/>
        <v>0</v>
      </c>
      <c r="N333" s="1505">
        <f t="shared" si="18"/>
        <v>0</v>
      </c>
    </row>
    <row r="334" spans="1:14" customFormat="1" ht="43.5" outlineLevel="1" x14ac:dyDescent="0.25">
      <c r="A334" s="1511">
        <v>35.200000000000003</v>
      </c>
      <c r="B334" s="1515" t="s">
        <v>2009</v>
      </c>
      <c r="C334" s="1396" t="s">
        <v>1754</v>
      </c>
      <c r="D334" s="1378" t="s">
        <v>2102</v>
      </c>
      <c r="E334" s="1505">
        <v>0</v>
      </c>
      <c r="F334" s="1509">
        <v>0</v>
      </c>
      <c r="G334" s="1509">
        <v>0</v>
      </c>
      <c r="H334" s="1509">
        <f t="shared" si="19"/>
        <v>0</v>
      </c>
      <c r="I334" s="1509">
        <v>0</v>
      </c>
      <c r="J334" s="1509">
        <v>0</v>
      </c>
      <c r="K334" s="1505"/>
      <c r="L334" s="1505"/>
      <c r="M334" s="1505">
        <f t="shared" ref="M334:M361" si="20">SUM(J334:L334)</f>
        <v>0</v>
      </c>
      <c r="N334" s="1505">
        <f t="shared" ref="N334:N361" si="21">H334+I334-M334</f>
        <v>0</v>
      </c>
    </row>
    <row r="335" spans="1:14" customFormat="1" ht="29" outlineLevel="1" x14ac:dyDescent="0.25">
      <c r="A335" s="1511">
        <v>35.299999999999997</v>
      </c>
      <c r="B335" s="1515" t="s">
        <v>2010</v>
      </c>
      <c r="C335" s="1396" t="s">
        <v>1754</v>
      </c>
      <c r="D335" s="1378" t="s">
        <v>2102</v>
      </c>
      <c r="E335" s="1505">
        <v>0</v>
      </c>
      <c r="F335" s="1509">
        <v>0</v>
      </c>
      <c r="G335" s="1509">
        <v>0</v>
      </c>
      <c r="H335" s="1509">
        <f t="shared" si="19"/>
        <v>0</v>
      </c>
      <c r="I335" s="1509">
        <v>0</v>
      </c>
      <c r="J335" s="1509">
        <v>0</v>
      </c>
      <c r="K335" s="1505"/>
      <c r="L335" s="1505"/>
      <c r="M335" s="1505">
        <f t="shared" si="20"/>
        <v>0</v>
      </c>
      <c r="N335" s="1505">
        <f t="shared" si="21"/>
        <v>0</v>
      </c>
    </row>
    <row r="336" spans="1:14" customFormat="1" ht="29" outlineLevel="1" x14ac:dyDescent="0.25">
      <c r="A336" s="1511">
        <v>35.4</v>
      </c>
      <c r="B336" s="1515" t="s">
        <v>2011</v>
      </c>
      <c r="C336" s="1396" t="s">
        <v>1754</v>
      </c>
      <c r="D336" s="1378" t="s">
        <v>2102</v>
      </c>
      <c r="E336" s="1505">
        <v>0</v>
      </c>
      <c r="F336" s="1509">
        <v>0</v>
      </c>
      <c r="G336" s="1509">
        <v>0</v>
      </c>
      <c r="H336" s="1509">
        <f t="shared" si="19"/>
        <v>0</v>
      </c>
      <c r="I336" s="1509">
        <v>0</v>
      </c>
      <c r="J336" s="1509">
        <v>0</v>
      </c>
      <c r="K336" s="1505"/>
      <c r="L336" s="1505"/>
      <c r="M336" s="1505">
        <f t="shared" si="20"/>
        <v>0</v>
      </c>
      <c r="N336" s="1505">
        <f t="shared" si="21"/>
        <v>0</v>
      </c>
    </row>
    <row r="337" spans="1:14" customFormat="1" ht="58" outlineLevel="1" x14ac:dyDescent="0.25">
      <c r="A337" s="1511">
        <v>35.5</v>
      </c>
      <c r="B337" s="1515" t="s">
        <v>2012</v>
      </c>
      <c r="C337" s="1396" t="s">
        <v>1754</v>
      </c>
      <c r="D337" s="1378" t="s">
        <v>2102</v>
      </c>
      <c r="E337" s="1505">
        <v>0</v>
      </c>
      <c r="F337" s="1509">
        <v>0</v>
      </c>
      <c r="G337" s="1509">
        <v>0</v>
      </c>
      <c r="H337" s="1509">
        <f t="shared" si="19"/>
        <v>0</v>
      </c>
      <c r="I337" s="1509">
        <v>0</v>
      </c>
      <c r="J337" s="1509">
        <v>0</v>
      </c>
      <c r="K337" s="1505"/>
      <c r="L337" s="1505"/>
      <c r="M337" s="1505">
        <f t="shared" si="20"/>
        <v>0</v>
      </c>
      <c r="N337" s="1505">
        <f t="shared" si="21"/>
        <v>0</v>
      </c>
    </row>
    <row r="338" spans="1:14" customFormat="1" outlineLevel="1" x14ac:dyDescent="0.25">
      <c r="A338" s="1511">
        <v>35.6</v>
      </c>
      <c r="B338" s="1515" t="s">
        <v>2013</v>
      </c>
      <c r="C338" s="1396" t="s">
        <v>1754</v>
      </c>
      <c r="D338" s="1378" t="s">
        <v>2102</v>
      </c>
      <c r="E338" s="1505">
        <v>0</v>
      </c>
      <c r="F338" s="1509">
        <v>0</v>
      </c>
      <c r="G338" s="1509">
        <v>0</v>
      </c>
      <c r="H338" s="1509">
        <f t="shared" si="19"/>
        <v>0</v>
      </c>
      <c r="I338" s="1509">
        <v>0</v>
      </c>
      <c r="J338" s="1509">
        <v>0</v>
      </c>
      <c r="K338" s="1505"/>
      <c r="L338" s="1505"/>
      <c r="M338" s="1505">
        <f t="shared" si="20"/>
        <v>0</v>
      </c>
      <c r="N338" s="1505">
        <f t="shared" si="21"/>
        <v>0</v>
      </c>
    </row>
    <row r="339" spans="1:14" customFormat="1" outlineLevel="1" x14ac:dyDescent="0.25">
      <c r="A339" s="1511">
        <v>35.700000000000003</v>
      </c>
      <c r="B339" s="1515" t="s">
        <v>2014</v>
      </c>
      <c r="C339" s="1396" t="s">
        <v>1754</v>
      </c>
      <c r="D339" s="1378" t="s">
        <v>2102</v>
      </c>
      <c r="E339" s="1505">
        <v>0</v>
      </c>
      <c r="F339" s="1509">
        <v>0</v>
      </c>
      <c r="G339" s="1509">
        <v>0</v>
      </c>
      <c r="H339" s="1509">
        <f t="shared" si="19"/>
        <v>0</v>
      </c>
      <c r="I339" s="1509">
        <v>0</v>
      </c>
      <c r="J339" s="1509">
        <v>0</v>
      </c>
      <c r="K339" s="1505"/>
      <c r="L339" s="1505"/>
      <c r="M339" s="1505">
        <f t="shared" si="20"/>
        <v>0</v>
      </c>
      <c r="N339" s="1505">
        <f t="shared" si="21"/>
        <v>0</v>
      </c>
    </row>
    <row r="340" spans="1:14" customFormat="1" ht="29" outlineLevel="1" x14ac:dyDescent="0.25">
      <c r="A340" s="1511">
        <v>35.799999999999997</v>
      </c>
      <c r="B340" s="1515" t="s">
        <v>2015</v>
      </c>
      <c r="C340" s="1396" t="s">
        <v>1754</v>
      </c>
      <c r="D340" s="1378" t="s">
        <v>2102</v>
      </c>
      <c r="E340" s="1505">
        <v>0</v>
      </c>
      <c r="F340" s="1509">
        <v>0</v>
      </c>
      <c r="G340" s="1509">
        <v>0</v>
      </c>
      <c r="H340" s="1509">
        <f t="shared" si="19"/>
        <v>0</v>
      </c>
      <c r="I340" s="1509">
        <v>0</v>
      </c>
      <c r="J340" s="1509">
        <v>0</v>
      </c>
      <c r="K340" s="1505"/>
      <c r="L340" s="1505"/>
      <c r="M340" s="1505">
        <f t="shared" si="20"/>
        <v>0</v>
      </c>
      <c r="N340" s="1505">
        <f t="shared" si="21"/>
        <v>0</v>
      </c>
    </row>
    <row r="341" spans="1:14" customFormat="1" ht="29" outlineLevel="1" x14ac:dyDescent="0.25">
      <c r="A341" s="1511">
        <v>35.9</v>
      </c>
      <c r="B341" s="1515" t="s">
        <v>2016</v>
      </c>
      <c r="C341" s="1396" t="s">
        <v>1754</v>
      </c>
      <c r="D341" s="1378" t="s">
        <v>2102</v>
      </c>
      <c r="E341" s="1505">
        <v>0</v>
      </c>
      <c r="F341" s="1509">
        <v>0</v>
      </c>
      <c r="G341" s="1509">
        <v>0</v>
      </c>
      <c r="H341" s="1509">
        <f t="shared" si="19"/>
        <v>0</v>
      </c>
      <c r="I341" s="1509">
        <v>0</v>
      </c>
      <c r="J341" s="1509">
        <v>0</v>
      </c>
      <c r="K341" s="1505"/>
      <c r="L341" s="1505"/>
      <c r="M341" s="1505">
        <f t="shared" si="20"/>
        <v>0</v>
      </c>
      <c r="N341" s="1505">
        <f t="shared" si="21"/>
        <v>0</v>
      </c>
    </row>
    <row r="342" spans="1:14" customFormat="1" ht="29" outlineLevel="1" x14ac:dyDescent="0.25">
      <c r="A342" s="1511">
        <v>35.1</v>
      </c>
      <c r="B342" s="1515" t="s">
        <v>2017</v>
      </c>
      <c r="C342" s="1396" t="s">
        <v>1754</v>
      </c>
      <c r="D342" s="1378" t="s">
        <v>2102</v>
      </c>
      <c r="E342" s="1505">
        <v>0</v>
      </c>
      <c r="F342" s="1509">
        <v>0</v>
      </c>
      <c r="G342" s="1509">
        <v>0</v>
      </c>
      <c r="H342" s="1509">
        <f t="shared" si="19"/>
        <v>0</v>
      </c>
      <c r="I342" s="1509">
        <v>0</v>
      </c>
      <c r="J342" s="1509">
        <v>0</v>
      </c>
      <c r="K342" s="1505"/>
      <c r="L342" s="1505"/>
      <c r="M342" s="1505">
        <f t="shared" si="20"/>
        <v>0</v>
      </c>
      <c r="N342" s="1505">
        <f t="shared" si="21"/>
        <v>0</v>
      </c>
    </row>
    <row r="343" spans="1:14" customFormat="1" outlineLevel="1" x14ac:dyDescent="0.25">
      <c r="A343" s="1506">
        <v>36</v>
      </c>
      <c r="B343" s="1507" t="s">
        <v>2018</v>
      </c>
      <c r="C343" s="1506">
        <v>0</v>
      </c>
      <c r="D343" s="1507" t="s">
        <v>2102</v>
      </c>
      <c r="E343" s="1506">
        <v>0</v>
      </c>
      <c r="F343" s="1509">
        <v>0</v>
      </c>
      <c r="G343" s="1509">
        <v>0</v>
      </c>
      <c r="H343" s="1509">
        <f t="shared" si="19"/>
        <v>0</v>
      </c>
      <c r="I343" s="1509">
        <v>0</v>
      </c>
      <c r="J343" s="1509">
        <v>0</v>
      </c>
      <c r="K343" s="1506"/>
      <c r="L343" s="1507"/>
      <c r="M343" s="1506">
        <f t="shared" si="20"/>
        <v>0</v>
      </c>
      <c r="N343" s="1507">
        <f t="shared" si="21"/>
        <v>0</v>
      </c>
    </row>
    <row r="344" spans="1:14" customFormat="1" outlineLevel="1" x14ac:dyDescent="0.25">
      <c r="A344" s="1511">
        <v>36.1</v>
      </c>
      <c r="B344" s="1515" t="s">
        <v>2018</v>
      </c>
      <c r="C344" s="1396">
        <v>0</v>
      </c>
      <c r="D344" s="1378" t="s">
        <v>2102</v>
      </c>
      <c r="E344" s="1505">
        <v>0</v>
      </c>
      <c r="F344" s="1509">
        <v>0</v>
      </c>
      <c r="G344" s="1509">
        <v>0</v>
      </c>
      <c r="H344" s="1509">
        <f t="shared" si="19"/>
        <v>0</v>
      </c>
      <c r="I344" s="1509">
        <v>0</v>
      </c>
      <c r="J344" s="1509">
        <v>0</v>
      </c>
      <c r="K344" s="1505"/>
      <c r="L344" s="1505"/>
      <c r="M344" s="1505">
        <f t="shared" si="20"/>
        <v>0</v>
      </c>
      <c r="N344" s="1505">
        <f t="shared" si="21"/>
        <v>0</v>
      </c>
    </row>
    <row r="345" spans="1:14" customFormat="1" outlineLevel="1" x14ac:dyDescent="0.25">
      <c r="A345" s="1506">
        <v>37</v>
      </c>
      <c r="B345" s="1507" t="s">
        <v>2019</v>
      </c>
      <c r="C345" s="1506" t="s">
        <v>1754</v>
      </c>
      <c r="D345" s="1507" t="s">
        <v>2102</v>
      </c>
      <c r="E345" s="1506">
        <v>0</v>
      </c>
      <c r="F345" s="1509">
        <v>0</v>
      </c>
      <c r="G345" s="1509">
        <v>0</v>
      </c>
      <c r="H345" s="1509">
        <f t="shared" si="19"/>
        <v>0</v>
      </c>
      <c r="I345" s="1509">
        <v>0</v>
      </c>
      <c r="J345" s="1509">
        <v>0</v>
      </c>
      <c r="K345" s="1506"/>
      <c r="L345" s="1507"/>
      <c r="M345" s="1506">
        <f t="shared" si="20"/>
        <v>0</v>
      </c>
      <c r="N345" s="1507">
        <f t="shared" si="21"/>
        <v>0</v>
      </c>
    </row>
    <row r="346" spans="1:14" customFormat="1" outlineLevel="1" x14ac:dyDescent="0.25">
      <c r="A346" s="1511">
        <v>37.1</v>
      </c>
      <c r="B346" s="1515" t="s">
        <v>2019</v>
      </c>
      <c r="C346" s="1396" t="s">
        <v>1754</v>
      </c>
      <c r="D346" s="1378" t="s">
        <v>2102</v>
      </c>
      <c r="E346" s="1505">
        <v>0</v>
      </c>
      <c r="F346" s="1509">
        <v>0</v>
      </c>
      <c r="G346" s="1509">
        <v>0</v>
      </c>
      <c r="H346" s="1509">
        <f t="shared" si="19"/>
        <v>0</v>
      </c>
      <c r="I346" s="1509">
        <v>0</v>
      </c>
      <c r="J346" s="1509">
        <v>0</v>
      </c>
      <c r="K346" s="1505"/>
      <c r="L346" s="1505"/>
      <c r="M346" s="1505">
        <f t="shared" si="20"/>
        <v>0</v>
      </c>
      <c r="N346" s="1505">
        <f t="shared" si="21"/>
        <v>0</v>
      </c>
    </row>
    <row r="347" spans="1:14" customFormat="1" outlineLevel="1" x14ac:dyDescent="0.25">
      <c r="A347" s="1511">
        <v>0</v>
      </c>
      <c r="B347" s="1515">
        <v>0</v>
      </c>
      <c r="C347" s="1396">
        <v>0</v>
      </c>
      <c r="D347" s="1378" t="s">
        <v>2102</v>
      </c>
      <c r="E347" s="1505">
        <v>0</v>
      </c>
      <c r="F347" s="1509">
        <v>0</v>
      </c>
      <c r="G347" s="1509">
        <v>0</v>
      </c>
      <c r="H347" s="1509">
        <f t="shared" si="19"/>
        <v>0</v>
      </c>
      <c r="I347" s="1509">
        <v>0</v>
      </c>
      <c r="J347" s="1509">
        <v>0</v>
      </c>
      <c r="K347" s="1505"/>
      <c r="L347" s="1505"/>
      <c r="M347" s="1505">
        <f t="shared" si="20"/>
        <v>0</v>
      </c>
      <c r="N347" s="1505">
        <f t="shared" si="21"/>
        <v>0</v>
      </c>
    </row>
    <row r="348" spans="1:14" customFormat="1" outlineLevel="1" x14ac:dyDescent="0.25">
      <c r="A348" s="1511">
        <v>0</v>
      </c>
      <c r="B348" s="1515">
        <v>0</v>
      </c>
      <c r="C348" s="1396">
        <v>0</v>
      </c>
      <c r="D348" s="1378" t="s">
        <v>2102</v>
      </c>
      <c r="E348" s="1505">
        <v>0</v>
      </c>
      <c r="F348" s="1509">
        <v>0</v>
      </c>
      <c r="G348" s="1509">
        <v>0</v>
      </c>
      <c r="H348" s="1509">
        <f t="shared" si="19"/>
        <v>0</v>
      </c>
      <c r="I348" s="1509">
        <v>0</v>
      </c>
      <c r="J348" s="1509">
        <v>0</v>
      </c>
      <c r="K348" s="1505"/>
      <c r="L348" s="1505"/>
      <c r="M348" s="1505">
        <f t="shared" si="20"/>
        <v>0</v>
      </c>
      <c r="N348" s="1505">
        <f t="shared" si="21"/>
        <v>0</v>
      </c>
    </row>
    <row r="349" spans="1:14" customFormat="1" ht="18.5" outlineLevel="1" x14ac:dyDescent="0.25">
      <c r="A349" s="1339" t="s">
        <v>801</v>
      </c>
      <c r="B349" s="1339" t="s">
        <v>2021</v>
      </c>
      <c r="C349" s="1396">
        <v>0</v>
      </c>
      <c r="D349" s="1378" t="s">
        <v>2102</v>
      </c>
      <c r="E349" s="1505">
        <v>0</v>
      </c>
      <c r="F349" s="1509">
        <v>0</v>
      </c>
      <c r="G349" s="1509">
        <v>0</v>
      </c>
      <c r="H349" s="1509">
        <f t="shared" si="19"/>
        <v>0</v>
      </c>
      <c r="I349" s="1509">
        <v>0</v>
      </c>
      <c r="J349" s="1509">
        <v>0</v>
      </c>
      <c r="K349" s="1505"/>
      <c r="L349" s="1505"/>
      <c r="M349" s="1505">
        <f t="shared" si="20"/>
        <v>0</v>
      </c>
      <c r="N349" s="1505">
        <f t="shared" si="21"/>
        <v>0</v>
      </c>
    </row>
    <row r="350" spans="1:14" customFormat="1" outlineLevel="1" x14ac:dyDescent="0.25">
      <c r="A350" s="1511">
        <v>1</v>
      </c>
      <c r="B350" s="1515" t="s">
        <v>2022</v>
      </c>
      <c r="C350" s="1396" t="s">
        <v>936</v>
      </c>
      <c r="D350" s="1378" t="s">
        <v>2102</v>
      </c>
      <c r="E350" s="1505">
        <v>0</v>
      </c>
      <c r="F350" s="1509">
        <v>2.2390500000000002</v>
      </c>
      <c r="G350" s="1509">
        <v>2.2390500000000002</v>
      </c>
      <c r="H350" s="1509">
        <f t="shared" si="19"/>
        <v>0</v>
      </c>
      <c r="I350" s="1509">
        <v>0</v>
      </c>
      <c r="J350" s="1509">
        <v>0</v>
      </c>
      <c r="K350" s="1505"/>
      <c r="L350" s="1505"/>
      <c r="M350" s="1505">
        <f t="shared" si="20"/>
        <v>0</v>
      </c>
      <c r="N350" s="1505">
        <f t="shared" si="21"/>
        <v>0</v>
      </c>
    </row>
    <row r="351" spans="1:14" customFormat="1" ht="43.5" outlineLevel="1" x14ac:dyDescent="0.25">
      <c r="A351" s="1511">
        <v>2</v>
      </c>
      <c r="B351" s="1515" t="s">
        <v>2026</v>
      </c>
      <c r="C351" s="1396" t="s">
        <v>936</v>
      </c>
      <c r="D351" s="1378" t="s">
        <v>2102</v>
      </c>
      <c r="E351" s="1505">
        <v>0</v>
      </c>
      <c r="F351" s="1509">
        <v>0.89292959999999999</v>
      </c>
      <c r="G351" s="1509">
        <v>0.89292959999999999</v>
      </c>
      <c r="H351" s="1509">
        <f t="shared" si="19"/>
        <v>0</v>
      </c>
      <c r="I351" s="1509">
        <v>0</v>
      </c>
      <c r="J351" s="1509">
        <v>0</v>
      </c>
      <c r="K351" s="1505"/>
      <c r="L351" s="1505"/>
      <c r="M351" s="1505">
        <f t="shared" si="20"/>
        <v>0</v>
      </c>
      <c r="N351" s="1505">
        <f t="shared" si="21"/>
        <v>0</v>
      </c>
    </row>
    <row r="352" spans="1:14" customFormat="1" ht="43.5" outlineLevel="1" x14ac:dyDescent="0.25">
      <c r="A352" s="1511">
        <v>3</v>
      </c>
      <c r="B352" s="1515" t="s">
        <v>2029</v>
      </c>
      <c r="C352" s="1396" t="s">
        <v>936</v>
      </c>
      <c r="D352" s="1378" t="s">
        <v>2102</v>
      </c>
      <c r="E352" s="1505">
        <v>0</v>
      </c>
      <c r="F352" s="1509">
        <v>1.2892632800000001</v>
      </c>
      <c r="G352" s="1509">
        <v>0</v>
      </c>
      <c r="H352" s="1509">
        <f t="shared" si="19"/>
        <v>1.2892632800000001</v>
      </c>
      <c r="I352" s="1509">
        <v>0.91</v>
      </c>
      <c r="J352" s="1509">
        <v>2.1992632800000003</v>
      </c>
      <c r="K352" s="1505"/>
      <c r="L352" s="1505"/>
      <c r="M352" s="1505">
        <f t="shared" si="20"/>
        <v>2.1992632800000003</v>
      </c>
      <c r="N352" s="1505">
        <f t="shared" si="21"/>
        <v>0</v>
      </c>
    </row>
    <row r="353" spans="1:16" customFormat="1" outlineLevel="1" x14ac:dyDescent="0.25">
      <c r="A353" s="1511">
        <v>4</v>
      </c>
      <c r="B353" s="1515" t="s">
        <v>413</v>
      </c>
      <c r="C353" s="1396">
        <v>0</v>
      </c>
      <c r="D353" s="1378" t="s">
        <v>2102</v>
      </c>
      <c r="E353" s="1505">
        <v>0</v>
      </c>
      <c r="F353" s="1509">
        <v>0</v>
      </c>
      <c r="G353" s="1509">
        <v>0</v>
      </c>
      <c r="H353" s="1509">
        <f t="shared" si="19"/>
        <v>0</v>
      </c>
      <c r="I353" s="1509">
        <v>7.2220000000000001E-3</v>
      </c>
      <c r="J353" s="1509">
        <v>7.2220000000000001E-3</v>
      </c>
      <c r="K353" s="1505"/>
      <c r="L353" s="1505"/>
      <c r="M353" s="1505">
        <f t="shared" si="20"/>
        <v>7.2220000000000001E-3</v>
      </c>
      <c r="N353" s="1505">
        <f t="shared" si="21"/>
        <v>0</v>
      </c>
    </row>
    <row r="354" spans="1:16" customFormat="1" ht="43.5" outlineLevel="1" x14ac:dyDescent="0.25">
      <c r="A354" s="1511">
        <v>5</v>
      </c>
      <c r="B354" s="1515" t="s">
        <v>2033</v>
      </c>
      <c r="C354" s="1396" t="s">
        <v>936</v>
      </c>
      <c r="D354" s="1378" t="s">
        <v>2102</v>
      </c>
      <c r="E354" s="1505">
        <v>0</v>
      </c>
      <c r="F354" s="1509">
        <v>2.8638599999999999</v>
      </c>
      <c r="G354" s="1509">
        <v>2.8638599999999999</v>
      </c>
      <c r="H354" s="1509">
        <f t="shared" si="19"/>
        <v>0</v>
      </c>
      <c r="I354" s="1509">
        <v>0</v>
      </c>
      <c r="J354" s="1509">
        <v>0</v>
      </c>
      <c r="K354" s="1505"/>
      <c r="L354" s="1505"/>
      <c r="M354" s="1505">
        <f t="shared" si="20"/>
        <v>0</v>
      </c>
      <c r="N354" s="1505">
        <f t="shared" si="21"/>
        <v>0</v>
      </c>
    </row>
    <row r="355" spans="1:16" customFormat="1" ht="29" outlineLevel="1" x14ac:dyDescent="0.25">
      <c r="A355" s="1511">
        <v>6</v>
      </c>
      <c r="B355" s="1515" t="s">
        <v>2036</v>
      </c>
      <c r="C355" s="1396" t="s">
        <v>936</v>
      </c>
      <c r="D355" s="1378" t="s">
        <v>2102</v>
      </c>
      <c r="E355" s="1505">
        <v>0</v>
      </c>
      <c r="F355" s="1509">
        <v>0</v>
      </c>
      <c r="G355" s="1509">
        <v>0</v>
      </c>
      <c r="H355" s="1509">
        <f t="shared" si="19"/>
        <v>0</v>
      </c>
      <c r="I355" s="1509">
        <v>2.9532406999999998</v>
      </c>
      <c r="J355" s="1509">
        <v>2.9532406999999998</v>
      </c>
      <c r="K355" s="1505"/>
      <c r="L355" s="1505"/>
      <c r="M355" s="1505">
        <f t="shared" si="20"/>
        <v>2.9532406999999998</v>
      </c>
      <c r="N355" s="1505">
        <f t="shared" si="21"/>
        <v>0</v>
      </c>
    </row>
    <row r="356" spans="1:16" customFormat="1" outlineLevel="1" x14ac:dyDescent="0.25">
      <c r="A356" s="1511">
        <v>7</v>
      </c>
      <c r="B356" s="1515" t="s">
        <v>2040</v>
      </c>
      <c r="C356" s="1396" t="s">
        <v>936</v>
      </c>
      <c r="D356" s="1378" t="s">
        <v>2102</v>
      </c>
      <c r="E356" s="1505">
        <v>0</v>
      </c>
      <c r="F356" s="1509">
        <v>0</v>
      </c>
      <c r="G356" s="1509">
        <v>0</v>
      </c>
      <c r="H356" s="1509">
        <f t="shared" si="19"/>
        <v>0</v>
      </c>
      <c r="I356" s="1509">
        <v>0</v>
      </c>
      <c r="J356" s="1509">
        <v>0</v>
      </c>
      <c r="K356" s="1505"/>
      <c r="L356" s="1505"/>
      <c r="M356" s="1505">
        <f t="shared" si="20"/>
        <v>0</v>
      </c>
      <c r="N356" s="1505">
        <f t="shared" si="21"/>
        <v>0</v>
      </c>
    </row>
    <row r="357" spans="1:16" customFormat="1" ht="29" outlineLevel="1" x14ac:dyDescent="0.25">
      <c r="A357" s="1511">
        <v>8</v>
      </c>
      <c r="B357" s="1515" t="s">
        <v>2042</v>
      </c>
      <c r="C357" s="1396" t="s">
        <v>936</v>
      </c>
      <c r="D357" s="1378" t="s">
        <v>2102</v>
      </c>
      <c r="E357" s="1505">
        <v>0</v>
      </c>
      <c r="F357" s="1509">
        <v>0</v>
      </c>
      <c r="G357" s="1509">
        <v>0</v>
      </c>
      <c r="H357" s="1509">
        <f t="shared" si="19"/>
        <v>0</v>
      </c>
      <c r="I357" s="1509">
        <v>0</v>
      </c>
      <c r="J357" s="1509">
        <v>0</v>
      </c>
      <c r="K357" s="1505"/>
      <c r="L357" s="1505"/>
      <c r="M357" s="1505">
        <f t="shared" si="20"/>
        <v>0</v>
      </c>
      <c r="N357" s="1505">
        <f t="shared" si="21"/>
        <v>0</v>
      </c>
    </row>
    <row r="358" spans="1:16" customFormat="1" ht="43.5" outlineLevel="1" x14ac:dyDescent="0.25">
      <c r="A358" s="1511">
        <v>9</v>
      </c>
      <c r="B358" s="1515" t="s">
        <v>2047</v>
      </c>
      <c r="C358" s="1396" t="s">
        <v>936</v>
      </c>
      <c r="D358" s="1378" t="s">
        <v>2102</v>
      </c>
      <c r="E358" s="1505">
        <v>0</v>
      </c>
      <c r="F358" s="1509">
        <v>0</v>
      </c>
      <c r="G358" s="1509">
        <v>0</v>
      </c>
      <c r="H358" s="1509">
        <f t="shared" si="19"/>
        <v>0</v>
      </c>
      <c r="I358" s="1509">
        <v>0</v>
      </c>
      <c r="J358" s="1509">
        <v>0</v>
      </c>
      <c r="K358" s="1505"/>
      <c r="L358" s="1505"/>
      <c r="M358" s="1505">
        <f t="shared" si="20"/>
        <v>0</v>
      </c>
      <c r="N358" s="1505">
        <f t="shared" si="21"/>
        <v>0</v>
      </c>
    </row>
    <row r="359" spans="1:16" customFormat="1" ht="43.5" outlineLevel="1" x14ac:dyDescent="0.25">
      <c r="A359" s="1511">
        <v>10</v>
      </c>
      <c r="B359" s="1515" t="s">
        <v>2050</v>
      </c>
      <c r="C359" s="1396" t="s">
        <v>936</v>
      </c>
      <c r="D359" s="1378" t="s">
        <v>2102</v>
      </c>
      <c r="E359" s="1505">
        <v>0</v>
      </c>
      <c r="F359" s="1509">
        <v>0</v>
      </c>
      <c r="G359" s="1509">
        <v>0</v>
      </c>
      <c r="H359" s="1509">
        <f t="shared" si="19"/>
        <v>0</v>
      </c>
      <c r="I359" s="1509">
        <v>0</v>
      </c>
      <c r="J359" s="1509">
        <v>0</v>
      </c>
      <c r="K359" s="1505"/>
      <c r="L359" s="1505"/>
      <c r="M359" s="1505">
        <f t="shared" si="20"/>
        <v>0</v>
      </c>
      <c r="N359" s="1505">
        <f t="shared" si="21"/>
        <v>0</v>
      </c>
    </row>
    <row r="360" spans="1:16" customFormat="1" outlineLevel="1" x14ac:dyDescent="0.25">
      <c r="A360" s="1511">
        <v>11</v>
      </c>
      <c r="B360" s="1515" t="s">
        <v>2099</v>
      </c>
      <c r="C360" s="1396">
        <v>0</v>
      </c>
      <c r="D360" s="1378" t="s">
        <v>2102</v>
      </c>
      <c r="E360" s="1505">
        <v>0</v>
      </c>
      <c r="F360" s="1509">
        <v>0</v>
      </c>
      <c r="G360" s="1509">
        <v>0</v>
      </c>
      <c r="H360" s="1509">
        <f t="shared" si="19"/>
        <v>0</v>
      </c>
      <c r="I360" s="1509">
        <v>0</v>
      </c>
      <c r="J360" s="1509">
        <v>0</v>
      </c>
      <c r="K360" s="1505"/>
      <c r="L360" s="1505"/>
      <c r="M360" s="1505">
        <f t="shared" si="20"/>
        <v>0</v>
      </c>
      <c r="N360" s="1505">
        <f t="shared" si="21"/>
        <v>0</v>
      </c>
    </row>
    <row r="361" spans="1:16" customFormat="1" ht="15" outlineLevel="1" thickBot="1" x14ac:dyDescent="0.3">
      <c r="A361" s="1511">
        <v>12</v>
      </c>
      <c r="B361" s="1515" t="s">
        <v>2054</v>
      </c>
      <c r="C361" s="1396">
        <v>0</v>
      </c>
      <c r="D361" s="1378" t="s">
        <v>2102</v>
      </c>
      <c r="E361" s="1505">
        <v>0</v>
      </c>
      <c r="F361" s="1509">
        <v>1.9186596370000002</v>
      </c>
      <c r="G361" s="1509">
        <v>1.8205723370000002</v>
      </c>
      <c r="H361" s="1509">
        <f t="shared" si="19"/>
        <v>9.8087299999999988E-2</v>
      </c>
      <c r="I361" s="1509">
        <v>0.72073421199999987</v>
      </c>
      <c r="J361" s="1509">
        <v>0.56000000000000005</v>
      </c>
      <c r="K361" s="1505"/>
      <c r="L361" s="1505"/>
      <c r="M361" s="1505">
        <f t="shared" si="20"/>
        <v>0.56000000000000005</v>
      </c>
      <c r="N361" s="1505">
        <f t="shared" si="21"/>
        <v>0.25882151199999981</v>
      </c>
    </row>
    <row r="362" spans="1:16" s="1442" customFormat="1" ht="15" thickBot="1" x14ac:dyDescent="0.3">
      <c r="A362" s="1454"/>
      <c r="B362" s="1455" t="s">
        <v>270</v>
      </c>
      <c r="C362" s="1456"/>
      <c r="D362" s="1457"/>
      <c r="E362" s="1517"/>
      <c r="F362" s="1517">
        <f t="shared" ref="F362:N362" si="22">SUM(F10:F361)</f>
        <v>413.852894757</v>
      </c>
      <c r="G362" s="1517">
        <f t="shared" si="22"/>
        <v>246.20825217699991</v>
      </c>
      <c r="H362" s="1517">
        <f t="shared" si="22"/>
        <v>167.64464258000001</v>
      </c>
      <c r="I362" s="1517">
        <f t="shared" si="22"/>
        <v>22.063076291999995</v>
      </c>
      <c r="J362" s="1517">
        <f t="shared" si="22"/>
        <v>34.321430479999997</v>
      </c>
      <c r="K362" s="1517">
        <f t="shared" si="22"/>
        <v>0</v>
      </c>
      <c r="L362" s="1517">
        <f t="shared" si="22"/>
        <v>0</v>
      </c>
      <c r="M362" s="1517">
        <f t="shared" si="22"/>
        <v>34.321430479999997</v>
      </c>
      <c r="N362" s="1517">
        <f t="shared" si="22"/>
        <v>155.38628839200001</v>
      </c>
    </row>
    <row r="364" spans="1:16" x14ac:dyDescent="0.25">
      <c r="A364" s="1446"/>
      <c r="B364" s="1447" t="s">
        <v>507</v>
      </c>
      <c r="C364" s="1448"/>
      <c r="D364" s="1449"/>
      <c r="E364" s="1504"/>
      <c r="F364" s="1504"/>
      <c r="G364" s="1504"/>
      <c r="H364" s="1504"/>
      <c r="I364" s="1504"/>
      <c r="J364" s="1504"/>
      <c r="K364" s="1504"/>
      <c r="L364" s="1504"/>
      <c r="M364" s="1504"/>
      <c r="N364" s="1504"/>
    </row>
    <row r="365" spans="1:16" ht="18.5" outlineLevel="1" x14ac:dyDescent="0.25">
      <c r="A365" s="1339" t="str">
        <f>A8</f>
        <v>A</v>
      </c>
      <c r="B365" s="1339" t="str">
        <f>B8</f>
        <v>DPR Schemes</v>
      </c>
      <c r="C365" s="1448"/>
      <c r="D365" s="1449"/>
      <c r="E365" s="1504">
        <f t="shared" ref="E365" si="23">E8</f>
        <v>0</v>
      </c>
      <c r="F365" s="1504"/>
      <c r="G365" s="1504"/>
      <c r="H365" s="1504"/>
      <c r="I365" s="1504"/>
      <c r="J365" s="1504"/>
      <c r="K365" s="1504"/>
      <c r="L365" s="1504"/>
      <c r="M365" s="1504"/>
      <c r="N365" s="1504"/>
    </row>
    <row r="366" spans="1:16" outlineLevel="1" x14ac:dyDescent="0.25">
      <c r="A366" s="1450">
        <f t="shared" ref="A366:E381" si="24">A9</f>
        <v>0</v>
      </c>
      <c r="B366" s="1450" t="str">
        <f t="shared" si="24"/>
        <v>(i) Submitted to MERC</v>
      </c>
      <c r="C366" s="1451"/>
      <c r="D366" s="1452"/>
      <c r="E366" s="1505">
        <f t="shared" si="24"/>
        <v>0</v>
      </c>
      <c r="F366" s="1505"/>
      <c r="G366" s="1505"/>
      <c r="H366" s="1505"/>
      <c r="I366" s="1505"/>
      <c r="J366" s="1505"/>
      <c r="K366" s="1505"/>
      <c r="L366" s="1505"/>
      <c r="M366" s="1505"/>
      <c r="N366" s="1505"/>
    </row>
    <row r="367" spans="1:16" ht="43.5" outlineLevel="1" x14ac:dyDescent="0.25">
      <c r="A367" s="1506">
        <f t="shared" si="24"/>
        <v>6</v>
      </c>
      <c r="B367" s="1507" t="str">
        <f t="shared" si="24"/>
        <v>Arrangement for permanent water supply scheme for Parli TPS from Majalgaon Dam through Majalgaon Lift Irrigation scheme (Loni / Savangi)</v>
      </c>
      <c r="C367" s="1506" t="str">
        <f t="shared" si="24"/>
        <v>MERC/TECH 1/CAPEX/20122013/00500</v>
      </c>
      <c r="D367" s="1508">
        <f t="shared" si="24"/>
        <v>41421</v>
      </c>
      <c r="E367" s="1509">
        <f t="shared" si="24"/>
        <v>199.86</v>
      </c>
      <c r="F367" s="1509">
        <f t="shared" ref="F367:F430" si="25">F10+I10</f>
        <v>142</v>
      </c>
      <c r="G367" s="1509">
        <f t="shared" ref="G367:G430" si="26">G10+M10</f>
        <v>0</v>
      </c>
      <c r="H367" s="1509">
        <f>F367-G367</f>
        <v>142</v>
      </c>
      <c r="I367" s="1509">
        <v>0</v>
      </c>
      <c r="J367" s="1509">
        <v>0</v>
      </c>
      <c r="K367" s="1509"/>
      <c r="L367" s="1509"/>
      <c r="M367" s="1509">
        <f>SUM(J367:L367)</f>
        <v>0</v>
      </c>
      <c r="N367" s="1509">
        <f>H367+I367-M367</f>
        <v>142</v>
      </c>
      <c r="O367" s="1510">
        <f t="shared" ref="O367:O419" si="27">MAX(0,IF(M367=0,0,IF(G367+M367&lt;E367,M367,E367-G367)))</f>
        <v>0</v>
      </c>
      <c r="P367" s="1453">
        <f t="shared" ref="P367:P419" si="28">M367-O367</f>
        <v>0</v>
      </c>
    </row>
    <row r="368" spans="1:16" ht="29" outlineLevel="1" x14ac:dyDescent="0.25">
      <c r="A368" s="1506">
        <f t="shared" si="24"/>
        <v>9</v>
      </c>
      <c r="B368" s="1507" t="str">
        <f t="shared" si="24"/>
        <v>Procurement of 250 MW spare HPT Module, IPT Module &amp; LPT Rotor of New Parli TPS</v>
      </c>
      <c r="C368" s="1506" t="str">
        <f t="shared" si="24"/>
        <v>MERC/TECH 1/CAPEX/20142015/00362</v>
      </c>
      <c r="D368" s="1508">
        <f t="shared" si="24"/>
        <v>41779</v>
      </c>
      <c r="E368" s="1509">
        <f t="shared" si="24"/>
        <v>22.059060828</v>
      </c>
      <c r="F368" s="1509">
        <f t="shared" si="25"/>
        <v>0</v>
      </c>
      <c r="G368" s="1509">
        <f t="shared" si="26"/>
        <v>0</v>
      </c>
      <c r="H368" s="1509">
        <f t="shared" ref="H368:H431" si="29">F368-G368</f>
        <v>0</v>
      </c>
      <c r="I368" s="1509">
        <v>0</v>
      </c>
      <c r="J368" s="1509">
        <v>0</v>
      </c>
      <c r="K368" s="1509"/>
      <c r="L368" s="1509"/>
      <c r="M368" s="1509">
        <f t="shared" ref="M368:M431" si="30">SUM(J368:L368)</f>
        <v>0</v>
      </c>
      <c r="N368" s="1509">
        <f t="shared" ref="N368:N431" si="31">H368+I368-M368</f>
        <v>0</v>
      </c>
      <c r="O368" s="1510">
        <f t="shared" si="27"/>
        <v>0</v>
      </c>
      <c r="P368" s="1453">
        <f t="shared" si="28"/>
        <v>0</v>
      </c>
    </row>
    <row r="369" spans="1:16" outlineLevel="1" x14ac:dyDescent="0.25">
      <c r="A369" s="1511">
        <f t="shared" si="24"/>
        <v>9.1</v>
      </c>
      <c r="B369" s="1512" t="str">
        <f t="shared" si="24"/>
        <v>HP Module</v>
      </c>
      <c r="C369" s="1511" t="str">
        <f t="shared" si="24"/>
        <v>MERC/TECH 1/CAPEX/20142015/00362</v>
      </c>
      <c r="D369" s="1378">
        <f t="shared" si="24"/>
        <v>41779</v>
      </c>
      <c r="E369" s="1513">
        <f t="shared" si="24"/>
        <v>22.059060828</v>
      </c>
      <c r="F369" s="1509">
        <f t="shared" si="25"/>
        <v>21.53</v>
      </c>
      <c r="G369" s="1509">
        <f t="shared" si="26"/>
        <v>21.53</v>
      </c>
      <c r="H369" s="1509">
        <f t="shared" si="29"/>
        <v>0</v>
      </c>
      <c r="I369" s="1509">
        <v>0</v>
      </c>
      <c r="J369" s="1509">
        <v>0</v>
      </c>
      <c r="K369" s="1513"/>
      <c r="L369" s="1513"/>
      <c r="M369" s="1513">
        <f t="shared" si="30"/>
        <v>0</v>
      </c>
      <c r="N369" s="1513">
        <f t="shared" si="31"/>
        <v>0</v>
      </c>
      <c r="O369" s="1510">
        <f t="shared" si="27"/>
        <v>0</v>
      </c>
      <c r="P369" s="1453">
        <f t="shared" si="28"/>
        <v>0</v>
      </c>
    </row>
    <row r="370" spans="1:16" outlineLevel="1" x14ac:dyDescent="0.25">
      <c r="A370" s="1511">
        <f t="shared" si="24"/>
        <v>9.1999999999999993</v>
      </c>
      <c r="B370" s="1512" t="str">
        <f t="shared" si="24"/>
        <v>IP Module</v>
      </c>
      <c r="C370" s="1511" t="str">
        <f t="shared" si="24"/>
        <v>MERC/TECH 1/CAPEX/20142015/00362</v>
      </c>
      <c r="D370" s="1378">
        <f t="shared" si="24"/>
        <v>41779</v>
      </c>
      <c r="E370" s="1513">
        <f t="shared" si="24"/>
        <v>21.359824199999998</v>
      </c>
      <c r="F370" s="1509">
        <f t="shared" si="25"/>
        <v>20.62</v>
      </c>
      <c r="G370" s="1509">
        <f t="shared" si="26"/>
        <v>20.62</v>
      </c>
      <c r="H370" s="1509">
        <f t="shared" si="29"/>
        <v>0</v>
      </c>
      <c r="I370" s="1509">
        <v>0</v>
      </c>
      <c r="J370" s="1509">
        <v>0</v>
      </c>
      <c r="K370" s="1513"/>
      <c r="L370" s="1513"/>
      <c r="M370" s="1513">
        <f t="shared" si="30"/>
        <v>0</v>
      </c>
      <c r="N370" s="1513">
        <f t="shared" si="31"/>
        <v>0</v>
      </c>
      <c r="O370" s="1510">
        <f t="shared" si="27"/>
        <v>0</v>
      </c>
      <c r="P370" s="1453">
        <f t="shared" si="28"/>
        <v>0</v>
      </c>
    </row>
    <row r="371" spans="1:16" outlineLevel="1" x14ac:dyDescent="0.25">
      <c r="A371" s="1511">
        <f t="shared" si="24"/>
        <v>9.3000000000000007</v>
      </c>
      <c r="B371" s="1512" t="str">
        <f t="shared" si="24"/>
        <v>LP Rotor</v>
      </c>
      <c r="C371" s="1511" t="str">
        <f t="shared" si="24"/>
        <v>MERC/TECH 1/CAPEX/20142015/00362</v>
      </c>
      <c r="D371" s="1378">
        <f t="shared" si="24"/>
        <v>41779</v>
      </c>
      <c r="E371" s="1513">
        <f t="shared" si="24"/>
        <v>38.724661685000001</v>
      </c>
      <c r="F371" s="1509">
        <f t="shared" si="25"/>
        <v>38.72</v>
      </c>
      <c r="G371" s="1509">
        <f t="shared" si="26"/>
        <v>38.72</v>
      </c>
      <c r="H371" s="1509">
        <f t="shared" si="29"/>
        <v>0</v>
      </c>
      <c r="I371" s="1509">
        <v>0</v>
      </c>
      <c r="J371" s="1509">
        <v>0</v>
      </c>
      <c r="K371" s="1513"/>
      <c r="L371" s="1513"/>
      <c r="M371" s="1513">
        <f t="shared" si="30"/>
        <v>0</v>
      </c>
      <c r="N371" s="1513">
        <f t="shared" si="31"/>
        <v>0</v>
      </c>
      <c r="O371" s="1510">
        <f t="shared" si="27"/>
        <v>0</v>
      </c>
      <c r="P371" s="1453">
        <f t="shared" si="28"/>
        <v>0</v>
      </c>
    </row>
    <row r="372" spans="1:16" outlineLevel="1" x14ac:dyDescent="0.25">
      <c r="A372" s="1511">
        <f t="shared" si="24"/>
        <v>0</v>
      </c>
      <c r="B372" s="1512" t="str">
        <f t="shared" si="24"/>
        <v>IDC</v>
      </c>
      <c r="C372" s="1511" t="str">
        <f t="shared" si="24"/>
        <v>MERC/TECH 1/CAPEX/20142015/00362</v>
      </c>
      <c r="D372" s="1378">
        <f t="shared" si="24"/>
        <v>41779</v>
      </c>
      <c r="E372" s="1513">
        <f t="shared" si="24"/>
        <v>0</v>
      </c>
      <c r="F372" s="1509">
        <f t="shared" si="25"/>
        <v>0</v>
      </c>
      <c r="G372" s="1509">
        <f t="shared" si="26"/>
        <v>0</v>
      </c>
      <c r="H372" s="1509">
        <f t="shared" si="29"/>
        <v>0</v>
      </c>
      <c r="I372" s="1509">
        <v>0</v>
      </c>
      <c r="J372" s="1509">
        <v>0</v>
      </c>
      <c r="K372" s="1513"/>
      <c r="L372" s="1513"/>
      <c r="M372" s="1513">
        <f t="shared" si="30"/>
        <v>0</v>
      </c>
      <c r="N372" s="1513">
        <f t="shared" si="31"/>
        <v>0</v>
      </c>
      <c r="O372" s="1510">
        <f t="shared" si="27"/>
        <v>0</v>
      </c>
      <c r="P372" s="1453">
        <f t="shared" si="28"/>
        <v>0</v>
      </c>
    </row>
    <row r="373" spans="1:16" ht="29" outlineLevel="1" x14ac:dyDescent="0.25">
      <c r="A373" s="1506">
        <f t="shared" si="24"/>
        <v>10</v>
      </c>
      <c r="B373" s="1507" t="str">
        <f t="shared" si="24"/>
        <v xml:space="preserve">Procurement of 315 MVA Spare GTR for 250 MW sets at New Parli &amp; New Paras TPS </v>
      </c>
      <c r="C373" s="1506" t="str">
        <f t="shared" si="24"/>
        <v>MERC/TECH 1/CAPEX/20142015/001</v>
      </c>
      <c r="D373" s="1508">
        <f t="shared" si="24"/>
        <v>41913</v>
      </c>
      <c r="E373" s="1509">
        <f t="shared" si="24"/>
        <v>11.32</v>
      </c>
      <c r="F373" s="1509">
        <f t="shared" si="25"/>
        <v>0</v>
      </c>
      <c r="G373" s="1509">
        <f t="shared" si="26"/>
        <v>0</v>
      </c>
      <c r="H373" s="1509">
        <f t="shared" si="29"/>
        <v>0</v>
      </c>
      <c r="I373" s="1509">
        <v>0</v>
      </c>
      <c r="J373" s="1509">
        <v>0</v>
      </c>
      <c r="K373" s="1509"/>
      <c r="L373" s="1509"/>
      <c r="M373" s="1509">
        <f t="shared" si="30"/>
        <v>0</v>
      </c>
      <c r="N373" s="1509">
        <f t="shared" si="31"/>
        <v>0</v>
      </c>
      <c r="O373" s="1510">
        <f t="shared" si="27"/>
        <v>0</v>
      </c>
      <c r="P373" s="1453">
        <f t="shared" si="28"/>
        <v>0</v>
      </c>
    </row>
    <row r="374" spans="1:16" outlineLevel="1" x14ac:dyDescent="0.25">
      <c r="A374" s="1511">
        <f t="shared" si="24"/>
        <v>10.1</v>
      </c>
      <c r="B374" s="1512" t="str">
        <f t="shared" si="24"/>
        <v>Procurement of 250 MVA Spare GTR</v>
      </c>
      <c r="C374" s="1511" t="str">
        <f t="shared" si="24"/>
        <v>MERC/TECH 1/CAPEX/20142015/001</v>
      </c>
      <c r="D374" s="1378">
        <f t="shared" si="24"/>
        <v>41913</v>
      </c>
      <c r="E374" s="1513">
        <f t="shared" si="24"/>
        <v>11.32</v>
      </c>
      <c r="F374" s="1509">
        <f t="shared" si="25"/>
        <v>13.4</v>
      </c>
      <c r="G374" s="1509">
        <f t="shared" si="26"/>
        <v>13.4</v>
      </c>
      <c r="H374" s="1509">
        <f t="shared" si="29"/>
        <v>0</v>
      </c>
      <c r="I374" s="1509">
        <v>0</v>
      </c>
      <c r="J374" s="1509">
        <v>0</v>
      </c>
      <c r="K374" s="1513"/>
      <c r="L374" s="1513"/>
      <c r="M374" s="1513">
        <f t="shared" si="30"/>
        <v>0</v>
      </c>
      <c r="N374" s="1513">
        <f t="shared" si="31"/>
        <v>0</v>
      </c>
      <c r="O374" s="1510">
        <f t="shared" si="27"/>
        <v>0</v>
      </c>
      <c r="P374" s="1453">
        <f t="shared" si="28"/>
        <v>0</v>
      </c>
    </row>
    <row r="375" spans="1:16" ht="29" outlineLevel="1" x14ac:dyDescent="0.25">
      <c r="A375" s="1506">
        <f t="shared" si="24"/>
        <v>13</v>
      </c>
      <c r="B375" s="1507" t="str">
        <f t="shared" si="24"/>
        <v>Construction of Concrete Roads &amp; Spare Generator Transformer Foundation at Parli TPS</v>
      </c>
      <c r="C375" s="1506" t="str">
        <f t="shared" si="24"/>
        <v>MERC/CAPEX/20162017/01172</v>
      </c>
      <c r="D375" s="1508">
        <f t="shared" si="24"/>
        <v>42713</v>
      </c>
      <c r="E375" s="1509">
        <f t="shared" si="24"/>
        <v>16.850000000000001</v>
      </c>
      <c r="F375" s="1509">
        <f t="shared" si="25"/>
        <v>0</v>
      </c>
      <c r="G375" s="1509">
        <f t="shared" si="26"/>
        <v>0</v>
      </c>
      <c r="H375" s="1509">
        <f t="shared" si="29"/>
        <v>0</v>
      </c>
      <c r="I375" s="1509">
        <v>0</v>
      </c>
      <c r="J375" s="1509">
        <v>0</v>
      </c>
      <c r="K375" s="1509"/>
      <c r="L375" s="1509"/>
      <c r="M375" s="1509">
        <f t="shared" si="30"/>
        <v>0</v>
      </c>
      <c r="N375" s="1509">
        <f t="shared" si="31"/>
        <v>0</v>
      </c>
      <c r="O375" s="1510">
        <f t="shared" si="27"/>
        <v>0</v>
      </c>
      <c r="P375" s="1453">
        <f t="shared" si="28"/>
        <v>0</v>
      </c>
    </row>
    <row r="376" spans="1:16" ht="29" outlineLevel="1" x14ac:dyDescent="0.25">
      <c r="A376" s="1511">
        <f t="shared" si="24"/>
        <v>13.1</v>
      </c>
      <c r="B376" s="1512" t="str">
        <f t="shared" si="24"/>
        <v>Construction of concrete road from Gangakhed road to entrance of unit no.6,7 at NPTPS Parli V.</v>
      </c>
      <c r="C376" s="1511" t="str">
        <f t="shared" si="24"/>
        <v>MERC/CAPEX/20162017/01172</v>
      </c>
      <c r="D376" s="1378">
        <f t="shared" si="24"/>
        <v>42713</v>
      </c>
      <c r="E376" s="1513">
        <f t="shared" si="24"/>
        <v>7.02</v>
      </c>
      <c r="F376" s="1509">
        <f t="shared" si="25"/>
        <v>6.8551506</v>
      </c>
      <c r="G376" s="1509">
        <f t="shared" si="26"/>
        <v>6.8551506</v>
      </c>
      <c r="H376" s="1509">
        <f t="shared" si="29"/>
        <v>0</v>
      </c>
      <c r="I376" s="1509">
        <v>0</v>
      </c>
      <c r="J376" s="1509">
        <v>0</v>
      </c>
      <c r="K376" s="1513"/>
      <c r="L376" s="1513"/>
      <c r="M376" s="1513">
        <f t="shared" si="30"/>
        <v>0</v>
      </c>
      <c r="N376" s="1513">
        <f t="shared" si="31"/>
        <v>0</v>
      </c>
      <c r="O376" s="1510">
        <f t="shared" si="27"/>
        <v>0</v>
      </c>
      <c r="P376" s="1453">
        <f t="shared" si="28"/>
        <v>0</v>
      </c>
    </row>
    <row r="377" spans="1:16" ht="29" outlineLevel="1" x14ac:dyDescent="0.25">
      <c r="A377" s="1511">
        <f t="shared" si="24"/>
        <v>13.2</v>
      </c>
      <c r="B377" s="1512" t="str">
        <f t="shared" si="24"/>
        <v>Construction of internal concrete roads within premises of Unit 6 and 7.</v>
      </c>
      <c r="C377" s="1511" t="str">
        <f t="shared" si="24"/>
        <v>MERC/CAPEX/20162017/01172</v>
      </c>
      <c r="D377" s="1378">
        <f t="shared" si="24"/>
        <v>42713</v>
      </c>
      <c r="E377" s="1513">
        <f t="shared" si="24"/>
        <v>7.55</v>
      </c>
      <c r="F377" s="1509">
        <f t="shared" si="25"/>
        <v>5.9636063540000004</v>
      </c>
      <c r="G377" s="1509">
        <f t="shared" si="26"/>
        <v>5.9636063540000004</v>
      </c>
      <c r="H377" s="1509">
        <f t="shared" si="29"/>
        <v>0</v>
      </c>
      <c r="I377" s="1509">
        <v>0</v>
      </c>
      <c r="J377" s="1509">
        <v>0</v>
      </c>
      <c r="K377" s="1514"/>
      <c r="L377" s="1514"/>
      <c r="M377" s="1514">
        <f t="shared" si="30"/>
        <v>0</v>
      </c>
      <c r="N377" s="1514">
        <f t="shared" si="31"/>
        <v>0</v>
      </c>
      <c r="O377" s="1510">
        <f t="shared" si="27"/>
        <v>0</v>
      </c>
      <c r="P377" s="1453">
        <f t="shared" si="28"/>
        <v>0</v>
      </c>
    </row>
    <row r="378" spans="1:16" ht="29" outlineLevel="1" x14ac:dyDescent="0.25">
      <c r="A378" s="1511">
        <f t="shared" si="24"/>
        <v>13.3</v>
      </c>
      <c r="B378" s="1512" t="str">
        <f t="shared" si="24"/>
        <v>Construction of spare generator transformer foundation of Unit No. 6,7 at NPTPS Parli-V &amp; Paras TPS</v>
      </c>
      <c r="C378" s="1511" t="str">
        <f t="shared" si="24"/>
        <v>MERC/CAPEX/20162017/01172</v>
      </c>
      <c r="D378" s="1378">
        <f t="shared" si="24"/>
        <v>42713</v>
      </c>
      <c r="E378" s="1513">
        <f t="shared" si="24"/>
        <v>1.48</v>
      </c>
      <c r="F378" s="1509">
        <f t="shared" si="25"/>
        <v>1.2847999999999999</v>
      </c>
      <c r="G378" s="1509">
        <f t="shared" si="26"/>
        <v>1.2847999999999999</v>
      </c>
      <c r="H378" s="1509">
        <f t="shared" si="29"/>
        <v>0</v>
      </c>
      <c r="I378" s="1509">
        <v>0</v>
      </c>
      <c r="J378" s="1509">
        <v>0</v>
      </c>
      <c r="K378" s="1513"/>
      <c r="L378" s="1513"/>
      <c r="M378" s="1513">
        <f t="shared" si="30"/>
        <v>0</v>
      </c>
      <c r="N378" s="1513">
        <f t="shared" si="31"/>
        <v>0</v>
      </c>
      <c r="O378" s="1510">
        <f t="shared" si="27"/>
        <v>0</v>
      </c>
      <c r="P378" s="1453">
        <f t="shared" si="28"/>
        <v>0</v>
      </c>
    </row>
    <row r="379" spans="1:16" outlineLevel="1" x14ac:dyDescent="0.25">
      <c r="A379" s="1511">
        <f t="shared" si="24"/>
        <v>0</v>
      </c>
      <c r="B379" s="1515" t="str">
        <f t="shared" si="24"/>
        <v>IDC</v>
      </c>
      <c r="C379" s="1511" t="str">
        <f t="shared" si="24"/>
        <v>MERC/CAPEX/20162017/01172</v>
      </c>
      <c r="D379" s="1378">
        <f t="shared" si="24"/>
        <v>42713</v>
      </c>
      <c r="E379" s="1513">
        <f t="shared" si="24"/>
        <v>0.8</v>
      </c>
      <c r="F379" s="1509">
        <f t="shared" si="25"/>
        <v>0</v>
      </c>
      <c r="G379" s="1509">
        <f t="shared" si="26"/>
        <v>0</v>
      </c>
      <c r="H379" s="1509">
        <f t="shared" si="29"/>
        <v>0</v>
      </c>
      <c r="I379" s="1509">
        <v>0</v>
      </c>
      <c r="J379" s="1509">
        <v>0</v>
      </c>
      <c r="K379" s="1513"/>
      <c r="L379" s="1513"/>
      <c r="M379" s="1513">
        <f t="shared" si="30"/>
        <v>0</v>
      </c>
      <c r="N379" s="1513">
        <f t="shared" si="31"/>
        <v>0</v>
      </c>
      <c r="O379" s="1510">
        <f t="shared" si="27"/>
        <v>0</v>
      </c>
      <c r="P379" s="1453">
        <f t="shared" si="28"/>
        <v>0</v>
      </c>
    </row>
    <row r="380" spans="1:16" outlineLevel="1" x14ac:dyDescent="0.25">
      <c r="A380" s="1506">
        <f t="shared" si="24"/>
        <v>14</v>
      </c>
      <c r="B380" s="1507" t="str">
        <f t="shared" si="24"/>
        <v>Procurement of battery breakers and weigh bridge for Parli Unit 6 &amp; 7</v>
      </c>
      <c r="C380" s="1506" t="str">
        <f t="shared" si="24"/>
        <v>MERC/CAPEX/20172018/4711</v>
      </c>
      <c r="D380" s="1508">
        <f t="shared" si="24"/>
        <v>43055</v>
      </c>
      <c r="E380" s="1509">
        <f t="shared" si="24"/>
        <v>18.279999999999998</v>
      </c>
      <c r="F380" s="1509">
        <f t="shared" si="25"/>
        <v>0</v>
      </c>
      <c r="G380" s="1509">
        <f t="shared" si="26"/>
        <v>0</v>
      </c>
      <c r="H380" s="1509">
        <f t="shared" si="29"/>
        <v>0</v>
      </c>
      <c r="I380" s="1509">
        <v>0</v>
      </c>
      <c r="J380" s="1509">
        <v>0</v>
      </c>
      <c r="K380" s="1509"/>
      <c r="L380" s="1509"/>
      <c r="M380" s="1509">
        <f t="shared" si="30"/>
        <v>0</v>
      </c>
      <c r="N380" s="1509">
        <f t="shared" si="31"/>
        <v>0</v>
      </c>
      <c r="O380" s="1510">
        <f t="shared" si="27"/>
        <v>0</v>
      </c>
      <c r="P380" s="1453">
        <f t="shared" si="28"/>
        <v>0</v>
      </c>
    </row>
    <row r="381" spans="1:16" ht="29" outlineLevel="1" x14ac:dyDescent="0.25">
      <c r="A381" s="1511">
        <f t="shared" si="24"/>
        <v>14.1</v>
      </c>
      <c r="B381" s="1512" t="str">
        <f t="shared" si="24"/>
        <v>Replacement of 220V station batteries, 360V UPS batteries, 24V DCS batteries , 360V UPS AHP batteries at U6 &amp; U7 NPTPS</v>
      </c>
      <c r="C381" s="1511" t="str">
        <f t="shared" si="24"/>
        <v>MERC/CAPEX/20172018/4711</v>
      </c>
      <c r="D381" s="1378">
        <f t="shared" si="24"/>
        <v>43055</v>
      </c>
      <c r="E381" s="1513">
        <f t="shared" si="24"/>
        <v>15.08</v>
      </c>
      <c r="F381" s="1509">
        <f t="shared" si="25"/>
        <v>14.4772699</v>
      </c>
      <c r="G381" s="1509">
        <f t="shared" si="26"/>
        <v>14.4772699</v>
      </c>
      <c r="H381" s="1509">
        <f t="shared" si="29"/>
        <v>0</v>
      </c>
      <c r="I381" s="1509">
        <v>0</v>
      </c>
      <c r="J381" s="1509">
        <v>0</v>
      </c>
      <c r="K381" s="1513"/>
      <c r="L381" s="1513"/>
      <c r="M381" s="1513">
        <f t="shared" si="30"/>
        <v>0</v>
      </c>
      <c r="N381" s="1513">
        <f t="shared" si="31"/>
        <v>0</v>
      </c>
      <c r="O381" s="1510">
        <f t="shared" si="27"/>
        <v>0</v>
      </c>
      <c r="P381" s="1453">
        <f t="shared" si="28"/>
        <v>0</v>
      </c>
    </row>
    <row r="382" spans="1:16" outlineLevel="1" x14ac:dyDescent="0.25">
      <c r="A382" s="1511">
        <f t="shared" ref="A382:E397" si="32">A25</f>
        <v>14.2</v>
      </c>
      <c r="B382" s="1512" t="str">
        <f t="shared" si="32"/>
        <v>Installation of Pit less weighbridge of 100 MT capacity.</v>
      </c>
      <c r="C382" s="1511" t="str">
        <f t="shared" si="32"/>
        <v>MERC/CAPEX/20172018/4711</v>
      </c>
      <c r="D382" s="1378">
        <f t="shared" si="32"/>
        <v>43055</v>
      </c>
      <c r="E382" s="1513">
        <f t="shared" si="32"/>
        <v>0.3</v>
      </c>
      <c r="F382" s="1509">
        <f t="shared" si="25"/>
        <v>0.29736000000000001</v>
      </c>
      <c r="G382" s="1509">
        <f t="shared" si="26"/>
        <v>0.29736000000000001</v>
      </c>
      <c r="H382" s="1509">
        <f t="shared" si="29"/>
        <v>0</v>
      </c>
      <c r="I382" s="1509">
        <v>0</v>
      </c>
      <c r="J382" s="1509">
        <v>0</v>
      </c>
      <c r="K382" s="1513"/>
      <c r="L382" s="1513"/>
      <c r="M382" s="1513">
        <f t="shared" si="30"/>
        <v>0</v>
      </c>
      <c r="N382" s="1513">
        <f t="shared" si="31"/>
        <v>0</v>
      </c>
      <c r="O382" s="1510">
        <f t="shared" si="27"/>
        <v>0</v>
      </c>
      <c r="P382" s="1453">
        <f t="shared" si="28"/>
        <v>0</v>
      </c>
    </row>
    <row r="383" spans="1:16" outlineLevel="1" x14ac:dyDescent="0.25">
      <c r="A383" s="1511">
        <f t="shared" si="32"/>
        <v>14.3</v>
      </c>
      <c r="B383" s="1512" t="str">
        <f t="shared" si="32"/>
        <v>Procurement of SF 6 Generator Circuit Breaker Type- FKG1X</v>
      </c>
      <c r="C383" s="1511" t="str">
        <f t="shared" si="32"/>
        <v>MERC/CAPEX/20172018/4711</v>
      </c>
      <c r="D383" s="1378">
        <f t="shared" si="32"/>
        <v>43055</v>
      </c>
      <c r="E383" s="1513">
        <f t="shared" si="32"/>
        <v>2.46</v>
      </c>
      <c r="F383" s="1509">
        <f t="shared" si="25"/>
        <v>0</v>
      </c>
      <c r="G383" s="1509">
        <f t="shared" si="26"/>
        <v>0</v>
      </c>
      <c r="H383" s="1509">
        <f t="shared" si="29"/>
        <v>0</v>
      </c>
      <c r="I383" s="1509">
        <v>0</v>
      </c>
      <c r="J383" s="1509">
        <v>0</v>
      </c>
      <c r="K383" s="1513"/>
      <c r="L383" s="1513"/>
      <c r="M383" s="1513">
        <f t="shared" si="30"/>
        <v>0</v>
      </c>
      <c r="N383" s="1513">
        <f t="shared" si="31"/>
        <v>0</v>
      </c>
      <c r="O383" s="1510">
        <f t="shared" si="27"/>
        <v>0</v>
      </c>
      <c r="P383" s="1453">
        <f t="shared" si="28"/>
        <v>0</v>
      </c>
    </row>
    <row r="384" spans="1:16" outlineLevel="1" x14ac:dyDescent="0.25">
      <c r="A384" s="1511">
        <f t="shared" si="32"/>
        <v>14.4</v>
      </c>
      <c r="B384" s="1512" t="str">
        <f t="shared" si="32"/>
        <v>Procurement of spare VCB’s trolleys.</v>
      </c>
      <c r="C384" s="1511" t="str">
        <f t="shared" si="32"/>
        <v>MERC/CAPEX/20172018/4711</v>
      </c>
      <c r="D384" s="1378">
        <f t="shared" si="32"/>
        <v>43055</v>
      </c>
      <c r="E384" s="1513">
        <f t="shared" si="32"/>
        <v>0.31</v>
      </c>
      <c r="F384" s="1509">
        <f t="shared" si="25"/>
        <v>0.5057102</v>
      </c>
      <c r="G384" s="1509">
        <f t="shared" si="26"/>
        <v>0.5057102</v>
      </c>
      <c r="H384" s="1509">
        <f t="shared" si="29"/>
        <v>0</v>
      </c>
      <c r="I384" s="1509">
        <v>0</v>
      </c>
      <c r="J384" s="1509">
        <v>0</v>
      </c>
      <c r="K384" s="1513"/>
      <c r="L384" s="1513"/>
      <c r="M384" s="1513">
        <f t="shared" si="30"/>
        <v>0</v>
      </c>
      <c r="N384" s="1513">
        <f t="shared" si="31"/>
        <v>0</v>
      </c>
      <c r="O384" s="1510">
        <f t="shared" si="27"/>
        <v>0</v>
      </c>
      <c r="P384" s="1453">
        <f t="shared" si="28"/>
        <v>0</v>
      </c>
    </row>
    <row r="385" spans="1:16" outlineLevel="1" x14ac:dyDescent="0.25">
      <c r="A385" s="1511">
        <f t="shared" si="32"/>
        <v>0</v>
      </c>
      <c r="B385" s="1512" t="str">
        <f t="shared" si="32"/>
        <v>IDC</v>
      </c>
      <c r="C385" s="1511" t="str">
        <f t="shared" si="32"/>
        <v>MERC/CAPEX/20172018/4711</v>
      </c>
      <c r="D385" s="1378">
        <f t="shared" si="32"/>
        <v>43055</v>
      </c>
      <c r="E385" s="1513">
        <f t="shared" si="32"/>
        <v>0.13</v>
      </c>
      <c r="F385" s="1509">
        <f t="shared" si="25"/>
        <v>0</v>
      </c>
      <c r="G385" s="1509">
        <f t="shared" si="26"/>
        <v>0</v>
      </c>
      <c r="H385" s="1509">
        <f t="shared" si="29"/>
        <v>0</v>
      </c>
      <c r="I385" s="1509">
        <v>0</v>
      </c>
      <c r="J385" s="1509">
        <v>0</v>
      </c>
      <c r="K385" s="1513"/>
      <c r="L385" s="1513"/>
      <c r="M385" s="1513">
        <f t="shared" si="30"/>
        <v>0</v>
      </c>
      <c r="N385" s="1513">
        <f t="shared" si="31"/>
        <v>0</v>
      </c>
      <c r="O385" s="1510">
        <f t="shared" si="27"/>
        <v>0</v>
      </c>
      <c r="P385" s="1453">
        <f t="shared" si="28"/>
        <v>0</v>
      </c>
    </row>
    <row r="386" spans="1:16" ht="29" outlineLevel="1" x14ac:dyDescent="0.25">
      <c r="A386" s="1506">
        <f t="shared" si="32"/>
        <v>15</v>
      </c>
      <c r="B386" s="1507" t="str">
        <f t="shared" si="32"/>
        <v>First raising of ash bund from 426 Mtr. To 432 Mtr. Of Dautpur Ash Bund No. 2 for Unit No. 4, 6, 7 &amp; 8 at Parli TPS.</v>
      </c>
      <c r="C386" s="1506" t="str">
        <f t="shared" si="32"/>
        <v>MERC/CAPEX/20172018/4703</v>
      </c>
      <c r="D386" s="1508">
        <f t="shared" si="32"/>
        <v>43055</v>
      </c>
      <c r="E386" s="1509">
        <f t="shared" si="32"/>
        <v>45.524777499999992</v>
      </c>
      <c r="F386" s="1509">
        <f t="shared" si="25"/>
        <v>0</v>
      </c>
      <c r="G386" s="1509">
        <f t="shared" si="26"/>
        <v>0</v>
      </c>
      <c r="H386" s="1509">
        <f t="shared" si="29"/>
        <v>0</v>
      </c>
      <c r="I386" s="1509">
        <v>0</v>
      </c>
      <c r="J386" s="1509">
        <v>0</v>
      </c>
      <c r="K386" s="1509"/>
      <c r="L386" s="1509"/>
      <c r="M386" s="1509">
        <f t="shared" si="30"/>
        <v>0</v>
      </c>
      <c r="N386" s="1509">
        <f t="shared" si="31"/>
        <v>0</v>
      </c>
      <c r="O386" s="1510">
        <f t="shared" si="27"/>
        <v>0</v>
      </c>
      <c r="P386" s="1453">
        <f t="shared" si="28"/>
        <v>0</v>
      </c>
    </row>
    <row r="387" spans="1:16" ht="29" outlineLevel="1" x14ac:dyDescent="0.25">
      <c r="A387" s="1511">
        <f t="shared" si="32"/>
        <v>15.1</v>
      </c>
      <c r="B387" s="1512" t="str">
        <f t="shared" si="32"/>
        <v>First raising of ash bund from 426 Mtr. To 432 Mtr. Of Dautpur Ash Bund No. 2 for Unit No. 4, 6, 7 &amp; 8 at Parli TPS.</v>
      </c>
      <c r="C387" s="1511" t="str">
        <f t="shared" si="32"/>
        <v>MERC/CAPEX/20172018/4703</v>
      </c>
      <c r="D387" s="1378">
        <f t="shared" si="32"/>
        <v>43055</v>
      </c>
      <c r="E387" s="1513">
        <f t="shared" si="32"/>
        <v>44.154777499999994</v>
      </c>
      <c r="F387" s="1509">
        <f t="shared" si="25"/>
        <v>43.094741947000003</v>
      </c>
      <c r="G387" s="1509">
        <f t="shared" si="26"/>
        <v>43.094741947000003</v>
      </c>
      <c r="H387" s="1509">
        <f t="shared" si="29"/>
        <v>0</v>
      </c>
      <c r="I387" s="1509">
        <v>0</v>
      </c>
      <c r="J387" s="1509">
        <v>0</v>
      </c>
      <c r="K387" s="1513"/>
      <c r="L387" s="1513"/>
      <c r="M387" s="1513">
        <f t="shared" si="30"/>
        <v>0</v>
      </c>
      <c r="N387" s="1513">
        <f t="shared" si="31"/>
        <v>0</v>
      </c>
      <c r="O387" s="1510">
        <f t="shared" si="27"/>
        <v>0</v>
      </c>
      <c r="P387" s="1453">
        <f t="shared" si="28"/>
        <v>0</v>
      </c>
    </row>
    <row r="388" spans="1:16" outlineLevel="1" x14ac:dyDescent="0.25">
      <c r="A388" s="1511">
        <f t="shared" si="32"/>
        <v>0</v>
      </c>
      <c r="B388" s="1512" t="str">
        <f t="shared" si="32"/>
        <v>IDC</v>
      </c>
      <c r="C388" s="1511" t="str">
        <f t="shared" si="32"/>
        <v>MERC/CAPEX/20172018/4703</v>
      </c>
      <c r="D388" s="1378">
        <f t="shared" si="32"/>
        <v>43055</v>
      </c>
      <c r="E388" s="1513">
        <f t="shared" si="32"/>
        <v>1.37</v>
      </c>
      <c r="F388" s="1509">
        <f t="shared" si="25"/>
        <v>0</v>
      </c>
      <c r="G388" s="1509">
        <f t="shared" si="26"/>
        <v>0</v>
      </c>
      <c r="H388" s="1509">
        <f t="shared" si="29"/>
        <v>0</v>
      </c>
      <c r="I388" s="1509">
        <v>0</v>
      </c>
      <c r="J388" s="1509">
        <v>0</v>
      </c>
      <c r="K388" s="1513"/>
      <c r="L388" s="1513"/>
      <c r="M388" s="1513">
        <f t="shared" si="30"/>
        <v>0</v>
      </c>
      <c r="N388" s="1513">
        <f t="shared" si="31"/>
        <v>0</v>
      </c>
      <c r="O388" s="1510">
        <f t="shared" si="27"/>
        <v>0</v>
      </c>
      <c r="P388" s="1453">
        <f t="shared" si="28"/>
        <v>0</v>
      </c>
    </row>
    <row r="389" spans="1:16" outlineLevel="1" x14ac:dyDescent="0.25">
      <c r="A389" s="1506">
        <f t="shared" si="32"/>
        <v>16</v>
      </c>
      <c r="B389" s="1507" t="str">
        <f t="shared" si="32"/>
        <v>Renovation works of colony at Parli TPS</v>
      </c>
      <c r="C389" s="1506" t="str">
        <f t="shared" si="32"/>
        <v>MERC/CAPEX/2018-2019/065</v>
      </c>
      <c r="D389" s="1508">
        <f t="shared" si="32"/>
        <v>43529</v>
      </c>
      <c r="E389" s="1509">
        <f t="shared" si="32"/>
        <v>13.148149</v>
      </c>
      <c r="F389" s="1509">
        <f t="shared" si="25"/>
        <v>0</v>
      </c>
      <c r="G389" s="1509">
        <f t="shared" si="26"/>
        <v>0</v>
      </c>
      <c r="H389" s="1509">
        <f t="shared" si="29"/>
        <v>0</v>
      </c>
      <c r="I389" s="1509">
        <v>0</v>
      </c>
      <c r="J389" s="1509">
        <v>0</v>
      </c>
      <c r="K389" s="1513"/>
      <c r="L389" s="1513"/>
      <c r="M389" s="1513">
        <f t="shared" si="30"/>
        <v>0</v>
      </c>
      <c r="N389" s="1513">
        <f t="shared" si="31"/>
        <v>0</v>
      </c>
      <c r="O389" s="1510">
        <f t="shared" si="27"/>
        <v>0</v>
      </c>
      <c r="P389" s="1453">
        <f t="shared" si="28"/>
        <v>0</v>
      </c>
    </row>
    <row r="390" spans="1:16" outlineLevel="1" x14ac:dyDescent="0.25">
      <c r="A390" s="1511">
        <f t="shared" si="32"/>
        <v>16.100000000000001</v>
      </c>
      <c r="B390" s="1512" t="str">
        <f t="shared" si="32"/>
        <v>Colony Renovation / Garden and relation works</v>
      </c>
      <c r="C390" s="1511" t="str">
        <f t="shared" si="32"/>
        <v>MERC/CAPEX/2018-2019/065</v>
      </c>
      <c r="D390" s="1378">
        <f t="shared" si="32"/>
        <v>43529</v>
      </c>
      <c r="E390" s="1513">
        <f t="shared" si="32"/>
        <v>8.0502839999999996</v>
      </c>
      <c r="F390" s="1509">
        <f t="shared" si="25"/>
        <v>5.6193481700000003</v>
      </c>
      <c r="G390" s="1509">
        <f t="shared" si="26"/>
        <v>5.6193481700000003</v>
      </c>
      <c r="H390" s="1509">
        <f t="shared" si="29"/>
        <v>0</v>
      </c>
      <c r="I390" s="1509">
        <v>0</v>
      </c>
      <c r="J390" s="1509">
        <v>0</v>
      </c>
      <c r="K390" s="1513"/>
      <c r="L390" s="1513"/>
      <c r="M390" s="1513">
        <f t="shared" si="30"/>
        <v>0</v>
      </c>
      <c r="N390" s="1513">
        <f t="shared" si="31"/>
        <v>0</v>
      </c>
      <c r="O390" s="1510">
        <f t="shared" si="27"/>
        <v>0</v>
      </c>
      <c r="P390" s="1453">
        <f t="shared" si="28"/>
        <v>0</v>
      </c>
    </row>
    <row r="391" spans="1:16" outlineLevel="1" x14ac:dyDescent="0.25">
      <c r="A391" s="1511">
        <f t="shared" si="32"/>
        <v>16.2</v>
      </c>
      <c r="B391" s="1512" t="str">
        <f t="shared" si="32"/>
        <v>Colony Road work</v>
      </c>
      <c r="C391" s="1511" t="str">
        <f t="shared" si="32"/>
        <v>MERC/CAPEX/2018-2019/065</v>
      </c>
      <c r="D391" s="1378">
        <f t="shared" si="32"/>
        <v>43529</v>
      </c>
      <c r="E391" s="1513">
        <f t="shared" si="32"/>
        <v>2.3051249999999999</v>
      </c>
      <c r="F391" s="1509">
        <f t="shared" si="25"/>
        <v>2.0084425239999999</v>
      </c>
      <c r="G391" s="1509">
        <f t="shared" si="26"/>
        <v>2.0084425239999999</v>
      </c>
      <c r="H391" s="1509">
        <f t="shared" si="29"/>
        <v>0</v>
      </c>
      <c r="I391" s="1509">
        <v>0</v>
      </c>
      <c r="J391" s="1509">
        <v>0</v>
      </c>
      <c r="K391" s="1513"/>
      <c r="L391" s="1513"/>
      <c r="M391" s="1513">
        <f t="shared" si="30"/>
        <v>0</v>
      </c>
      <c r="N391" s="1513">
        <f t="shared" si="31"/>
        <v>0</v>
      </c>
      <c r="O391" s="1510">
        <f t="shared" si="27"/>
        <v>0</v>
      </c>
      <c r="P391" s="1453">
        <f t="shared" si="28"/>
        <v>0</v>
      </c>
    </row>
    <row r="392" spans="1:16" outlineLevel="1" x14ac:dyDescent="0.25">
      <c r="A392" s="1511">
        <f t="shared" si="32"/>
        <v>16.3</v>
      </c>
      <c r="B392" s="1512" t="str">
        <f t="shared" si="32"/>
        <v>Colony Water supply, Sanitary and drinage line work</v>
      </c>
      <c r="C392" s="1511" t="str">
        <f t="shared" si="32"/>
        <v>MERC/CAPEX/2018-2019/065</v>
      </c>
      <c r="D392" s="1378">
        <f t="shared" si="32"/>
        <v>43529</v>
      </c>
      <c r="E392" s="1513">
        <f t="shared" si="32"/>
        <v>2.7927399999999998</v>
      </c>
      <c r="F392" s="1509">
        <f t="shared" si="25"/>
        <v>0.16449244900000001</v>
      </c>
      <c r="G392" s="1509">
        <f t="shared" si="26"/>
        <v>0.16449244900000001</v>
      </c>
      <c r="H392" s="1509">
        <f t="shared" si="29"/>
        <v>0</v>
      </c>
      <c r="I392" s="1509">
        <v>0</v>
      </c>
      <c r="J392" s="1509">
        <v>0</v>
      </c>
      <c r="K392" s="1513"/>
      <c r="L392" s="1513"/>
      <c r="M392" s="1513">
        <f t="shared" si="30"/>
        <v>0</v>
      </c>
      <c r="N392" s="1513">
        <f t="shared" si="31"/>
        <v>0</v>
      </c>
      <c r="O392" s="1510">
        <f t="shared" si="27"/>
        <v>0</v>
      </c>
      <c r="P392" s="1453">
        <f t="shared" si="28"/>
        <v>0</v>
      </c>
    </row>
    <row r="393" spans="1:16" outlineLevel="1" x14ac:dyDescent="0.25">
      <c r="A393" s="1511">
        <f t="shared" si="32"/>
        <v>16.399999999999999</v>
      </c>
      <c r="B393" s="1512" t="str">
        <f t="shared" si="32"/>
        <v>Mangal Karyalaya and Community Hall work</v>
      </c>
      <c r="C393" s="1511" t="str">
        <f t="shared" si="32"/>
        <v>MERC/CAPEX/2018-2019/065</v>
      </c>
      <c r="D393" s="1378">
        <f t="shared" si="32"/>
        <v>43529</v>
      </c>
      <c r="E393" s="1513">
        <f t="shared" si="32"/>
        <v>0</v>
      </c>
      <c r="F393" s="1509">
        <f t="shared" si="25"/>
        <v>0</v>
      </c>
      <c r="G393" s="1509">
        <f t="shared" si="26"/>
        <v>0</v>
      </c>
      <c r="H393" s="1509">
        <f t="shared" si="29"/>
        <v>0</v>
      </c>
      <c r="I393" s="1509">
        <v>0</v>
      </c>
      <c r="J393" s="1509">
        <v>0</v>
      </c>
      <c r="K393" s="1513"/>
      <c r="L393" s="1513"/>
      <c r="M393" s="1513">
        <f t="shared" si="30"/>
        <v>0</v>
      </c>
      <c r="N393" s="1513">
        <f t="shared" si="31"/>
        <v>0</v>
      </c>
      <c r="O393" s="1510">
        <f t="shared" si="27"/>
        <v>0</v>
      </c>
      <c r="P393" s="1453">
        <f t="shared" si="28"/>
        <v>0</v>
      </c>
    </row>
    <row r="394" spans="1:16" outlineLevel="1" x14ac:dyDescent="0.25">
      <c r="A394" s="1511">
        <f t="shared" si="32"/>
        <v>16.5</v>
      </c>
      <c r="B394" s="1512" t="str">
        <f t="shared" si="32"/>
        <v>Other Civil  works</v>
      </c>
      <c r="C394" s="1511" t="str">
        <f t="shared" si="32"/>
        <v>MERC/CAPEX/2018-2019/065</v>
      </c>
      <c r="D394" s="1378">
        <f t="shared" si="32"/>
        <v>43529</v>
      </c>
      <c r="E394" s="1513">
        <f t="shared" si="32"/>
        <v>0</v>
      </c>
      <c r="F394" s="1509">
        <f t="shared" si="25"/>
        <v>0</v>
      </c>
      <c r="G394" s="1509">
        <f t="shared" si="26"/>
        <v>0</v>
      </c>
      <c r="H394" s="1509">
        <f t="shared" si="29"/>
        <v>0</v>
      </c>
      <c r="I394" s="1509">
        <v>0</v>
      </c>
      <c r="J394" s="1509">
        <v>0</v>
      </c>
      <c r="K394" s="1513"/>
      <c r="L394" s="1513"/>
      <c r="M394" s="1513">
        <f t="shared" si="30"/>
        <v>0</v>
      </c>
      <c r="N394" s="1513">
        <f t="shared" si="31"/>
        <v>0</v>
      </c>
      <c r="O394" s="1510">
        <f t="shared" si="27"/>
        <v>0</v>
      </c>
      <c r="P394" s="1453">
        <f t="shared" si="28"/>
        <v>0</v>
      </c>
    </row>
    <row r="395" spans="1:16" outlineLevel="1" x14ac:dyDescent="0.25">
      <c r="A395" s="1506">
        <f t="shared" si="32"/>
        <v>17</v>
      </c>
      <c r="B395" s="1507" t="str">
        <f t="shared" si="32"/>
        <v>Various Civil Schemes at Parli TPS</v>
      </c>
      <c r="C395" s="1506" t="str">
        <f t="shared" si="32"/>
        <v>MERC/CAPEX/20182019/020</v>
      </c>
      <c r="D395" s="1508">
        <f t="shared" si="32"/>
        <v>43481</v>
      </c>
      <c r="E395" s="1509">
        <f t="shared" si="32"/>
        <v>11.99868781</v>
      </c>
      <c r="F395" s="1509">
        <f t="shared" si="25"/>
        <v>0</v>
      </c>
      <c r="G395" s="1509">
        <f t="shared" si="26"/>
        <v>0</v>
      </c>
      <c r="H395" s="1509">
        <f t="shared" si="29"/>
        <v>0</v>
      </c>
      <c r="I395" s="1509">
        <v>0</v>
      </c>
      <c r="J395" s="1509">
        <v>0</v>
      </c>
      <c r="K395" s="1513"/>
      <c r="L395" s="1513"/>
      <c r="M395" s="1513">
        <f t="shared" si="30"/>
        <v>0</v>
      </c>
      <c r="N395" s="1513">
        <f t="shared" si="31"/>
        <v>0</v>
      </c>
      <c r="O395" s="1510">
        <f t="shared" si="27"/>
        <v>0</v>
      </c>
      <c r="P395" s="1453">
        <f t="shared" si="28"/>
        <v>0</v>
      </c>
    </row>
    <row r="396" spans="1:16" ht="43.5" outlineLevel="1" x14ac:dyDescent="0.25">
      <c r="A396" s="1511">
        <f t="shared" si="32"/>
        <v>17.100000000000001</v>
      </c>
      <c r="B396" s="1512" t="str">
        <f t="shared" si="32"/>
        <v>Repair work of Khadka road from Sangam T point TPS compound wall to Khadka pump house by providing and laying GSB and bituminous macadam surface on existing road at TPS Parli V</v>
      </c>
      <c r="C396" s="1511" t="str">
        <f t="shared" si="32"/>
        <v>MERC/CAPEX/20182019/020</v>
      </c>
      <c r="D396" s="1378">
        <f t="shared" si="32"/>
        <v>43481</v>
      </c>
      <c r="E396" s="1513">
        <f t="shared" si="32"/>
        <v>6.1932861680000002</v>
      </c>
      <c r="F396" s="1509">
        <f t="shared" si="25"/>
        <v>5.6459529719999999</v>
      </c>
      <c r="G396" s="1509">
        <f t="shared" si="26"/>
        <v>5.6459529719999999</v>
      </c>
      <c r="H396" s="1509">
        <f t="shared" si="29"/>
        <v>0</v>
      </c>
      <c r="I396" s="1509">
        <v>0</v>
      </c>
      <c r="J396" s="1509">
        <v>0</v>
      </c>
      <c r="K396" s="1513"/>
      <c r="L396" s="1513"/>
      <c r="M396" s="1513">
        <f t="shared" si="30"/>
        <v>0</v>
      </c>
      <c r="N396" s="1513">
        <f t="shared" si="31"/>
        <v>0</v>
      </c>
      <c r="O396" s="1510">
        <f t="shared" si="27"/>
        <v>0</v>
      </c>
      <c r="P396" s="1453">
        <f t="shared" si="28"/>
        <v>0</v>
      </c>
    </row>
    <row r="397" spans="1:16" ht="29" outlineLevel="1" x14ac:dyDescent="0.25">
      <c r="A397" s="1511">
        <f t="shared" si="32"/>
        <v>17.2</v>
      </c>
      <c r="B397" s="1512" t="str">
        <f t="shared" si="32"/>
        <v xml:space="preserve">Replacement of old  A.C. / G.I. Sheets by new C.G.I. Sheets  at Unit 4 and 5  TPS Parli Vaijnath                         </v>
      </c>
      <c r="C397" s="1511" t="str">
        <f t="shared" si="32"/>
        <v>MERC/CAPEX/20182019/020</v>
      </c>
      <c r="D397" s="1378">
        <f t="shared" si="32"/>
        <v>43481</v>
      </c>
      <c r="E397" s="1513">
        <f t="shared" si="32"/>
        <v>0.38584171</v>
      </c>
      <c r="F397" s="1509">
        <f t="shared" si="25"/>
        <v>0.28061102900000001</v>
      </c>
      <c r="G397" s="1509">
        <f t="shared" si="26"/>
        <v>0.28061102900000001</v>
      </c>
      <c r="H397" s="1509">
        <f t="shared" si="29"/>
        <v>0</v>
      </c>
      <c r="I397" s="1509">
        <v>0</v>
      </c>
      <c r="J397" s="1509">
        <v>0</v>
      </c>
      <c r="K397" s="1513"/>
      <c r="L397" s="1513"/>
      <c r="M397" s="1513">
        <f t="shared" si="30"/>
        <v>0</v>
      </c>
      <c r="N397" s="1513">
        <f t="shared" si="31"/>
        <v>0</v>
      </c>
      <c r="O397" s="1510">
        <f t="shared" si="27"/>
        <v>0</v>
      </c>
      <c r="P397" s="1453">
        <f t="shared" si="28"/>
        <v>0</v>
      </c>
    </row>
    <row r="398" spans="1:16" ht="29" outlineLevel="1" x14ac:dyDescent="0.25">
      <c r="A398" s="1511">
        <f t="shared" ref="A398:E413" si="33">A41</f>
        <v>17.3</v>
      </c>
      <c r="B398" s="1512" t="str">
        <f t="shared" si="33"/>
        <v xml:space="preserve">Water supply pipe line  from Way bridge to chummery gate at Old Power House premises TPS Parli   Vaijnath   </v>
      </c>
      <c r="C398" s="1511" t="str">
        <f t="shared" si="33"/>
        <v>MERC/CAPEX/20182019/020</v>
      </c>
      <c r="D398" s="1378">
        <f t="shared" si="33"/>
        <v>43481</v>
      </c>
      <c r="E398" s="1513">
        <f t="shared" si="33"/>
        <v>1.490824862</v>
      </c>
      <c r="F398" s="1509">
        <f t="shared" si="25"/>
        <v>0</v>
      </c>
      <c r="G398" s="1509">
        <f t="shared" si="26"/>
        <v>0</v>
      </c>
      <c r="H398" s="1509">
        <f t="shared" si="29"/>
        <v>0</v>
      </c>
      <c r="I398" s="1509">
        <v>0</v>
      </c>
      <c r="J398" s="1509">
        <v>0</v>
      </c>
      <c r="K398" s="1513"/>
      <c r="L398" s="1513"/>
      <c r="M398" s="1513">
        <f t="shared" si="30"/>
        <v>0</v>
      </c>
      <c r="N398" s="1513">
        <f t="shared" si="31"/>
        <v>0</v>
      </c>
      <c r="O398" s="1510">
        <f t="shared" si="27"/>
        <v>0</v>
      </c>
      <c r="P398" s="1453">
        <f t="shared" si="28"/>
        <v>0</v>
      </c>
    </row>
    <row r="399" spans="1:16" ht="29" outlineLevel="1" x14ac:dyDescent="0.25">
      <c r="A399" s="1511">
        <f t="shared" si="33"/>
        <v>17.399999999999999</v>
      </c>
      <c r="B399" s="1512" t="str">
        <f t="shared" si="33"/>
        <v>Providing and fixing colour coated sheets for roofing and cladding of Major Store godowns (3 Nos.) at NPTPS Parli Vaijnath.</v>
      </c>
      <c r="C399" s="1511" t="str">
        <f t="shared" si="33"/>
        <v>MERC/CAPEX/20182019/020</v>
      </c>
      <c r="D399" s="1378">
        <f t="shared" si="33"/>
        <v>43481</v>
      </c>
      <c r="E399" s="1513">
        <f t="shared" si="33"/>
        <v>0.32052575999999999</v>
      </c>
      <c r="F399" s="1509">
        <f t="shared" si="25"/>
        <v>0.23293444999999999</v>
      </c>
      <c r="G399" s="1509">
        <f t="shared" si="26"/>
        <v>0.23293444999999999</v>
      </c>
      <c r="H399" s="1509">
        <f t="shared" si="29"/>
        <v>0</v>
      </c>
      <c r="I399" s="1509">
        <v>0</v>
      </c>
      <c r="J399" s="1509">
        <v>0</v>
      </c>
      <c r="K399" s="1513"/>
      <c r="L399" s="1513"/>
      <c r="M399" s="1513">
        <f t="shared" si="30"/>
        <v>0</v>
      </c>
      <c r="N399" s="1513">
        <f t="shared" si="31"/>
        <v>0</v>
      </c>
      <c r="O399" s="1510">
        <f t="shared" si="27"/>
        <v>0</v>
      </c>
      <c r="P399" s="1453">
        <f t="shared" si="28"/>
        <v>0</v>
      </c>
    </row>
    <row r="400" spans="1:16" ht="29" outlineLevel="1" x14ac:dyDescent="0.25">
      <c r="A400" s="1511">
        <f t="shared" si="33"/>
        <v>17.5</v>
      </c>
      <c r="B400" s="1512" t="str">
        <f t="shared" si="33"/>
        <v xml:space="preserve">Development of Major store unloading yard by providing RCC grade slab in unit 6 &amp; 7 premises at NPTPS Parli     V.                   </v>
      </c>
      <c r="C400" s="1511" t="str">
        <f t="shared" si="33"/>
        <v>MERC/CAPEX/20182019/020</v>
      </c>
      <c r="D400" s="1378">
        <f t="shared" si="33"/>
        <v>43481</v>
      </c>
      <c r="E400" s="1513">
        <f t="shared" si="33"/>
        <v>2.7334139500000001</v>
      </c>
      <c r="F400" s="1509">
        <f t="shared" si="25"/>
        <v>0</v>
      </c>
      <c r="G400" s="1509">
        <f t="shared" si="26"/>
        <v>0</v>
      </c>
      <c r="H400" s="1509">
        <f t="shared" si="29"/>
        <v>0</v>
      </c>
      <c r="I400" s="1509">
        <v>0</v>
      </c>
      <c r="J400" s="1509">
        <v>0</v>
      </c>
      <c r="K400" s="1513"/>
      <c r="L400" s="1513"/>
      <c r="M400" s="1513">
        <f t="shared" si="30"/>
        <v>0</v>
      </c>
      <c r="N400" s="1513">
        <f t="shared" si="31"/>
        <v>0</v>
      </c>
      <c r="O400" s="1510">
        <f t="shared" si="27"/>
        <v>0</v>
      </c>
      <c r="P400" s="1453">
        <f t="shared" si="28"/>
        <v>0</v>
      </c>
    </row>
    <row r="401" spans="1:16" ht="43.5" outlineLevel="1" x14ac:dyDescent="0.25">
      <c r="A401" s="1511">
        <f t="shared" si="33"/>
        <v>17.600000000000001</v>
      </c>
      <c r="B401" s="1512" t="str">
        <f t="shared" si="33"/>
        <v xml:space="preserve">Work of painting to service building, Main plant building and various Auxillarey buildings of unit No. 6&amp;7 at New Parli Thermal Power Station.         </v>
      </c>
      <c r="C401" s="1511" t="str">
        <f t="shared" si="33"/>
        <v>MERC/CAPEX/20182019/020</v>
      </c>
      <c r="D401" s="1378">
        <f t="shared" si="33"/>
        <v>43481</v>
      </c>
      <c r="E401" s="1513">
        <f t="shared" si="33"/>
        <v>0.58998525000000002</v>
      </c>
      <c r="F401" s="1509">
        <f t="shared" si="25"/>
        <v>0.43154335300000002</v>
      </c>
      <c r="G401" s="1509">
        <f t="shared" si="26"/>
        <v>0.43154335300000002</v>
      </c>
      <c r="H401" s="1509">
        <f t="shared" si="29"/>
        <v>0</v>
      </c>
      <c r="I401" s="1509">
        <v>0</v>
      </c>
      <c r="J401" s="1509">
        <v>0</v>
      </c>
      <c r="K401" s="1513"/>
      <c r="L401" s="1513"/>
      <c r="M401" s="1513">
        <f t="shared" si="30"/>
        <v>0</v>
      </c>
      <c r="N401" s="1513">
        <f t="shared" si="31"/>
        <v>0</v>
      </c>
      <c r="O401" s="1510">
        <f t="shared" si="27"/>
        <v>0</v>
      </c>
      <c r="P401" s="1453">
        <f t="shared" si="28"/>
        <v>0</v>
      </c>
    </row>
    <row r="402" spans="1:16" ht="29" outlineLevel="1" x14ac:dyDescent="0.25">
      <c r="A402" s="1511">
        <f t="shared" si="33"/>
        <v>17.600000000000001</v>
      </c>
      <c r="B402" s="1512" t="str">
        <f t="shared" si="33"/>
        <v>Construction of RCC cabins at various locations in unit No.6&amp;7 premises at NPTPS Parli - V.</v>
      </c>
      <c r="C402" s="1511" t="str">
        <f t="shared" si="33"/>
        <v>MERC/CAPEX/20182019/020</v>
      </c>
      <c r="D402" s="1378">
        <f t="shared" si="33"/>
        <v>43481</v>
      </c>
      <c r="E402" s="1513">
        <f t="shared" si="33"/>
        <v>0.28481011000000001</v>
      </c>
      <c r="F402" s="1509">
        <f t="shared" si="25"/>
        <v>0.20461170000000001</v>
      </c>
      <c r="G402" s="1509">
        <f t="shared" si="26"/>
        <v>0.20461170000000001</v>
      </c>
      <c r="H402" s="1509">
        <f t="shared" si="29"/>
        <v>0</v>
      </c>
      <c r="I402" s="1509">
        <v>0</v>
      </c>
      <c r="J402" s="1509">
        <v>0</v>
      </c>
      <c r="K402" s="1513"/>
      <c r="L402" s="1513"/>
      <c r="M402" s="1513">
        <f t="shared" si="30"/>
        <v>0</v>
      </c>
      <c r="N402" s="1513">
        <f t="shared" si="31"/>
        <v>0</v>
      </c>
      <c r="O402" s="1510">
        <f t="shared" si="27"/>
        <v>0</v>
      </c>
      <c r="P402" s="1453">
        <f t="shared" si="28"/>
        <v>0</v>
      </c>
    </row>
    <row r="403" spans="1:16" outlineLevel="1" x14ac:dyDescent="0.25">
      <c r="A403" s="1511">
        <f t="shared" si="33"/>
        <v>0</v>
      </c>
      <c r="B403" s="1512" t="str">
        <f t="shared" si="33"/>
        <v>IDC</v>
      </c>
      <c r="C403" s="1511" t="str">
        <f t="shared" si="33"/>
        <v>MERC/CAPEX/20182019/020</v>
      </c>
      <c r="D403" s="1378">
        <f t="shared" si="33"/>
        <v>43481</v>
      </c>
      <c r="E403" s="1513">
        <f t="shared" si="33"/>
        <v>0</v>
      </c>
      <c r="F403" s="1509">
        <f t="shared" si="25"/>
        <v>0</v>
      </c>
      <c r="G403" s="1509">
        <f t="shared" si="26"/>
        <v>0</v>
      </c>
      <c r="H403" s="1509">
        <f t="shared" si="29"/>
        <v>0</v>
      </c>
      <c r="I403" s="1509">
        <v>0</v>
      </c>
      <c r="J403" s="1509">
        <v>0</v>
      </c>
      <c r="K403" s="1513"/>
      <c r="L403" s="1513"/>
      <c r="M403" s="1513">
        <f t="shared" si="30"/>
        <v>0</v>
      </c>
      <c r="N403" s="1513">
        <f t="shared" si="31"/>
        <v>0</v>
      </c>
      <c r="O403" s="1510">
        <f t="shared" si="27"/>
        <v>0</v>
      </c>
      <c r="P403" s="1453">
        <f t="shared" si="28"/>
        <v>0</v>
      </c>
    </row>
    <row r="404" spans="1:16" ht="29" outlineLevel="1" x14ac:dyDescent="0.25">
      <c r="A404" s="1506">
        <f t="shared" si="33"/>
        <v>18</v>
      </c>
      <c r="B404" s="1507" t="str">
        <f t="shared" si="33"/>
        <v>Procurement &amp; replacement of complete set of Economizer and LTSH upper &amp; lower coils of Unit No. 6 &amp; 7 at Parli TPS</v>
      </c>
      <c r="C404" s="1506" t="str">
        <f t="shared" si="33"/>
        <v>MERC/CAPEX/2019-2020/419</v>
      </c>
      <c r="D404" s="1508">
        <f t="shared" si="33"/>
        <v>43672</v>
      </c>
      <c r="E404" s="1509">
        <f t="shared" si="33"/>
        <v>22.72</v>
      </c>
      <c r="F404" s="1509">
        <f t="shared" si="25"/>
        <v>0</v>
      </c>
      <c r="G404" s="1509">
        <f t="shared" si="26"/>
        <v>0</v>
      </c>
      <c r="H404" s="1509">
        <f t="shared" si="29"/>
        <v>0</v>
      </c>
      <c r="I404" s="1509">
        <v>0</v>
      </c>
      <c r="J404" s="1509">
        <v>0</v>
      </c>
      <c r="K404" s="1513"/>
      <c r="L404" s="1513"/>
      <c r="M404" s="1513">
        <f t="shared" si="30"/>
        <v>0</v>
      </c>
      <c r="N404" s="1513">
        <f t="shared" si="31"/>
        <v>0</v>
      </c>
      <c r="O404" s="1510">
        <f t="shared" si="27"/>
        <v>0</v>
      </c>
      <c r="P404" s="1453">
        <f t="shared" si="28"/>
        <v>0</v>
      </c>
    </row>
    <row r="405" spans="1:16" ht="29" outlineLevel="1" x14ac:dyDescent="0.25">
      <c r="A405" s="1511">
        <f t="shared" si="33"/>
        <v>18.100000000000001</v>
      </c>
      <c r="B405" s="1512" t="str">
        <f t="shared" si="33"/>
        <v xml:space="preserve">Procurement &amp; replacement of complete set of economizer upper &amp; lower bank coils of Unit No. 6 </v>
      </c>
      <c r="C405" s="1511" t="str">
        <f t="shared" si="33"/>
        <v>MERC/CAPEX/2019-2020/419</v>
      </c>
      <c r="D405" s="1378">
        <f t="shared" si="33"/>
        <v>43672</v>
      </c>
      <c r="E405" s="1513">
        <f t="shared" si="33"/>
        <v>10.6</v>
      </c>
      <c r="F405" s="1509">
        <f t="shared" si="25"/>
        <v>8.7955000000000005</v>
      </c>
      <c r="G405" s="1509">
        <f t="shared" si="26"/>
        <v>0</v>
      </c>
      <c r="H405" s="1509">
        <f t="shared" si="29"/>
        <v>8.7955000000000005</v>
      </c>
      <c r="I405" s="1509">
        <v>0</v>
      </c>
      <c r="J405" s="1509">
        <v>0</v>
      </c>
      <c r="K405" s="1513"/>
      <c r="L405" s="1513"/>
      <c r="M405" s="1513">
        <f t="shared" si="30"/>
        <v>0</v>
      </c>
      <c r="N405" s="1513">
        <f t="shared" si="31"/>
        <v>8.7955000000000005</v>
      </c>
      <c r="O405" s="1510">
        <f t="shared" si="27"/>
        <v>0</v>
      </c>
      <c r="P405" s="1453">
        <f t="shared" si="28"/>
        <v>0</v>
      </c>
    </row>
    <row r="406" spans="1:16" ht="29" outlineLevel="1" x14ac:dyDescent="0.25">
      <c r="A406" s="1511">
        <f t="shared" si="33"/>
        <v>18.2</v>
      </c>
      <c r="B406" s="1512" t="str">
        <f t="shared" si="33"/>
        <v>Procurement &amp; replacement of complete set of LTSH upper &amp; lower bank coils for Parli TPS unit-7</v>
      </c>
      <c r="C406" s="1511" t="str">
        <f t="shared" si="33"/>
        <v>MERC/CAPEX/2019-2020/419</v>
      </c>
      <c r="D406" s="1378">
        <f t="shared" si="33"/>
        <v>43672</v>
      </c>
      <c r="E406" s="1513">
        <f t="shared" si="33"/>
        <v>10.6</v>
      </c>
      <c r="F406" s="1509">
        <f t="shared" si="25"/>
        <v>12.3255</v>
      </c>
      <c r="G406" s="1509">
        <f t="shared" si="26"/>
        <v>12.328390300000001</v>
      </c>
      <c r="H406" s="1509">
        <f t="shared" si="29"/>
        <v>-2.8903000000006784E-3</v>
      </c>
      <c r="I406" s="1509">
        <v>0</v>
      </c>
      <c r="J406" s="1509">
        <v>0</v>
      </c>
      <c r="K406" s="1513"/>
      <c r="L406" s="1513"/>
      <c r="M406" s="1513">
        <f t="shared" si="30"/>
        <v>0</v>
      </c>
      <c r="N406" s="1513">
        <f t="shared" si="31"/>
        <v>-2.8903000000006784E-3</v>
      </c>
      <c r="O406" s="1510">
        <f t="shared" si="27"/>
        <v>0</v>
      </c>
      <c r="P406" s="1453">
        <f t="shared" si="28"/>
        <v>0</v>
      </c>
    </row>
    <row r="407" spans="1:16" outlineLevel="1" x14ac:dyDescent="0.25">
      <c r="A407" s="1511">
        <f t="shared" si="33"/>
        <v>0</v>
      </c>
      <c r="B407" s="1516" t="str">
        <f t="shared" si="33"/>
        <v>IDC</v>
      </c>
      <c r="C407" s="1511" t="str">
        <f t="shared" si="33"/>
        <v>MERC/CAPEX/2019-2020/419</v>
      </c>
      <c r="D407" s="1378">
        <f t="shared" si="33"/>
        <v>43672</v>
      </c>
      <c r="E407" s="1513">
        <f t="shared" si="33"/>
        <v>1.52</v>
      </c>
      <c r="F407" s="1509">
        <f t="shared" si="25"/>
        <v>0.81066607999999996</v>
      </c>
      <c r="G407" s="1509">
        <f t="shared" si="26"/>
        <v>0.81066079999999996</v>
      </c>
      <c r="H407" s="1509">
        <f t="shared" si="29"/>
        <v>5.2799999999963987E-6</v>
      </c>
      <c r="I407" s="1509">
        <v>0</v>
      </c>
      <c r="J407" s="1509">
        <v>0</v>
      </c>
      <c r="K407" s="1513"/>
      <c r="L407" s="1513"/>
      <c r="M407" s="1513">
        <f t="shared" si="30"/>
        <v>0</v>
      </c>
      <c r="N407" s="1513">
        <f t="shared" si="31"/>
        <v>5.2799999999963987E-6</v>
      </c>
      <c r="O407" s="1510">
        <f t="shared" si="27"/>
        <v>0</v>
      </c>
      <c r="P407" s="1453">
        <f t="shared" si="28"/>
        <v>0</v>
      </c>
    </row>
    <row r="408" spans="1:16" ht="29" outlineLevel="1" x14ac:dyDescent="0.25">
      <c r="A408" s="1506">
        <f t="shared" si="33"/>
        <v>19</v>
      </c>
      <c r="B408" s="1507" t="str">
        <f t="shared" si="33"/>
        <v>Schemes related to enhance the performance of Coal Handling Plant (2 x 250 MW) at Parli TPS</v>
      </c>
      <c r="C408" s="1506" t="str">
        <f t="shared" si="33"/>
        <v>MERC/CAPEX/2019-2020/451</v>
      </c>
      <c r="D408" s="1508">
        <f t="shared" si="33"/>
        <v>43676</v>
      </c>
      <c r="E408" s="1509">
        <f t="shared" si="33"/>
        <v>10.719999999999999</v>
      </c>
      <c r="F408" s="1509">
        <f t="shared" si="25"/>
        <v>0</v>
      </c>
      <c r="G408" s="1509">
        <f t="shared" si="26"/>
        <v>0</v>
      </c>
      <c r="H408" s="1509">
        <f t="shared" si="29"/>
        <v>0</v>
      </c>
      <c r="I408" s="1509">
        <v>0</v>
      </c>
      <c r="J408" s="1509">
        <v>0</v>
      </c>
      <c r="K408" s="1513"/>
      <c r="L408" s="1513"/>
      <c r="M408" s="1513">
        <f t="shared" si="30"/>
        <v>0</v>
      </c>
      <c r="N408" s="1513">
        <f t="shared" si="31"/>
        <v>0</v>
      </c>
      <c r="O408" s="1510">
        <f t="shared" si="27"/>
        <v>0</v>
      </c>
      <c r="P408" s="1453">
        <f t="shared" si="28"/>
        <v>0</v>
      </c>
    </row>
    <row r="409" spans="1:16" outlineLevel="1" x14ac:dyDescent="0.25">
      <c r="A409" s="1511">
        <f t="shared" si="33"/>
        <v>19.100000000000001</v>
      </c>
      <c r="B409" s="1512" t="str">
        <f t="shared" si="33"/>
        <v xml:space="preserve">Procurement of 02 Nos. of BD155 Bulldozers for Parli TPS    </v>
      </c>
      <c r="C409" s="1511" t="str">
        <f t="shared" si="33"/>
        <v>MERC/CAPEX/2019-2020/451</v>
      </c>
      <c r="D409" s="1378">
        <f t="shared" si="33"/>
        <v>43676</v>
      </c>
      <c r="E409" s="1513">
        <f t="shared" si="33"/>
        <v>3.93</v>
      </c>
      <c r="F409" s="1509">
        <f t="shared" si="25"/>
        <v>4.3292536000000004</v>
      </c>
      <c r="G409" s="1509">
        <f t="shared" si="26"/>
        <v>4.3292536000000004</v>
      </c>
      <c r="H409" s="1509">
        <f t="shared" si="29"/>
        <v>0</v>
      </c>
      <c r="I409" s="1509">
        <v>0</v>
      </c>
      <c r="J409" s="1509">
        <v>0</v>
      </c>
      <c r="K409" s="1513"/>
      <c r="L409" s="1513"/>
      <c r="M409" s="1513">
        <f t="shared" si="30"/>
        <v>0</v>
      </c>
      <c r="N409" s="1513">
        <f t="shared" si="31"/>
        <v>0</v>
      </c>
      <c r="O409" s="1510">
        <f t="shared" si="27"/>
        <v>0</v>
      </c>
      <c r="P409" s="1453">
        <f t="shared" si="28"/>
        <v>0</v>
      </c>
    </row>
    <row r="410" spans="1:16" outlineLevel="1" x14ac:dyDescent="0.25">
      <c r="A410" s="1511">
        <f t="shared" si="33"/>
        <v>19.2</v>
      </c>
      <c r="B410" s="1512" t="str">
        <f t="shared" si="33"/>
        <v xml:space="preserve">Procurement of 02 Nos. of Locomotives(800 HP) for Parli TPS    </v>
      </c>
      <c r="C410" s="1506" t="str">
        <f t="shared" si="33"/>
        <v>MERC/CAPEX/2019-2020/451</v>
      </c>
      <c r="D410" s="1508">
        <f t="shared" si="33"/>
        <v>43676</v>
      </c>
      <c r="E410" s="1509">
        <f t="shared" si="33"/>
        <v>6.25</v>
      </c>
      <c r="F410" s="1509">
        <f t="shared" si="25"/>
        <v>6.4416200000000003</v>
      </c>
      <c r="G410" s="1509">
        <f t="shared" si="26"/>
        <v>6.4416200000000003</v>
      </c>
      <c r="H410" s="1509">
        <f t="shared" si="29"/>
        <v>0</v>
      </c>
      <c r="I410" s="1509">
        <v>0</v>
      </c>
      <c r="J410" s="1509">
        <v>0</v>
      </c>
      <c r="K410" s="1513"/>
      <c r="L410" s="1513"/>
      <c r="M410" s="1513">
        <f t="shared" si="30"/>
        <v>0</v>
      </c>
      <c r="N410" s="1513">
        <f t="shared" si="31"/>
        <v>0</v>
      </c>
      <c r="O410" s="1510">
        <f t="shared" si="27"/>
        <v>0</v>
      </c>
      <c r="P410" s="1453">
        <f t="shared" si="28"/>
        <v>0</v>
      </c>
    </row>
    <row r="411" spans="1:16" outlineLevel="1" x14ac:dyDescent="0.25">
      <c r="A411" s="1511">
        <f t="shared" si="33"/>
        <v>0</v>
      </c>
      <c r="B411" s="1512" t="str">
        <f t="shared" si="33"/>
        <v>IDC</v>
      </c>
      <c r="C411" s="1511" t="str">
        <f t="shared" si="33"/>
        <v>MERC/CAPEX/2019-2020/451</v>
      </c>
      <c r="D411" s="1378">
        <f t="shared" si="33"/>
        <v>43676</v>
      </c>
      <c r="E411" s="1513">
        <f t="shared" si="33"/>
        <v>0.54</v>
      </c>
      <c r="F411" s="1509">
        <f t="shared" si="25"/>
        <v>0</v>
      </c>
      <c r="G411" s="1509">
        <f t="shared" si="26"/>
        <v>0</v>
      </c>
      <c r="H411" s="1509">
        <f t="shared" si="29"/>
        <v>0</v>
      </c>
      <c r="I411" s="1509">
        <v>0</v>
      </c>
      <c r="J411" s="1509">
        <v>0</v>
      </c>
      <c r="K411" s="1513"/>
      <c r="L411" s="1513"/>
      <c r="M411" s="1513">
        <f t="shared" si="30"/>
        <v>0</v>
      </c>
      <c r="N411" s="1513">
        <f t="shared" si="31"/>
        <v>0</v>
      </c>
      <c r="O411" s="1510">
        <f t="shared" si="27"/>
        <v>0</v>
      </c>
      <c r="P411" s="1453">
        <f t="shared" si="28"/>
        <v>0</v>
      </c>
    </row>
    <row r="412" spans="1:16" ht="58" outlineLevel="1" x14ac:dyDescent="0.25">
      <c r="A412" s="1506">
        <f t="shared" si="33"/>
        <v>20</v>
      </c>
      <c r="B412" s="1507" t="str">
        <f t="shared" si="33"/>
        <v>Procurement of Energy Efficient Cartridges of boiler Feed Pumps at Unit # 6 &amp; 7, Girth Gear, Pinion for BBD-4772 Coal Mills &amp; Procurement, Installation, Commissioning of Variable Frequency Drive for Gravimetric Coal Feeders (2X250MW) at Parli TPS</v>
      </c>
      <c r="C412" s="1506" t="str">
        <f t="shared" si="33"/>
        <v>MERC/CAPEX/2019-2020/476,
MERC/CAPEX/2019-2020/858</v>
      </c>
      <c r="D412" s="1508" t="str">
        <f t="shared" si="33"/>
        <v>01-08-2019,
10-10-2019</v>
      </c>
      <c r="E412" s="1509">
        <f t="shared" si="33"/>
        <v>21.26</v>
      </c>
      <c r="F412" s="1509">
        <f t="shared" si="25"/>
        <v>0</v>
      </c>
      <c r="G412" s="1509">
        <f t="shared" si="26"/>
        <v>0</v>
      </c>
      <c r="H412" s="1509">
        <f t="shared" si="29"/>
        <v>0</v>
      </c>
      <c r="I412" s="1509">
        <v>0</v>
      </c>
      <c r="J412" s="1509">
        <v>0</v>
      </c>
      <c r="K412" s="1513"/>
      <c r="L412" s="1513"/>
      <c r="M412" s="1513">
        <f t="shared" si="30"/>
        <v>0</v>
      </c>
      <c r="N412" s="1513">
        <f t="shared" si="31"/>
        <v>0</v>
      </c>
      <c r="O412" s="1510">
        <f t="shared" si="27"/>
        <v>0</v>
      </c>
      <c r="P412" s="1453">
        <f t="shared" si="28"/>
        <v>0</v>
      </c>
    </row>
    <row r="413" spans="1:16" ht="58" outlineLevel="1" x14ac:dyDescent="0.25">
      <c r="A413" s="1511">
        <f t="shared" si="33"/>
        <v>20.100000000000001</v>
      </c>
      <c r="B413" s="1512" t="str">
        <f t="shared" si="33"/>
        <v>Procurement &amp; replacement of complete BFP Cartridge for advance class pump model FK-3B-40.</v>
      </c>
      <c r="C413" s="1511" t="str">
        <f t="shared" si="33"/>
        <v>MERC/CAPEX/2019-2020/476,
MERC/CAPEX/2019-2020/858</v>
      </c>
      <c r="D413" s="1378" t="str">
        <f t="shared" si="33"/>
        <v>01-08-2019,
10-10-2019</v>
      </c>
      <c r="E413" s="1513">
        <f t="shared" si="33"/>
        <v>14.39</v>
      </c>
      <c r="F413" s="1509">
        <f t="shared" si="25"/>
        <v>14.1187</v>
      </c>
      <c r="G413" s="1509">
        <f t="shared" si="26"/>
        <v>14.1187</v>
      </c>
      <c r="H413" s="1509">
        <f t="shared" si="29"/>
        <v>0</v>
      </c>
      <c r="I413" s="1509">
        <v>0</v>
      </c>
      <c r="J413" s="1509">
        <v>0</v>
      </c>
      <c r="K413" s="1513"/>
      <c r="L413" s="1513"/>
      <c r="M413" s="1513">
        <f t="shared" si="30"/>
        <v>0</v>
      </c>
      <c r="N413" s="1513">
        <f t="shared" si="31"/>
        <v>0</v>
      </c>
      <c r="O413" s="1510">
        <f t="shared" si="27"/>
        <v>0</v>
      </c>
      <c r="P413" s="1453">
        <f t="shared" si="28"/>
        <v>0</v>
      </c>
    </row>
    <row r="414" spans="1:16" ht="29" outlineLevel="1" x14ac:dyDescent="0.25">
      <c r="A414" s="1511">
        <f t="shared" ref="A414:E429" si="34">A57</f>
        <v>20.2</v>
      </c>
      <c r="B414" s="1512" t="str">
        <f t="shared" si="34"/>
        <v>Procurement of girth gear pinion for BBD-4772 coal mill at Parli TPS &amp; Work Cost for replacement of girth gear, pinion shaft bearing.</v>
      </c>
      <c r="C414" s="1506">
        <f t="shared" si="34"/>
        <v>0</v>
      </c>
      <c r="D414" s="1508" t="str">
        <f t="shared" si="34"/>
        <v>Not Approved</v>
      </c>
      <c r="E414" s="1509">
        <f t="shared" si="34"/>
        <v>0</v>
      </c>
      <c r="F414" s="1509">
        <f t="shared" si="25"/>
        <v>0</v>
      </c>
      <c r="G414" s="1509">
        <f t="shared" si="26"/>
        <v>0</v>
      </c>
      <c r="H414" s="1509">
        <f t="shared" si="29"/>
        <v>0</v>
      </c>
      <c r="I414" s="1509">
        <v>0</v>
      </c>
      <c r="J414" s="1509">
        <v>0</v>
      </c>
      <c r="K414" s="1509"/>
      <c r="L414" s="1509"/>
      <c r="M414" s="1509">
        <f t="shared" si="30"/>
        <v>0</v>
      </c>
      <c r="N414" s="1509">
        <f t="shared" si="31"/>
        <v>0</v>
      </c>
      <c r="O414" s="1510">
        <f t="shared" si="27"/>
        <v>0</v>
      </c>
      <c r="P414" s="1453">
        <f t="shared" si="28"/>
        <v>0</v>
      </c>
    </row>
    <row r="415" spans="1:16" ht="58" outlineLevel="1" x14ac:dyDescent="0.25">
      <c r="A415" s="1511">
        <f t="shared" si="34"/>
        <v>20.3</v>
      </c>
      <c r="B415" s="1512" t="str">
        <f t="shared" si="34"/>
        <v>Procurement of VFD up-grade kit for replacement of existing Eddy current clutch drive system.</v>
      </c>
      <c r="C415" s="1511" t="str">
        <f t="shared" si="34"/>
        <v>MERC/CAPEX/2019-2020/476,
MERC/CAPEX/2019-2020/858</v>
      </c>
      <c r="D415" s="1378" t="str">
        <f t="shared" si="34"/>
        <v>01-08-2019,
10-10-2019</v>
      </c>
      <c r="E415" s="1513">
        <f t="shared" si="34"/>
        <v>5.94</v>
      </c>
      <c r="F415" s="1509">
        <f t="shared" si="25"/>
        <v>5.9323319999999997</v>
      </c>
      <c r="G415" s="1509">
        <f t="shared" si="26"/>
        <v>5.9323319999999997</v>
      </c>
      <c r="H415" s="1509">
        <f t="shared" si="29"/>
        <v>0</v>
      </c>
      <c r="I415" s="1509">
        <v>0</v>
      </c>
      <c r="J415" s="1509">
        <v>0</v>
      </c>
      <c r="K415" s="1513"/>
      <c r="L415" s="1513"/>
      <c r="M415" s="1513">
        <f t="shared" si="30"/>
        <v>0</v>
      </c>
      <c r="N415" s="1513">
        <f t="shared" si="31"/>
        <v>0</v>
      </c>
      <c r="O415" s="1510">
        <f t="shared" si="27"/>
        <v>0</v>
      </c>
      <c r="P415" s="1453">
        <f t="shared" si="28"/>
        <v>0</v>
      </c>
    </row>
    <row r="416" spans="1:16" ht="58" outlineLevel="1" x14ac:dyDescent="0.25">
      <c r="A416" s="1511">
        <f t="shared" si="34"/>
        <v>20.399999999999999</v>
      </c>
      <c r="B416" s="1512" t="str">
        <f t="shared" si="34"/>
        <v>Supervision of Installation, erection and commissioning for DT-9 &amp; VFD Upgrade system inclusive of travel charges Boarding and lodging.</v>
      </c>
      <c r="C416" s="1511" t="str">
        <f t="shared" si="34"/>
        <v>MERC/CAPEX/2019-2020/476,
MERC/CAPEX/2019-2020/858</v>
      </c>
      <c r="D416" s="1378" t="str">
        <f t="shared" si="34"/>
        <v>01-08-2019,
10-10-2019</v>
      </c>
      <c r="E416" s="1513">
        <f t="shared" si="34"/>
        <v>0.28999999999999998</v>
      </c>
      <c r="F416" s="1509">
        <f t="shared" si="25"/>
        <v>0.28320000000000001</v>
      </c>
      <c r="G416" s="1509">
        <f t="shared" si="26"/>
        <v>0.28320000000000001</v>
      </c>
      <c r="H416" s="1509">
        <f t="shared" si="29"/>
        <v>0</v>
      </c>
      <c r="I416" s="1509">
        <v>0</v>
      </c>
      <c r="J416" s="1509">
        <v>0</v>
      </c>
      <c r="K416" s="1513"/>
      <c r="L416" s="1513"/>
      <c r="M416" s="1513">
        <f t="shared" si="30"/>
        <v>0</v>
      </c>
      <c r="N416" s="1513">
        <f t="shared" si="31"/>
        <v>0</v>
      </c>
      <c r="O416" s="1510">
        <f t="shared" si="27"/>
        <v>0</v>
      </c>
      <c r="P416" s="1453">
        <f t="shared" si="28"/>
        <v>0</v>
      </c>
    </row>
    <row r="417" spans="1:16" ht="58" outlineLevel="1" x14ac:dyDescent="0.25">
      <c r="A417" s="1511">
        <f t="shared" si="34"/>
        <v>0</v>
      </c>
      <c r="B417" s="1512" t="str">
        <f t="shared" si="34"/>
        <v>IDC</v>
      </c>
      <c r="C417" s="1511" t="str">
        <f t="shared" si="34"/>
        <v>MERC/CAPEX/2019-2020/476,
MERC/CAPEX/2019-2020/858</v>
      </c>
      <c r="D417" s="1378" t="str">
        <f t="shared" si="34"/>
        <v>01-08-2019,
10-10-2019</v>
      </c>
      <c r="E417" s="1513">
        <f t="shared" si="34"/>
        <v>0.64</v>
      </c>
      <c r="F417" s="1509">
        <f t="shared" si="25"/>
        <v>0.51657549999999997</v>
      </c>
      <c r="G417" s="1509">
        <f t="shared" si="26"/>
        <v>0.51657549999999997</v>
      </c>
      <c r="H417" s="1509">
        <f t="shared" si="29"/>
        <v>0</v>
      </c>
      <c r="I417" s="1509">
        <v>0</v>
      </c>
      <c r="J417" s="1509">
        <v>0</v>
      </c>
      <c r="K417" s="1513"/>
      <c r="L417" s="1513"/>
      <c r="M417" s="1513">
        <f t="shared" si="30"/>
        <v>0</v>
      </c>
      <c r="N417" s="1513">
        <f t="shared" si="31"/>
        <v>0</v>
      </c>
      <c r="O417" s="1510">
        <f t="shared" si="27"/>
        <v>0</v>
      </c>
      <c r="P417" s="1453">
        <f t="shared" si="28"/>
        <v>0</v>
      </c>
    </row>
    <row r="418" spans="1:16" ht="43.5" outlineLevel="1" x14ac:dyDescent="0.25">
      <c r="A418" s="1506">
        <f t="shared" si="34"/>
        <v>21</v>
      </c>
      <c r="B418" s="1507" t="str">
        <f t="shared" si="34"/>
        <v>HMI up-gradation of DCS U-6 &amp; U-7 and Procurement of Assemblies for Reducer Gear box SZN-630 &amp; SBN-630 for BBD-4772 (2 x 250 MW) coal mills at Parli TPS</v>
      </c>
      <c r="C418" s="1506" t="str">
        <f t="shared" si="34"/>
        <v>MERC/CAPEX/2019-2020/854</v>
      </c>
      <c r="D418" s="1508">
        <f t="shared" si="34"/>
        <v>43748</v>
      </c>
      <c r="E418" s="1509">
        <f t="shared" si="34"/>
        <v>13.2</v>
      </c>
      <c r="F418" s="1509">
        <f t="shared" si="25"/>
        <v>0</v>
      </c>
      <c r="G418" s="1509">
        <f t="shared" si="26"/>
        <v>0</v>
      </c>
      <c r="H418" s="1509">
        <f t="shared" si="29"/>
        <v>0</v>
      </c>
      <c r="I418" s="1509">
        <v>0</v>
      </c>
      <c r="J418" s="1509">
        <v>0</v>
      </c>
      <c r="K418" s="1513"/>
      <c r="L418" s="1513"/>
      <c r="M418" s="1513">
        <f t="shared" si="30"/>
        <v>0</v>
      </c>
      <c r="N418" s="1513">
        <f t="shared" si="31"/>
        <v>0</v>
      </c>
      <c r="O418" s="1510">
        <f t="shared" si="27"/>
        <v>0</v>
      </c>
      <c r="P418" s="1453">
        <f t="shared" si="28"/>
        <v>0</v>
      </c>
    </row>
    <row r="419" spans="1:16" outlineLevel="1" x14ac:dyDescent="0.25">
      <c r="A419" s="1511">
        <f t="shared" si="34"/>
        <v>21.1</v>
      </c>
      <c r="B419" s="1512" t="str">
        <f t="shared" si="34"/>
        <v>Up gradation of MaxDNA DCS system (HMI Up gradation).</v>
      </c>
      <c r="C419" s="1511" t="str">
        <f t="shared" si="34"/>
        <v>MERC/CAPEX/2019-2020/854</v>
      </c>
      <c r="D419" s="1378">
        <f t="shared" si="34"/>
        <v>43748</v>
      </c>
      <c r="E419" s="1513">
        <f t="shared" si="34"/>
        <v>10.49</v>
      </c>
      <c r="F419" s="1509">
        <f t="shared" si="25"/>
        <v>9.06</v>
      </c>
      <c r="G419" s="1509">
        <f t="shared" si="26"/>
        <v>4.7251481000000002</v>
      </c>
      <c r="H419" s="1509">
        <f t="shared" si="29"/>
        <v>4.3348519000000003</v>
      </c>
      <c r="I419" s="1509">
        <v>0</v>
      </c>
      <c r="J419" s="1509">
        <v>0</v>
      </c>
      <c r="K419" s="1513"/>
      <c r="L419" s="1513"/>
      <c r="M419" s="1513">
        <f t="shared" si="30"/>
        <v>0</v>
      </c>
      <c r="N419" s="1513">
        <f t="shared" si="31"/>
        <v>4.3348519000000003</v>
      </c>
      <c r="O419" s="1510">
        <f t="shared" si="27"/>
        <v>0</v>
      </c>
      <c r="P419" s="1453">
        <f t="shared" si="28"/>
        <v>0</v>
      </c>
    </row>
    <row r="420" spans="1:16" outlineLevel="1" x14ac:dyDescent="0.25">
      <c r="A420" s="1511">
        <f t="shared" si="34"/>
        <v>0</v>
      </c>
      <c r="B420" s="1512" t="str">
        <f t="shared" si="34"/>
        <v>IDC</v>
      </c>
      <c r="C420" s="1511">
        <f t="shared" si="34"/>
        <v>0</v>
      </c>
      <c r="D420" s="1378" t="str">
        <f t="shared" si="34"/>
        <v>-</v>
      </c>
      <c r="E420" s="1513">
        <f t="shared" si="34"/>
        <v>0</v>
      </c>
      <c r="F420" s="1509">
        <f t="shared" si="25"/>
        <v>0.20089699999999999</v>
      </c>
      <c r="G420" s="1509">
        <f t="shared" si="26"/>
        <v>0.20089699999999999</v>
      </c>
      <c r="H420" s="1509">
        <f t="shared" si="29"/>
        <v>0</v>
      </c>
      <c r="I420" s="1509">
        <v>0</v>
      </c>
      <c r="J420" s="1509">
        <v>0</v>
      </c>
      <c r="K420" s="1513"/>
      <c r="L420" s="1513"/>
      <c r="M420" s="1513">
        <f t="shared" si="30"/>
        <v>0</v>
      </c>
      <c r="N420" s="1513">
        <f t="shared" si="31"/>
        <v>0</v>
      </c>
      <c r="O420" s="1510"/>
      <c r="P420" s="1453"/>
    </row>
    <row r="421" spans="1:16" ht="29" outlineLevel="1" x14ac:dyDescent="0.25">
      <c r="A421" s="1511">
        <f t="shared" si="34"/>
        <v>21.2</v>
      </c>
      <c r="B421" s="1512" t="str">
        <f t="shared" si="34"/>
        <v xml:space="preserve">Procurement of Spares for Reducer Gear box SZN-630 for BBD-4772 Coal mills of 250MW at Unit 6 </v>
      </c>
      <c r="C421" s="1506" t="str">
        <f t="shared" si="34"/>
        <v>MERC/CAPEX/2019-2020/854</v>
      </c>
      <c r="D421" s="1508">
        <f t="shared" si="34"/>
        <v>43748</v>
      </c>
      <c r="E421" s="1509">
        <f t="shared" si="34"/>
        <v>1.01</v>
      </c>
      <c r="F421" s="1509">
        <f t="shared" si="25"/>
        <v>1.0442298999999999</v>
      </c>
      <c r="G421" s="1509">
        <f t="shared" si="26"/>
        <v>1.0442298999999999</v>
      </c>
      <c r="H421" s="1509">
        <f t="shared" si="29"/>
        <v>0</v>
      </c>
      <c r="I421" s="1509">
        <v>0</v>
      </c>
      <c r="J421" s="1509">
        <v>0</v>
      </c>
      <c r="K421" s="1513"/>
      <c r="L421" s="1513"/>
      <c r="M421" s="1513">
        <f t="shared" si="30"/>
        <v>0</v>
      </c>
      <c r="N421" s="1513">
        <f t="shared" si="31"/>
        <v>0</v>
      </c>
      <c r="O421" s="1510">
        <f t="shared" ref="O421:O430" si="35">MAX(0,IF(M421=0,0,IF(G421+M421&lt;E421,M421,E421-G421)))</f>
        <v>0</v>
      </c>
      <c r="P421" s="1453">
        <f t="shared" ref="P421:P430" si="36">M421-O421</f>
        <v>0</v>
      </c>
    </row>
    <row r="422" spans="1:16" ht="29" outlineLevel="1" x14ac:dyDescent="0.25">
      <c r="A422" s="1511">
        <f t="shared" si="34"/>
        <v>21.3</v>
      </c>
      <c r="B422" s="1512" t="str">
        <f t="shared" si="34"/>
        <v xml:space="preserve">Procurement of Spares for Reducer Gear box SBN-630 for BBD-4772 Coal mills of 250MW at Unit 7 </v>
      </c>
      <c r="C422" s="1511" t="str">
        <f t="shared" si="34"/>
        <v>MERC/CAPEX/2019-2020/854</v>
      </c>
      <c r="D422" s="1378">
        <f t="shared" si="34"/>
        <v>43748</v>
      </c>
      <c r="E422" s="1513">
        <f t="shared" si="34"/>
        <v>1.7</v>
      </c>
      <c r="F422" s="1509">
        <f t="shared" si="25"/>
        <v>1.6232219000000001</v>
      </c>
      <c r="G422" s="1509">
        <f t="shared" si="26"/>
        <v>1.6232219000000001</v>
      </c>
      <c r="H422" s="1509">
        <f t="shared" si="29"/>
        <v>0</v>
      </c>
      <c r="I422" s="1509">
        <v>0</v>
      </c>
      <c r="J422" s="1509">
        <v>0</v>
      </c>
      <c r="K422" s="1513"/>
      <c r="L422" s="1513"/>
      <c r="M422" s="1513">
        <f t="shared" si="30"/>
        <v>0</v>
      </c>
      <c r="N422" s="1513">
        <f t="shared" si="31"/>
        <v>0</v>
      </c>
      <c r="O422" s="1510">
        <f t="shared" si="35"/>
        <v>0</v>
      </c>
      <c r="P422" s="1453">
        <f t="shared" si="36"/>
        <v>0</v>
      </c>
    </row>
    <row r="423" spans="1:16" outlineLevel="1" x14ac:dyDescent="0.25">
      <c r="A423" s="1511">
        <f t="shared" si="34"/>
        <v>0</v>
      </c>
      <c r="B423" s="1512" t="str">
        <f t="shared" si="34"/>
        <v>IDC</v>
      </c>
      <c r="C423" s="1511" t="str">
        <f t="shared" si="34"/>
        <v>MERC/CAPEX/2019-2020/854</v>
      </c>
      <c r="D423" s="1378">
        <f t="shared" si="34"/>
        <v>43748</v>
      </c>
      <c r="E423" s="1513">
        <f t="shared" si="34"/>
        <v>0</v>
      </c>
      <c r="F423" s="1509">
        <f t="shared" si="25"/>
        <v>0</v>
      </c>
      <c r="G423" s="1509">
        <f t="shared" si="26"/>
        <v>0</v>
      </c>
      <c r="H423" s="1509">
        <f t="shared" si="29"/>
        <v>0</v>
      </c>
      <c r="I423" s="1509">
        <v>0</v>
      </c>
      <c r="J423" s="1509">
        <v>0</v>
      </c>
      <c r="K423" s="1513"/>
      <c r="L423" s="1513"/>
      <c r="M423" s="1513">
        <f t="shared" si="30"/>
        <v>0</v>
      </c>
      <c r="N423" s="1513">
        <f t="shared" si="31"/>
        <v>0</v>
      </c>
      <c r="O423" s="1510">
        <f t="shared" si="35"/>
        <v>0</v>
      </c>
      <c r="P423" s="1453">
        <f t="shared" si="36"/>
        <v>0</v>
      </c>
    </row>
    <row r="424" spans="1:16" outlineLevel="1" x14ac:dyDescent="0.25">
      <c r="A424" s="1506">
        <f t="shared" si="34"/>
        <v>22</v>
      </c>
      <c r="B424" s="1507" t="str">
        <f t="shared" si="34"/>
        <v>Flue Gas Desulphurization (FGD) System at Unit 6 &amp; 7 Parli TPS</v>
      </c>
      <c r="C424" s="1506" t="str">
        <f t="shared" si="34"/>
        <v>MERC/CAPEX/2021-2022/0284</v>
      </c>
      <c r="D424" s="1508">
        <f t="shared" si="34"/>
        <v>44739</v>
      </c>
      <c r="E424" s="1509">
        <f t="shared" si="34"/>
        <v>145.01688209794372</v>
      </c>
      <c r="F424" s="1509">
        <f t="shared" si="25"/>
        <v>0</v>
      </c>
      <c r="G424" s="1509">
        <f t="shared" si="26"/>
        <v>0</v>
      </c>
      <c r="H424" s="1509">
        <f t="shared" si="29"/>
        <v>0</v>
      </c>
      <c r="I424" s="1509">
        <v>0</v>
      </c>
      <c r="J424" s="1509">
        <v>0</v>
      </c>
      <c r="K424" s="1513"/>
      <c r="L424" s="1513"/>
      <c r="M424" s="1513">
        <f t="shared" si="30"/>
        <v>0</v>
      </c>
      <c r="N424" s="1513">
        <f t="shared" si="31"/>
        <v>0</v>
      </c>
      <c r="O424" s="1510">
        <f t="shared" si="35"/>
        <v>0</v>
      </c>
      <c r="P424" s="1453">
        <f t="shared" si="36"/>
        <v>0</v>
      </c>
    </row>
    <row r="425" spans="1:16" outlineLevel="1" x14ac:dyDescent="0.25">
      <c r="A425" s="1511">
        <f t="shared" si="34"/>
        <v>22.1</v>
      </c>
      <c r="B425" s="1512" t="str">
        <f t="shared" si="34"/>
        <v xml:space="preserve">Flue Gas Desulphurization (FGD) System at Unit 6 &amp; 7 Parli TPS                    </v>
      </c>
      <c r="C425" s="1511" t="str">
        <f t="shared" si="34"/>
        <v>MERC/CAPEX/2021-2022/0284</v>
      </c>
      <c r="D425" s="1378">
        <f t="shared" si="34"/>
        <v>44739</v>
      </c>
      <c r="E425" s="1513">
        <f t="shared" si="34"/>
        <v>138.44</v>
      </c>
      <c r="F425" s="1509">
        <f t="shared" si="25"/>
        <v>0</v>
      </c>
      <c r="G425" s="1509">
        <f t="shared" si="26"/>
        <v>0</v>
      </c>
      <c r="H425" s="1509">
        <f t="shared" si="29"/>
        <v>0</v>
      </c>
      <c r="I425" s="1509">
        <v>18.25</v>
      </c>
      <c r="J425" s="1509">
        <v>0</v>
      </c>
      <c r="K425" s="1513"/>
      <c r="L425" s="1513"/>
      <c r="M425" s="1513">
        <f t="shared" si="30"/>
        <v>0</v>
      </c>
      <c r="N425" s="1513">
        <f t="shared" si="31"/>
        <v>18.25</v>
      </c>
      <c r="O425" s="1510">
        <f t="shared" si="35"/>
        <v>0</v>
      </c>
      <c r="P425" s="1453">
        <f t="shared" si="36"/>
        <v>0</v>
      </c>
    </row>
    <row r="426" spans="1:16" outlineLevel="1" x14ac:dyDescent="0.25">
      <c r="A426" s="1511">
        <f t="shared" si="34"/>
        <v>0</v>
      </c>
      <c r="B426" s="1512" t="str">
        <f t="shared" si="34"/>
        <v>IDC</v>
      </c>
      <c r="C426" s="1511" t="str">
        <f t="shared" si="34"/>
        <v>MERC/CAPEX/2021-2022/0284</v>
      </c>
      <c r="D426" s="1378">
        <f t="shared" si="34"/>
        <v>44739</v>
      </c>
      <c r="E426" s="1513">
        <f t="shared" si="34"/>
        <v>6.5768820979437104</v>
      </c>
      <c r="F426" s="1509">
        <f t="shared" si="25"/>
        <v>0</v>
      </c>
      <c r="G426" s="1509">
        <f t="shared" si="26"/>
        <v>0</v>
      </c>
      <c r="H426" s="1509">
        <f t="shared" si="29"/>
        <v>0</v>
      </c>
      <c r="I426" s="1509">
        <v>0.56999999999999995</v>
      </c>
      <c r="J426" s="1509">
        <v>0</v>
      </c>
      <c r="K426" s="1513"/>
      <c r="L426" s="1513"/>
      <c r="M426" s="1513">
        <f t="shared" si="30"/>
        <v>0</v>
      </c>
      <c r="N426" s="1513">
        <f t="shared" si="31"/>
        <v>0.56999999999999995</v>
      </c>
      <c r="O426" s="1510">
        <f t="shared" si="35"/>
        <v>0</v>
      </c>
      <c r="P426" s="1453">
        <f t="shared" si="36"/>
        <v>0</v>
      </c>
    </row>
    <row r="427" spans="1:16" ht="43.5" outlineLevel="1" x14ac:dyDescent="0.25">
      <c r="A427" s="1506" t="str">
        <f t="shared" si="34"/>
        <v>HO
DPR-5</v>
      </c>
      <c r="B427" s="1507" t="str">
        <f t="shared" si="34"/>
        <v>Procurement of energy efficient HT motors at Bhusawal TPS, Koradi TPS, Chandrapur TPS, khaperkheda TPS, Parli TPS &amp; Paras TPS as insurance spares</v>
      </c>
      <c r="C427" s="1506" t="str">
        <f t="shared" si="34"/>
        <v>MERC/TECH 1/CAPEX/20142015/01218</v>
      </c>
      <c r="D427" s="1508">
        <f t="shared" si="34"/>
        <v>41968</v>
      </c>
      <c r="E427" s="1509">
        <f t="shared" si="34"/>
        <v>3.05</v>
      </c>
      <c r="F427" s="1509">
        <f t="shared" si="25"/>
        <v>0</v>
      </c>
      <c r="G427" s="1509">
        <f t="shared" si="26"/>
        <v>0</v>
      </c>
      <c r="H427" s="1509">
        <f t="shared" si="29"/>
        <v>0</v>
      </c>
      <c r="I427" s="1509">
        <v>0</v>
      </c>
      <c r="J427" s="1509">
        <v>0</v>
      </c>
      <c r="K427" s="1513"/>
      <c r="L427" s="1513"/>
      <c r="M427" s="1513">
        <f t="shared" si="30"/>
        <v>0</v>
      </c>
      <c r="N427" s="1513">
        <f t="shared" si="31"/>
        <v>0</v>
      </c>
      <c r="O427" s="1510">
        <f t="shared" si="35"/>
        <v>0</v>
      </c>
      <c r="P427" s="1453">
        <f t="shared" si="36"/>
        <v>0</v>
      </c>
    </row>
    <row r="428" spans="1:16" ht="43.5" outlineLevel="1" x14ac:dyDescent="0.25">
      <c r="A428" s="1511" t="str">
        <f t="shared" si="34"/>
        <v>HO
DPR-5a</v>
      </c>
      <c r="B428" s="1512" t="str">
        <f t="shared" si="34"/>
        <v>Parli: Procurement of HT Motors (CHP-I Phase and CEP/CW/ACW-II Phase)for NPTPS U-6&amp;7</v>
      </c>
      <c r="C428" s="1511" t="str">
        <f t="shared" si="34"/>
        <v>MERC/TECH 1/CAPEX/20142015/01218</v>
      </c>
      <c r="D428" s="1378">
        <f t="shared" si="34"/>
        <v>41968</v>
      </c>
      <c r="E428" s="1513">
        <f t="shared" si="34"/>
        <v>3.05</v>
      </c>
      <c r="F428" s="1509">
        <f t="shared" si="25"/>
        <v>1.409902</v>
      </c>
      <c r="G428" s="1509">
        <f t="shared" si="26"/>
        <v>1.409902</v>
      </c>
      <c r="H428" s="1509">
        <f t="shared" si="29"/>
        <v>0</v>
      </c>
      <c r="I428" s="1509">
        <v>0</v>
      </c>
      <c r="J428" s="1509">
        <v>0</v>
      </c>
      <c r="K428" s="1513"/>
      <c r="L428" s="1513"/>
      <c r="M428" s="1513">
        <f t="shared" si="30"/>
        <v>0</v>
      </c>
      <c r="N428" s="1513">
        <f t="shared" si="31"/>
        <v>0</v>
      </c>
      <c r="O428" s="1510">
        <f t="shared" si="35"/>
        <v>0</v>
      </c>
      <c r="P428" s="1453">
        <f t="shared" si="36"/>
        <v>0</v>
      </c>
    </row>
    <row r="429" spans="1:16" ht="43.5" outlineLevel="1" x14ac:dyDescent="0.25">
      <c r="A429" s="1506" t="str">
        <f t="shared" si="34"/>
        <v>HO
DPR-6</v>
      </c>
      <c r="B429" s="1507" t="str">
        <f t="shared" si="34"/>
        <v>Supply, Installation, Commissioning and Operation &amp; Maintenance Services of Continuous Ambient Air Quality Monitoring Stations (CAAQMS) at various TPS</v>
      </c>
      <c r="C429" s="1506" t="str">
        <f t="shared" si="34"/>
        <v>MERC/CAPEX/20162017/00423</v>
      </c>
      <c r="D429" s="1508">
        <f t="shared" si="34"/>
        <v>42585</v>
      </c>
      <c r="E429" s="1509">
        <f t="shared" si="34"/>
        <v>1.3257526714285699</v>
      </c>
      <c r="F429" s="1509">
        <f t="shared" si="25"/>
        <v>0</v>
      </c>
      <c r="G429" s="1509">
        <f t="shared" si="26"/>
        <v>0</v>
      </c>
      <c r="H429" s="1509">
        <f t="shared" si="29"/>
        <v>0</v>
      </c>
      <c r="I429" s="1509">
        <v>0</v>
      </c>
      <c r="J429" s="1509">
        <v>0</v>
      </c>
      <c r="K429" s="1513"/>
      <c r="L429" s="1513"/>
      <c r="M429" s="1513">
        <f t="shared" si="30"/>
        <v>0</v>
      </c>
      <c r="N429" s="1513">
        <f t="shared" si="31"/>
        <v>0</v>
      </c>
      <c r="O429" s="1510">
        <f t="shared" si="35"/>
        <v>0</v>
      </c>
      <c r="P429" s="1453">
        <f t="shared" si="36"/>
        <v>0</v>
      </c>
    </row>
    <row r="430" spans="1:16" ht="43.5" outlineLevel="1" x14ac:dyDescent="0.25">
      <c r="A430" s="1511" t="str">
        <f t="shared" ref="A430:E445" si="37">A73</f>
        <v>HO
DPR-6a</v>
      </c>
      <c r="B430" s="1512" t="str">
        <f t="shared" si="37"/>
        <v>NEW PARLI (U-6 &amp; 7)</v>
      </c>
      <c r="C430" s="1511" t="str">
        <f t="shared" si="37"/>
        <v>MERC/CAPEX/20162017/00423</v>
      </c>
      <c r="D430" s="1378">
        <f t="shared" si="37"/>
        <v>42585</v>
      </c>
      <c r="E430" s="1513">
        <f t="shared" si="37"/>
        <v>1.3257526714285699</v>
      </c>
      <c r="F430" s="1509">
        <f t="shared" si="25"/>
        <v>0.94127489999999991</v>
      </c>
      <c r="G430" s="1509">
        <f t="shared" si="26"/>
        <v>0.94127489999999991</v>
      </c>
      <c r="H430" s="1509">
        <f t="shared" si="29"/>
        <v>0</v>
      </c>
      <c r="I430" s="1509">
        <v>0</v>
      </c>
      <c r="J430" s="1509">
        <v>0</v>
      </c>
      <c r="K430" s="1513"/>
      <c r="L430" s="1513"/>
      <c r="M430" s="1513">
        <f t="shared" si="30"/>
        <v>0</v>
      </c>
      <c r="N430" s="1513">
        <f t="shared" si="31"/>
        <v>0</v>
      </c>
      <c r="O430" s="1510">
        <f t="shared" si="35"/>
        <v>0</v>
      </c>
      <c r="P430" s="1453">
        <f t="shared" si="36"/>
        <v>0</v>
      </c>
    </row>
    <row r="431" spans="1:16" outlineLevel="1" x14ac:dyDescent="0.25">
      <c r="A431" s="1511">
        <f t="shared" si="37"/>
        <v>0</v>
      </c>
      <c r="B431" s="1512" t="str">
        <f t="shared" si="37"/>
        <v>IDC</v>
      </c>
      <c r="C431" s="1511">
        <f t="shared" si="37"/>
        <v>0</v>
      </c>
      <c r="D431" s="1378" t="str">
        <f t="shared" si="37"/>
        <v>-</v>
      </c>
      <c r="E431" s="1513">
        <f t="shared" si="37"/>
        <v>0</v>
      </c>
      <c r="F431" s="1509">
        <f t="shared" ref="F431:F494" si="38">F74+I74</f>
        <v>3.9603800000000002E-2</v>
      </c>
      <c r="G431" s="1509">
        <f t="shared" ref="G431:G494" si="39">G74+M74</f>
        <v>3.9603800000000002E-2</v>
      </c>
      <c r="H431" s="1509">
        <f t="shared" si="29"/>
        <v>0</v>
      </c>
      <c r="I431" s="1509">
        <v>0</v>
      </c>
      <c r="J431" s="1509">
        <v>0</v>
      </c>
      <c r="K431" s="1513"/>
      <c r="L431" s="1513"/>
      <c r="M431" s="1513">
        <f t="shared" si="30"/>
        <v>0</v>
      </c>
      <c r="N431" s="1513">
        <f t="shared" si="31"/>
        <v>0</v>
      </c>
      <c r="O431" s="1510"/>
      <c r="P431" s="1453"/>
    </row>
    <row r="432" spans="1:16" ht="43.5" outlineLevel="1" x14ac:dyDescent="0.25">
      <c r="A432" s="1506" t="str">
        <f t="shared" si="37"/>
        <v>HO
DPR 7</v>
      </c>
      <c r="B432" s="1507" t="str">
        <f t="shared" si="37"/>
        <v>Installation of Real Time Online Coal-Ash Analyzer at various TPS</v>
      </c>
      <c r="C432" s="1506" t="str">
        <f t="shared" si="37"/>
        <v>MERC/CAPEX/20162017/00774</v>
      </c>
      <c r="D432" s="1508">
        <f t="shared" si="37"/>
        <v>42643</v>
      </c>
      <c r="E432" s="1509">
        <f t="shared" si="37"/>
        <v>7.0965999999999996</v>
      </c>
      <c r="F432" s="1509">
        <f t="shared" si="38"/>
        <v>0</v>
      </c>
      <c r="G432" s="1509">
        <f t="shared" si="39"/>
        <v>0</v>
      </c>
      <c r="H432" s="1509">
        <f t="shared" ref="H432:H495" si="40">F432-G432</f>
        <v>0</v>
      </c>
      <c r="I432" s="1509">
        <v>0</v>
      </c>
      <c r="J432" s="1509">
        <v>0</v>
      </c>
      <c r="K432" s="1513"/>
      <c r="L432" s="1513"/>
      <c r="M432" s="1513">
        <f t="shared" ref="M432:M495" si="41">SUM(J432:L432)</f>
        <v>0</v>
      </c>
      <c r="N432" s="1513">
        <f t="shared" ref="N432:N495" si="42">H432+I432-M432</f>
        <v>0</v>
      </c>
      <c r="O432" s="1510">
        <f t="shared" ref="O432:O441" si="43">MAX(0,IF(M432=0,0,IF(G432+M432&lt;E432,M432,E432-G432)))</f>
        <v>0</v>
      </c>
      <c r="P432" s="1453">
        <f t="shared" ref="P432:P441" si="44">M432-O432</f>
        <v>0</v>
      </c>
    </row>
    <row r="433" spans="1:16" ht="43.5" outlineLevel="1" x14ac:dyDescent="0.25">
      <c r="A433" s="1511" t="str">
        <f t="shared" si="37"/>
        <v>HO
DPR 7a</v>
      </c>
      <c r="B433" s="1512" t="str">
        <f t="shared" si="37"/>
        <v>NEW PARLI (U-6 &amp; 7)</v>
      </c>
      <c r="C433" s="1511" t="str">
        <f t="shared" si="37"/>
        <v>MERC/CAPEX/20162017/00774</v>
      </c>
      <c r="D433" s="1378">
        <f t="shared" si="37"/>
        <v>42643</v>
      </c>
      <c r="E433" s="1513">
        <f t="shared" si="37"/>
        <v>7.0965999999999996</v>
      </c>
      <c r="F433" s="1509">
        <f t="shared" si="38"/>
        <v>0</v>
      </c>
      <c r="G433" s="1509">
        <f t="shared" si="39"/>
        <v>0</v>
      </c>
      <c r="H433" s="1509">
        <f t="shared" si="40"/>
        <v>0</v>
      </c>
      <c r="I433" s="1509">
        <v>0</v>
      </c>
      <c r="J433" s="1509">
        <v>0</v>
      </c>
      <c r="K433" s="1513"/>
      <c r="L433" s="1513"/>
      <c r="M433" s="1513">
        <f t="shared" si="41"/>
        <v>0</v>
      </c>
      <c r="N433" s="1513">
        <f t="shared" si="42"/>
        <v>0</v>
      </c>
      <c r="O433" s="1510">
        <f t="shared" si="43"/>
        <v>0</v>
      </c>
      <c r="P433" s="1453">
        <f t="shared" si="44"/>
        <v>0</v>
      </c>
    </row>
    <row r="434" spans="1:16" ht="43.5" outlineLevel="1" x14ac:dyDescent="0.25">
      <c r="A434" s="1506" t="str">
        <f t="shared" si="37"/>
        <v>HO
DPR 8</v>
      </c>
      <c r="B434" s="1507" t="str">
        <f t="shared" si="37"/>
        <v>Replacement of Fire Tenders at Various Power Stations of Mahagenco</v>
      </c>
      <c r="C434" s="1506" t="str">
        <f t="shared" si="37"/>
        <v>MERC/CAPEX/20172018/4653</v>
      </c>
      <c r="D434" s="1508">
        <f t="shared" si="37"/>
        <v>43052</v>
      </c>
      <c r="E434" s="1509">
        <f t="shared" si="37"/>
        <v>3.97</v>
      </c>
      <c r="F434" s="1509">
        <f t="shared" si="38"/>
        <v>0</v>
      </c>
      <c r="G434" s="1509">
        <f t="shared" si="39"/>
        <v>0</v>
      </c>
      <c r="H434" s="1509">
        <f t="shared" si="40"/>
        <v>0</v>
      </c>
      <c r="I434" s="1509">
        <v>0</v>
      </c>
      <c r="J434" s="1509">
        <v>0</v>
      </c>
      <c r="K434" s="1513"/>
      <c r="L434" s="1513"/>
      <c r="M434" s="1513">
        <f t="shared" si="41"/>
        <v>0</v>
      </c>
      <c r="N434" s="1513">
        <f t="shared" si="42"/>
        <v>0</v>
      </c>
      <c r="O434" s="1510">
        <f t="shared" si="43"/>
        <v>0</v>
      </c>
      <c r="P434" s="1453">
        <f t="shared" si="44"/>
        <v>0</v>
      </c>
    </row>
    <row r="435" spans="1:16" ht="43.5" outlineLevel="1" x14ac:dyDescent="0.25">
      <c r="A435" s="1511" t="str">
        <f t="shared" si="37"/>
        <v>HO
DPR 8.1</v>
      </c>
      <c r="B435" s="1512" t="str">
        <f t="shared" si="37"/>
        <v>Advance Multipurpose Fire Tender for Parli 6-7</v>
      </c>
      <c r="C435" s="1511" t="str">
        <f t="shared" si="37"/>
        <v>MERC/CAPEX/20172018/4653</v>
      </c>
      <c r="D435" s="1378">
        <f t="shared" si="37"/>
        <v>43052</v>
      </c>
      <c r="E435" s="1513">
        <f t="shared" si="37"/>
        <v>2.72</v>
      </c>
      <c r="F435" s="1509">
        <f t="shared" si="38"/>
        <v>1.7765</v>
      </c>
      <c r="G435" s="1509">
        <f t="shared" si="39"/>
        <v>1.7765</v>
      </c>
      <c r="H435" s="1509">
        <f t="shared" si="40"/>
        <v>0</v>
      </c>
      <c r="I435" s="1509">
        <v>0</v>
      </c>
      <c r="J435" s="1509">
        <v>0</v>
      </c>
      <c r="K435" s="1513"/>
      <c r="L435" s="1513"/>
      <c r="M435" s="1513">
        <f t="shared" si="41"/>
        <v>0</v>
      </c>
      <c r="N435" s="1513">
        <f t="shared" si="42"/>
        <v>0</v>
      </c>
      <c r="O435" s="1510">
        <f t="shared" si="43"/>
        <v>0</v>
      </c>
      <c r="P435" s="1453">
        <f t="shared" si="44"/>
        <v>0</v>
      </c>
    </row>
    <row r="436" spans="1:16" ht="43.5" outlineLevel="1" x14ac:dyDescent="0.25">
      <c r="A436" s="1511" t="str">
        <f t="shared" si="37"/>
        <v>HO
DPR 8.2</v>
      </c>
      <c r="B436" s="1512" t="str">
        <f t="shared" si="37"/>
        <v>Normal Multipurpose Fire Tender Parli 6-7</v>
      </c>
      <c r="C436" s="1511" t="str">
        <f t="shared" si="37"/>
        <v>MERC/CAPEX/20172018/4653</v>
      </c>
      <c r="D436" s="1378">
        <f t="shared" si="37"/>
        <v>43052</v>
      </c>
      <c r="E436" s="1513">
        <f t="shared" si="37"/>
        <v>1.25</v>
      </c>
      <c r="F436" s="1509">
        <f t="shared" si="38"/>
        <v>0</v>
      </c>
      <c r="G436" s="1509">
        <f t="shared" si="39"/>
        <v>0</v>
      </c>
      <c r="H436" s="1509">
        <f t="shared" si="40"/>
        <v>0</v>
      </c>
      <c r="I436" s="1509">
        <v>0</v>
      </c>
      <c r="J436" s="1509">
        <v>0</v>
      </c>
      <c r="K436" s="1513"/>
      <c r="L436" s="1513"/>
      <c r="M436" s="1513">
        <f t="shared" si="41"/>
        <v>0</v>
      </c>
      <c r="N436" s="1513">
        <f t="shared" si="42"/>
        <v>0</v>
      </c>
      <c r="O436" s="1510">
        <f t="shared" si="43"/>
        <v>0</v>
      </c>
      <c r="P436" s="1453">
        <f t="shared" si="44"/>
        <v>0</v>
      </c>
    </row>
    <row r="437" spans="1:16" outlineLevel="1" x14ac:dyDescent="0.25">
      <c r="A437" s="1511">
        <f t="shared" si="37"/>
        <v>0</v>
      </c>
      <c r="B437" s="1512" t="str">
        <f t="shared" si="37"/>
        <v>IDC</v>
      </c>
      <c r="C437" s="1511" t="str">
        <f t="shared" si="37"/>
        <v>MERC/CAPEX/20172018/4653</v>
      </c>
      <c r="D437" s="1378">
        <f t="shared" si="37"/>
        <v>43052</v>
      </c>
      <c r="E437" s="1513">
        <f t="shared" si="37"/>
        <v>0</v>
      </c>
      <c r="F437" s="1509">
        <f t="shared" si="38"/>
        <v>0</v>
      </c>
      <c r="G437" s="1509">
        <f t="shared" si="39"/>
        <v>0</v>
      </c>
      <c r="H437" s="1509">
        <f t="shared" si="40"/>
        <v>0</v>
      </c>
      <c r="I437" s="1509">
        <v>0</v>
      </c>
      <c r="J437" s="1509">
        <v>0</v>
      </c>
      <c r="K437" s="1513"/>
      <c r="L437" s="1513"/>
      <c r="M437" s="1513">
        <f t="shared" si="41"/>
        <v>0</v>
      </c>
      <c r="N437" s="1513">
        <f t="shared" si="42"/>
        <v>0</v>
      </c>
      <c r="O437" s="1510">
        <f t="shared" si="43"/>
        <v>0</v>
      </c>
      <c r="P437" s="1453">
        <f t="shared" si="44"/>
        <v>0</v>
      </c>
    </row>
    <row r="438" spans="1:16" ht="43.5" outlineLevel="1" x14ac:dyDescent="0.25">
      <c r="A438" s="1506" t="str">
        <f t="shared" si="37"/>
        <v>HO
DPR 10</v>
      </c>
      <c r="B438" s="1507" t="str">
        <f t="shared" si="37"/>
        <v>Implementation of IB recommendations- Civil works at various TPS of Mahagenco</v>
      </c>
      <c r="C438" s="1506" t="str">
        <f t="shared" si="37"/>
        <v>MERC/CAPEX/20172018/0177</v>
      </c>
      <c r="D438" s="1508">
        <f t="shared" si="37"/>
        <v>43137</v>
      </c>
      <c r="E438" s="1509">
        <f t="shared" si="37"/>
        <v>2.36</v>
      </c>
      <c r="F438" s="1509">
        <f t="shared" si="38"/>
        <v>0</v>
      </c>
      <c r="G438" s="1509">
        <f t="shared" si="39"/>
        <v>0</v>
      </c>
      <c r="H438" s="1509">
        <f t="shared" si="40"/>
        <v>0</v>
      </c>
      <c r="I438" s="1509">
        <v>0</v>
      </c>
      <c r="J438" s="1509">
        <v>0</v>
      </c>
      <c r="K438" s="1513"/>
      <c r="L438" s="1513"/>
      <c r="M438" s="1513">
        <f t="shared" si="41"/>
        <v>0</v>
      </c>
      <c r="N438" s="1513">
        <f t="shared" si="42"/>
        <v>0</v>
      </c>
      <c r="O438" s="1510">
        <f t="shared" si="43"/>
        <v>0</v>
      </c>
      <c r="P438" s="1453">
        <f t="shared" si="44"/>
        <v>0</v>
      </c>
    </row>
    <row r="439" spans="1:16" ht="43.5" outlineLevel="1" x14ac:dyDescent="0.25">
      <c r="A439" s="1511" t="str">
        <f t="shared" si="37"/>
        <v>HO
DPR 10a</v>
      </c>
      <c r="B439" s="1512" t="str">
        <f t="shared" si="37"/>
        <v>NEW PARLI (U-6 &amp; 7)</v>
      </c>
      <c r="C439" s="1511" t="str">
        <f t="shared" si="37"/>
        <v>MERC/CAPEX/20172018/0177</v>
      </c>
      <c r="D439" s="1378">
        <f t="shared" si="37"/>
        <v>43137</v>
      </c>
      <c r="E439" s="1513">
        <f t="shared" si="37"/>
        <v>2.36</v>
      </c>
      <c r="F439" s="1509">
        <f t="shared" si="38"/>
        <v>1.584952667</v>
      </c>
      <c r="G439" s="1509">
        <f t="shared" si="39"/>
        <v>1.584952667</v>
      </c>
      <c r="H439" s="1509">
        <f t="shared" si="40"/>
        <v>0</v>
      </c>
      <c r="I439" s="1509">
        <v>0</v>
      </c>
      <c r="J439" s="1509">
        <v>0</v>
      </c>
      <c r="K439" s="1513"/>
      <c r="L439" s="1513"/>
      <c r="M439" s="1513">
        <f t="shared" si="41"/>
        <v>0</v>
      </c>
      <c r="N439" s="1513">
        <f t="shared" si="42"/>
        <v>0</v>
      </c>
      <c r="O439" s="1510">
        <f t="shared" si="43"/>
        <v>0</v>
      </c>
      <c r="P439" s="1453">
        <f t="shared" si="44"/>
        <v>0</v>
      </c>
    </row>
    <row r="440" spans="1:16" ht="43.5" outlineLevel="1" x14ac:dyDescent="0.25">
      <c r="A440" s="1506" t="str">
        <f t="shared" si="37"/>
        <v>HO
DPR 15</v>
      </c>
      <c r="B440" s="1507" t="str">
        <f t="shared" si="37"/>
        <v>Procurement &amp; Replacement of Complete Sets of Air Pre-heater Baskets at Nashik, Parli &amp; Chandrapur TPS of Mahagenco</v>
      </c>
      <c r="C440" s="1506" t="str">
        <f t="shared" si="37"/>
        <v>MERC/CAPEX/2019-2020/643</v>
      </c>
      <c r="D440" s="1508">
        <f t="shared" si="37"/>
        <v>43703</v>
      </c>
      <c r="E440" s="1509">
        <f t="shared" si="37"/>
        <v>2.12</v>
      </c>
      <c r="F440" s="1509">
        <f t="shared" si="38"/>
        <v>0</v>
      </c>
      <c r="G440" s="1509">
        <f t="shared" si="39"/>
        <v>0</v>
      </c>
      <c r="H440" s="1509">
        <f t="shared" si="40"/>
        <v>0</v>
      </c>
      <c r="I440" s="1509">
        <v>0</v>
      </c>
      <c r="J440" s="1509">
        <v>0</v>
      </c>
      <c r="K440" s="1513"/>
      <c r="L440" s="1513"/>
      <c r="M440" s="1513">
        <f t="shared" si="41"/>
        <v>0</v>
      </c>
      <c r="N440" s="1513">
        <f t="shared" si="42"/>
        <v>0</v>
      </c>
      <c r="O440" s="1510">
        <f t="shared" si="43"/>
        <v>0</v>
      </c>
      <c r="P440" s="1453">
        <f t="shared" si="44"/>
        <v>0</v>
      </c>
    </row>
    <row r="441" spans="1:16" ht="43.5" outlineLevel="1" x14ac:dyDescent="0.25">
      <c r="A441" s="1511" t="str">
        <f t="shared" si="37"/>
        <v>HO
DPR 15a</v>
      </c>
      <c r="B441" s="1512" t="str">
        <f t="shared" si="37"/>
        <v>Procurement and Replacement of Complete sets of assembly of baskets for air preheater of type tri-sector APH 27 VI(T) 74” in NTPS unit no. 4 &amp; 5 (210MW). (2 Sets Per Unit)</v>
      </c>
      <c r="C441" s="1511" t="str">
        <f t="shared" si="37"/>
        <v>MERC/CAPEX/2019-2020/643</v>
      </c>
      <c r="D441" s="1378">
        <f t="shared" si="37"/>
        <v>43703</v>
      </c>
      <c r="E441" s="1513">
        <f t="shared" si="37"/>
        <v>2.12</v>
      </c>
      <c r="F441" s="1509">
        <f t="shared" si="38"/>
        <v>2.4580069300000003</v>
      </c>
      <c r="G441" s="1509">
        <f t="shared" si="39"/>
        <v>2.4580069300000003</v>
      </c>
      <c r="H441" s="1509">
        <f t="shared" si="40"/>
        <v>0</v>
      </c>
      <c r="I441" s="1509">
        <v>0</v>
      </c>
      <c r="J441" s="1509">
        <v>0</v>
      </c>
      <c r="K441" s="1513"/>
      <c r="L441" s="1513"/>
      <c r="M441" s="1513">
        <f t="shared" si="41"/>
        <v>0</v>
      </c>
      <c r="N441" s="1513">
        <f t="shared" si="42"/>
        <v>0</v>
      </c>
      <c r="O441" s="1510">
        <f t="shared" si="43"/>
        <v>0</v>
      </c>
      <c r="P441" s="1453">
        <f t="shared" si="44"/>
        <v>0</v>
      </c>
    </row>
    <row r="442" spans="1:16" ht="43.5" outlineLevel="1" x14ac:dyDescent="0.25">
      <c r="A442" s="1511" t="str">
        <f t="shared" si="37"/>
        <v>HO
DPR 16</v>
      </c>
      <c r="B442" s="1512" t="str">
        <f t="shared" si="37"/>
        <v>Construction of new Administrative Building for Mahagenco at Vidyut Bhawan, Katol Road, Nagpur</v>
      </c>
      <c r="C442" s="1511" t="str">
        <f t="shared" si="37"/>
        <v>MERC/CAPEX/2021-2022/MSPGCL/063</v>
      </c>
      <c r="D442" s="1378">
        <f t="shared" si="37"/>
        <v>44604</v>
      </c>
      <c r="E442" s="1513">
        <f t="shared" si="37"/>
        <v>57</v>
      </c>
      <c r="F442" s="1509">
        <f t="shared" si="38"/>
        <v>0</v>
      </c>
      <c r="G442" s="1509">
        <f t="shared" si="39"/>
        <v>0</v>
      </c>
      <c r="H442" s="1509">
        <f t="shared" si="40"/>
        <v>0</v>
      </c>
      <c r="I442" s="1509">
        <v>0</v>
      </c>
      <c r="J442" s="1509">
        <v>0</v>
      </c>
      <c r="K442" s="1513"/>
      <c r="L442" s="1513"/>
      <c r="M442" s="1513">
        <f t="shared" si="41"/>
        <v>0</v>
      </c>
      <c r="N442" s="1513">
        <f t="shared" si="42"/>
        <v>0</v>
      </c>
      <c r="O442" s="1510"/>
      <c r="P442" s="1453"/>
    </row>
    <row r="443" spans="1:16" ht="43.5" outlineLevel="1" x14ac:dyDescent="0.25">
      <c r="A443" s="1511" t="str">
        <f t="shared" si="37"/>
        <v>HO
DPR 16.1</v>
      </c>
      <c r="B443" s="1512" t="str">
        <f t="shared" si="37"/>
        <v>Construction of new Administrative Building for Mahagenco at Vidyut Bhawan, Katol Road, Nagpur</v>
      </c>
      <c r="C443" s="1511" t="str">
        <f t="shared" si="37"/>
        <v>MERC/CAPEX/2021-2022/MSPGCL/063</v>
      </c>
      <c r="D443" s="1378">
        <f t="shared" si="37"/>
        <v>44604</v>
      </c>
      <c r="E443" s="1513">
        <f t="shared" si="37"/>
        <v>54.24</v>
      </c>
      <c r="F443" s="1509">
        <f t="shared" si="38"/>
        <v>0</v>
      </c>
      <c r="G443" s="1509">
        <f t="shared" si="39"/>
        <v>0</v>
      </c>
      <c r="H443" s="1509">
        <f t="shared" si="40"/>
        <v>0</v>
      </c>
      <c r="I443" s="1509">
        <v>0</v>
      </c>
      <c r="J443" s="1509">
        <v>0</v>
      </c>
      <c r="K443" s="1513"/>
      <c r="L443" s="1513"/>
      <c r="M443" s="1513">
        <f t="shared" si="41"/>
        <v>0</v>
      </c>
      <c r="N443" s="1513">
        <f t="shared" si="42"/>
        <v>0</v>
      </c>
      <c r="O443" s="1510"/>
      <c r="P443" s="1453"/>
    </row>
    <row r="444" spans="1:16" outlineLevel="1" x14ac:dyDescent="0.25">
      <c r="A444" s="1511">
        <f t="shared" si="37"/>
        <v>0</v>
      </c>
      <c r="B444" s="1512" t="str">
        <f t="shared" si="37"/>
        <v>IDC</v>
      </c>
      <c r="C444" s="1511" t="str">
        <f t="shared" si="37"/>
        <v>MERC/CAPEX/2021-2022/MSPGCL/063</v>
      </c>
      <c r="D444" s="1378">
        <f t="shared" si="37"/>
        <v>44604</v>
      </c>
      <c r="E444" s="1513">
        <f t="shared" si="37"/>
        <v>2.76</v>
      </c>
      <c r="F444" s="1509">
        <f t="shared" si="38"/>
        <v>0</v>
      </c>
      <c r="G444" s="1509">
        <f t="shared" si="39"/>
        <v>0</v>
      </c>
      <c r="H444" s="1509">
        <f t="shared" si="40"/>
        <v>0</v>
      </c>
      <c r="I444" s="1509">
        <v>0</v>
      </c>
      <c r="J444" s="1509">
        <v>0</v>
      </c>
      <c r="K444" s="1513"/>
      <c r="L444" s="1513"/>
      <c r="M444" s="1513">
        <f t="shared" si="41"/>
        <v>0</v>
      </c>
      <c r="N444" s="1513">
        <f t="shared" si="42"/>
        <v>0</v>
      </c>
      <c r="O444" s="1510"/>
      <c r="P444" s="1453"/>
    </row>
    <row r="445" spans="1:16" ht="43.5" outlineLevel="1" x14ac:dyDescent="0.25">
      <c r="A445" s="1511" t="str">
        <f t="shared" si="37"/>
        <v>HO
DPR 17</v>
      </c>
      <c r="B445" s="1512" t="str">
        <f t="shared" si="37"/>
        <v>Centralized Monitoring Solution</v>
      </c>
      <c r="C445" s="1511" t="str">
        <f t="shared" si="37"/>
        <v>MERC/CAPEX/MSPGCL/2023-24/0576</v>
      </c>
      <c r="D445" s="1378">
        <f t="shared" si="37"/>
        <v>45232</v>
      </c>
      <c r="E445" s="1513">
        <f t="shared" si="37"/>
        <v>69.308999999999997</v>
      </c>
      <c r="F445" s="1509">
        <f t="shared" si="38"/>
        <v>0</v>
      </c>
      <c r="G445" s="1509">
        <f t="shared" si="39"/>
        <v>0</v>
      </c>
      <c r="H445" s="1509">
        <f t="shared" si="40"/>
        <v>0</v>
      </c>
      <c r="I445" s="1509">
        <v>0</v>
      </c>
      <c r="J445" s="1509">
        <v>0</v>
      </c>
      <c r="K445" s="1513"/>
      <c r="L445" s="1513"/>
      <c r="M445" s="1513">
        <f t="shared" si="41"/>
        <v>0</v>
      </c>
      <c r="N445" s="1513">
        <f t="shared" si="42"/>
        <v>0</v>
      </c>
      <c r="O445" s="1510"/>
      <c r="P445" s="1453"/>
    </row>
    <row r="446" spans="1:16" ht="43.5" outlineLevel="1" x14ac:dyDescent="0.25">
      <c r="A446" s="1511" t="str">
        <f t="shared" ref="A446:E461" si="45">A89</f>
        <v>HO
DPR 17.1</v>
      </c>
      <c r="B446" s="1512" t="str">
        <f t="shared" si="45"/>
        <v>Centralized Monitoring Solution</v>
      </c>
      <c r="C446" s="1511" t="str">
        <f t="shared" si="45"/>
        <v>MERC/CAPEX/MSPGCL/2023-24/0576</v>
      </c>
      <c r="D446" s="1378">
        <f t="shared" si="45"/>
        <v>45232</v>
      </c>
      <c r="E446" s="1513">
        <f t="shared" si="45"/>
        <v>66.009</v>
      </c>
      <c r="F446" s="1509">
        <f t="shared" si="38"/>
        <v>0</v>
      </c>
      <c r="G446" s="1509">
        <f t="shared" si="39"/>
        <v>0</v>
      </c>
      <c r="H446" s="1509">
        <f t="shared" si="40"/>
        <v>0</v>
      </c>
      <c r="I446" s="1509">
        <v>0</v>
      </c>
      <c r="J446" s="1509">
        <v>0</v>
      </c>
      <c r="K446" s="1513"/>
      <c r="L446" s="1513"/>
      <c r="M446" s="1513">
        <f t="shared" si="41"/>
        <v>0</v>
      </c>
      <c r="N446" s="1513">
        <f t="shared" si="42"/>
        <v>0</v>
      </c>
      <c r="O446" s="1510"/>
      <c r="P446" s="1453"/>
    </row>
    <row r="447" spans="1:16" outlineLevel="1" x14ac:dyDescent="0.25">
      <c r="A447" s="1511">
        <f t="shared" si="45"/>
        <v>0</v>
      </c>
      <c r="B447" s="1512" t="str">
        <f t="shared" si="45"/>
        <v>IDC</v>
      </c>
      <c r="C447" s="1511" t="str">
        <f t="shared" si="45"/>
        <v>MERC/CAPEX/MSPGCL/2023-24/0576</v>
      </c>
      <c r="D447" s="1378">
        <f t="shared" si="45"/>
        <v>45232</v>
      </c>
      <c r="E447" s="1513">
        <f t="shared" si="45"/>
        <v>3.3</v>
      </c>
      <c r="F447" s="1509">
        <f t="shared" si="38"/>
        <v>0</v>
      </c>
      <c r="G447" s="1509">
        <f t="shared" si="39"/>
        <v>0</v>
      </c>
      <c r="H447" s="1509">
        <f t="shared" si="40"/>
        <v>0</v>
      </c>
      <c r="I447" s="1509">
        <v>0</v>
      </c>
      <c r="J447" s="1509">
        <v>0</v>
      </c>
      <c r="K447" s="1513"/>
      <c r="L447" s="1513"/>
      <c r="M447" s="1513">
        <f t="shared" si="41"/>
        <v>0</v>
      </c>
      <c r="N447" s="1513">
        <f t="shared" si="42"/>
        <v>0</v>
      </c>
      <c r="O447" s="1510"/>
      <c r="P447" s="1453"/>
    </row>
    <row r="448" spans="1:16" ht="29" outlineLevel="1" x14ac:dyDescent="0.25">
      <c r="A448" s="1506">
        <f t="shared" si="45"/>
        <v>23</v>
      </c>
      <c r="B448" s="1507" t="str">
        <f t="shared" si="45"/>
        <v>Coal Handling Plant Environment Improvement Schemes at U-6&amp;7 CHP (2X250MW) Parli TPS</v>
      </c>
      <c r="C448" s="1506" t="str">
        <f t="shared" si="45"/>
        <v>Yet to be approve</v>
      </c>
      <c r="D448" s="1378" t="str">
        <f t="shared" si="45"/>
        <v>-</v>
      </c>
      <c r="E448" s="1513">
        <f t="shared" si="45"/>
        <v>0</v>
      </c>
      <c r="F448" s="1509">
        <f t="shared" si="38"/>
        <v>0</v>
      </c>
      <c r="G448" s="1509">
        <f t="shared" si="39"/>
        <v>0</v>
      </c>
      <c r="H448" s="1509">
        <f t="shared" si="40"/>
        <v>0</v>
      </c>
      <c r="I448" s="1509">
        <v>0</v>
      </c>
      <c r="J448" s="1509">
        <v>0</v>
      </c>
      <c r="K448" s="1513"/>
      <c r="L448" s="1513"/>
      <c r="M448" s="1513">
        <f t="shared" si="41"/>
        <v>0</v>
      </c>
      <c r="N448" s="1513">
        <f t="shared" si="42"/>
        <v>0</v>
      </c>
      <c r="O448" s="1510">
        <f t="shared" ref="O448:O456" si="46">MAX(0,IF(M448=0,0,IF(G448+M448&lt;E448,M448,E448-G448)))</f>
        <v>0</v>
      </c>
      <c r="P448" s="1453">
        <f t="shared" ref="P448:P456" si="47">M448-O448</f>
        <v>0</v>
      </c>
    </row>
    <row r="449" spans="1:16" ht="43.5" outlineLevel="1" x14ac:dyDescent="0.25">
      <c r="A449" s="1511">
        <f t="shared" si="45"/>
        <v>23.1</v>
      </c>
      <c r="B449" s="1515" t="str">
        <f t="shared" si="45"/>
        <v>Scheme-1: Design, Engineering, Manufacturing, Supply, Installation and Commissioning of Dedusting System ( Dust Extraction System) for Crusher House and Bunker House at  Unit -6 &amp; 7 at CHP Parli  TPS.</v>
      </c>
      <c r="C449" s="1511" t="str">
        <f t="shared" si="45"/>
        <v>Yet to be approve</v>
      </c>
      <c r="D449" s="1378" t="str">
        <f t="shared" si="45"/>
        <v>-</v>
      </c>
      <c r="E449" s="1513">
        <f t="shared" si="45"/>
        <v>0</v>
      </c>
      <c r="F449" s="1509">
        <f t="shared" si="38"/>
        <v>0</v>
      </c>
      <c r="G449" s="1509">
        <f t="shared" si="39"/>
        <v>0</v>
      </c>
      <c r="H449" s="1509">
        <f t="shared" si="40"/>
        <v>0</v>
      </c>
      <c r="I449" s="1509">
        <v>0</v>
      </c>
      <c r="J449" s="1509">
        <v>0</v>
      </c>
      <c r="K449" s="1513"/>
      <c r="L449" s="1513"/>
      <c r="M449" s="1513">
        <f t="shared" si="41"/>
        <v>0</v>
      </c>
      <c r="N449" s="1513">
        <f t="shared" si="42"/>
        <v>0</v>
      </c>
      <c r="O449" s="1510">
        <f t="shared" si="46"/>
        <v>0</v>
      </c>
      <c r="P449" s="1453">
        <f t="shared" si="47"/>
        <v>0</v>
      </c>
    </row>
    <row r="450" spans="1:16" ht="43.5" outlineLevel="1" x14ac:dyDescent="0.25">
      <c r="A450" s="1511">
        <f t="shared" si="45"/>
        <v>23.2</v>
      </c>
      <c r="B450" s="1515" t="str">
        <f t="shared" si="45"/>
        <v>Scheme-2: Supply, Installation, Erection &amp; Commissioning of medium velocity water spray dust suppression system at CHP U-6/7 coal yard Crusher house &amp; Link Conveyor at Parli TPS.</v>
      </c>
      <c r="C450" s="1511" t="str">
        <f t="shared" si="45"/>
        <v>Yet to be approve</v>
      </c>
      <c r="D450" s="1378" t="str">
        <f t="shared" si="45"/>
        <v>-</v>
      </c>
      <c r="E450" s="1513">
        <f t="shared" si="45"/>
        <v>0</v>
      </c>
      <c r="F450" s="1509">
        <f t="shared" si="38"/>
        <v>0</v>
      </c>
      <c r="G450" s="1509">
        <f t="shared" si="39"/>
        <v>0</v>
      </c>
      <c r="H450" s="1509">
        <f t="shared" si="40"/>
        <v>0</v>
      </c>
      <c r="I450" s="1509">
        <v>0</v>
      </c>
      <c r="J450" s="1509">
        <v>0</v>
      </c>
      <c r="K450" s="1513"/>
      <c r="L450" s="1513"/>
      <c r="M450" s="1513">
        <f t="shared" si="41"/>
        <v>0</v>
      </c>
      <c r="N450" s="1513">
        <f t="shared" si="42"/>
        <v>0</v>
      </c>
      <c r="O450" s="1510">
        <f t="shared" si="46"/>
        <v>0</v>
      </c>
      <c r="P450" s="1453">
        <f t="shared" si="47"/>
        <v>0</v>
      </c>
    </row>
    <row r="451" spans="1:16" ht="58" outlineLevel="1" x14ac:dyDescent="0.25">
      <c r="A451" s="1511">
        <f t="shared" si="45"/>
        <v>23.3</v>
      </c>
      <c r="B451" s="1515" t="str">
        <f t="shared" si="45"/>
        <v>Scheme-3: Supply, Installation, Commissioning of Fire Hydrant &amp; Spray line above ground around  stacker yard and crusher house, wagon tippler through conveyor belt with DV &amp; DV Shed at CHP U-6/7.</v>
      </c>
      <c r="C451" s="1506" t="str">
        <f t="shared" si="45"/>
        <v>Yet to be approve</v>
      </c>
      <c r="D451" s="1378" t="str">
        <f t="shared" si="45"/>
        <v>-</v>
      </c>
      <c r="E451" s="1513">
        <f t="shared" si="45"/>
        <v>0</v>
      </c>
      <c r="F451" s="1509">
        <f t="shared" si="38"/>
        <v>0</v>
      </c>
      <c r="G451" s="1509">
        <f t="shared" si="39"/>
        <v>0</v>
      </c>
      <c r="H451" s="1509">
        <f t="shared" si="40"/>
        <v>0</v>
      </c>
      <c r="I451" s="1509">
        <v>0</v>
      </c>
      <c r="J451" s="1509">
        <v>0</v>
      </c>
      <c r="K451" s="1509"/>
      <c r="L451" s="1509"/>
      <c r="M451" s="1509">
        <f t="shared" si="41"/>
        <v>0</v>
      </c>
      <c r="N451" s="1509">
        <f t="shared" si="42"/>
        <v>0</v>
      </c>
      <c r="O451" s="1510">
        <f t="shared" si="46"/>
        <v>0</v>
      </c>
      <c r="P451" s="1453">
        <f t="shared" si="47"/>
        <v>0</v>
      </c>
    </row>
    <row r="452" spans="1:16" ht="43.5" outlineLevel="1" x14ac:dyDescent="0.25">
      <c r="A452" s="1511">
        <f t="shared" si="45"/>
        <v>23.4</v>
      </c>
      <c r="B452" s="1515" t="str">
        <f t="shared" si="45"/>
        <v>Scheme-4: Design, Manufacturing, Supply, Erection and Commissioning of DRY FOG Dust Suppression system at Wagon Tippler, Conveyor Belt Transfer point at U-6/7 CHP Parli TPS.</v>
      </c>
      <c r="C452" s="1511" t="str">
        <f t="shared" si="45"/>
        <v>Yet to be approve</v>
      </c>
      <c r="D452" s="1378" t="str">
        <f t="shared" si="45"/>
        <v>-</v>
      </c>
      <c r="E452" s="1513">
        <f t="shared" si="45"/>
        <v>0</v>
      </c>
      <c r="F452" s="1509">
        <f t="shared" si="38"/>
        <v>0</v>
      </c>
      <c r="G452" s="1509">
        <f t="shared" si="39"/>
        <v>0</v>
      </c>
      <c r="H452" s="1509">
        <f t="shared" si="40"/>
        <v>0</v>
      </c>
      <c r="I452" s="1509">
        <v>0</v>
      </c>
      <c r="J452" s="1509">
        <v>0</v>
      </c>
      <c r="K452" s="1513"/>
      <c r="L452" s="1513"/>
      <c r="M452" s="1513">
        <f t="shared" si="41"/>
        <v>0</v>
      </c>
      <c r="N452" s="1513">
        <f t="shared" si="42"/>
        <v>0</v>
      </c>
      <c r="O452" s="1510">
        <f t="shared" si="46"/>
        <v>0</v>
      </c>
      <c r="P452" s="1453">
        <f t="shared" si="47"/>
        <v>0</v>
      </c>
    </row>
    <row r="453" spans="1:16" outlineLevel="1" x14ac:dyDescent="0.25">
      <c r="A453" s="1511">
        <f t="shared" si="45"/>
        <v>0</v>
      </c>
      <c r="B453" s="1515" t="str">
        <f t="shared" si="45"/>
        <v>IDC</v>
      </c>
      <c r="C453" s="1396" t="str">
        <f t="shared" si="45"/>
        <v>Yet to be approve</v>
      </c>
      <c r="D453" s="1378" t="str">
        <f t="shared" si="45"/>
        <v>-</v>
      </c>
      <c r="E453" s="1513">
        <f t="shared" si="45"/>
        <v>0</v>
      </c>
      <c r="F453" s="1509">
        <f t="shared" si="38"/>
        <v>0</v>
      </c>
      <c r="G453" s="1509">
        <f t="shared" si="39"/>
        <v>0</v>
      </c>
      <c r="H453" s="1509">
        <f t="shared" si="40"/>
        <v>0</v>
      </c>
      <c r="I453" s="1509">
        <v>0</v>
      </c>
      <c r="J453" s="1509">
        <v>0</v>
      </c>
      <c r="K453" s="1505"/>
      <c r="L453" s="1505"/>
      <c r="M453" s="1505">
        <f t="shared" si="41"/>
        <v>0</v>
      </c>
      <c r="N453" s="1505">
        <f t="shared" si="42"/>
        <v>0</v>
      </c>
      <c r="O453" s="1510">
        <f t="shared" si="46"/>
        <v>0</v>
      </c>
      <c r="P453" s="1453">
        <f t="shared" si="47"/>
        <v>0</v>
      </c>
    </row>
    <row r="454" spans="1:16" ht="29" outlineLevel="1" x14ac:dyDescent="0.25">
      <c r="A454" s="1506">
        <f t="shared" si="45"/>
        <v>24</v>
      </c>
      <c r="B454" s="1507" t="str">
        <f t="shared" si="45"/>
        <v>Coal Mill Performance Improvement Schemes at U-6 &amp; 7 (2 x 250 MW) Parli TPS</v>
      </c>
      <c r="C454" s="1506" t="str">
        <f t="shared" si="45"/>
        <v>Yet to be approve</v>
      </c>
      <c r="D454" s="1378" t="str">
        <f t="shared" si="45"/>
        <v>-</v>
      </c>
      <c r="E454" s="1513">
        <f t="shared" si="45"/>
        <v>0</v>
      </c>
      <c r="F454" s="1509">
        <f t="shared" si="38"/>
        <v>0</v>
      </c>
      <c r="G454" s="1509">
        <f t="shared" si="39"/>
        <v>0</v>
      </c>
      <c r="H454" s="1509">
        <f t="shared" si="40"/>
        <v>0</v>
      </c>
      <c r="I454" s="1509">
        <v>0</v>
      </c>
      <c r="J454" s="1509">
        <v>0</v>
      </c>
      <c r="K454" s="1513"/>
      <c r="L454" s="1513"/>
      <c r="M454" s="1513">
        <f t="shared" si="41"/>
        <v>0</v>
      </c>
      <c r="N454" s="1513">
        <f t="shared" si="42"/>
        <v>0</v>
      </c>
      <c r="O454" s="1510">
        <f t="shared" si="46"/>
        <v>0</v>
      </c>
      <c r="P454" s="1453">
        <f t="shared" si="47"/>
        <v>0</v>
      </c>
    </row>
    <row r="455" spans="1:16" ht="43.5" outlineLevel="1" x14ac:dyDescent="0.25">
      <c r="A455" s="1511">
        <f t="shared" si="45"/>
        <v>24.1</v>
      </c>
      <c r="B455" s="1515" t="str">
        <f t="shared" si="45"/>
        <v xml:space="preserve">Scheme-1: Procurement And Replacement Of Internals For Reducer Gear Box Szn-630 &amp; Sbn-630 for Bbd-4772 Coal Mills Of 250mw At Unit 6,7  Parli </v>
      </c>
      <c r="C455" s="1396" t="str">
        <f t="shared" si="45"/>
        <v>Yet to be approve</v>
      </c>
      <c r="D455" s="1378" t="str">
        <f t="shared" si="45"/>
        <v>-</v>
      </c>
      <c r="E455" s="1513">
        <f t="shared" si="45"/>
        <v>0</v>
      </c>
      <c r="F455" s="1509">
        <f t="shared" si="38"/>
        <v>0</v>
      </c>
      <c r="G455" s="1509">
        <f t="shared" si="39"/>
        <v>0</v>
      </c>
      <c r="H455" s="1509">
        <f t="shared" si="40"/>
        <v>0</v>
      </c>
      <c r="I455" s="1509">
        <v>0</v>
      </c>
      <c r="J455" s="1509">
        <v>0</v>
      </c>
      <c r="K455" s="1505"/>
      <c r="L455" s="1505"/>
      <c r="M455" s="1505">
        <f t="shared" si="41"/>
        <v>0</v>
      </c>
      <c r="N455" s="1505">
        <f t="shared" si="42"/>
        <v>0</v>
      </c>
      <c r="O455" s="1510">
        <f t="shared" si="46"/>
        <v>0</v>
      </c>
      <c r="P455" s="1453">
        <f t="shared" si="47"/>
        <v>0</v>
      </c>
    </row>
    <row r="456" spans="1:16" ht="43.5" outlineLevel="1" x14ac:dyDescent="0.25">
      <c r="A456" s="1511">
        <f t="shared" si="45"/>
        <v>24.2</v>
      </c>
      <c r="B456" s="1515" t="str">
        <f t="shared" si="45"/>
        <v>Scheme-2: Supply, Replacement, Erection And Installation Of Foundation Deck Springs Assembly (Vibration Isolation System) For Bbd-4772 Coal Mill Of For 250mw Unit-6&amp;7 At Parli Tps..</v>
      </c>
      <c r="C456" s="1396" t="str">
        <f t="shared" si="45"/>
        <v>Yet to be approve</v>
      </c>
      <c r="D456" s="1378" t="str">
        <f t="shared" si="45"/>
        <v>-</v>
      </c>
      <c r="E456" s="1513">
        <f t="shared" si="45"/>
        <v>0</v>
      </c>
      <c r="F456" s="1509">
        <f t="shared" si="38"/>
        <v>0</v>
      </c>
      <c r="G456" s="1509">
        <f t="shared" si="39"/>
        <v>0</v>
      </c>
      <c r="H456" s="1509">
        <f t="shared" si="40"/>
        <v>0</v>
      </c>
      <c r="I456" s="1509">
        <v>0</v>
      </c>
      <c r="J456" s="1509">
        <v>0</v>
      </c>
      <c r="K456" s="1505"/>
      <c r="L456" s="1505"/>
      <c r="M456" s="1505">
        <f t="shared" si="41"/>
        <v>0</v>
      </c>
      <c r="N456" s="1505">
        <f t="shared" si="42"/>
        <v>0</v>
      </c>
      <c r="O456" s="1510">
        <f t="shared" si="46"/>
        <v>0</v>
      </c>
      <c r="P456" s="1453">
        <f t="shared" si="47"/>
        <v>0</v>
      </c>
    </row>
    <row r="457" spans="1:16" ht="29" outlineLevel="1" x14ac:dyDescent="0.25">
      <c r="A457" s="1511">
        <f t="shared" si="45"/>
        <v>24.3</v>
      </c>
      <c r="B457" s="1515" t="str">
        <f t="shared" si="45"/>
        <v>Scheme-3: Procurement And Installation of Girth Gear And Pinion Of Coal Mill Bbd-4772 For Unit-6,7 At Parli TPS.</v>
      </c>
      <c r="C457" s="1396" t="str">
        <f t="shared" si="45"/>
        <v>Yet to be approve</v>
      </c>
      <c r="D457" s="1378" t="str">
        <f t="shared" si="45"/>
        <v>-</v>
      </c>
      <c r="E457" s="1513">
        <f t="shared" si="45"/>
        <v>0</v>
      </c>
      <c r="F457" s="1509">
        <f t="shared" si="38"/>
        <v>0</v>
      </c>
      <c r="G457" s="1509">
        <f t="shared" si="39"/>
        <v>0</v>
      </c>
      <c r="H457" s="1509">
        <f t="shared" si="40"/>
        <v>0</v>
      </c>
      <c r="I457" s="1509">
        <v>0</v>
      </c>
      <c r="J457" s="1509">
        <v>0</v>
      </c>
      <c r="K457" s="1505"/>
      <c r="L457" s="1505"/>
      <c r="M457" s="1505">
        <f t="shared" si="41"/>
        <v>0</v>
      </c>
      <c r="N457" s="1505">
        <f t="shared" si="42"/>
        <v>0</v>
      </c>
    </row>
    <row r="458" spans="1:16" ht="29" outlineLevel="1" x14ac:dyDescent="0.25">
      <c r="A458" s="1511">
        <f t="shared" si="45"/>
        <v>24.4</v>
      </c>
      <c r="B458" s="1515" t="str">
        <f t="shared" si="45"/>
        <v xml:space="preserve">Scheme-4: Procurement And Installation of Drive Shaft Assembly Of Coal Mill BBD-4772 For Unit-6 ,7 At Parli TPS. </v>
      </c>
      <c r="C458" s="1396" t="str">
        <f t="shared" si="45"/>
        <v>Yet to be approve</v>
      </c>
      <c r="D458" s="1378" t="str">
        <f t="shared" si="45"/>
        <v>-</v>
      </c>
      <c r="E458" s="1513">
        <f t="shared" si="45"/>
        <v>0</v>
      </c>
      <c r="F458" s="1509">
        <f t="shared" si="38"/>
        <v>0</v>
      </c>
      <c r="G458" s="1509">
        <f t="shared" si="39"/>
        <v>0</v>
      </c>
      <c r="H458" s="1509">
        <f t="shared" si="40"/>
        <v>0</v>
      </c>
      <c r="I458" s="1509">
        <v>0</v>
      </c>
      <c r="J458" s="1509">
        <v>0</v>
      </c>
      <c r="K458" s="1505"/>
      <c r="L458" s="1505"/>
      <c r="M458" s="1505">
        <f t="shared" si="41"/>
        <v>0</v>
      </c>
      <c r="N458" s="1505">
        <f t="shared" si="42"/>
        <v>0</v>
      </c>
    </row>
    <row r="459" spans="1:16" ht="29" outlineLevel="1" x14ac:dyDescent="0.25">
      <c r="A459" s="1511">
        <f t="shared" si="45"/>
        <v>24.5</v>
      </c>
      <c r="B459" s="1515" t="str">
        <f t="shared" si="45"/>
        <v>Scheme-5: Procurement And Replacement of  Bearing Shell Liner For Bbd-4772 Coal Mills Of 250mw At Unit 6,7  Parli TPS.</v>
      </c>
      <c r="C459" s="1396" t="str">
        <f t="shared" si="45"/>
        <v>Yet to be approve</v>
      </c>
      <c r="D459" s="1378" t="str">
        <f t="shared" si="45"/>
        <v>-</v>
      </c>
      <c r="E459" s="1513">
        <f t="shared" si="45"/>
        <v>0</v>
      </c>
      <c r="F459" s="1509">
        <f t="shared" si="38"/>
        <v>0</v>
      </c>
      <c r="G459" s="1509">
        <f t="shared" si="39"/>
        <v>0</v>
      </c>
      <c r="H459" s="1509">
        <f t="shared" si="40"/>
        <v>0</v>
      </c>
      <c r="I459" s="1509">
        <v>0</v>
      </c>
      <c r="J459" s="1509">
        <v>0</v>
      </c>
      <c r="K459" s="1505"/>
      <c r="L459" s="1505"/>
      <c r="M459" s="1505">
        <f t="shared" si="41"/>
        <v>0</v>
      </c>
      <c r="N459" s="1505">
        <f t="shared" si="42"/>
        <v>0</v>
      </c>
    </row>
    <row r="460" spans="1:16" outlineLevel="1" x14ac:dyDescent="0.25">
      <c r="A460" s="1511">
        <f t="shared" si="45"/>
        <v>0</v>
      </c>
      <c r="B460" s="1515" t="str">
        <f t="shared" si="45"/>
        <v>IDC</v>
      </c>
      <c r="C460" s="1396" t="str">
        <f t="shared" si="45"/>
        <v>Yet to be approve</v>
      </c>
      <c r="D460" s="1378" t="str">
        <f t="shared" si="45"/>
        <v>-</v>
      </c>
      <c r="E460" s="1513">
        <f t="shared" si="45"/>
        <v>0</v>
      </c>
      <c r="F460" s="1509">
        <f t="shared" si="38"/>
        <v>0</v>
      </c>
      <c r="G460" s="1509">
        <f t="shared" si="39"/>
        <v>0</v>
      </c>
      <c r="H460" s="1509">
        <f t="shared" si="40"/>
        <v>0</v>
      </c>
      <c r="I460" s="1509">
        <v>0</v>
      </c>
      <c r="J460" s="1509">
        <v>0</v>
      </c>
      <c r="K460" s="1505"/>
      <c r="L460" s="1505"/>
      <c r="M460" s="1505">
        <f t="shared" si="41"/>
        <v>0</v>
      </c>
      <c r="N460" s="1505">
        <f t="shared" si="42"/>
        <v>0</v>
      </c>
    </row>
    <row r="461" spans="1:16" outlineLevel="1" x14ac:dyDescent="0.25">
      <c r="A461" s="1506">
        <f t="shared" si="45"/>
        <v>25</v>
      </c>
      <c r="B461" s="1507" t="str">
        <f t="shared" si="45"/>
        <v>Administrative building</v>
      </c>
      <c r="C461" s="1506" t="str">
        <f t="shared" si="45"/>
        <v>Yet to be approved</v>
      </c>
      <c r="D461" s="1378" t="str">
        <f t="shared" si="45"/>
        <v>-</v>
      </c>
      <c r="E461" s="1513">
        <f t="shared" si="45"/>
        <v>0</v>
      </c>
      <c r="F461" s="1509">
        <f t="shared" si="38"/>
        <v>0</v>
      </c>
      <c r="G461" s="1509">
        <f t="shared" si="39"/>
        <v>0</v>
      </c>
      <c r="H461" s="1509">
        <f t="shared" si="40"/>
        <v>0</v>
      </c>
      <c r="I461" s="1509">
        <v>0</v>
      </c>
      <c r="J461" s="1509">
        <v>0</v>
      </c>
      <c r="K461" s="1513"/>
      <c r="L461" s="1513"/>
      <c r="M461" s="1513">
        <f t="shared" si="41"/>
        <v>0</v>
      </c>
      <c r="N461" s="1513">
        <f t="shared" si="42"/>
        <v>0</v>
      </c>
      <c r="O461" s="1510"/>
      <c r="P461" s="1453"/>
    </row>
    <row r="462" spans="1:16" outlineLevel="1" x14ac:dyDescent="0.25">
      <c r="A462" s="1511">
        <f t="shared" ref="A462:E477" si="48">A105</f>
        <v>25.1</v>
      </c>
      <c r="B462" s="1515" t="str">
        <f t="shared" si="48"/>
        <v>Administrative building</v>
      </c>
      <c r="C462" s="1396" t="str">
        <f t="shared" si="48"/>
        <v>Yet to be approved</v>
      </c>
      <c r="D462" s="1378" t="str">
        <f t="shared" si="48"/>
        <v>-</v>
      </c>
      <c r="E462" s="1513">
        <f t="shared" si="48"/>
        <v>0</v>
      </c>
      <c r="F462" s="1509">
        <f t="shared" si="38"/>
        <v>0</v>
      </c>
      <c r="G462" s="1509">
        <f t="shared" si="39"/>
        <v>0</v>
      </c>
      <c r="H462" s="1509">
        <f t="shared" si="40"/>
        <v>0</v>
      </c>
      <c r="I462" s="1509">
        <v>0</v>
      </c>
      <c r="J462" s="1509">
        <v>0</v>
      </c>
      <c r="K462" s="1505"/>
      <c r="L462" s="1505"/>
      <c r="M462" s="1505">
        <f t="shared" si="41"/>
        <v>0</v>
      </c>
      <c r="N462" s="1505">
        <f t="shared" si="42"/>
        <v>0</v>
      </c>
    </row>
    <row r="463" spans="1:16" ht="72.5" outlineLevel="1" x14ac:dyDescent="0.25">
      <c r="A463" s="1511">
        <f t="shared" si="48"/>
        <v>26</v>
      </c>
      <c r="B463" s="1515" t="str">
        <f t="shared" si="48"/>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463" s="1396" t="str">
        <f t="shared" si="48"/>
        <v>Yet to be approved</v>
      </c>
      <c r="D463" s="1378" t="str">
        <f t="shared" si="48"/>
        <v>-</v>
      </c>
      <c r="E463" s="1513">
        <f t="shared" si="48"/>
        <v>0</v>
      </c>
      <c r="F463" s="1509">
        <f t="shared" si="38"/>
        <v>0</v>
      </c>
      <c r="G463" s="1509">
        <f t="shared" si="39"/>
        <v>0</v>
      </c>
      <c r="H463" s="1509">
        <f t="shared" si="40"/>
        <v>0</v>
      </c>
      <c r="I463" s="1509">
        <v>0</v>
      </c>
      <c r="J463" s="1509">
        <v>0</v>
      </c>
      <c r="K463" s="1505"/>
      <c r="L463" s="1505"/>
      <c r="M463" s="1505">
        <f t="shared" si="41"/>
        <v>0</v>
      </c>
      <c r="N463" s="1505">
        <f t="shared" si="42"/>
        <v>0</v>
      </c>
    </row>
    <row r="464" spans="1:16" ht="29" outlineLevel="1" x14ac:dyDescent="0.25">
      <c r="A464" s="1511">
        <f t="shared" si="48"/>
        <v>26.1</v>
      </c>
      <c r="B464" s="1515" t="str">
        <f t="shared" si="48"/>
        <v>Refurbishment of spare HPT module (Common pool item) at TM U#6,7 Parli TPS</v>
      </c>
      <c r="C464" s="1396" t="str">
        <f t="shared" si="48"/>
        <v>Yet to be approved</v>
      </c>
      <c r="D464" s="1378" t="str">
        <f t="shared" si="48"/>
        <v>-</v>
      </c>
      <c r="E464" s="1513">
        <f t="shared" si="48"/>
        <v>0</v>
      </c>
      <c r="F464" s="1509">
        <f t="shared" si="38"/>
        <v>0</v>
      </c>
      <c r="G464" s="1509">
        <f t="shared" si="39"/>
        <v>0</v>
      </c>
      <c r="H464" s="1509">
        <f t="shared" si="40"/>
        <v>0</v>
      </c>
      <c r="I464" s="1509">
        <v>0</v>
      </c>
      <c r="J464" s="1509">
        <v>0</v>
      </c>
      <c r="K464" s="1505"/>
      <c r="L464" s="1505"/>
      <c r="M464" s="1505">
        <f t="shared" si="41"/>
        <v>0</v>
      </c>
      <c r="N464" s="1505">
        <f t="shared" si="42"/>
        <v>0</v>
      </c>
    </row>
    <row r="465" spans="1:16" ht="29" outlineLevel="1" x14ac:dyDescent="0.25">
      <c r="A465" s="1511">
        <f t="shared" si="48"/>
        <v>26.2</v>
      </c>
      <c r="B465" s="1515" t="str">
        <f t="shared" si="48"/>
        <v xml:space="preserve"> Design, Erection, Testing &amp; Commissioning of Energy Efficient Air Washer (cooling) System  at Unit 6&amp;7 NPTPS, Parli-V.</v>
      </c>
      <c r="C465" s="1396" t="str">
        <f t="shared" si="48"/>
        <v>Yet to be approved</v>
      </c>
      <c r="D465" s="1378" t="str">
        <f t="shared" si="48"/>
        <v>-</v>
      </c>
      <c r="E465" s="1513">
        <f t="shared" si="48"/>
        <v>0</v>
      </c>
      <c r="F465" s="1509">
        <f t="shared" si="38"/>
        <v>0</v>
      </c>
      <c r="G465" s="1509">
        <f t="shared" si="39"/>
        <v>0</v>
      </c>
      <c r="H465" s="1509">
        <f t="shared" si="40"/>
        <v>0</v>
      </c>
      <c r="I465" s="1509">
        <v>0</v>
      </c>
      <c r="J465" s="1509">
        <v>0</v>
      </c>
      <c r="K465" s="1505"/>
      <c r="L465" s="1505"/>
      <c r="M465" s="1505">
        <f t="shared" si="41"/>
        <v>0</v>
      </c>
      <c r="N465" s="1505">
        <f t="shared" si="42"/>
        <v>0</v>
      </c>
    </row>
    <row r="466" spans="1:16" ht="29" outlineLevel="1" x14ac:dyDescent="0.25">
      <c r="A466" s="1511">
        <f t="shared" si="48"/>
        <v>26.3</v>
      </c>
      <c r="B466" s="1515" t="str">
        <f t="shared" si="48"/>
        <v>Upgradation of reciprocating compressor into screw compressor  at U#6</v>
      </c>
      <c r="C466" s="1396" t="str">
        <f t="shared" si="48"/>
        <v>Yet to be approved</v>
      </c>
      <c r="D466" s="1378" t="str">
        <f t="shared" si="48"/>
        <v>-</v>
      </c>
      <c r="E466" s="1513">
        <f t="shared" si="48"/>
        <v>0</v>
      </c>
      <c r="F466" s="1509">
        <f t="shared" si="38"/>
        <v>0</v>
      </c>
      <c r="G466" s="1509">
        <f t="shared" si="39"/>
        <v>0</v>
      </c>
      <c r="H466" s="1509">
        <f t="shared" si="40"/>
        <v>0</v>
      </c>
      <c r="I466" s="1509">
        <v>0</v>
      </c>
      <c r="J466" s="1509">
        <v>0</v>
      </c>
      <c r="K466" s="1505"/>
      <c r="L466" s="1505"/>
      <c r="M466" s="1505">
        <f t="shared" si="41"/>
        <v>0</v>
      </c>
      <c r="N466" s="1505">
        <f t="shared" si="42"/>
        <v>0</v>
      </c>
    </row>
    <row r="467" spans="1:16" ht="29" outlineLevel="1" x14ac:dyDescent="0.25">
      <c r="A467" s="1511">
        <f t="shared" si="48"/>
        <v>26.4</v>
      </c>
      <c r="B467" s="1515" t="str">
        <f t="shared" si="48"/>
        <v>Upgradation of existing chiller AC plant for PCR,Service Building,VFD area at NPTPS Parli -V</v>
      </c>
      <c r="C467" s="1396" t="str">
        <f t="shared" si="48"/>
        <v>Yet to be approved</v>
      </c>
      <c r="D467" s="1378" t="str">
        <f t="shared" si="48"/>
        <v>-</v>
      </c>
      <c r="E467" s="1513">
        <f t="shared" si="48"/>
        <v>0</v>
      </c>
      <c r="F467" s="1509">
        <f t="shared" si="38"/>
        <v>0</v>
      </c>
      <c r="G467" s="1509">
        <f t="shared" si="39"/>
        <v>0</v>
      </c>
      <c r="H467" s="1509">
        <f t="shared" si="40"/>
        <v>0</v>
      </c>
      <c r="I467" s="1509">
        <v>0</v>
      </c>
      <c r="J467" s="1509">
        <v>0</v>
      </c>
      <c r="K467" s="1505"/>
      <c r="L467" s="1505"/>
      <c r="M467" s="1505">
        <f t="shared" si="41"/>
        <v>0</v>
      </c>
      <c r="N467" s="1505">
        <f t="shared" si="42"/>
        <v>0</v>
      </c>
    </row>
    <row r="468" spans="1:16" outlineLevel="1" x14ac:dyDescent="0.25">
      <c r="A468" s="1511">
        <f t="shared" si="48"/>
        <v>0</v>
      </c>
      <c r="B468" s="1515" t="str">
        <f t="shared" si="48"/>
        <v>IDC</v>
      </c>
      <c r="C468" s="1396">
        <f t="shared" si="48"/>
        <v>0</v>
      </c>
      <c r="D468" s="1378" t="str">
        <f t="shared" si="48"/>
        <v>-</v>
      </c>
      <c r="E468" s="1513">
        <f t="shared" si="48"/>
        <v>0</v>
      </c>
      <c r="F468" s="1509">
        <f t="shared" si="38"/>
        <v>0</v>
      </c>
      <c r="G468" s="1509">
        <f t="shared" si="39"/>
        <v>0</v>
      </c>
      <c r="H468" s="1509">
        <f t="shared" si="40"/>
        <v>0</v>
      </c>
      <c r="I468" s="1509">
        <v>0</v>
      </c>
      <c r="J468" s="1509">
        <v>0</v>
      </c>
      <c r="K468" s="1505"/>
      <c r="L468" s="1505"/>
      <c r="M468" s="1505">
        <f t="shared" si="41"/>
        <v>0</v>
      </c>
      <c r="N468" s="1505">
        <f t="shared" si="42"/>
        <v>0</v>
      </c>
    </row>
    <row r="469" spans="1:16" ht="58" outlineLevel="1" x14ac:dyDescent="0.25">
      <c r="A469" s="1506" t="str">
        <f t="shared" si="48"/>
        <v>Covid Related Work</v>
      </c>
      <c r="B469" s="1507" t="str">
        <f t="shared" si="48"/>
        <v>U#6,7 Medical02 Oxygen Gr&amp;Cyl Ozonization Plant501</v>
      </c>
      <c r="C469" s="1506" t="str">
        <f t="shared" si="48"/>
        <v>N.A.</v>
      </c>
      <c r="D469" s="1508" t="str">
        <f t="shared" si="48"/>
        <v>-</v>
      </c>
      <c r="E469" s="1509">
        <f t="shared" si="48"/>
        <v>0</v>
      </c>
      <c r="F469" s="1509">
        <f t="shared" si="38"/>
        <v>3.8414035910000002</v>
      </c>
      <c r="G469" s="1509">
        <f t="shared" si="39"/>
        <v>3.8414035910000002</v>
      </c>
      <c r="H469" s="1509">
        <f t="shared" si="40"/>
        <v>0</v>
      </c>
      <c r="I469" s="1509">
        <v>0</v>
      </c>
      <c r="J469" s="1509">
        <v>0</v>
      </c>
      <c r="K469" s="1513"/>
      <c r="L469" s="1513"/>
      <c r="M469" s="1513">
        <f t="shared" si="41"/>
        <v>0</v>
      </c>
      <c r="N469" s="1513">
        <f t="shared" si="42"/>
        <v>0</v>
      </c>
      <c r="O469" s="1510"/>
      <c r="P469" s="1453"/>
    </row>
    <row r="470" spans="1:16" outlineLevel="1" x14ac:dyDescent="0.25">
      <c r="A470" s="1511">
        <f t="shared" si="48"/>
        <v>0</v>
      </c>
      <c r="B470" s="1515">
        <f t="shared" si="48"/>
        <v>0</v>
      </c>
      <c r="C470" s="1396">
        <f t="shared" si="48"/>
        <v>0</v>
      </c>
      <c r="D470" s="1378" t="str">
        <f t="shared" si="48"/>
        <v>-</v>
      </c>
      <c r="E470" s="1505">
        <f t="shared" si="48"/>
        <v>0</v>
      </c>
      <c r="F470" s="1509">
        <f t="shared" si="38"/>
        <v>0</v>
      </c>
      <c r="G470" s="1509">
        <f t="shared" si="39"/>
        <v>0</v>
      </c>
      <c r="H470" s="1509">
        <f t="shared" si="40"/>
        <v>0</v>
      </c>
      <c r="I470" s="1509">
        <v>0</v>
      </c>
      <c r="J470" s="1509">
        <v>0</v>
      </c>
      <c r="K470" s="1505"/>
      <c r="L470" s="1505"/>
      <c r="M470" s="1505">
        <f t="shared" si="41"/>
        <v>0</v>
      </c>
      <c r="N470" s="1505">
        <f t="shared" si="42"/>
        <v>0</v>
      </c>
    </row>
    <row r="471" spans="1:16" ht="18.5" outlineLevel="1" x14ac:dyDescent="0.25">
      <c r="A471" s="1339" t="str">
        <f t="shared" si="48"/>
        <v>B</v>
      </c>
      <c r="B471" s="1339" t="str">
        <f t="shared" si="48"/>
        <v>Asset received from Project of 6-7</v>
      </c>
      <c r="C471" s="1396">
        <f t="shared" si="48"/>
        <v>0</v>
      </c>
      <c r="D471" s="1378" t="str">
        <f t="shared" si="48"/>
        <v>-</v>
      </c>
      <c r="E471" s="1505">
        <f t="shared" si="48"/>
        <v>0</v>
      </c>
      <c r="F471" s="1509">
        <f t="shared" si="38"/>
        <v>0</v>
      </c>
      <c r="G471" s="1509">
        <f t="shared" si="39"/>
        <v>0</v>
      </c>
      <c r="H471" s="1509">
        <f t="shared" si="40"/>
        <v>0</v>
      </c>
      <c r="I471" s="1509">
        <v>0</v>
      </c>
      <c r="J471" s="1509">
        <v>0</v>
      </c>
      <c r="K471" s="1505"/>
      <c r="L471" s="1505"/>
      <c r="M471" s="1505">
        <f t="shared" si="41"/>
        <v>0</v>
      </c>
      <c r="N471" s="1505">
        <f t="shared" si="42"/>
        <v>0</v>
      </c>
    </row>
    <row r="472" spans="1:16" outlineLevel="1" x14ac:dyDescent="0.25">
      <c r="A472" s="1511">
        <f t="shared" si="48"/>
        <v>1</v>
      </c>
      <c r="B472" s="1515" t="str">
        <f t="shared" si="48"/>
        <v>Enhanced Land Compensation LAR No-127/2003</v>
      </c>
      <c r="C472" s="1396" t="str">
        <f t="shared" si="48"/>
        <v>N.A.</v>
      </c>
      <c r="D472" s="1378" t="str">
        <f t="shared" si="48"/>
        <v>-</v>
      </c>
      <c r="E472" s="1505">
        <f t="shared" si="48"/>
        <v>0</v>
      </c>
      <c r="F472" s="1509">
        <f t="shared" si="38"/>
        <v>0.72651449999999995</v>
      </c>
      <c r="G472" s="1509">
        <f t="shared" si="39"/>
        <v>0.72651449999999995</v>
      </c>
      <c r="H472" s="1509">
        <f t="shared" si="40"/>
        <v>0</v>
      </c>
      <c r="I472" s="1509">
        <v>0</v>
      </c>
      <c r="J472" s="1509">
        <v>0</v>
      </c>
      <c r="K472" s="1505"/>
      <c r="L472" s="1505"/>
      <c r="M472" s="1505">
        <f t="shared" si="41"/>
        <v>0</v>
      </c>
      <c r="N472" s="1505">
        <f t="shared" si="42"/>
        <v>0</v>
      </c>
    </row>
    <row r="473" spans="1:16" outlineLevel="1" x14ac:dyDescent="0.25">
      <c r="A473" s="1511">
        <f t="shared" si="48"/>
        <v>2</v>
      </c>
      <c r="B473" s="1515" t="str">
        <f t="shared" si="48"/>
        <v>Assets rec. from Project Boiler Plant and Equipments</v>
      </c>
      <c r="C473" s="1396" t="str">
        <f t="shared" si="48"/>
        <v>N.A.</v>
      </c>
      <c r="D473" s="1378" t="str">
        <f t="shared" si="48"/>
        <v>-</v>
      </c>
      <c r="E473" s="1505">
        <f t="shared" si="48"/>
        <v>0</v>
      </c>
      <c r="F473" s="1509">
        <f t="shared" si="38"/>
        <v>14.2796416</v>
      </c>
      <c r="G473" s="1509">
        <f t="shared" si="39"/>
        <v>14.2796416</v>
      </c>
      <c r="H473" s="1509">
        <f t="shared" si="40"/>
        <v>0</v>
      </c>
      <c r="I473" s="1509">
        <v>0</v>
      </c>
      <c r="J473" s="1509">
        <v>0</v>
      </c>
      <c r="K473" s="1505"/>
      <c r="L473" s="1505"/>
      <c r="M473" s="1505">
        <f t="shared" si="41"/>
        <v>0</v>
      </c>
      <c r="N473" s="1505">
        <f t="shared" si="42"/>
        <v>0</v>
      </c>
    </row>
    <row r="474" spans="1:16" outlineLevel="1" x14ac:dyDescent="0.25">
      <c r="A474" s="1511">
        <f t="shared" si="48"/>
        <v>3</v>
      </c>
      <c r="B474" s="1515" t="str">
        <f t="shared" si="48"/>
        <v>Assets rec. from Project &amp; CivilBoiler Plant and Equipments</v>
      </c>
      <c r="C474" s="1396" t="str">
        <f t="shared" si="48"/>
        <v>N.A.</v>
      </c>
      <c r="D474" s="1378" t="str">
        <f t="shared" si="48"/>
        <v>-</v>
      </c>
      <c r="E474" s="1505">
        <f t="shared" si="48"/>
        <v>0</v>
      </c>
      <c r="F474" s="1509">
        <f t="shared" si="38"/>
        <v>0.118890178</v>
      </c>
      <c r="G474" s="1509">
        <f t="shared" si="39"/>
        <v>0.118890178</v>
      </c>
      <c r="H474" s="1509">
        <f t="shared" si="40"/>
        <v>0</v>
      </c>
      <c r="I474" s="1509">
        <v>0</v>
      </c>
      <c r="J474" s="1509">
        <v>0</v>
      </c>
      <c r="K474" s="1505"/>
      <c r="L474" s="1505"/>
      <c r="M474" s="1505">
        <f t="shared" si="41"/>
        <v>0</v>
      </c>
      <c r="N474" s="1505">
        <f t="shared" si="42"/>
        <v>0</v>
      </c>
    </row>
    <row r="475" spans="1:16" ht="29" outlineLevel="1" x14ac:dyDescent="0.25">
      <c r="A475" s="1511">
        <f t="shared" si="48"/>
        <v>4</v>
      </c>
      <c r="B475" s="1515" t="str">
        <f t="shared" si="48"/>
        <v>Received from project 2010-11 - mechanical works o f Boiler Plant and Equipments</v>
      </c>
      <c r="C475" s="1396" t="str">
        <f t="shared" si="48"/>
        <v>N.A.</v>
      </c>
      <c r="D475" s="1378" t="str">
        <f t="shared" si="48"/>
        <v>-</v>
      </c>
      <c r="E475" s="1505">
        <f t="shared" si="48"/>
        <v>0</v>
      </c>
      <c r="F475" s="1509">
        <f t="shared" si="38"/>
        <v>0.118890178</v>
      </c>
      <c r="G475" s="1509">
        <f t="shared" si="39"/>
        <v>0.118890178</v>
      </c>
      <c r="H475" s="1509">
        <f t="shared" si="40"/>
        <v>0</v>
      </c>
      <c r="I475" s="1509">
        <v>0</v>
      </c>
      <c r="J475" s="1509">
        <v>0</v>
      </c>
      <c r="K475" s="1505"/>
      <c r="L475" s="1505"/>
      <c r="M475" s="1505">
        <f t="shared" si="41"/>
        <v>0</v>
      </c>
      <c r="N475" s="1505">
        <f t="shared" si="42"/>
        <v>0</v>
      </c>
    </row>
    <row r="476" spans="1:16" outlineLevel="1" x14ac:dyDescent="0.25">
      <c r="A476" s="1511">
        <f t="shared" si="48"/>
        <v>5</v>
      </c>
      <c r="B476" s="1515" t="str">
        <f t="shared" si="48"/>
        <v>Assets Received from project 2010-11 - Ash handling plant</v>
      </c>
      <c r="C476" s="1396" t="str">
        <f t="shared" si="48"/>
        <v>N.A.</v>
      </c>
      <c r="D476" s="1378" t="str">
        <f t="shared" si="48"/>
        <v>-</v>
      </c>
      <c r="E476" s="1505">
        <f t="shared" si="48"/>
        <v>0</v>
      </c>
      <c r="F476" s="1509">
        <f t="shared" si="38"/>
        <v>7.6350699999999994E-2</v>
      </c>
      <c r="G476" s="1509">
        <f t="shared" si="39"/>
        <v>7.6350699999999994E-2</v>
      </c>
      <c r="H476" s="1509">
        <f t="shared" si="40"/>
        <v>0</v>
      </c>
      <c r="I476" s="1509">
        <v>0</v>
      </c>
      <c r="J476" s="1509">
        <v>0</v>
      </c>
      <c r="K476" s="1505"/>
      <c r="L476" s="1505"/>
      <c r="M476" s="1505">
        <f t="shared" si="41"/>
        <v>0</v>
      </c>
      <c r="N476" s="1505">
        <f t="shared" si="42"/>
        <v>0</v>
      </c>
    </row>
    <row r="477" spans="1:16" outlineLevel="1" x14ac:dyDescent="0.25">
      <c r="A477" s="1511">
        <f t="shared" si="48"/>
        <v>6</v>
      </c>
      <c r="B477" s="1515" t="str">
        <f t="shared" si="48"/>
        <v>Bolero Jeep MH 19 AE 6941</v>
      </c>
      <c r="C477" s="1396" t="str">
        <f t="shared" si="48"/>
        <v>N.A.</v>
      </c>
      <c r="D477" s="1378" t="str">
        <f t="shared" si="48"/>
        <v>-</v>
      </c>
      <c r="E477" s="1505">
        <f t="shared" si="48"/>
        <v>0</v>
      </c>
      <c r="F477" s="1509">
        <f t="shared" si="38"/>
        <v>4.2359800000000003E-2</v>
      </c>
      <c r="G477" s="1509">
        <f t="shared" si="39"/>
        <v>4.2359800000000003E-2</v>
      </c>
      <c r="H477" s="1509">
        <f t="shared" si="40"/>
        <v>0</v>
      </c>
      <c r="I477" s="1509">
        <v>0</v>
      </c>
      <c r="J477" s="1509">
        <v>0</v>
      </c>
      <c r="K477" s="1505"/>
      <c r="L477" s="1505"/>
      <c r="M477" s="1505">
        <f t="shared" si="41"/>
        <v>0</v>
      </c>
      <c r="N477" s="1505">
        <f t="shared" si="42"/>
        <v>0</v>
      </c>
    </row>
    <row r="478" spans="1:16" customFormat="1" outlineLevel="1" x14ac:dyDescent="0.25">
      <c r="A478" s="1511">
        <f t="shared" ref="A478:E493" si="49">A121</f>
        <v>7</v>
      </c>
      <c r="B478" s="1515" t="str">
        <f t="shared" si="49"/>
        <v>Land owned under full title</v>
      </c>
      <c r="C478" s="1396" t="str">
        <f t="shared" si="49"/>
        <v>N.A.</v>
      </c>
      <c r="D478" s="1378" t="str">
        <f t="shared" si="49"/>
        <v>-</v>
      </c>
      <c r="E478" s="1505">
        <f t="shared" si="49"/>
        <v>0</v>
      </c>
      <c r="F478" s="1509">
        <f t="shared" si="38"/>
        <v>0.60786030000000002</v>
      </c>
      <c r="G478" s="1509">
        <f t="shared" si="39"/>
        <v>0.60786030000000002</v>
      </c>
      <c r="H478" s="1509">
        <f t="shared" si="40"/>
        <v>0</v>
      </c>
      <c r="I478" s="1509">
        <v>0</v>
      </c>
      <c r="J478" s="1509">
        <v>0</v>
      </c>
      <c r="K478" s="1505"/>
      <c r="L478" s="1505"/>
      <c r="M478" s="1505">
        <f t="shared" si="41"/>
        <v>0</v>
      </c>
      <c r="N478" s="1505">
        <f t="shared" si="42"/>
        <v>0</v>
      </c>
    </row>
    <row r="479" spans="1:16" customFormat="1" outlineLevel="1" x14ac:dyDescent="0.25">
      <c r="A479" s="1511">
        <f t="shared" si="49"/>
        <v>8</v>
      </c>
      <c r="B479" s="1515" t="str">
        <f t="shared" si="49"/>
        <v>Assets rec. from Project &amp; CivilBoiler Plant and Equipments</v>
      </c>
      <c r="C479" s="1396" t="str">
        <f t="shared" si="49"/>
        <v>N.A.</v>
      </c>
      <c r="D479" s="1378" t="str">
        <f t="shared" si="49"/>
        <v>-</v>
      </c>
      <c r="E479" s="1505">
        <f t="shared" si="49"/>
        <v>0</v>
      </c>
      <c r="F479" s="1509">
        <f t="shared" si="38"/>
        <v>2.6342887240000001</v>
      </c>
      <c r="G479" s="1509">
        <f t="shared" si="39"/>
        <v>2.6342887240000001</v>
      </c>
      <c r="H479" s="1509">
        <f t="shared" si="40"/>
        <v>0</v>
      </c>
      <c r="I479" s="1509">
        <v>0</v>
      </c>
      <c r="J479" s="1509">
        <v>0</v>
      </c>
      <c r="K479" s="1505"/>
      <c r="L479" s="1505"/>
      <c r="M479" s="1505">
        <f t="shared" si="41"/>
        <v>0</v>
      </c>
      <c r="N479" s="1505">
        <f t="shared" si="42"/>
        <v>0</v>
      </c>
    </row>
    <row r="480" spans="1:16" customFormat="1" ht="29" outlineLevel="1" x14ac:dyDescent="0.25">
      <c r="A480" s="1511">
        <f t="shared" si="49"/>
        <v>9</v>
      </c>
      <c r="B480" s="1515" t="str">
        <f t="shared" si="49"/>
        <v>Received from project 2010-11 - mechanical works o f Boiler Plant and Equipments</v>
      </c>
      <c r="C480" s="1396" t="str">
        <f t="shared" si="49"/>
        <v>N.A.</v>
      </c>
      <c r="D480" s="1378" t="str">
        <f t="shared" si="49"/>
        <v>-</v>
      </c>
      <c r="E480" s="1505">
        <f t="shared" si="49"/>
        <v>0</v>
      </c>
      <c r="F480" s="1509">
        <f t="shared" si="38"/>
        <v>2.6342887240000001</v>
      </c>
      <c r="G480" s="1509">
        <f t="shared" si="39"/>
        <v>2.6342887240000001</v>
      </c>
      <c r="H480" s="1509">
        <f t="shared" si="40"/>
        <v>0</v>
      </c>
      <c r="I480" s="1509">
        <v>0</v>
      </c>
      <c r="J480" s="1509">
        <v>0</v>
      </c>
      <c r="K480" s="1505"/>
      <c r="L480" s="1505"/>
      <c r="M480" s="1505">
        <f t="shared" si="41"/>
        <v>0</v>
      </c>
      <c r="N480" s="1505">
        <f t="shared" si="42"/>
        <v>0</v>
      </c>
    </row>
    <row r="481" spans="1:14" customFormat="1" outlineLevel="1" x14ac:dyDescent="0.25">
      <c r="A481" s="1511">
        <f t="shared" si="49"/>
        <v>10</v>
      </c>
      <c r="B481" s="1515" t="str">
        <f t="shared" si="49"/>
        <v>Received from Project 2010-11 - Crane   Hoising Equipment</v>
      </c>
      <c r="C481" s="1396" t="str">
        <f t="shared" si="49"/>
        <v>N.A.</v>
      </c>
      <c r="D481" s="1378" t="str">
        <f t="shared" si="49"/>
        <v>-</v>
      </c>
      <c r="E481" s="1505">
        <f t="shared" si="49"/>
        <v>0</v>
      </c>
      <c r="F481" s="1509">
        <f t="shared" si="38"/>
        <v>1.20114E-2</v>
      </c>
      <c r="G481" s="1509">
        <f t="shared" si="39"/>
        <v>1.20114E-2</v>
      </c>
      <c r="H481" s="1509">
        <f t="shared" si="40"/>
        <v>0</v>
      </c>
      <c r="I481" s="1509">
        <v>0</v>
      </c>
      <c r="J481" s="1509">
        <v>0</v>
      </c>
      <c r="K481" s="1505"/>
      <c r="L481" s="1505"/>
      <c r="M481" s="1505">
        <f t="shared" si="41"/>
        <v>0</v>
      </c>
      <c r="N481" s="1505">
        <f t="shared" si="42"/>
        <v>0</v>
      </c>
    </row>
    <row r="482" spans="1:14" customFormat="1" outlineLevel="1" x14ac:dyDescent="0.25">
      <c r="A482" s="1511">
        <f t="shared" si="49"/>
        <v>11</v>
      </c>
      <c r="B482" s="1515" t="str">
        <f t="shared" si="49"/>
        <v>Enhancd Land CompnstnLarNo134/2003 Srvy No3Jlalp</v>
      </c>
      <c r="C482" s="1396">
        <f t="shared" si="49"/>
        <v>0</v>
      </c>
      <c r="D482" s="1378" t="str">
        <f t="shared" si="49"/>
        <v>-</v>
      </c>
      <c r="E482" s="1505">
        <f t="shared" si="49"/>
        <v>0</v>
      </c>
      <c r="F482" s="1509">
        <f t="shared" si="38"/>
        <v>0</v>
      </c>
      <c r="G482" s="1509">
        <f t="shared" si="39"/>
        <v>0</v>
      </c>
      <c r="H482" s="1509">
        <f t="shared" si="40"/>
        <v>0</v>
      </c>
      <c r="I482" s="1509">
        <v>0.4706939</v>
      </c>
      <c r="J482" s="1509">
        <v>0.4706939</v>
      </c>
      <c r="K482" s="1505"/>
      <c r="L482" s="1505"/>
      <c r="M482" s="1505">
        <f t="shared" si="41"/>
        <v>0.4706939</v>
      </c>
      <c r="N482" s="1505">
        <f t="shared" si="42"/>
        <v>0</v>
      </c>
    </row>
    <row r="483" spans="1:14" customFormat="1" outlineLevel="1" x14ac:dyDescent="0.25">
      <c r="A483" s="1511">
        <f t="shared" si="49"/>
        <v>12</v>
      </c>
      <c r="B483" s="1515" t="str">
        <f t="shared" si="49"/>
        <v>Enhancd Land CompnstnLarNo273/2010Sangam Gat24,54,</v>
      </c>
      <c r="C483" s="1396">
        <f t="shared" si="49"/>
        <v>0</v>
      </c>
      <c r="D483" s="1378" t="str">
        <f t="shared" si="49"/>
        <v>-</v>
      </c>
      <c r="E483" s="1505">
        <f t="shared" si="49"/>
        <v>0</v>
      </c>
      <c r="F483" s="1509">
        <f t="shared" si="38"/>
        <v>0</v>
      </c>
      <c r="G483" s="1509">
        <f t="shared" si="39"/>
        <v>0</v>
      </c>
      <c r="H483" s="1509">
        <f t="shared" si="40"/>
        <v>0</v>
      </c>
      <c r="I483" s="1509">
        <v>0.32731569999999999</v>
      </c>
      <c r="J483" s="1509">
        <v>0.32731569999999999</v>
      </c>
      <c r="K483" s="1505"/>
      <c r="L483" s="1505"/>
      <c r="M483" s="1505">
        <f t="shared" si="41"/>
        <v>0.32731569999999999</v>
      </c>
      <c r="N483" s="1505">
        <f t="shared" si="42"/>
        <v>0</v>
      </c>
    </row>
    <row r="484" spans="1:14" customFormat="1" outlineLevel="1" x14ac:dyDescent="0.25">
      <c r="A484" s="1511">
        <f t="shared" si="49"/>
        <v>13</v>
      </c>
      <c r="B484" s="1515" t="str">
        <f t="shared" si="49"/>
        <v>Enhancd Land CompnstnLarNo273/2010Sangam Gat24,54,</v>
      </c>
      <c r="C484" s="1396">
        <f t="shared" si="49"/>
        <v>0</v>
      </c>
      <c r="D484" s="1378" t="str">
        <f t="shared" si="49"/>
        <v>-</v>
      </c>
      <c r="E484" s="1505">
        <f t="shared" si="49"/>
        <v>0</v>
      </c>
      <c r="F484" s="1509">
        <f t="shared" si="38"/>
        <v>0</v>
      </c>
      <c r="G484" s="1509">
        <f t="shared" si="39"/>
        <v>0</v>
      </c>
      <c r="H484" s="1509">
        <f t="shared" si="40"/>
        <v>0</v>
      </c>
      <c r="I484" s="1509">
        <v>8.7899000000000005E-2</v>
      </c>
      <c r="J484" s="1509">
        <v>8.7899000000000005E-2</v>
      </c>
      <c r="K484" s="1505"/>
      <c r="L484" s="1505"/>
      <c r="M484" s="1505">
        <f t="shared" si="41"/>
        <v>8.7899000000000005E-2</v>
      </c>
      <c r="N484" s="1505">
        <f t="shared" si="42"/>
        <v>0</v>
      </c>
    </row>
    <row r="485" spans="1:14" customFormat="1" ht="29" outlineLevel="1" x14ac:dyDescent="0.25">
      <c r="A485" s="1511">
        <f t="shared" si="49"/>
        <v>14</v>
      </c>
      <c r="B485" s="1515" t="str">
        <f t="shared" si="49"/>
        <v>Received from project 2010-11 - mechanical works of Boiler Plant and Equipments</v>
      </c>
      <c r="C485" s="1396">
        <f t="shared" si="49"/>
        <v>0</v>
      </c>
      <c r="D485" s="1378" t="str">
        <f t="shared" si="49"/>
        <v>-</v>
      </c>
      <c r="E485" s="1505">
        <f t="shared" si="49"/>
        <v>0</v>
      </c>
      <c r="F485" s="1509">
        <f t="shared" si="38"/>
        <v>0</v>
      </c>
      <c r="G485" s="1509">
        <f t="shared" si="39"/>
        <v>0</v>
      </c>
      <c r="H485" s="1509">
        <f t="shared" si="40"/>
        <v>0</v>
      </c>
      <c r="I485" s="1509">
        <v>6.8807868000000001</v>
      </c>
      <c r="J485" s="1509">
        <v>6.8807868000000001</v>
      </c>
      <c r="K485" s="1505"/>
      <c r="L485" s="1505"/>
      <c r="M485" s="1505">
        <f t="shared" si="41"/>
        <v>6.8807868000000001</v>
      </c>
      <c r="N485" s="1505">
        <f t="shared" si="42"/>
        <v>0</v>
      </c>
    </row>
    <row r="486" spans="1:14" customFormat="1" outlineLevel="1" x14ac:dyDescent="0.25">
      <c r="A486" s="1511">
        <f t="shared" si="49"/>
        <v>15</v>
      </c>
      <c r="B486" s="1515" t="str">
        <f t="shared" si="49"/>
        <v>Compnsn payment agst land acquired</v>
      </c>
      <c r="C486" s="1396">
        <f t="shared" si="49"/>
        <v>0</v>
      </c>
      <c r="D486" s="1378" t="str">
        <f t="shared" si="49"/>
        <v>-</v>
      </c>
      <c r="E486" s="1505">
        <f t="shared" si="49"/>
        <v>0</v>
      </c>
      <c r="F486" s="1509">
        <f t="shared" si="38"/>
        <v>0</v>
      </c>
      <c r="G486" s="1509">
        <f t="shared" si="39"/>
        <v>0</v>
      </c>
      <c r="H486" s="1509">
        <f t="shared" si="40"/>
        <v>0</v>
      </c>
      <c r="I486" s="1509">
        <v>0</v>
      </c>
      <c r="J486" s="1509">
        <v>0</v>
      </c>
      <c r="K486" s="1505"/>
      <c r="L486" s="1505"/>
      <c r="M486" s="1505">
        <f t="shared" si="41"/>
        <v>0</v>
      </c>
      <c r="N486" s="1505">
        <f t="shared" si="42"/>
        <v>0</v>
      </c>
    </row>
    <row r="487" spans="1:14" customFormat="1" ht="18.5" outlineLevel="1" x14ac:dyDescent="0.25">
      <c r="A487" s="1339" t="str">
        <f t="shared" si="49"/>
        <v>C</v>
      </c>
      <c r="B487" s="1339" t="str">
        <f t="shared" si="49"/>
        <v>Yet to be submitted to MERC</v>
      </c>
      <c r="C487" s="1339">
        <f t="shared" si="49"/>
        <v>0</v>
      </c>
      <c r="D487" s="1378" t="str">
        <f t="shared" si="49"/>
        <v>-</v>
      </c>
      <c r="E487" s="1505">
        <f t="shared" si="49"/>
        <v>0</v>
      </c>
      <c r="F487" s="1509">
        <f t="shared" si="38"/>
        <v>0</v>
      </c>
      <c r="G487" s="1509">
        <f t="shared" si="39"/>
        <v>0</v>
      </c>
      <c r="H487" s="1509">
        <f t="shared" si="40"/>
        <v>0</v>
      </c>
      <c r="I487" s="1509">
        <v>0</v>
      </c>
      <c r="J487" s="1509">
        <v>0</v>
      </c>
      <c r="K487" s="1505"/>
      <c r="L487" s="1505"/>
      <c r="M487" s="1505">
        <f t="shared" si="41"/>
        <v>0</v>
      </c>
      <c r="N487" s="1505">
        <f t="shared" si="42"/>
        <v>0</v>
      </c>
    </row>
    <row r="488" spans="1:14" customFormat="1" ht="58" outlineLevel="1" x14ac:dyDescent="0.25">
      <c r="A488" s="1506">
        <f t="shared" si="49"/>
        <v>2</v>
      </c>
      <c r="B488" s="1507" t="str">
        <f t="shared" si="49"/>
        <v>Upgradation of PCAL to PADO upgradation Charger, UPS &amp; upgradation of fast bus transfer scheme, Installation, Erection and Commissioning of Mill Fire Detection System at U#6,7, HT motors procurement &amp; PLC upgradation.</v>
      </c>
      <c r="C488" s="1506" t="str">
        <f t="shared" si="49"/>
        <v>Yet to be approved</v>
      </c>
      <c r="D488" s="1507" t="str">
        <f t="shared" si="49"/>
        <v>-</v>
      </c>
      <c r="E488" s="1506">
        <f t="shared" si="49"/>
        <v>0</v>
      </c>
      <c r="F488" s="1509">
        <f t="shared" si="38"/>
        <v>0</v>
      </c>
      <c r="G488" s="1509">
        <f t="shared" si="39"/>
        <v>0</v>
      </c>
      <c r="H488" s="1509">
        <f t="shared" si="40"/>
        <v>0</v>
      </c>
      <c r="I488" s="1509">
        <v>0</v>
      </c>
      <c r="J488" s="1509">
        <v>0</v>
      </c>
      <c r="K488" s="1506"/>
      <c r="L488" s="1507"/>
      <c r="M488" s="1506">
        <f t="shared" si="41"/>
        <v>0</v>
      </c>
      <c r="N488" s="1507">
        <f t="shared" si="42"/>
        <v>0</v>
      </c>
    </row>
    <row r="489" spans="1:14" customFormat="1" ht="43.5" outlineLevel="1" x14ac:dyDescent="0.25">
      <c r="A489" s="1511">
        <f t="shared" si="49"/>
        <v>2.1</v>
      </c>
      <c r="B489" s="1515" t="str">
        <f t="shared" si="49"/>
        <v xml:space="preserve">Supply, Erection &amp; Commissioning of 24 V,4500 AH Battery Charger at Unit 6&amp;7,220 V,2500 AH Battery Charger at U-6&amp;7, And110 V,400 AH Battery Charger at Khadka, Naikota Pump House, Parli Vaijnath. </v>
      </c>
      <c r="C489" s="1396" t="str">
        <f t="shared" si="49"/>
        <v>Yet to be approved</v>
      </c>
      <c r="D489" s="1378" t="str">
        <f t="shared" si="49"/>
        <v>-</v>
      </c>
      <c r="E489" s="1505">
        <f t="shared" si="49"/>
        <v>0</v>
      </c>
      <c r="F489" s="1509">
        <f t="shared" si="38"/>
        <v>0</v>
      </c>
      <c r="G489" s="1509">
        <f t="shared" si="39"/>
        <v>0</v>
      </c>
      <c r="H489" s="1509">
        <f t="shared" si="40"/>
        <v>0</v>
      </c>
      <c r="I489" s="1509">
        <v>0</v>
      </c>
      <c r="J489" s="1509">
        <v>0</v>
      </c>
      <c r="K489" s="1505"/>
      <c r="L489" s="1505"/>
      <c r="M489" s="1505">
        <f t="shared" si="41"/>
        <v>0</v>
      </c>
      <c r="N489" s="1505">
        <f t="shared" si="42"/>
        <v>0</v>
      </c>
    </row>
    <row r="490" spans="1:14" customFormat="1" ht="29" outlineLevel="1" x14ac:dyDescent="0.25">
      <c r="A490" s="1511">
        <f t="shared" si="49"/>
        <v>2.2000000000000002</v>
      </c>
      <c r="B490" s="1515" t="str">
        <f t="shared" si="49"/>
        <v xml:space="preserve">Supply, Erection &amp; Commissioning of 80 KVA UPS at U-6&amp;7, Parli Vaijnath. </v>
      </c>
      <c r="C490" s="1396" t="str">
        <f t="shared" si="49"/>
        <v>Yet to be approved</v>
      </c>
      <c r="D490" s="1378" t="str">
        <f t="shared" si="49"/>
        <v>-</v>
      </c>
      <c r="E490" s="1505">
        <f t="shared" si="49"/>
        <v>0</v>
      </c>
      <c r="F490" s="1509">
        <f t="shared" si="38"/>
        <v>0</v>
      </c>
      <c r="G490" s="1509">
        <f t="shared" si="39"/>
        <v>0</v>
      </c>
      <c r="H490" s="1509">
        <f t="shared" si="40"/>
        <v>0</v>
      </c>
      <c r="I490" s="1509">
        <v>0</v>
      </c>
      <c r="J490" s="1509">
        <v>0</v>
      </c>
      <c r="K490" s="1505"/>
      <c r="L490" s="1505"/>
      <c r="M490" s="1505">
        <f t="shared" si="41"/>
        <v>0</v>
      </c>
      <c r="N490" s="1505">
        <f t="shared" si="42"/>
        <v>0</v>
      </c>
    </row>
    <row r="491" spans="1:14" customFormat="1" outlineLevel="1" x14ac:dyDescent="0.25">
      <c r="A491" s="1511">
        <f t="shared" si="49"/>
        <v>2.2999999999999998</v>
      </c>
      <c r="B491" s="1515" t="str">
        <f t="shared" si="49"/>
        <v>Up-gradation of BTS system at Unit 6 &amp; 7 , Parli-Vaijnath.</v>
      </c>
      <c r="C491" s="1396" t="str">
        <f t="shared" si="49"/>
        <v>Yet to be approved</v>
      </c>
      <c r="D491" s="1378" t="str">
        <f t="shared" si="49"/>
        <v>-</v>
      </c>
      <c r="E491" s="1505">
        <f t="shared" si="49"/>
        <v>0</v>
      </c>
      <c r="F491" s="1509">
        <f t="shared" si="38"/>
        <v>0</v>
      </c>
      <c r="G491" s="1509">
        <f t="shared" si="39"/>
        <v>0</v>
      </c>
      <c r="H491" s="1509">
        <f t="shared" si="40"/>
        <v>0</v>
      </c>
      <c r="I491" s="1509">
        <v>0</v>
      </c>
      <c r="J491" s="1509">
        <v>0</v>
      </c>
      <c r="K491" s="1505"/>
      <c r="L491" s="1505"/>
      <c r="M491" s="1505">
        <f t="shared" si="41"/>
        <v>0</v>
      </c>
      <c r="N491" s="1505">
        <f t="shared" si="42"/>
        <v>0</v>
      </c>
    </row>
    <row r="492" spans="1:14" customFormat="1" ht="29" outlineLevel="1" x14ac:dyDescent="0.25">
      <c r="A492" s="1511">
        <f t="shared" si="49"/>
        <v>2.4</v>
      </c>
      <c r="B492" s="1515" t="str">
        <f t="shared" si="49"/>
        <v>Supply Installation, erection, and commissioning of Mill fire detection system at U# 6,7 NPTPS, Parli- V</v>
      </c>
      <c r="C492" s="1396" t="str">
        <f t="shared" si="49"/>
        <v>Yet to be approved</v>
      </c>
      <c r="D492" s="1378" t="str">
        <f t="shared" si="49"/>
        <v>-</v>
      </c>
      <c r="E492" s="1505">
        <f t="shared" si="49"/>
        <v>0</v>
      </c>
      <c r="F492" s="1509">
        <f t="shared" si="38"/>
        <v>0</v>
      </c>
      <c r="G492" s="1509">
        <f t="shared" si="39"/>
        <v>0</v>
      </c>
      <c r="H492" s="1509">
        <f t="shared" si="40"/>
        <v>0</v>
      </c>
      <c r="I492" s="1509">
        <v>0</v>
      </c>
      <c r="J492" s="1509">
        <v>0</v>
      </c>
      <c r="K492" s="1505"/>
      <c r="L492" s="1505"/>
      <c r="M492" s="1505">
        <f t="shared" si="41"/>
        <v>0</v>
      </c>
      <c r="N492" s="1505">
        <f t="shared" si="42"/>
        <v>0</v>
      </c>
    </row>
    <row r="493" spans="1:14" customFormat="1" ht="43.5" outlineLevel="1" x14ac:dyDescent="0.25">
      <c r="A493" s="1511">
        <f t="shared" si="49"/>
        <v>2.5</v>
      </c>
      <c r="B493" s="1515" t="str">
        <f t="shared" si="49"/>
        <v>Upgradation of Existing PCal System with Plant Performance Analysis Diagnostic and   Optimization System (PADO) at Unit - 6,7 New Parli TPS, Parli-V.</v>
      </c>
      <c r="C493" s="1396" t="str">
        <f t="shared" si="49"/>
        <v>Yet to be approved</v>
      </c>
      <c r="D493" s="1378" t="str">
        <f t="shared" si="49"/>
        <v>-</v>
      </c>
      <c r="E493" s="1505">
        <f t="shared" si="49"/>
        <v>0</v>
      </c>
      <c r="F493" s="1509">
        <f t="shared" si="38"/>
        <v>0</v>
      </c>
      <c r="G493" s="1509">
        <f t="shared" si="39"/>
        <v>0</v>
      </c>
      <c r="H493" s="1509">
        <f t="shared" si="40"/>
        <v>0</v>
      </c>
      <c r="I493" s="1509">
        <v>0</v>
      </c>
      <c r="J493" s="1509">
        <v>0</v>
      </c>
      <c r="K493" s="1505"/>
      <c r="L493" s="1505"/>
      <c r="M493" s="1505">
        <f t="shared" si="41"/>
        <v>0</v>
      </c>
      <c r="N493" s="1505">
        <f t="shared" si="42"/>
        <v>0</v>
      </c>
    </row>
    <row r="494" spans="1:14" customFormat="1" ht="58" outlineLevel="1" x14ac:dyDescent="0.25">
      <c r="A494" s="1511">
        <f t="shared" ref="A494:E509" si="50">A137</f>
        <v>2.6</v>
      </c>
      <c r="B494" s="1515" t="str">
        <f t="shared" si="50"/>
        <v>Upgradation of expired and vulnerable SCADA, Operating System, and Hardware to improve life and communication system of DM Plant and Condenser Polishing Plant Unit 6&amp;7 250 MW at NPTPS Parli V".</v>
      </c>
      <c r="C494" s="1396" t="str">
        <f t="shared" si="50"/>
        <v>Yet to be approved</v>
      </c>
      <c r="D494" s="1378" t="str">
        <f t="shared" si="50"/>
        <v>-</v>
      </c>
      <c r="E494" s="1505">
        <f t="shared" si="50"/>
        <v>0</v>
      </c>
      <c r="F494" s="1509">
        <f t="shared" si="38"/>
        <v>0</v>
      </c>
      <c r="G494" s="1509">
        <f t="shared" si="39"/>
        <v>0</v>
      </c>
      <c r="H494" s="1509">
        <f t="shared" si="40"/>
        <v>0</v>
      </c>
      <c r="I494" s="1509">
        <v>0</v>
      </c>
      <c r="J494" s="1509">
        <v>0</v>
      </c>
      <c r="K494" s="1505"/>
      <c r="L494" s="1505"/>
      <c r="M494" s="1505">
        <f t="shared" si="41"/>
        <v>0</v>
      </c>
      <c r="N494" s="1505">
        <f t="shared" si="42"/>
        <v>0</v>
      </c>
    </row>
    <row r="495" spans="1:14" customFormat="1" outlineLevel="1" x14ac:dyDescent="0.25">
      <c r="A495" s="1511">
        <f t="shared" si="50"/>
        <v>2.7</v>
      </c>
      <c r="B495" s="1515" t="str">
        <f t="shared" si="50"/>
        <v>Procurement of Energy efficient HT motors at U#6,7, TPS Parli-V</v>
      </c>
      <c r="C495" s="1396" t="str">
        <f t="shared" si="50"/>
        <v>Yet to be approved</v>
      </c>
      <c r="D495" s="1378" t="str">
        <f t="shared" si="50"/>
        <v>-</v>
      </c>
      <c r="E495" s="1505">
        <f t="shared" si="50"/>
        <v>0</v>
      </c>
      <c r="F495" s="1509">
        <f t="shared" ref="F495:F558" si="51">F138+I138</f>
        <v>0</v>
      </c>
      <c r="G495" s="1509">
        <f t="shared" ref="G495:G558" si="52">G138+M138</f>
        <v>0</v>
      </c>
      <c r="H495" s="1509">
        <f t="shared" si="40"/>
        <v>0</v>
      </c>
      <c r="I495" s="1509">
        <v>0</v>
      </c>
      <c r="J495" s="1509">
        <v>0</v>
      </c>
      <c r="K495" s="1505"/>
      <c r="L495" s="1505"/>
      <c r="M495" s="1505">
        <f t="shared" si="41"/>
        <v>0</v>
      </c>
      <c r="N495" s="1505">
        <f t="shared" si="42"/>
        <v>0</v>
      </c>
    </row>
    <row r="496" spans="1:14" customFormat="1" outlineLevel="1" x14ac:dyDescent="0.25">
      <c r="A496" s="1515">
        <f t="shared" si="50"/>
        <v>0</v>
      </c>
      <c r="B496" s="1515" t="str">
        <f t="shared" si="50"/>
        <v>IDC</v>
      </c>
      <c r="C496" s="1396">
        <f t="shared" si="50"/>
        <v>0</v>
      </c>
      <c r="D496" s="1378" t="str">
        <f t="shared" si="50"/>
        <v>-</v>
      </c>
      <c r="E496" s="1505">
        <f t="shared" si="50"/>
        <v>0</v>
      </c>
      <c r="F496" s="1509">
        <f t="shared" si="51"/>
        <v>0</v>
      </c>
      <c r="G496" s="1509">
        <f t="shared" si="52"/>
        <v>0</v>
      </c>
      <c r="H496" s="1509">
        <f t="shared" ref="H496:H559" si="53">F496-G496</f>
        <v>0</v>
      </c>
      <c r="I496" s="1509">
        <v>0</v>
      </c>
      <c r="J496" s="1509">
        <v>0</v>
      </c>
      <c r="K496" s="1505"/>
      <c r="L496" s="1505"/>
      <c r="M496" s="1505">
        <f t="shared" ref="M496:M559" si="54">SUM(J496:L496)</f>
        <v>0</v>
      </c>
      <c r="N496" s="1505">
        <f t="shared" ref="N496:N559" si="55">H496+I496-M496</f>
        <v>0</v>
      </c>
    </row>
    <row r="497" spans="1:14" customFormat="1" ht="43.5" outlineLevel="1" x14ac:dyDescent="0.25">
      <c r="A497" s="1506">
        <f t="shared" si="50"/>
        <v>3</v>
      </c>
      <c r="B497" s="1507" t="str">
        <f t="shared" si="50"/>
        <v>DPR on Supply, Installation, and commissioning of complete Governing rack assembly at Unit -06 &amp; 07 TPS Parli-V &amp; Procurement of LPT inner-inner casing at Unit 07 TPS Parli-V.</v>
      </c>
      <c r="C497" s="1506" t="str">
        <f t="shared" si="50"/>
        <v>Yet to be approved</v>
      </c>
      <c r="D497" s="1507" t="str">
        <f t="shared" si="50"/>
        <v>-</v>
      </c>
      <c r="E497" s="1506">
        <f t="shared" si="50"/>
        <v>0</v>
      </c>
      <c r="F497" s="1509">
        <f t="shared" si="51"/>
        <v>0</v>
      </c>
      <c r="G497" s="1509">
        <f t="shared" si="52"/>
        <v>0</v>
      </c>
      <c r="H497" s="1509">
        <f t="shared" si="53"/>
        <v>0</v>
      </c>
      <c r="I497" s="1509">
        <v>0</v>
      </c>
      <c r="J497" s="1509">
        <v>0</v>
      </c>
      <c r="K497" s="1506"/>
      <c r="L497" s="1507"/>
      <c r="M497" s="1506">
        <f t="shared" si="54"/>
        <v>0</v>
      </c>
      <c r="N497" s="1507">
        <f t="shared" si="55"/>
        <v>0</v>
      </c>
    </row>
    <row r="498" spans="1:14" customFormat="1" ht="29" outlineLevel="1" x14ac:dyDescent="0.25">
      <c r="A498" s="1511">
        <f t="shared" si="50"/>
        <v>3.1</v>
      </c>
      <c r="B498" s="1515" t="str">
        <f t="shared" si="50"/>
        <v>Supply, Installation and Commissioning of complete governing rack assembly at Unit-06 TPS ,PARLI-V</v>
      </c>
      <c r="C498" s="1396" t="str">
        <f t="shared" si="50"/>
        <v>Yet to be approved</v>
      </c>
      <c r="D498" s="1378" t="str">
        <f t="shared" si="50"/>
        <v>-</v>
      </c>
      <c r="E498" s="1505">
        <f t="shared" si="50"/>
        <v>0</v>
      </c>
      <c r="F498" s="1509">
        <f t="shared" si="51"/>
        <v>0</v>
      </c>
      <c r="G498" s="1509">
        <f t="shared" si="52"/>
        <v>0</v>
      </c>
      <c r="H498" s="1509">
        <f t="shared" si="53"/>
        <v>0</v>
      </c>
      <c r="I498" s="1509">
        <v>0</v>
      </c>
      <c r="J498" s="1509">
        <v>0</v>
      </c>
      <c r="K498" s="1505"/>
      <c r="L498" s="1505"/>
      <c r="M498" s="1505">
        <f t="shared" si="54"/>
        <v>0</v>
      </c>
      <c r="N498" s="1505">
        <f t="shared" si="55"/>
        <v>0</v>
      </c>
    </row>
    <row r="499" spans="1:14" customFormat="1" outlineLevel="1" x14ac:dyDescent="0.25">
      <c r="A499" s="1511">
        <f t="shared" si="50"/>
        <v>3.2</v>
      </c>
      <c r="B499" s="1515" t="str">
        <f t="shared" si="50"/>
        <v>Procurement of LPT inner-inner casing at Unit- 7 TPS, Parli-V</v>
      </c>
      <c r="C499" s="1396" t="str">
        <f t="shared" si="50"/>
        <v>Yet to be approved</v>
      </c>
      <c r="D499" s="1378" t="str">
        <f t="shared" si="50"/>
        <v>-</v>
      </c>
      <c r="E499" s="1505">
        <f t="shared" si="50"/>
        <v>0</v>
      </c>
      <c r="F499" s="1509">
        <f t="shared" si="51"/>
        <v>0</v>
      </c>
      <c r="G499" s="1509">
        <f t="shared" si="52"/>
        <v>0</v>
      </c>
      <c r="H499" s="1509">
        <f t="shared" si="53"/>
        <v>0</v>
      </c>
      <c r="I499" s="1509">
        <v>0</v>
      </c>
      <c r="J499" s="1509">
        <v>0</v>
      </c>
      <c r="K499" s="1505"/>
      <c r="L499" s="1505"/>
      <c r="M499" s="1505">
        <f t="shared" si="54"/>
        <v>0</v>
      </c>
      <c r="N499" s="1505">
        <f t="shared" si="55"/>
        <v>0</v>
      </c>
    </row>
    <row r="500" spans="1:14" customFormat="1" outlineLevel="1" x14ac:dyDescent="0.25">
      <c r="A500" s="1511">
        <f t="shared" si="50"/>
        <v>0</v>
      </c>
      <c r="B500" s="1515" t="str">
        <f t="shared" si="50"/>
        <v>IDC</v>
      </c>
      <c r="C500" s="1396" t="str">
        <f t="shared" si="50"/>
        <v>Yet to be approved</v>
      </c>
      <c r="D500" s="1378" t="str">
        <f t="shared" si="50"/>
        <v>-</v>
      </c>
      <c r="E500" s="1505">
        <f t="shared" si="50"/>
        <v>0</v>
      </c>
      <c r="F500" s="1509">
        <f t="shared" si="51"/>
        <v>0</v>
      </c>
      <c r="G500" s="1509">
        <f t="shared" si="52"/>
        <v>0</v>
      </c>
      <c r="H500" s="1509">
        <f t="shared" si="53"/>
        <v>0</v>
      </c>
      <c r="I500" s="1509">
        <v>0</v>
      </c>
      <c r="J500" s="1509">
        <v>0</v>
      </c>
      <c r="K500" s="1505"/>
      <c r="L500" s="1505"/>
      <c r="M500" s="1505">
        <f t="shared" si="54"/>
        <v>0</v>
      </c>
      <c r="N500" s="1505">
        <f t="shared" si="55"/>
        <v>0</v>
      </c>
    </row>
    <row r="501" spans="1:14" customFormat="1" ht="101.5" outlineLevel="1" x14ac:dyDescent="0.25">
      <c r="A501" s="1506">
        <f t="shared" si="50"/>
        <v>4</v>
      </c>
      <c r="B501" s="1507" t="str">
        <f t="shared" si="50"/>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501" s="1506" t="str">
        <f t="shared" si="50"/>
        <v>Yet to be approved</v>
      </c>
      <c r="D501" s="1507" t="str">
        <f t="shared" si="50"/>
        <v>-</v>
      </c>
      <c r="E501" s="1506">
        <f t="shared" si="50"/>
        <v>0</v>
      </c>
      <c r="F501" s="1509">
        <f t="shared" si="51"/>
        <v>0</v>
      </c>
      <c r="G501" s="1509">
        <f t="shared" si="52"/>
        <v>0</v>
      </c>
      <c r="H501" s="1509">
        <f t="shared" si="53"/>
        <v>0</v>
      </c>
      <c r="I501" s="1509">
        <v>0</v>
      </c>
      <c r="J501" s="1509">
        <v>0</v>
      </c>
      <c r="K501" s="1506"/>
      <c r="L501" s="1507"/>
      <c r="M501" s="1506">
        <f t="shared" si="54"/>
        <v>0</v>
      </c>
      <c r="N501" s="1507">
        <f t="shared" si="55"/>
        <v>0</v>
      </c>
    </row>
    <row r="502" spans="1:14" customFormat="1" ht="29" outlineLevel="1" x14ac:dyDescent="0.25">
      <c r="A502" s="1511">
        <f t="shared" si="50"/>
        <v>4.0999999999999996</v>
      </c>
      <c r="B502" s="1515" t="str">
        <f t="shared" si="50"/>
        <v>Procurement of Energy Efficient Cartridges of Boiler Feed Pumps at Unit #6&amp;7 Parli TPS and BFP booster pumps at Unit 6,7 Parli Vaijnath.</v>
      </c>
      <c r="C502" s="1396" t="str">
        <f t="shared" si="50"/>
        <v>Yet to be approved</v>
      </c>
      <c r="D502" s="1378" t="str">
        <f t="shared" si="50"/>
        <v>-</v>
      </c>
      <c r="E502" s="1505">
        <f t="shared" si="50"/>
        <v>0</v>
      </c>
      <c r="F502" s="1509">
        <f t="shared" si="51"/>
        <v>0</v>
      </c>
      <c r="G502" s="1509">
        <f t="shared" si="52"/>
        <v>0</v>
      </c>
      <c r="H502" s="1509">
        <f t="shared" si="53"/>
        <v>0</v>
      </c>
      <c r="I502" s="1509">
        <v>0</v>
      </c>
      <c r="J502" s="1509">
        <v>0</v>
      </c>
      <c r="K502" s="1505"/>
      <c r="L502" s="1505"/>
      <c r="M502" s="1505">
        <f t="shared" si="54"/>
        <v>0</v>
      </c>
      <c r="N502" s="1505">
        <f t="shared" si="55"/>
        <v>0</v>
      </c>
    </row>
    <row r="503" spans="1:14" customFormat="1" ht="29" outlineLevel="1" x14ac:dyDescent="0.25">
      <c r="A503" s="1511">
        <f t="shared" si="50"/>
        <v>4.2</v>
      </c>
      <c r="B503" s="1515" t="str">
        <f t="shared" si="50"/>
        <v>Refurbishment of existing M/s Jindal make H2 gas Dryer at Unit #6&amp;7 Parli TPS</v>
      </c>
      <c r="C503" s="1396" t="str">
        <f t="shared" si="50"/>
        <v>Yet to be approved</v>
      </c>
      <c r="D503" s="1378" t="str">
        <f t="shared" si="50"/>
        <v>-</v>
      </c>
      <c r="E503" s="1505">
        <f t="shared" si="50"/>
        <v>0</v>
      </c>
      <c r="F503" s="1509">
        <f t="shared" si="51"/>
        <v>0</v>
      </c>
      <c r="G503" s="1509">
        <f t="shared" si="52"/>
        <v>0</v>
      </c>
      <c r="H503" s="1509">
        <f t="shared" si="53"/>
        <v>0</v>
      </c>
      <c r="I503" s="1509">
        <v>0</v>
      </c>
      <c r="J503" s="1509">
        <v>0</v>
      </c>
      <c r="K503" s="1505"/>
      <c r="L503" s="1505"/>
      <c r="M503" s="1505">
        <f t="shared" si="54"/>
        <v>0</v>
      </c>
      <c r="N503" s="1505">
        <f t="shared" si="55"/>
        <v>0</v>
      </c>
    </row>
    <row r="504" spans="1:14" customFormat="1" ht="29" outlineLevel="1" x14ac:dyDescent="0.25">
      <c r="A504" s="1511">
        <f t="shared" si="50"/>
        <v>4.3</v>
      </c>
      <c r="B504" s="1515" t="str">
        <f t="shared" si="50"/>
        <v>Refurbishment of existing M/s Donaldson make Instrument Air Dryer at Unit#6 Parli TPS</v>
      </c>
      <c r="C504" s="1396" t="str">
        <f t="shared" si="50"/>
        <v>Yet to be approved</v>
      </c>
      <c r="D504" s="1378" t="str">
        <f t="shared" si="50"/>
        <v>-</v>
      </c>
      <c r="E504" s="1505">
        <f t="shared" si="50"/>
        <v>0</v>
      </c>
      <c r="F504" s="1509">
        <f t="shared" si="51"/>
        <v>0</v>
      </c>
      <c r="G504" s="1509">
        <f t="shared" si="52"/>
        <v>0</v>
      </c>
      <c r="H504" s="1509">
        <f t="shared" si="53"/>
        <v>0</v>
      </c>
      <c r="I504" s="1509">
        <v>0</v>
      </c>
      <c r="J504" s="1509">
        <v>0</v>
      </c>
      <c r="K504" s="1505"/>
      <c r="L504" s="1505"/>
      <c r="M504" s="1505">
        <f t="shared" si="54"/>
        <v>0</v>
      </c>
      <c r="N504" s="1505">
        <f t="shared" si="55"/>
        <v>0</v>
      </c>
    </row>
    <row r="505" spans="1:14" customFormat="1" ht="58" outlineLevel="1" x14ac:dyDescent="0.25">
      <c r="A505" s="1511">
        <f t="shared" si="50"/>
        <v>4.4000000000000004</v>
      </c>
      <c r="B505" s="1515" t="str">
        <f t="shared" si="50"/>
        <v xml:space="preserve"> Repair and refurbishment of flowmore make ACW pump v.t model 24h/2 stage drawing no. csd/96502082k5(A)&amp; HSC booster pump model fig 5821 size 350 x 300 drawing no. csd/96502082k5(b) at unit#6,7.</v>
      </c>
      <c r="C505" s="1396" t="str">
        <f t="shared" si="50"/>
        <v>Yet to be approved</v>
      </c>
      <c r="D505" s="1378" t="str">
        <f t="shared" si="50"/>
        <v>-</v>
      </c>
      <c r="E505" s="1505">
        <f t="shared" si="50"/>
        <v>0</v>
      </c>
      <c r="F505" s="1509">
        <f t="shared" si="51"/>
        <v>0</v>
      </c>
      <c r="G505" s="1509">
        <f t="shared" si="52"/>
        <v>0</v>
      </c>
      <c r="H505" s="1509">
        <f t="shared" si="53"/>
        <v>0</v>
      </c>
      <c r="I505" s="1509">
        <v>0</v>
      </c>
      <c r="J505" s="1509">
        <v>0</v>
      </c>
      <c r="K505" s="1505"/>
      <c r="L505" s="1505"/>
      <c r="M505" s="1505">
        <f t="shared" si="54"/>
        <v>0</v>
      </c>
      <c r="N505" s="1505">
        <f t="shared" si="55"/>
        <v>0</v>
      </c>
    </row>
    <row r="506" spans="1:14" customFormat="1" outlineLevel="1" x14ac:dyDescent="0.25">
      <c r="A506" s="1511">
        <f t="shared" si="50"/>
        <v>0</v>
      </c>
      <c r="B506" s="1515" t="str">
        <f t="shared" si="50"/>
        <v>IDC</v>
      </c>
      <c r="C506" s="1396" t="str">
        <f t="shared" si="50"/>
        <v>Yet to be approved</v>
      </c>
      <c r="D506" s="1378" t="str">
        <f t="shared" si="50"/>
        <v>-</v>
      </c>
      <c r="E506" s="1505">
        <f t="shared" si="50"/>
        <v>0</v>
      </c>
      <c r="F506" s="1509">
        <f t="shared" si="51"/>
        <v>0</v>
      </c>
      <c r="G506" s="1509">
        <f t="shared" si="52"/>
        <v>0</v>
      </c>
      <c r="H506" s="1509">
        <f t="shared" si="53"/>
        <v>0</v>
      </c>
      <c r="I506" s="1509">
        <v>0</v>
      </c>
      <c r="J506" s="1509">
        <v>0</v>
      </c>
      <c r="K506" s="1505"/>
      <c r="L506" s="1505"/>
      <c r="M506" s="1505">
        <f t="shared" si="54"/>
        <v>0</v>
      </c>
      <c r="N506" s="1505">
        <f t="shared" si="55"/>
        <v>0</v>
      </c>
    </row>
    <row r="507" spans="1:14" customFormat="1" outlineLevel="1" x14ac:dyDescent="0.25">
      <c r="A507" s="1506">
        <f t="shared" si="50"/>
        <v>5</v>
      </c>
      <c r="B507" s="1507" t="str">
        <f t="shared" si="50"/>
        <v>Bolier Improvement schemes at  U#6,7 Parli TPS</v>
      </c>
      <c r="C507" s="1506" t="str">
        <f t="shared" si="50"/>
        <v>Yet to be approved</v>
      </c>
      <c r="D507" s="1507" t="str">
        <f t="shared" si="50"/>
        <v>-</v>
      </c>
      <c r="E507" s="1506">
        <f t="shared" si="50"/>
        <v>0</v>
      </c>
      <c r="F507" s="1509">
        <f t="shared" si="51"/>
        <v>0</v>
      </c>
      <c r="G507" s="1509">
        <f t="shared" si="52"/>
        <v>0</v>
      </c>
      <c r="H507" s="1509">
        <f t="shared" si="53"/>
        <v>0</v>
      </c>
      <c r="I507" s="1509">
        <v>0</v>
      </c>
      <c r="J507" s="1509">
        <v>0</v>
      </c>
      <c r="K507" s="1506"/>
      <c r="L507" s="1507"/>
      <c r="M507" s="1506">
        <f t="shared" si="54"/>
        <v>0</v>
      </c>
      <c r="N507" s="1507">
        <f t="shared" si="55"/>
        <v>0</v>
      </c>
    </row>
    <row r="508" spans="1:14" customFormat="1" ht="29" outlineLevel="1" x14ac:dyDescent="0.25">
      <c r="A508" s="1511">
        <f t="shared" si="50"/>
        <v>5.0999999999999996</v>
      </c>
      <c r="B508" s="1515" t="str">
        <f t="shared" si="50"/>
        <v>Procurment &amp; replacement of Four complete set of APH basket ay U#6 &amp; 7</v>
      </c>
      <c r="C508" s="1396" t="str">
        <f t="shared" si="50"/>
        <v>Yet to be approved</v>
      </c>
      <c r="D508" s="1378" t="str">
        <f t="shared" si="50"/>
        <v>-</v>
      </c>
      <c r="E508" s="1505">
        <f t="shared" si="50"/>
        <v>0</v>
      </c>
      <c r="F508" s="1509">
        <f t="shared" si="51"/>
        <v>0</v>
      </c>
      <c r="G508" s="1509">
        <f t="shared" si="52"/>
        <v>0</v>
      </c>
      <c r="H508" s="1509">
        <f t="shared" si="53"/>
        <v>0</v>
      </c>
      <c r="I508" s="1509">
        <v>0</v>
      </c>
      <c r="J508" s="1509">
        <v>0</v>
      </c>
      <c r="K508" s="1505"/>
      <c r="L508" s="1505"/>
      <c r="M508" s="1505">
        <f t="shared" si="54"/>
        <v>0</v>
      </c>
      <c r="N508" s="1505">
        <f t="shared" si="55"/>
        <v>0</v>
      </c>
    </row>
    <row r="509" spans="1:14" customFormat="1" ht="29" outlineLevel="1" x14ac:dyDescent="0.25">
      <c r="A509" s="1511">
        <f t="shared" si="50"/>
        <v>5.2</v>
      </c>
      <c r="B509" s="1515" t="str">
        <f t="shared" si="50"/>
        <v>PROCUREMENT &amp; REPLACEMENT OF COAL COMPARATMENT ASSEMBLIES FOR 250 MW UNIT-6 &amp; 7 AT PARLI TPS</v>
      </c>
      <c r="C509" s="1396" t="str">
        <f t="shared" si="50"/>
        <v>Yet to be approved</v>
      </c>
      <c r="D509" s="1378" t="str">
        <f t="shared" si="50"/>
        <v>-</v>
      </c>
      <c r="E509" s="1505">
        <f t="shared" si="50"/>
        <v>0</v>
      </c>
      <c r="F509" s="1509">
        <f t="shared" si="51"/>
        <v>0</v>
      </c>
      <c r="G509" s="1509">
        <f t="shared" si="52"/>
        <v>0</v>
      </c>
      <c r="H509" s="1509">
        <f t="shared" si="53"/>
        <v>0</v>
      </c>
      <c r="I509" s="1509">
        <v>0</v>
      </c>
      <c r="J509" s="1509">
        <v>0</v>
      </c>
      <c r="K509" s="1505"/>
      <c r="L509" s="1505"/>
      <c r="M509" s="1505">
        <f t="shared" si="54"/>
        <v>0</v>
      </c>
      <c r="N509" s="1505">
        <f t="shared" si="55"/>
        <v>0</v>
      </c>
    </row>
    <row r="510" spans="1:14" customFormat="1" ht="29" outlineLevel="1" x14ac:dyDescent="0.25">
      <c r="A510" s="1511">
        <f t="shared" ref="A510:E525" si="56">A153</f>
        <v>5.3</v>
      </c>
      <c r="B510" s="1515" t="str">
        <f t="shared" si="56"/>
        <v>Procurement &amp; replacement  of complete set of Reheater coils for U- 6 &amp; 7</v>
      </c>
      <c r="C510" s="1396" t="str">
        <f t="shared" si="56"/>
        <v>Yet to be approved</v>
      </c>
      <c r="D510" s="1378" t="str">
        <f t="shared" si="56"/>
        <v>-</v>
      </c>
      <c r="E510" s="1505">
        <f t="shared" si="56"/>
        <v>0</v>
      </c>
      <c r="F510" s="1509">
        <f t="shared" si="51"/>
        <v>0</v>
      </c>
      <c r="G510" s="1509">
        <f t="shared" si="52"/>
        <v>0</v>
      </c>
      <c r="H510" s="1509">
        <f t="shared" si="53"/>
        <v>0</v>
      </c>
      <c r="I510" s="1509">
        <v>0</v>
      </c>
      <c r="J510" s="1509">
        <v>0</v>
      </c>
      <c r="K510" s="1505"/>
      <c r="L510" s="1505"/>
      <c r="M510" s="1505">
        <f t="shared" si="54"/>
        <v>0</v>
      </c>
      <c r="N510" s="1505">
        <f t="shared" si="55"/>
        <v>0</v>
      </c>
    </row>
    <row r="511" spans="1:14" customFormat="1" ht="29" outlineLevel="1" x14ac:dyDescent="0.25">
      <c r="A511" s="1511">
        <f t="shared" si="56"/>
        <v>5.4</v>
      </c>
      <c r="B511" s="1515" t="str">
        <f t="shared" si="56"/>
        <v>Procurement &amp; replacement  of complete set of Platen SH coil for U- 6 &amp; 7</v>
      </c>
      <c r="C511" s="1396" t="str">
        <f t="shared" si="56"/>
        <v>Yet to be approved</v>
      </c>
      <c r="D511" s="1378" t="str">
        <f t="shared" si="56"/>
        <v>-</v>
      </c>
      <c r="E511" s="1505">
        <f t="shared" si="56"/>
        <v>0</v>
      </c>
      <c r="F511" s="1509">
        <f t="shared" si="51"/>
        <v>0</v>
      </c>
      <c r="G511" s="1509">
        <f t="shared" si="52"/>
        <v>0</v>
      </c>
      <c r="H511" s="1509">
        <f t="shared" si="53"/>
        <v>0</v>
      </c>
      <c r="I511" s="1509">
        <v>0</v>
      </c>
      <c r="J511" s="1509">
        <v>0</v>
      </c>
      <c r="K511" s="1505"/>
      <c r="L511" s="1505"/>
      <c r="M511" s="1505">
        <f t="shared" si="54"/>
        <v>0</v>
      </c>
      <c r="N511" s="1505">
        <f t="shared" si="55"/>
        <v>0</v>
      </c>
    </row>
    <row r="512" spans="1:14" customFormat="1" outlineLevel="1" x14ac:dyDescent="0.25">
      <c r="A512" s="1511">
        <f t="shared" si="56"/>
        <v>5.5</v>
      </c>
      <c r="B512" s="1515" t="str">
        <f t="shared" si="56"/>
        <v>Procurement &amp; replacement of  shell liner for U-6&amp;7</v>
      </c>
      <c r="C512" s="1396" t="str">
        <f t="shared" si="56"/>
        <v>Yet to be approved</v>
      </c>
      <c r="D512" s="1378" t="str">
        <f t="shared" si="56"/>
        <v>-</v>
      </c>
      <c r="E512" s="1505">
        <f t="shared" si="56"/>
        <v>0</v>
      </c>
      <c r="F512" s="1509">
        <f t="shared" si="51"/>
        <v>0</v>
      </c>
      <c r="G512" s="1509">
        <f t="shared" si="52"/>
        <v>0</v>
      </c>
      <c r="H512" s="1509">
        <f t="shared" si="53"/>
        <v>0</v>
      </c>
      <c r="I512" s="1509">
        <v>0</v>
      </c>
      <c r="J512" s="1509">
        <v>0</v>
      </c>
      <c r="K512" s="1505"/>
      <c r="L512" s="1505"/>
      <c r="M512" s="1505">
        <f t="shared" si="54"/>
        <v>0</v>
      </c>
      <c r="N512" s="1505">
        <f t="shared" si="55"/>
        <v>0</v>
      </c>
    </row>
    <row r="513" spans="1:14" customFormat="1" ht="29" outlineLevel="1" x14ac:dyDescent="0.25">
      <c r="A513" s="1511">
        <f t="shared" si="56"/>
        <v>5.6</v>
      </c>
      <c r="B513" s="1515" t="str">
        <f t="shared" si="56"/>
        <v>Procurement &amp; replacement of  FD fan assembly with blade set at U#6,7</v>
      </c>
      <c r="C513" s="1396" t="str">
        <f t="shared" si="56"/>
        <v>Yet to be approved</v>
      </c>
      <c r="D513" s="1378" t="str">
        <f t="shared" si="56"/>
        <v>-</v>
      </c>
      <c r="E513" s="1505">
        <f t="shared" si="56"/>
        <v>0</v>
      </c>
      <c r="F513" s="1509">
        <f t="shared" si="51"/>
        <v>0</v>
      </c>
      <c r="G513" s="1509">
        <f t="shared" si="52"/>
        <v>0</v>
      </c>
      <c r="H513" s="1509">
        <f t="shared" si="53"/>
        <v>0</v>
      </c>
      <c r="I513" s="1509">
        <v>0</v>
      </c>
      <c r="J513" s="1509">
        <v>0</v>
      </c>
      <c r="K513" s="1505"/>
      <c r="L513" s="1505"/>
      <c r="M513" s="1505">
        <f t="shared" si="54"/>
        <v>0</v>
      </c>
      <c r="N513" s="1505">
        <f t="shared" si="55"/>
        <v>0</v>
      </c>
    </row>
    <row r="514" spans="1:14" customFormat="1" outlineLevel="1" x14ac:dyDescent="0.25">
      <c r="A514" s="1511">
        <f t="shared" si="56"/>
        <v>0</v>
      </c>
      <c r="B514" s="1515" t="str">
        <f t="shared" si="56"/>
        <v>IDC</v>
      </c>
      <c r="C514" s="1396" t="str">
        <f t="shared" si="56"/>
        <v>Yet to be approved</v>
      </c>
      <c r="D514" s="1378" t="str">
        <f t="shared" si="56"/>
        <v>-</v>
      </c>
      <c r="E514" s="1505">
        <f t="shared" si="56"/>
        <v>0</v>
      </c>
      <c r="F514" s="1509">
        <f t="shared" si="51"/>
        <v>0</v>
      </c>
      <c r="G514" s="1509">
        <f t="shared" si="52"/>
        <v>0</v>
      </c>
      <c r="H514" s="1509">
        <f t="shared" si="53"/>
        <v>0</v>
      </c>
      <c r="I514" s="1509">
        <v>0</v>
      </c>
      <c r="J514" s="1509">
        <v>0</v>
      </c>
      <c r="K514" s="1505"/>
      <c r="L514" s="1505"/>
      <c r="M514" s="1505">
        <f t="shared" si="54"/>
        <v>0</v>
      </c>
      <c r="N514" s="1505">
        <f t="shared" si="55"/>
        <v>0</v>
      </c>
    </row>
    <row r="515" spans="1:14" customFormat="1" outlineLevel="1" x14ac:dyDescent="0.25">
      <c r="A515" s="1506">
        <f t="shared" si="56"/>
        <v>6</v>
      </c>
      <c r="B515" s="1507" t="str">
        <f t="shared" si="56"/>
        <v>Bolier plant performance Improvement schemes at  U#6,7 Parli TPS</v>
      </c>
      <c r="C515" s="1506" t="str">
        <f t="shared" si="56"/>
        <v>Yet to be approved</v>
      </c>
      <c r="D515" s="1507" t="str">
        <f t="shared" si="56"/>
        <v>-</v>
      </c>
      <c r="E515" s="1506">
        <f t="shared" si="56"/>
        <v>0</v>
      </c>
      <c r="F515" s="1509">
        <f t="shared" si="51"/>
        <v>0</v>
      </c>
      <c r="G515" s="1509">
        <f t="shared" si="52"/>
        <v>0</v>
      </c>
      <c r="H515" s="1509">
        <f t="shared" si="53"/>
        <v>0</v>
      </c>
      <c r="I515" s="1509">
        <v>0</v>
      </c>
      <c r="J515" s="1509">
        <v>0</v>
      </c>
      <c r="K515" s="1506"/>
      <c r="L515" s="1507"/>
      <c r="M515" s="1506">
        <f t="shared" si="54"/>
        <v>0</v>
      </c>
      <c r="N515" s="1507">
        <f t="shared" si="55"/>
        <v>0</v>
      </c>
    </row>
    <row r="516" spans="1:14" customFormat="1" ht="29" outlineLevel="1" x14ac:dyDescent="0.25">
      <c r="A516" s="1511">
        <f t="shared" si="56"/>
        <v>6.1</v>
      </c>
      <c r="B516" s="1515" t="str">
        <f t="shared" si="56"/>
        <v xml:space="preserve"> PROCUREMENT &amp; REPLACEMENT OF COAL COMPARATMENT ASSEMBLIES FOR 250 MW UNIT-6 &amp; 7 AT PARLI TPS</v>
      </c>
      <c r="C516" s="1396" t="str">
        <f t="shared" si="56"/>
        <v>Yet to be approved</v>
      </c>
      <c r="D516" s="1378" t="str">
        <f t="shared" si="56"/>
        <v>-</v>
      </c>
      <c r="E516" s="1505">
        <f t="shared" si="56"/>
        <v>0</v>
      </c>
      <c r="F516" s="1509">
        <f t="shared" si="51"/>
        <v>0</v>
      </c>
      <c r="G516" s="1509">
        <f t="shared" si="52"/>
        <v>0</v>
      </c>
      <c r="H516" s="1509">
        <f t="shared" si="53"/>
        <v>0</v>
      </c>
      <c r="I516" s="1509">
        <v>0</v>
      </c>
      <c r="J516" s="1509">
        <v>0</v>
      </c>
      <c r="K516" s="1505"/>
      <c r="L516" s="1505"/>
      <c r="M516" s="1505">
        <f t="shared" si="54"/>
        <v>0</v>
      </c>
      <c r="N516" s="1505">
        <f t="shared" si="55"/>
        <v>0</v>
      </c>
    </row>
    <row r="517" spans="1:14" customFormat="1" outlineLevel="1" x14ac:dyDescent="0.25">
      <c r="A517" s="1511">
        <f t="shared" si="56"/>
        <v>6.2</v>
      </c>
      <c r="B517" s="1515" t="str">
        <f t="shared" si="56"/>
        <v>Procurement &amp; replacement of  shell liner for U-6&amp;7</v>
      </c>
      <c r="C517" s="1396" t="str">
        <f t="shared" si="56"/>
        <v>Yet to be approved</v>
      </c>
      <c r="D517" s="1378" t="str">
        <f t="shared" si="56"/>
        <v>-</v>
      </c>
      <c r="E517" s="1505">
        <f t="shared" si="56"/>
        <v>0</v>
      </c>
      <c r="F517" s="1509">
        <f t="shared" si="51"/>
        <v>0</v>
      </c>
      <c r="G517" s="1509">
        <f t="shared" si="52"/>
        <v>0</v>
      </c>
      <c r="H517" s="1509">
        <f t="shared" si="53"/>
        <v>0</v>
      </c>
      <c r="I517" s="1509">
        <v>0</v>
      </c>
      <c r="J517" s="1509">
        <v>0</v>
      </c>
      <c r="K517" s="1505"/>
      <c r="L517" s="1505"/>
      <c r="M517" s="1505">
        <f t="shared" si="54"/>
        <v>0</v>
      </c>
      <c r="N517" s="1505">
        <f t="shared" si="55"/>
        <v>0</v>
      </c>
    </row>
    <row r="518" spans="1:14" customFormat="1" ht="29" outlineLevel="1" x14ac:dyDescent="0.25">
      <c r="A518" s="1511">
        <f t="shared" si="56"/>
        <v>6.3</v>
      </c>
      <c r="B518" s="1515" t="str">
        <f t="shared" si="56"/>
        <v>Procurement &amp; replacement of water wall Z panel &amp; water wall soot blower panel at U#6,7</v>
      </c>
      <c r="C518" s="1396" t="str">
        <f t="shared" si="56"/>
        <v>Yet to be approved</v>
      </c>
      <c r="D518" s="1378" t="str">
        <f t="shared" si="56"/>
        <v>-</v>
      </c>
      <c r="E518" s="1505">
        <f t="shared" si="56"/>
        <v>0</v>
      </c>
      <c r="F518" s="1509">
        <f t="shared" si="51"/>
        <v>0</v>
      </c>
      <c r="G518" s="1509">
        <f t="shared" si="52"/>
        <v>0</v>
      </c>
      <c r="H518" s="1509">
        <f t="shared" si="53"/>
        <v>0</v>
      </c>
      <c r="I518" s="1509">
        <v>0</v>
      </c>
      <c r="J518" s="1509">
        <v>0</v>
      </c>
      <c r="K518" s="1505"/>
      <c r="L518" s="1505"/>
      <c r="M518" s="1505">
        <f t="shared" si="54"/>
        <v>0</v>
      </c>
      <c r="N518" s="1505">
        <f t="shared" si="55"/>
        <v>0</v>
      </c>
    </row>
    <row r="519" spans="1:14" customFormat="1" ht="29" outlineLevel="1" x14ac:dyDescent="0.25">
      <c r="A519" s="1511">
        <f t="shared" si="56"/>
        <v>6.4</v>
      </c>
      <c r="B519" s="1515" t="str">
        <f t="shared" si="56"/>
        <v>Procurement &amp; Replacement of Two complete set of APH Baskets at 250 MW Unit-7, Parli TPS.</v>
      </c>
      <c r="C519" s="1396" t="str">
        <f t="shared" si="56"/>
        <v>Yet to be approved</v>
      </c>
      <c r="D519" s="1378" t="str">
        <f t="shared" si="56"/>
        <v>-</v>
      </c>
      <c r="E519" s="1505">
        <f t="shared" si="56"/>
        <v>0</v>
      </c>
      <c r="F519" s="1509">
        <f t="shared" si="51"/>
        <v>0</v>
      </c>
      <c r="G519" s="1509">
        <f t="shared" si="52"/>
        <v>0</v>
      </c>
      <c r="H519" s="1509">
        <f t="shared" si="53"/>
        <v>0</v>
      </c>
      <c r="I519" s="1509">
        <v>0</v>
      </c>
      <c r="J519" s="1509">
        <v>0</v>
      </c>
      <c r="K519" s="1505"/>
      <c r="L519" s="1505"/>
      <c r="M519" s="1505">
        <f t="shared" si="54"/>
        <v>0</v>
      </c>
      <c r="N519" s="1505">
        <f t="shared" si="55"/>
        <v>0</v>
      </c>
    </row>
    <row r="520" spans="1:14" customFormat="1" outlineLevel="1" x14ac:dyDescent="0.25">
      <c r="A520" s="1511">
        <f t="shared" si="56"/>
        <v>0</v>
      </c>
      <c r="B520" s="1515" t="str">
        <f t="shared" si="56"/>
        <v>IDC</v>
      </c>
      <c r="C520" s="1396" t="str">
        <f t="shared" si="56"/>
        <v>Yet to be approved</v>
      </c>
      <c r="D520" s="1378" t="str">
        <f t="shared" si="56"/>
        <v>-</v>
      </c>
      <c r="E520" s="1505">
        <f t="shared" si="56"/>
        <v>0</v>
      </c>
      <c r="F520" s="1509">
        <f t="shared" si="51"/>
        <v>0</v>
      </c>
      <c r="G520" s="1509">
        <f t="shared" si="52"/>
        <v>0</v>
      </c>
      <c r="H520" s="1509">
        <f t="shared" si="53"/>
        <v>0</v>
      </c>
      <c r="I520" s="1509">
        <v>0</v>
      </c>
      <c r="J520" s="1509">
        <v>0</v>
      </c>
      <c r="K520" s="1505"/>
      <c r="L520" s="1505"/>
      <c r="M520" s="1505">
        <f t="shared" si="54"/>
        <v>0</v>
      </c>
      <c r="N520" s="1505">
        <f t="shared" si="55"/>
        <v>0</v>
      </c>
    </row>
    <row r="521" spans="1:14" customFormat="1" outlineLevel="1" x14ac:dyDescent="0.25">
      <c r="A521" s="1506">
        <f t="shared" si="56"/>
        <v>7</v>
      </c>
      <c r="B521" s="1507" t="str">
        <f t="shared" si="56"/>
        <v>ESP Upgradation at U#6,7</v>
      </c>
      <c r="C521" s="1506" t="str">
        <f t="shared" si="56"/>
        <v>Yet to be approved</v>
      </c>
      <c r="D521" s="1507" t="str">
        <f t="shared" si="56"/>
        <v>-</v>
      </c>
      <c r="E521" s="1506">
        <f t="shared" si="56"/>
        <v>0</v>
      </c>
      <c r="F521" s="1509">
        <f t="shared" si="51"/>
        <v>0</v>
      </c>
      <c r="G521" s="1509">
        <f t="shared" si="52"/>
        <v>0</v>
      </c>
      <c r="H521" s="1509">
        <f t="shared" si="53"/>
        <v>0</v>
      </c>
      <c r="I521" s="1509">
        <v>0</v>
      </c>
      <c r="J521" s="1509">
        <v>0</v>
      </c>
      <c r="K521" s="1506"/>
      <c r="L521" s="1507"/>
      <c r="M521" s="1506">
        <f t="shared" si="54"/>
        <v>0</v>
      </c>
      <c r="N521" s="1507">
        <f t="shared" si="55"/>
        <v>0</v>
      </c>
    </row>
    <row r="522" spans="1:14" customFormat="1" ht="58" outlineLevel="1" x14ac:dyDescent="0.25">
      <c r="A522" s="1511">
        <f t="shared" si="56"/>
        <v>7.1</v>
      </c>
      <c r="B522" s="1515" t="str">
        <f t="shared" si="56"/>
        <v xml:space="preserve"> Procurement &amp; replacement of all emitting coils &amp; collecting plates of ESP &amp; Procurement &amp; replacement of ESP internals at U#6,7 Parli TPS &amp; Replacement of thermal insulation of boiler, ducts &amp; steam piping along with supply</v>
      </c>
      <c r="C522" s="1396" t="str">
        <f t="shared" si="56"/>
        <v>Yet to be approved</v>
      </c>
      <c r="D522" s="1378" t="str">
        <f t="shared" si="56"/>
        <v>-</v>
      </c>
      <c r="E522" s="1505">
        <f t="shared" si="56"/>
        <v>0</v>
      </c>
      <c r="F522" s="1509">
        <f t="shared" si="51"/>
        <v>0</v>
      </c>
      <c r="G522" s="1509">
        <f t="shared" si="52"/>
        <v>0</v>
      </c>
      <c r="H522" s="1509">
        <f t="shared" si="53"/>
        <v>0</v>
      </c>
      <c r="I522" s="1509">
        <v>0</v>
      </c>
      <c r="J522" s="1509">
        <v>0</v>
      </c>
      <c r="K522" s="1505"/>
      <c r="L522" s="1505"/>
      <c r="M522" s="1505">
        <f t="shared" si="54"/>
        <v>0</v>
      </c>
      <c r="N522" s="1505">
        <f t="shared" si="55"/>
        <v>0</v>
      </c>
    </row>
    <row r="523" spans="1:14" customFormat="1" ht="29" outlineLevel="1" x14ac:dyDescent="0.25">
      <c r="A523" s="1511">
        <f t="shared" si="56"/>
        <v>7.2</v>
      </c>
      <c r="B523" s="1515" t="str">
        <f t="shared" si="56"/>
        <v xml:space="preserve"> Replacement of thermal insulation of boiler, ducts &amp; steam piping along with supply</v>
      </c>
      <c r="C523" s="1396" t="str">
        <f t="shared" si="56"/>
        <v>Yet to be approved</v>
      </c>
      <c r="D523" s="1378" t="str">
        <f t="shared" si="56"/>
        <v>-</v>
      </c>
      <c r="E523" s="1505">
        <f t="shared" si="56"/>
        <v>0</v>
      </c>
      <c r="F523" s="1509">
        <f t="shared" si="51"/>
        <v>0</v>
      </c>
      <c r="G523" s="1509">
        <f t="shared" si="52"/>
        <v>0</v>
      </c>
      <c r="H523" s="1509">
        <f t="shared" si="53"/>
        <v>0</v>
      </c>
      <c r="I523" s="1509">
        <v>0</v>
      </c>
      <c r="J523" s="1509">
        <v>0</v>
      </c>
      <c r="K523" s="1505"/>
      <c r="L523" s="1505"/>
      <c r="M523" s="1505">
        <f t="shared" si="54"/>
        <v>0</v>
      </c>
      <c r="N523" s="1505">
        <f t="shared" si="55"/>
        <v>0</v>
      </c>
    </row>
    <row r="524" spans="1:14" customFormat="1" outlineLevel="1" x14ac:dyDescent="0.25">
      <c r="A524" s="1511">
        <f t="shared" si="56"/>
        <v>0</v>
      </c>
      <c r="B524" s="1515" t="str">
        <f t="shared" si="56"/>
        <v>IDC</v>
      </c>
      <c r="C524" s="1396" t="str">
        <f t="shared" si="56"/>
        <v>Yet to be approved</v>
      </c>
      <c r="D524" s="1378" t="str">
        <f t="shared" si="56"/>
        <v>-</v>
      </c>
      <c r="E524" s="1505">
        <f t="shared" si="56"/>
        <v>0</v>
      </c>
      <c r="F524" s="1509">
        <f t="shared" si="51"/>
        <v>0</v>
      </c>
      <c r="G524" s="1509">
        <f t="shared" si="52"/>
        <v>0</v>
      </c>
      <c r="H524" s="1509">
        <f t="shared" si="53"/>
        <v>0</v>
      </c>
      <c r="I524" s="1509">
        <v>0</v>
      </c>
      <c r="J524" s="1509">
        <v>0</v>
      </c>
      <c r="K524" s="1505"/>
      <c r="L524" s="1505"/>
      <c r="M524" s="1505">
        <f t="shared" si="54"/>
        <v>0</v>
      </c>
      <c r="N524" s="1505">
        <f t="shared" si="55"/>
        <v>0</v>
      </c>
    </row>
    <row r="525" spans="1:14" customFormat="1" outlineLevel="1" x14ac:dyDescent="0.25">
      <c r="A525" s="1506">
        <f t="shared" si="56"/>
        <v>8</v>
      </c>
      <c r="B525" s="1507" t="str">
        <f t="shared" si="56"/>
        <v>Augmentation of Dautpur &amp; Sandawa premises water recovery system</v>
      </c>
      <c r="C525" s="1506" t="str">
        <f t="shared" si="56"/>
        <v>Yet to be approved</v>
      </c>
      <c r="D525" s="1507" t="str">
        <f t="shared" si="56"/>
        <v>-</v>
      </c>
      <c r="E525" s="1506">
        <f t="shared" si="56"/>
        <v>0</v>
      </c>
      <c r="F525" s="1509">
        <f t="shared" si="51"/>
        <v>0</v>
      </c>
      <c r="G525" s="1509">
        <f t="shared" si="52"/>
        <v>0</v>
      </c>
      <c r="H525" s="1509">
        <f t="shared" si="53"/>
        <v>0</v>
      </c>
      <c r="I525" s="1509">
        <v>0</v>
      </c>
      <c r="J525" s="1509">
        <v>0</v>
      </c>
      <c r="K525" s="1506"/>
      <c r="L525" s="1507"/>
      <c r="M525" s="1506">
        <f t="shared" si="54"/>
        <v>0</v>
      </c>
      <c r="N525" s="1507">
        <f t="shared" si="55"/>
        <v>0</v>
      </c>
    </row>
    <row r="526" spans="1:14" customFormat="1" ht="29" outlineLevel="1" x14ac:dyDescent="0.25">
      <c r="A526" s="1511">
        <f t="shared" ref="A526:E541" si="57">A169</f>
        <v>8.1</v>
      </c>
      <c r="B526" s="1515" t="str">
        <f t="shared" si="57"/>
        <v>Supply, erection &amp; commissioning of VT pumps for waste water recovery at TM-NPTPS, Parli-V</v>
      </c>
      <c r="C526" s="1396" t="str">
        <f t="shared" si="57"/>
        <v>Yet to be approved</v>
      </c>
      <c r="D526" s="1378" t="str">
        <f t="shared" si="57"/>
        <v>-</v>
      </c>
      <c r="E526" s="1505">
        <f t="shared" si="57"/>
        <v>0</v>
      </c>
      <c r="F526" s="1509">
        <f t="shared" si="51"/>
        <v>0</v>
      </c>
      <c r="G526" s="1509">
        <f t="shared" si="52"/>
        <v>0</v>
      </c>
      <c r="H526" s="1509">
        <f t="shared" si="53"/>
        <v>0</v>
      </c>
      <c r="I526" s="1509">
        <v>0</v>
      </c>
      <c r="J526" s="1509">
        <v>0</v>
      </c>
      <c r="K526" s="1505"/>
      <c r="L526" s="1505"/>
      <c r="M526" s="1505">
        <f t="shared" si="54"/>
        <v>0</v>
      </c>
      <c r="N526" s="1505">
        <f t="shared" si="55"/>
        <v>0</v>
      </c>
    </row>
    <row r="527" spans="1:14" customFormat="1" ht="43.5" outlineLevel="1" x14ac:dyDescent="0.25">
      <c r="A527" s="1511">
        <f t="shared" si="57"/>
        <v>8.1999999999999993</v>
      </c>
      <c r="B527" s="1515" t="str">
        <f t="shared" si="57"/>
        <v>RENOVATION OF ASH WATER RECOVERY SUPPLY SYSTEM INCLUDING ERECTION &amp; COMMISSIONING LT BOARD 11KV/415V SUBSTATION WITH 11KV OH LINE AT SANDWA &amp; DAUTPUR PUMP HOUSE</v>
      </c>
      <c r="C527" s="1396" t="str">
        <f t="shared" si="57"/>
        <v>Yet to be approved</v>
      </c>
      <c r="D527" s="1378" t="str">
        <f t="shared" si="57"/>
        <v>-</v>
      </c>
      <c r="E527" s="1505">
        <f t="shared" si="57"/>
        <v>0</v>
      </c>
      <c r="F527" s="1509">
        <f t="shared" si="51"/>
        <v>0</v>
      </c>
      <c r="G527" s="1509">
        <f t="shared" si="52"/>
        <v>0</v>
      </c>
      <c r="H527" s="1509">
        <f t="shared" si="53"/>
        <v>0</v>
      </c>
      <c r="I527" s="1509">
        <v>0</v>
      </c>
      <c r="J527" s="1509">
        <v>0</v>
      </c>
      <c r="K527" s="1505"/>
      <c r="L527" s="1505"/>
      <c r="M527" s="1505">
        <f t="shared" si="54"/>
        <v>0</v>
      </c>
      <c r="N527" s="1505">
        <f t="shared" si="55"/>
        <v>0</v>
      </c>
    </row>
    <row r="528" spans="1:14" customFormat="1" ht="29" outlineLevel="1" x14ac:dyDescent="0.25">
      <c r="A528" s="1511">
        <f t="shared" si="57"/>
        <v>8.3000000000000007</v>
      </c>
      <c r="B528" s="1515" t="str">
        <f t="shared" si="57"/>
        <v>Construction of New Sandwa recovery pump house at NPTPS Parli Vaijnath.</v>
      </c>
      <c r="C528" s="1396" t="str">
        <f t="shared" si="57"/>
        <v>Yet to be approved</v>
      </c>
      <c r="D528" s="1378" t="str">
        <f t="shared" si="57"/>
        <v>-</v>
      </c>
      <c r="E528" s="1505">
        <f t="shared" si="57"/>
        <v>0</v>
      </c>
      <c r="F528" s="1509">
        <f t="shared" si="51"/>
        <v>0</v>
      </c>
      <c r="G528" s="1509">
        <f t="shared" si="52"/>
        <v>0</v>
      </c>
      <c r="H528" s="1509">
        <f t="shared" si="53"/>
        <v>0</v>
      </c>
      <c r="I528" s="1509">
        <v>0</v>
      </c>
      <c r="J528" s="1509">
        <v>0</v>
      </c>
      <c r="K528" s="1505"/>
      <c r="L528" s="1505"/>
      <c r="M528" s="1505">
        <f t="shared" si="54"/>
        <v>0</v>
      </c>
      <c r="N528" s="1505">
        <f t="shared" si="55"/>
        <v>0</v>
      </c>
    </row>
    <row r="529" spans="1:14" customFormat="1" outlineLevel="1" x14ac:dyDescent="0.25">
      <c r="A529" s="1511">
        <f t="shared" si="57"/>
        <v>0</v>
      </c>
      <c r="B529" s="1515" t="str">
        <f t="shared" si="57"/>
        <v>IDC</v>
      </c>
      <c r="C529" s="1396" t="str">
        <f t="shared" si="57"/>
        <v>Yet to be approved</v>
      </c>
      <c r="D529" s="1378" t="str">
        <f t="shared" si="57"/>
        <v>-</v>
      </c>
      <c r="E529" s="1505">
        <f t="shared" si="57"/>
        <v>0</v>
      </c>
      <c r="F529" s="1509">
        <f t="shared" si="51"/>
        <v>0</v>
      </c>
      <c r="G529" s="1509">
        <f t="shared" si="52"/>
        <v>0</v>
      </c>
      <c r="H529" s="1509">
        <f t="shared" si="53"/>
        <v>0</v>
      </c>
      <c r="I529" s="1509">
        <v>0</v>
      </c>
      <c r="J529" s="1509">
        <v>0</v>
      </c>
      <c r="K529" s="1505"/>
      <c r="L529" s="1505"/>
      <c r="M529" s="1505">
        <f t="shared" si="54"/>
        <v>0</v>
      </c>
      <c r="N529" s="1505">
        <f t="shared" si="55"/>
        <v>0</v>
      </c>
    </row>
    <row r="530" spans="1:14" customFormat="1" ht="43.5" outlineLevel="1" x14ac:dyDescent="0.25">
      <c r="A530" s="1506">
        <f t="shared" si="57"/>
        <v>9</v>
      </c>
      <c r="B530" s="1507" t="str">
        <f t="shared" si="57"/>
        <v>DPR on Modification of governing system from low pressure to high pressure at Unit-06 TPS, PARLI-V and Procurement of  CW pumps at Unit 6,7 Parli Vaijnath.</v>
      </c>
      <c r="C530" s="1506" t="str">
        <f t="shared" si="57"/>
        <v>Yet to be approved</v>
      </c>
      <c r="D530" s="1507" t="str">
        <f t="shared" si="57"/>
        <v>-</v>
      </c>
      <c r="E530" s="1506">
        <f t="shared" si="57"/>
        <v>0</v>
      </c>
      <c r="F530" s="1509">
        <f t="shared" si="51"/>
        <v>0</v>
      </c>
      <c r="G530" s="1509">
        <f t="shared" si="52"/>
        <v>0</v>
      </c>
      <c r="H530" s="1509">
        <f t="shared" si="53"/>
        <v>0</v>
      </c>
      <c r="I530" s="1509">
        <v>0</v>
      </c>
      <c r="J530" s="1509">
        <v>0</v>
      </c>
      <c r="K530" s="1506"/>
      <c r="L530" s="1507"/>
      <c r="M530" s="1506">
        <f t="shared" si="54"/>
        <v>0</v>
      </c>
      <c r="N530" s="1507">
        <f t="shared" si="55"/>
        <v>0</v>
      </c>
    </row>
    <row r="531" spans="1:14" customFormat="1" ht="29" outlineLevel="1" x14ac:dyDescent="0.25">
      <c r="A531" s="1511">
        <f t="shared" si="57"/>
        <v>9.1</v>
      </c>
      <c r="B531" s="1515" t="str">
        <f t="shared" si="57"/>
        <v>Modification of governing system from low pressure to high pressure at Unit-06 TPS, PARLI-V</v>
      </c>
      <c r="C531" s="1396">
        <f t="shared" si="57"/>
        <v>0</v>
      </c>
      <c r="D531" s="1378" t="str">
        <f t="shared" si="57"/>
        <v>-</v>
      </c>
      <c r="E531" s="1505">
        <f t="shared" si="57"/>
        <v>0</v>
      </c>
      <c r="F531" s="1509">
        <f t="shared" si="51"/>
        <v>0</v>
      </c>
      <c r="G531" s="1509">
        <f t="shared" si="52"/>
        <v>0</v>
      </c>
      <c r="H531" s="1509">
        <f t="shared" si="53"/>
        <v>0</v>
      </c>
      <c r="I531" s="1509">
        <v>0</v>
      </c>
      <c r="J531" s="1509">
        <v>0</v>
      </c>
      <c r="K531" s="1505"/>
      <c r="L531" s="1505"/>
      <c r="M531" s="1505">
        <f t="shared" si="54"/>
        <v>0</v>
      </c>
      <c r="N531" s="1505">
        <f t="shared" si="55"/>
        <v>0</v>
      </c>
    </row>
    <row r="532" spans="1:14" customFormat="1" outlineLevel="1" x14ac:dyDescent="0.25">
      <c r="A532" s="1511">
        <f t="shared" si="57"/>
        <v>9.1999999999999993</v>
      </c>
      <c r="B532" s="1515" t="str">
        <f t="shared" si="57"/>
        <v>Procurement of  CW pumps at Unit 6,7 Parli Vaijnath</v>
      </c>
      <c r="C532" s="1396" t="str">
        <f t="shared" si="57"/>
        <v>Yet to be approved</v>
      </c>
      <c r="D532" s="1378" t="str">
        <f t="shared" si="57"/>
        <v>-</v>
      </c>
      <c r="E532" s="1505">
        <f t="shared" si="57"/>
        <v>0</v>
      </c>
      <c r="F532" s="1509">
        <f t="shared" si="51"/>
        <v>0</v>
      </c>
      <c r="G532" s="1509">
        <f t="shared" si="52"/>
        <v>0</v>
      </c>
      <c r="H532" s="1509">
        <f t="shared" si="53"/>
        <v>0</v>
      </c>
      <c r="I532" s="1509">
        <v>0</v>
      </c>
      <c r="J532" s="1509">
        <v>0</v>
      </c>
      <c r="K532" s="1505"/>
      <c r="L532" s="1505"/>
      <c r="M532" s="1505">
        <f t="shared" si="54"/>
        <v>0</v>
      </c>
      <c r="N532" s="1505">
        <f t="shared" si="55"/>
        <v>0</v>
      </c>
    </row>
    <row r="533" spans="1:14" customFormat="1" outlineLevel="1" x14ac:dyDescent="0.25">
      <c r="A533" s="1511">
        <f t="shared" si="57"/>
        <v>0</v>
      </c>
      <c r="B533" s="1515" t="str">
        <f t="shared" si="57"/>
        <v>IDC</v>
      </c>
      <c r="C533" s="1396" t="str">
        <f t="shared" si="57"/>
        <v>Yet to be approved</v>
      </c>
      <c r="D533" s="1378" t="str">
        <f t="shared" si="57"/>
        <v>-</v>
      </c>
      <c r="E533" s="1505">
        <f t="shared" si="57"/>
        <v>0</v>
      </c>
      <c r="F533" s="1509">
        <f t="shared" si="51"/>
        <v>0</v>
      </c>
      <c r="G533" s="1509">
        <f t="shared" si="52"/>
        <v>0</v>
      </c>
      <c r="H533" s="1509">
        <f t="shared" si="53"/>
        <v>0</v>
      </c>
      <c r="I533" s="1509">
        <v>0</v>
      </c>
      <c r="J533" s="1509">
        <v>0</v>
      </c>
      <c r="K533" s="1505"/>
      <c r="L533" s="1505"/>
      <c r="M533" s="1505">
        <f t="shared" si="54"/>
        <v>0</v>
      </c>
      <c r="N533" s="1505">
        <f t="shared" si="55"/>
        <v>0</v>
      </c>
    </row>
    <row r="534" spans="1:14" customFormat="1" ht="29" outlineLevel="1" x14ac:dyDescent="0.25">
      <c r="A534" s="1506">
        <f t="shared" si="57"/>
        <v>10</v>
      </c>
      <c r="B534" s="1507" t="str">
        <f t="shared" si="57"/>
        <v>DPR on Procurement of  HP, IP and LP Turbine  bladesat Unit 6,7 Parli Vaijnath.</v>
      </c>
      <c r="C534" s="1506" t="str">
        <f t="shared" si="57"/>
        <v>Yet to be approved</v>
      </c>
      <c r="D534" s="1507" t="str">
        <f t="shared" si="57"/>
        <v>-</v>
      </c>
      <c r="E534" s="1506">
        <f t="shared" si="57"/>
        <v>0</v>
      </c>
      <c r="F534" s="1509">
        <f t="shared" si="51"/>
        <v>0</v>
      </c>
      <c r="G534" s="1509">
        <f t="shared" si="52"/>
        <v>0</v>
      </c>
      <c r="H534" s="1509">
        <f t="shared" si="53"/>
        <v>0</v>
      </c>
      <c r="I534" s="1509">
        <v>0</v>
      </c>
      <c r="J534" s="1509">
        <v>0</v>
      </c>
      <c r="K534" s="1506"/>
      <c r="L534" s="1507"/>
      <c r="M534" s="1506">
        <f t="shared" si="54"/>
        <v>0</v>
      </c>
      <c r="N534" s="1507">
        <f t="shared" si="55"/>
        <v>0</v>
      </c>
    </row>
    <row r="535" spans="1:14" customFormat="1" ht="29" outlineLevel="1" x14ac:dyDescent="0.25">
      <c r="A535" s="1511">
        <f t="shared" si="57"/>
        <v>10.1</v>
      </c>
      <c r="B535" s="1515" t="str">
        <f t="shared" si="57"/>
        <v>Procurement of  HP, IP and LP Turbine  blade set Unit 6,7 Parli Vaijnath.</v>
      </c>
      <c r="C535" s="1396" t="str">
        <f t="shared" si="57"/>
        <v>Yet to be approved</v>
      </c>
      <c r="D535" s="1378" t="str">
        <f t="shared" si="57"/>
        <v>-</v>
      </c>
      <c r="E535" s="1505">
        <f t="shared" si="57"/>
        <v>0</v>
      </c>
      <c r="F535" s="1509">
        <f t="shared" si="51"/>
        <v>0</v>
      </c>
      <c r="G535" s="1509">
        <f t="shared" si="52"/>
        <v>0</v>
      </c>
      <c r="H535" s="1509">
        <f t="shared" si="53"/>
        <v>0</v>
      </c>
      <c r="I535" s="1509">
        <v>0</v>
      </c>
      <c r="J535" s="1509">
        <v>0</v>
      </c>
      <c r="K535" s="1505"/>
      <c r="L535" s="1505"/>
      <c r="M535" s="1505">
        <f t="shared" si="54"/>
        <v>0</v>
      </c>
      <c r="N535" s="1505">
        <f t="shared" si="55"/>
        <v>0</v>
      </c>
    </row>
    <row r="536" spans="1:14" customFormat="1" outlineLevel="1" x14ac:dyDescent="0.25">
      <c r="A536" s="1511">
        <f t="shared" si="57"/>
        <v>0</v>
      </c>
      <c r="B536" s="1515" t="str">
        <f t="shared" si="57"/>
        <v>IDC</v>
      </c>
      <c r="C536" s="1396" t="str">
        <f t="shared" si="57"/>
        <v>Yet to be approved</v>
      </c>
      <c r="D536" s="1378" t="str">
        <f t="shared" si="57"/>
        <v>-</v>
      </c>
      <c r="E536" s="1505">
        <f t="shared" si="57"/>
        <v>0</v>
      </c>
      <c r="F536" s="1509">
        <f t="shared" si="51"/>
        <v>0</v>
      </c>
      <c r="G536" s="1509">
        <f t="shared" si="52"/>
        <v>0</v>
      </c>
      <c r="H536" s="1509">
        <f t="shared" si="53"/>
        <v>0</v>
      </c>
      <c r="I536" s="1509">
        <v>0</v>
      </c>
      <c r="J536" s="1509">
        <v>0</v>
      </c>
      <c r="K536" s="1505"/>
      <c r="L536" s="1505"/>
      <c r="M536" s="1505">
        <f t="shared" si="54"/>
        <v>0</v>
      </c>
      <c r="N536" s="1505">
        <f t="shared" si="55"/>
        <v>0</v>
      </c>
    </row>
    <row r="537" spans="1:14" customFormat="1" outlineLevel="1" x14ac:dyDescent="0.25">
      <c r="A537" s="1506">
        <f t="shared" si="57"/>
        <v>11</v>
      </c>
      <c r="B537" s="1507" t="str">
        <f t="shared" si="57"/>
        <v>DPR on Procurement of  CEP pumps</v>
      </c>
      <c r="C537" s="1506" t="str">
        <f t="shared" si="57"/>
        <v>Yet to be approved</v>
      </c>
      <c r="D537" s="1507" t="str">
        <f t="shared" si="57"/>
        <v>-</v>
      </c>
      <c r="E537" s="1506">
        <f t="shared" si="57"/>
        <v>0</v>
      </c>
      <c r="F537" s="1509">
        <f t="shared" si="51"/>
        <v>0</v>
      </c>
      <c r="G537" s="1509">
        <f t="shared" si="52"/>
        <v>0</v>
      </c>
      <c r="H537" s="1509">
        <f t="shared" si="53"/>
        <v>0</v>
      </c>
      <c r="I537" s="1509">
        <v>0</v>
      </c>
      <c r="J537" s="1509">
        <v>0</v>
      </c>
      <c r="K537" s="1506"/>
      <c r="L537" s="1507"/>
      <c r="M537" s="1506">
        <f t="shared" si="54"/>
        <v>0</v>
      </c>
      <c r="N537" s="1507">
        <f t="shared" si="55"/>
        <v>0</v>
      </c>
    </row>
    <row r="538" spans="1:14" customFormat="1" outlineLevel="1" x14ac:dyDescent="0.25">
      <c r="A538" s="1511">
        <f t="shared" si="57"/>
        <v>11.1</v>
      </c>
      <c r="B538" s="1515" t="str">
        <f t="shared" si="57"/>
        <v>Procurement of  CEP pumps</v>
      </c>
      <c r="C538" s="1396" t="str">
        <f t="shared" si="57"/>
        <v>Yet to be approved</v>
      </c>
      <c r="D538" s="1378" t="str">
        <f t="shared" si="57"/>
        <v>-</v>
      </c>
      <c r="E538" s="1505">
        <f t="shared" si="57"/>
        <v>0</v>
      </c>
      <c r="F538" s="1509">
        <f t="shared" si="51"/>
        <v>0</v>
      </c>
      <c r="G538" s="1509">
        <f t="shared" si="52"/>
        <v>0</v>
      </c>
      <c r="H538" s="1509">
        <f t="shared" si="53"/>
        <v>0</v>
      </c>
      <c r="I538" s="1509">
        <v>0</v>
      </c>
      <c r="J538" s="1509">
        <v>0</v>
      </c>
      <c r="K538" s="1505"/>
      <c r="L538" s="1505"/>
      <c r="M538" s="1505">
        <f t="shared" si="54"/>
        <v>0</v>
      </c>
      <c r="N538" s="1505">
        <f t="shared" si="55"/>
        <v>0</v>
      </c>
    </row>
    <row r="539" spans="1:14" customFormat="1" outlineLevel="1" x14ac:dyDescent="0.25">
      <c r="A539" s="1511">
        <f t="shared" si="57"/>
        <v>0</v>
      </c>
      <c r="B539" s="1515" t="str">
        <f t="shared" si="57"/>
        <v>IDC</v>
      </c>
      <c r="C539" s="1396" t="str">
        <f t="shared" si="57"/>
        <v>Yet to be approved</v>
      </c>
      <c r="D539" s="1378" t="str">
        <f t="shared" si="57"/>
        <v>-</v>
      </c>
      <c r="E539" s="1505">
        <f t="shared" si="57"/>
        <v>0</v>
      </c>
      <c r="F539" s="1509">
        <f t="shared" si="51"/>
        <v>0</v>
      </c>
      <c r="G539" s="1509">
        <f t="shared" si="52"/>
        <v>0</v>
      </c>
      <c r="H539" s="1509">
        <f t="shared" si="53"/>
        <v>0</v>
      </c>
      <c r="I539" s="1509">
        <v>0</v>
      </c>
      <c r="J539" s="1509">
        <v>0</v>
      </c>
      <c r="K539" s="1505"/>
      <c r="L539" s="1505"/>
      <c r="M539" s="1505">
        <f t="shared" si="54"/>
        <v>0</v>
      </c>
      <c r="N539" s="1505">
        <f t="shared" si="55"/>
        <v>0</v>
      </c>
    </row>
    <row r="540" spans="1:14" customFormat="1" ht="29" outlineLevel="1" x14ac:dyDescent="0.25">
      <c r="A540" s="1506">
        <f t="shared" si="57"/>
        <v>12</v>
      </c>
      <c r="B540" s="1507" t="str">
        <f t="shared" si="57"/>
        <v xml:space="preserve">DPR on Retrofitting of NDCT at Unit 6,7 Parli Vaijnath. and Upgradation of existing chiller AC plant for at Unit 7 Parli Vaijnath. </v>
      </c>
      <c r="C540" s="1506" t="str">
        <f t="shared" si="57"/>
        <v>Yet to be approved</v>
      </c>
      <c r="D540" s="1507" t="str">
        <f t="shared" si="57"/>
        <v>-</v>
      </c>
      <c r="E540" s="1506">
        <f t="shared" si="57"/>
        <v>0</v>
      </c>
      <c r="F540" s="1509">
        <f t="shared" si="51"/>
        <v>0</v>
      </c>
      <c r="G540" s="1509">
        <f t="shared" si="52"/>
        <v>0</v>
      </c>
      <c r="H540" s="1509">
        <f t="shared" si="53"/>
        <v>0</v>
      </c>
      <c r="I540" s="1509">
        <v>0</v>
      </c>
      <c r="J540" s="1509">
        <v>0</v>
      </c>
      <c r="K540" s="1506"/>
      <c r="L540" s="1507"/>
      <c r="M540" s="1506">
        <f t="shared" si="54"/>
        <v>0</v>
      </c>
      <c r="N540" s="1507">
        <f t="shared" si="55"/>
        <v>0</v>
      </c>
    </row>
    <row r="541" spans="1:14" customFormat="1" outlineLevel="1" x14ac:dyDescent="0.25">
      <c r="A541" s="1511">
        <f t="shared" si="57"/>
        <v>12.1</v>
      </c>
      <c r="B541" s="1515" t="str">
        <f t="shared" si="57"/>
        <v>Retrofitting of NDCT at Unit 6,7 Parli Vaijnath.</v>
      </c>
      <c r="C541" s="1396" t="str">
        <f t="shared" si="57"/>
        <v>Yet to be approved</v>
      </c>
      <c r="D541" s="1378" t="str">
        <f t="shared" si="57"/>
        <v>-</v>
      </c>
      <c r="E541" s="1505">
        <f t="shared" si="57"/>
        <v>0</v>
      </c>
      <c r="F541" s="1509">
        <f t="shared" si="51"/>
        <v>0</v>
      </c>
      <c r="G541" s="1509">
        <f t="shared" si="52"/>
        <v>0</v>
      </c>
      <c r="H541" s="1509">
        <f t="shared" si="53"/>
        <v>0</v>
      </c>
      <c r="I541" s="1509">
        <v>0</v>
      </c>
      <c r="J541" s="1509">
        <v>0</v>
      </c>
      <c r="K541" s="1505"/>
      <c r="L541" s="1505"/>
      <c r="M541" s="1505">
        <f t="shared" si="54"/>
        <v>0</v>
      </c>
      <c r="N541" s="1505">
        <f t="shared" si="55"/>
        <v>0</v>
      </c>
    </row>
    <row r="542" spans="1:14" customFormat="1" outlineLevel="1" x14ac:dyDescent="0.25">
      <c r="A542" s="1511">
        <f t="shared" ref="A542:E557" si="58">A185</f>
        <v>12.2</v>
      </c>
      <c r="B542" s="1515" t="str">
        <f t="shared" si="58"/>
        <v>Upgradation of existing chiller AC plant for at Unit 7 Parli Vaijnath.</v>
      </c>
      <c r="C542" s="1396" t="str">
        <f t="shared" si="58"/>
        <v>Yet to be approved</v>
      </c>
      <c r="D542" s="1378" t="str">
        <f t="shared" si="58"/>
        <v>-</v>
      </c>
      <c r="E542" s="1505">
        <f t="shared" si="58"/>
        <v>0</v>
      </c>
      <c r="F542" s="1509">
        <f t="shared" si="51"/>
        <v>0</v>
      </c>
      <c r="G542" s="1509">
        <f t="shared" si="52"/>
        <v>0</v>
      </c>
      <c r="H542" s="1509">
        <f t="shared" si="53"/>
        <v>0</v>
      </c>
      <c r="I542" s="1509">
        <v>0</v>
      </c>
      <c r="J542" s="1509">
        <v>0</v>
      </c>
      <c r="K542" s="1505"/>
      <c r="L542" s="1505"/>
      <c r="M542" s="1505">
        <f t="shared" si="54"/>
        <v>0</v>
      </c>
      <c r="N542" s="1505">
        <f t="shared" si="55"/>
        <v>0</v>
      </c>
    </row>
    <row r="543" spans="1:14" customFormat="1" outlineLevel="1" x14ac:dyDescent="0.25">
      <c r="A543" s="1511">
        <f t="shared" si="58"/>
        <v>0</v>
      </c>
      <c r="B543" s="1515" t="str">
        <f t="shared" si="58"/>
        <v>IDC</v>
      </c>
      <c r="C543" s="1396" t="str">
        <f t="shared" si="58"/>
        <v>Yet to be approved</v>
      </c>
      <c r="D543" s="1378" t="str">
        <f t="shared" si="58"/>
        <v>-</v>
      </c>
      <c r="E543" s="1505">
        <f t="shared" si="58"/>
        <v>0</v>
      </c>
      <c r="F543" s="1509">
        <f t="shared" si="51"/>
        <v>0</v>
      </c>
      <c r="G543" s="1509">
        <f t="shared" si="52"/>
        <v>0</v>
      </c>
      <c r="H543" s="1509">
        <f t="shared" si="53"/>
        <v>0</v>
      </c>
      <c r="I543" s="1509">
        <v>0</v>
      </c>
      <c r="J543" s="1509">
        <v>0</v>
      </c>
      <c r="K543" s="1505"/>
      <c r="L543" s="1505"/>
      <c r="M543" s="1505">
        <f t="shared" si="54"/>
        <v>0</v>
      </c>
      <c r="N543" s="1505">
        <f t="shared" si="55"/>
        <v>0</v>
      </c>
    </row>
    <row r="544" spans="1:14" customFormat="1" outlineLevel="1" x14ac:dyDescent="0.25">
      <c r="A544" s="1506">
        <f t="shared" si="58"/>
        <v>13</v>
      </c>
      <c r="B544" s="1507" t="str">
        <f t="shared" si="58"/>
        <v>DPR on various types of coolers at TPS Parli-Vaijnath</v>
      </c>
      <c r="C544" s="1506" t="str">
        <f t="shared" si="58"/>
        <v>Yet to be approved</v>
      </c>
      <c r="D544" s="1507" t="str">
        <f t="shared" si="58"/>
        <v>-</v>
      </c>
      <c r="E544" s="1506">
        <f t="shared" si="58"/>
        <v>0</v>
      </c>
      <c r="F544" s="1509">
        <f t="shared" si="51"/>
        <v>0</v>
      </c>
      <c r="G544" s="1509">
        <f t="shared" si="52"/>
        <v>0</v>
      </c>
      <c r="H544" s="1509">
        <f t="shared" si="53"/>
        <v>0</v>
      </c>
      <c r="I544" s="1509">
        <v>0</v>
      </c>
      <c r="J544" s="1509">
        <v>0</v>
      </c>
      <c r="K544" s="1506"/>
      <c r="L544" s="1507"/>
      <c r="M544" s="1506">
        <f t="shared" si="54"/>
        <v>0</v>
      </c>
      <c r="N544" s="1507">
        <f t="shared" si="55"/>
        <v>0</v>
      </c>
    </row>
    <row r="545" spans="1:14" customFormat="1" ht="29" outlineLevel="1" x14ac:dyDescent="0.25">
      <c r="A545" s="1511">
        <f t="shared" si="58"/>
        <v>13.1</v>
      </c>
      <c r="B545" s="1515" t="str">
        <f t="shared" si="58"/>
        <v>Procurement of H2 cooler, BFP coolers, generator exciter cooler, seal oil coolers at Unit 6,7 Parli Vaijnath.</v>
      </c>
      <c r="C545" s="1396" t="str">
        <f t="shared" si="58"/>
        <v>Yet to be approved</v>
      </c>
      <c r="D545" s="1378" t="str">
        <f t="shared" si="58"/>
        <v>-</v>
      </c>
      <c r="E545" s="1505">
        <f t="shared" si="58"/>
        <v>0</v>
      </c>
      <c r="F545" s="1509">
        <f t="shared" si="51"/>
        <v>0</v>
      </c>
      <c r="G545" s="1509">
        <f t="shared" si="52"/>
        <v>0</v>
      </c>
      <c r="H545" s="1509">
        <f t="shared" si="53"/>
        <v>0</v>
      </c>
      <c r="I545" s="1509">
        <v>0</v>
      </c>
      <c r="J545" s="1509">
        <v>0</v>
      </c>
      <c r="K545" s="1505"/>
      <c r="L545" s="1505"/>
      <c r="M545" s="1505">
        <f t="shared" si="54"/>
        <v>0</v>
      </c>
      <c r="N545" s="1505">
        <f t="shared" si="55"/>
        <v>0</v>
      </c>
    </row>
    <row r="546" spans="1:14" customFormat="1" outlineLevel="1" x14ac:dyDescent="0.25">
      <c r="A546" s="1511">
        <f t="shared" si="58"/>
        <v>0</v>
      </c>
      <c r="B546" s="1515" t="str">
        <f t="shared" si="58"/>
        <v>IDC</v>
      </c>
      <c r="C546" s="1396" t="str">
        <f t="shared" si="58"/>
        <v>Yet to be approved</v>
      </c>
      <c r="D546" s="1378" t="str">
        <f t="shared" si="58"/>
        <v>-</v>
      </c>
      <c r="E546" s="1505">
        <f t="shared" si="58"/>
        <v>0</v>
      </c>
      <c r="F546" s="1509">
        <f t="shared" si="51"/>
        <v>0</v>
      </c>
      <c r="G546" s="1509">
        <f t="shared" si="52"/>
        <v>0</v>
      </c>
      <c r="H546" s="1509">
        <f t="shared" si="53"/>
        <v>0</v>
      </c>
      <c r="I546" s="1509">
        <v>0</v>
      </c>
      <c r="J546" s="1509">
        <v>0</v>
      </c>
      <c r="K546" s="1505"/>
      <c r="L546" s="1505"/>
      <c r="M546" s="1505">
        <f t="shared" si="54"/>
        <v>0</v>
      </c>
      <c r="N546" s="1505">
        <f t="shared" si="55"/>
        <v>0</v>
      </c>
    </row>
    <row r="547" spans="1:14" customFormat="1" ht="72.5" outlineLevel="1" x14ac:dyDescent="0.25">
      <c r="A547" s="1506">
        <f t="shared" si="58"/>
        <v>14</v>
      </c>
      <c r="B547" s="1507" t="str">
        <f t="shared" si="58"/>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547" s="1506" t="str">
        <f t="shared" si="58"/>
        <v>Yet to be approved</v>
      </c>
      <c r="D547" s="1507" t="str">
        <f t="shared" si="58"/>
        <v>-</v>
      </c>
      <c r="E547" s="1506">
        <f t="shared" si="58"/>
        <v>0</v>
      </c>
      <c r="F547" s="1509">
        <f t="shared" si="51"/>
        <v>0</v>
      </c>
      <c r="G547" s="1509">
        <f t="shared" si="52"/>
        <v>0</v>
      </c>
      <c r="H547" s="1509">
        <f t="shared" si="53"/>
        <v>0</v>
      </c>
      <c r="I547" s="1509">
        <v>0</v>
      </c>
      <c r="J547" s="1509">
        <v>0</v>
      </c>
      <c r="K547" s="1506"/>
      <c r="L547" s="1507"/>
      <c r="M547" s="1506">
        <f t="shared" si="54"/>
        <v>0</v>
      </c>
      <c r="N547" s="1507">
        <f t="shared" si="55"/>
        <v>0</v>
      </c>
    </row>
    <row r="548" spans="1:14" customFormat="1" outlineLevel="1" x14ac:dyDescent="0.25">
      <c r="A548" s="1511">
        <f t="shared" si="58"/>
        <v>14.1</v>
      </c>
      <c r="B548" s="1515" t="str">
        <f t="shared" si="58"/>
        <v>Upgradation of screw type compressor at U#7 Parli Vaijnath.</v>
      </c>
      <c r="C548" s="1396" t="str">
        <f t="shared" si="58"/>
        <v>Yet to be approved</v>
      </c>
      <c r="D548" s="1378" t="str">
        <f t="shared" si="58"/>
        <v>-</v>
      </c>
      <c r="E548" s="1505">
        <f t="shared" si="58"/>
        <v>0</v>
      </c>
      <c r="F548" s="1509">
        <f t="shared" si="51"/>
        <v>0</v>
      </c>
      <c r="G548" s="1509">
        <f t="shared" si="52"/>
        <v>0</v>
      </c>
      <c r="H548" s="1509">
        <f t="shared" si="53"/>
        <v>0</v>
      </c>
      <c r="I548" s="1509">
        <v>0</v>
      </c>
      <c r="J548" s="1509">
        <v>0</v>
      </c>
      <c r="K548" s="1505"/>
      <c r="L548" s="1505"/>
      <c r="M548" s="1505">
        <f t="shared" si="54"/>
        <v>0</v>
      </c>
      <c r="N548" s="1505">
        <f t="shared" si="55"/>
        <v>0</v>
      </c>
    </row>
    <row r="549" spans="1:14" customFormat="1" ht="29" outlineLevel="1" x14ac:dyDescent="0.25">
      <c r="A549" s="1511">
        <f t="shared" si="58"/>
        <v>14.2</v>
      </c>
      <c r="B549" s="1515" t="str">
        <f t="shared" si="58"/>
        <v>Supply, erection &amp; commissioning of Fire Fighting pressure system (pneumatic) at unit 6,7 and 8 at PTPS, Parli-V</v>
      </c>
      <c r="C549" s="1396" t="str">
        <f t="shared" si="58"/>
        <v>Yet to be approved</v>
      </c>
      <c r="D549" s="1378" t="str">
        <f t="shared" si="58"/>
        <v>-</v>
      </c>
      <c r="E549" s="1505">
        <f t="shared" si="58"/>
        <v>0</v>
      </c>
      <c r="F549" s="1509">
        <f t="shared" si="51"/>
        <v>0</v>
      </c>
      <c r="G549" s="1509">
        <f t="shared" si="52"/>
        <v>0</v>
      </c>
      <c r="H549" s="1509">
        <f t="shared" si="53"/>
        <v>0</v>
      </c>
      <c r="I549" s="1509">
        <v>0</v>
      </c>
      <c r="J549" s="1509">
        <v>0</v>
      </c>
      <c r="K549" s="1505"/>
      <c r="L549" s="1505"/>
      <c r="M549" s="1505">
        <f t="shared" si="54"/>
        <v>0</v>
      </c>
      <c r="N549" s="1505">
        <f t="shared" si="55"/>
        <v>0</v>
      </c>
    </row>
    <row r="550" spans="1:14" customFormat="1" ht="29" outlineLevel="1" x14ac:dyDescent="0.25">
      <c r="A550" s="1511">
        <f t="shared" si="58"/>
        <v>14.3</v>
      </c>
      <c r="B550" s="1515" t="str">
        <f t="shared" si="58"/>
        <v>Procurement of BFP discharge valve, BFP recirculation valve and gland steam inlet / outlet valves at Unit 6,7 Parli Vaijnath.</v>
      </c>
      <c r="C550" s="1396" t="str">
        <f t="shared" si="58"/>
        <v>Yet to be approved</v>
      </c>
      <c r="D550" s="1378" t="str">
        <f t="shared" si="58"/>
        <v>-</v>
      </c>
      <c r="E550" s="1505">
        <f t="shared" si="58"/>
        <v>0</v>
      </c>
      <c r="F550" s="1509">
        <f t="shared" si="51"/>
        <v>0</v>
      </c>
      <c r="G550" s="1509">
        <f t="shared" si="52"/>
        <v>0</v>
      </c>
      <c r="H550" s="1509">
        <f t="shared" si="53"/>
        <v>0</v>
      </c>
      <c r="I550" s="1509">
        <v>0</v>
      </c>
      <c r="J550" s="1509">
        <v>0</v>
      </c>
      <c r="K550" s="1505"/>
      <c r="L550" s="1505"/>
      <c r="M550" s="1505">
        <f t="shared" si="54"/>
        <v>0</v>
      </c>
      <c r="N550" s="1505">
        <f t="shared" si="55"/>
        <v>0</v>
      </c>
    </row>
    <row r="551" spans="1:14" customFormat="1" outlineLevel="1" x14ac:dyDescent="0.25">
      <c r="A551" s="1511">
        <f t="shared" si="58"/>
        <v>0</v>
      </c>
      <c r="B551" s="1515" t="str">
        <f t="shared" si="58"/>
        <v>IDC</v>
      </c>
      <c r="C551" s="1396" t="str">
        <f t="shared" si="58"/>
        <v>Yet to be approved</v>
      </c>
      <c r="D551" s="1378" t="str">
        <f t="shared" si="58"/>
        <v>-</v>
      </c>
      <c r="E551" s="1505">
        <f t="shared" si="58"/>
        <v>0</v>
      </c>
      <c r="F551" s="1509">
        <f t="shared" si="51"/>
        <v>0</v>
      </c>
      <c r="G551" s="1509">
        <f t="shared" si="52"/>
        <v>0</v>
      </c>
      <c r="H551" s="1509">
        <f t="shared" si="53"/>
        <v>0</v>
      </c>
      <c r="I551" s="1509">
        <v>0</v>
      </c>
      <c r="J551" s="1509">
        <v>0</v>
      </c>
      <c r="K551" s="1505"/>
      <c r="L551" s="1505"/>
      <c r="M551" s="1505">
        <f t="shared" si="54"/>
        <v>0</v>
      </c>
      <c r="N551" s="1505">
        <f t="shared" si="55"/>
        <v>0</v>
      </c>
    </row>
    <row r="552" spans="1:14" customFormat="1" ht="29" outlineLevel="1" x14ac:dyDescent="0.25">
      <c r="A552" s="1506">
        <f t="shared" si="58"/>
        <v>15</v>
      </c>
      <c r="B552" s="1507" t="str">
        <f t="shared" si="58"/>
        <v>COAL HANDLING PLANT PERFORMANCE IMPROVEMENT BY SYSTEM UPGRADATION  AT Unit 6 ,7 CHP ( 2X 250MW), Parli TPS.</v>
      </c>
      <c r="C552" s="1506" t="str">
        <f t="shared" si="58"/>
        <v>Yet to be approved</v>
      </c>
      <c r="D552" s="1507" t="str">
        <f t="shared" si="58"/>
        <v>-</v>
      </c>
      <c r="E552" s="1506">
        <f t="shared" si="58"/>
        <v>0</v>
      </c>
      <c r="F552" s="1509">
        <f t="shared" si="51"/>
        <v>0</v>
      </c>
      <c r="G552" s="1509">
        <f t="shared" si="52"/>
        <v>0</v>
      </c>
      <c r="H552" s="1509">
        <f t="shared" si="53"/>
        <v>0</v>
      </c>
      <c r="I552" s="1509">
        <v>0</v>
      </c>
      <c r="J552" s="1509">
        <v>0</v>
      </c>
      <c r="K552" s="1506"/>
      <c r="L552" s="1507"/>
      <c r="M552" s="1506">
        <f t="shared" si="54"/>
        <v>0</v>
      </c>
      <c r="N552" s="1507">
        <f t="shared" si="55"/>
        <v>0</v>
      </c>
    </row>
    <row r="553" spans="1:14" customFormat="1" ht="43.5" outlineLevel="1" x14ac:dyDescent="0.25">
      <c r="A553" s="1511">
        <f t="shared" si="58"/>
        <v>15.1</v>
      </c>
      <c r="B553" s="1515" t="str">
        <f t="shared" si="58"/>
        <v>Refurbishment of single stream conveyor drives : Procurement of Various types of Gearbox for single stream conveyor drives of 2X 250 MW CHP U6&amp;7 Parli TPS.</v>
      </c>
      <c r="C553" s="1396" t="str">
        <f t="shared" si="58"/>
        <v>Yet to be approved</v>
      </c>
      <c r="D553" s="1378" t="str">
        <f t="shared" si="58"/>
        <v>-</v>
      </c>
      <c r="E553" s="1505">
        <f t="shared" si="58"/>
        <v>0</v>
      </c>
      <c r="F553" s="1509">
        <f t="shared" si="51"/>
        <v>0</v>
      </c>
      <c r="G553" s="1509">
        <f t="shared" si="52"/>
        <v>0</v>
      </c>
      <c r="H553" s="1509">
        <f t="shared" si="53"/>
        <v>0</v>
      </c>
      <c r="I553" s="1509">
        <v>0</v>
      </c>
      <c r="J553" s="1509">
        <v>0</v>
      </c>
      <c r="K553" s="1505"/>
      <c r="L553" s="1505"/>
      <c r="M553" s="1505">
        <f t="shared" si="54"/>
        <v>0</v>
      </c>
      <c r="N553" s="1505">
        <f t="shared" si="55"/>
        <v>0</v>
      </c>
    </row>
    <row r="554" spans="1:14" customFormat="1" ht="43.5" outlineLevel="1" x14ac:dyDescent="0.25">
      <c r="A554" s="1511">
        <f t="shared" si="58"/>
        <v>15.2</v>
      </c>
      <c r="B554" s="1515" t="str">
        <f t="shared" si="58"/>
        <v>Refurbishment of single stream conveyor drives : Procurement of Various types of fluid couplings for single stream conveyor drives of 2X 250 MW CHP U6&amp;7 Parli TPS.</v>
      </c>
      <c r="C554" s="1396" t="str">
        <f t="shared" si="58"/>
        <v>Yet to be approved</v>
      </c>
      <c r="D554" s="1378" t="str">
        <f t="shared" si="58"/>
        <v>-</v>
      </c>
      <c r="E554" s="1505">
        <f t="shared" si="58"/>
        <v>0</v>
      </c>
      <c r="F554" s="1509">
        <f t="shared" si="51"/>
        <v>0</v>
      </c>
      <c r="G554" s="1509">
        <f t="shared" si="52"/>
        <v>0</v>
      </c>
      <c r="H554" s="1509">
        <f t="shared" si="53"/>
        <v>0</v>
      </c>
      <c r="I554" s="1509">
        <v>0</v>
      </c>
      <c r="J554" s="1509">
        <v>0</v>
      </c>
      <c r="K554" s="1505"/>
      <c r="L554" s="1505"/>
      <c r="M554" s="1505">
        <f t="shared" si="54"/>
        <v>0</v>
      </c>
      <c r="N554" s="1505">
        <f t="shared" si="55"/>
        <v>0</v>
      </c>
    </row>
    <row r="555" spans="1:14" customFormat="1" ht="43.5" outlineLevel="1" x14ac:dyDescent="0.25">
      <c r="A555" s="1511">
        <f t="shared" si="58"/>
        <v>15.3</v>
      </c>
      <c r="B555" s="1515" t="str">
        <f t="shared" si="58"/>
        <v xml:space="preserve">Refurbishment of single stream conveyor drives : Procurement of ENERGY EFFICIENT HT MOTORS for single stream conveyor drives of 2X 250 MW CHP U6&amp;7 Parli TPS.      </v>
      </c>
      <c r="C555" s="1396" t="str">
        <f t="shared" si="58"/>
        <v>Yet to be approved</v>
      </c>
      <c r="D555" s="1378" t="str">
        <f t="shared" si="58"/>
        <v>-</v>
      </c>
      <c r="E555" s="1505">
        <f t="shared" si="58"/>
        <v>0</v>
      </c>
      <c r="F555" s="1509">
        <f t="shared" si="51"/>
        <v>0</v>
      </c>
      <c r="G555" s="1509">
        <f t="shared" si="52"/>
        <v>0</v>
      </c>
      <c r="H555" s="1509">
        <f t="shared" si="53"/>
        <v>0</v>
      </c>
      <c r="I555" s="1509">
        <v>0</v>
      </c>
      <c r="J555" s="1509">
        <v>0</v>
      </c>
      <c r="K555" s="1505"/>
      <c r="L555" s="1505"/>
      <c r="M555" s="1505">
        <f t="shared" si="54"/>
        <v>0</v>
      </c>
      <c r="N555" s="1505">
        <f t="shared" si="55"/>
        <v>0</v>
      </c>
    </row>
    <row r="556" spans="1:14" customFormat="1" ht="43.5" outlineLevel="1" x14ac:dyDescent="0.25">
      <c r="A556" s="1511">
        <f t="shared" si="58"/>
        <v>15.4</v>
      </c>
      <c r="B556" s="1515" t="str">
        <f t="shared" si="58"/>
        <v>Refurbishment of single stream conveyor drives :  Procurement of HT vacuum circuit breakers for single stream conveyor drives of 2X 250 MW CHP U6&amp;7 Parli TPS.</v>
      </c>
      <c r="C556" s="1396" t="str">
        <f t="shared" si="58"/>
        <v>Yet to be approved</v>
      </c>
      <c r="D556" s="1378" t="str">
        <f t="shared" si="58"/>
        <v>-</v>
      </c>
      <c r="E556" s="1505">
        <f t="shared" si="58"/>
        <v>0</v>
      </c>
      <c r="F556" s="1509">
        <f t="shared" si="51"/>
        <v>0</v>
      </c>
      <c r="G556" s="1509">
        <f t="shared" si="52"/>
        <v>0</v>
      </c>
      <c r="H556" s="1509">
        <f t="shared" si="53"/>
        <v>0</v>
      </c>
      <c r="I556" s="1509">
        <v>0</v>
      </c>
      <c r="J556" s="1509">
        <v>0</v>
      </c>
      <c r="K556" s="1505"/>
      <c r="L556" s="1505"/>
      <c r="M556" s="1505">
        <f t="shared" si="54"/>
        <v>0</v>
      </c>
      <c r="N556" s="1505">
        <f t="shared" si="55"/>
        <v>0</v>
      </c>
    </row>
    <row r="557" spans="1:14" customFormat="1" ht="29" outlineLevel="1" x14ac:dyDescent="0.25">
      <c r="A557" s="1511">
        <f t="shared" si="58"/>
        <v>15.5</v>
      </c>
      <c r="B557" s="1515" t="str">
        <f t="shared" si="58"/>
        <v xml:space="preserve">Supply, Erection &amp; Commissioning of street light from U6/7 railway gate to loco shed of CHP U6/7 NPTPS Parli-V </v>
      </c>
      <c r="C557" s="1396" t="str">
        <f t="shared" si="58"/>
        <v>Yet to be approved</v>
      </c>
      <c r="D557" s="1378" t="str">
        <f t="shared" si="58"/>
        <v>-</v>
      </c>
      <c r="E557" s="1505">
        <f t="shared" si="58"/>
        <v>0</v>
      </c>
      <c r="F557" s="1509">
        <f t="shared" si="51"/>
        <v>0</v>
      </c>
      <c r="G557" s="1509">
        <f t="shared" si="52"/>
        <v>0</v>
      </c>
      <c r="H557" s="1509">
        <f t="shared" si="53"/>
        <v>0</v>
      </c>
      <c r="I557" s="1509">
        <v>0</v>
      </c>
      <c r="J557" s="1509">
        <v>0</v>
      </c>
      <c r="K557" s="1505"/>
      <c r="L557" s="1505"/>
      <c r="M557" s="1505">
        <f t="shared" si="54"/>
        <v>0</v>
      </c>
      <c r="N557" s="1505">
        <f t="shared" si="55"/>
        <v>0</v>
      </c>
    </row>
    <row r="558" spans="1:14" customFormat="1" outlineLevel="1" x14ac:dyDescent="0.25">
      <c r="A558" s="1511">
        <f t="shared" ref="A558:E573" si="59">A201</f>
        <v>15.6</v>
      </c>
      <c r="B558" s="1515" t="str">
        <f t="shared" si="59"/>
        <v>Strengthening of U-6 Bunkers at CHP NPTPS</v>
      </c>
      <c r="C558" s="1396" t="str">
        <f t="shared" si="59"/>
        <v>Yet to be approved</v>
      </c>
      <c r="D558" s="1378" t="str">
        <f t="shared" si="59"/>
        <v>-</v>
      </c>
      <c r="E558" s="1505">
        <f t="shared" si="59"/>
        <v>0</v>
      </c>
      <c r="F558" s="1509">
        <f t="shared" si="51"/>
        <v>0</v>
      </c>
      <c r="G558" s="1509">
        <f t="shared" si="52"/>
        <v>0</v>
      </c>
      <c r="H558" s="1509">
        <f t="shared" si="53"/>
        <v>0</v>
      </c>
      <c r="I558" s="1509">
        <v>0</v>
      </c>
      <c r="J558" s="1509">
        <v>0</v>
      </c>
      <c r="K558" s="1505"/>
      <c r="L558" s="1505"/>
      <c r="M558" s="1505">
        <f t="shared" si="54"/>
        <v>0</v>
      </c>
      <c r="N558" s="1505">
        <f t="shared" si="55"/>
        <v>0</v>
      </c>
    </row>
    <row r="559" spans="1:14" customFormat="1" ht="29" outlineLevel="1" x14ac:dyDescent="0.25">
      <c r="A559" s="1511">
        <f t="shared" si="59"/>
        <v>15.7</v>
      </c>
      <c r="B559" s="1515" t="str">
        <f t="shared" si="59"/>
        <v>Supply and commissioning of Suspended Magnets for U-6,7 CHP NPTPS</v>
      </c>
      <c r="C559" s="1396" t="str">
        <f t="shared" si="59"/>
        <v>Yet to be approved</v>
      </c>
      <c r="D559" s="1378" t="str">
        <f t="shared" si="59"/>
        <v>-</v>
      </c>
      <c r="E559" s="1505">
        <f t="shared" si="59"/>
        <v>0</v>
      </c>
      <c r="F559" s="1509">
        <f t="shared" ref="F559:F622" si="60">F202+I202</f>
        <v>0</v>
      </c>
      <c r="G559" s="1509">
        <f t="shared" ref="G559:G622" si="61">G202+M202</f>
        <v>0</v>
      </c>
      <c r="H559" s="1509">
        <f t="shared" si="53"/>
        <v>0</v>
      </c>
      <c r="I559" s="1509">
        <v>0</v>
      </c>
      <c r="J559" s="1509">
        <v>0</v>
      </c>
      <c r="K559" s="1505"/>
      <c r="L559" s="1505"/>
      <c r="M559" s="1505">
        <f t="shared" si="54"/>
        <v>0</v>
      </c>
      <c r="N559" s="1505">
        <f t="shared" si="55"/>
        <v>0</v>
      </c>
    </row>
    <row r="560" spans="1:14" customFormat="1" ht="29" outlineLevel="1" x14ac:dyDescent="0.25">
      <c r="A560" s="1511">
        <f t="shared" si="59"/>
        <v>15.8</v>
      </c>
      <c r="B560" s="1515" t="str">
        <f t="shared" si="59"/>
        <v>Modification of 60 KG rail track with laying crossover turnout at NMVP sliding CHP NPTPS</v>
      </c>
      <c r="C560" s="1396" t="str">
        <f t="shared" si="59"/>
        <v>Yet to be approved</v>
      </c>
      <c r="D560" s="1378" t="str">
        <f t="shared" si="59"/>
        <v>-</v>
      </c>
      <c r="E560" s="1505">
        <f t="shared" si="59"/>
        <v>0</v>
      </c>
      <c r="F560" s="1509">
        <f t="shared" si="60"/>
        <v>0</v>
      </c>
      <c r="G560" s="1509">
        <f t="shared" si="61"/>
        <v>0</v>
      </c>
      <c r="H560" s="1509">
        <f t="shared" ref="H560:H623" si="62">F560-G560</f>
        <v>0</v>
      </c>
      <c r="I560" s="1509">
        <v>0</v>
      </c>
      <c r="J560" s="1509">
        <v>0</v>
      </c>
      <c r="K560" s="1505"/>
      <c r="L560" s="1505"/>
      <c r="M560" s="1505">
        <f t="shared" ref="M560:M623" si="63">SUM(J560:L560)</f>
        <v>0</v>
      </c>
      <c r="N560" s="1505">
        <f t="shared" ref="N560:N623" si="64">H560+I560-M560</f>
        <v>0</v>
      </c>
    </row>
    <row r="561" spans="1:14" customFormat="1" outlineLevel="1" x14ac:dyDescent="0.25">
      <c r="A561" s="1511">
        <f t="shared" si="59"/>
        <v>0</v>
      </c>
      <c r="B561" s="1515" t="str">
        <f t="shared" si="59"/>
        <v>IDC</v>
      </c>
      <c r="C561" s="1396" t="str">
        <f t="shared" si="59"/>
        <v>Yet to be approved</v>
      </c>
      <c r="D561" s="1378" t="str">
        <f t="shared" si="59"/>
        <v>-</v>
      </c>
      <c r="E561" s="1505">
        <f t="shared" si="59"/>
        <v>0</v>
      </c>
      <c r="F561" s="1509">
        <f t="shared" si="60"/>
        <v>0</v>
      </c>
      <c r="G561" s="1509">
        <f t="shared" si="61"/>
        <v>0</v>
      </c>
      <c r="H561" s="1509">
        <f t="shared" si="62"/>
        <v>0</v>
      </c>
      <c r="I561" s="1509">
        <v>0</v>
      </c>
      <c r="J561" s="1509">
        <v>0</v>
      </c>
      <c r="K561" s="1505"/>
      <c r="L561" s="1505"/>
      <c r="M561" s="1505">
        <f t="shared" si="63"/>
        <v>0</v>
      </c>
      <c r="N561" s="1505">
        <f t="shared" si="64"/>
        <v>0</v>
      </c>
    </row>
    <row r="562" spans="1:14" customFormat="1" ht="29" outlineLevel="1" x14ac:dyDescent="0.25">
      <c r="A562" s="1506">
        <f t="shared" si="59"/>
        <v>16</v>
      </c>
      <c r="B562" s="1507" t="str">
        <f t="shared" si="59"/>
        <v>DPR for normalization and stabilization of coal handling plant performance at Parli TPS</v>
      </c>
      <c r="C562" s="1506">
        <f t="shared" si="59"/>
        <v>0</v>
      </c>
      <c r="D562" s="1507" t="str">
        <f t="shared" si="59"/>
        <v>-</v>
      </c>
      <c r="E562" s="1506">
        <f t="shared" si="59"/>
        <v>0</v>
      </c>
      <c r="F562" s="1509">
        <f t="shared" si="60"/>
        <v>0</v>
      </c>
      <c r="G562" s="1509">
        <f t="shared" si="61"/>
        <v>0</v>
      </c>
      <c r="H562" s="1509">
        <f t="shared" si="62"/>
        <v>0</v>
      </c>
      <c r="I562" s="1509">
        <v>0</v>
      </c>
      <c r="J562" s="1509">
        <v>0</v>
      </c>
      <c r="K562" s="1506"/>
      <c r="L562" s="1507"/>
      <c r="M562" s="1506">
        <f t="shared" si="63"/>
        <v>0</v>
      </c>
      <c r="N562" s="1507">
        <f t="shared" si="64"/>
        <v>0</v>
      </c>
    </row>
    <row r="563" spans="1:14" customFormat="1" outlineLevel="1" x14ac:dyDescent="0.25">
      <c r="A563" s="1511">
        <f t="shared" si="59"/>
        <v>16.100000000000001</v>
      </c>
      <c r="B563" s="1515" t="str">
        <f t="shared" si="59"/>
        <v>Procurement of U-6,7 W/T Major spares</v>
      </c>
      <c r="C563" s="1396" t="str">
        <f t="shared" si="59"/>
        <v>Yet to be approved</v>
      </c>
      <c r="D563" s="1378" t="str">
        <f t="shared" si="59"/>
        <v>-</v>
      </c>
      <c r="E563" s="1505">
        <f t="shared" si="59"/>
        <v>0</v>
      </c>
      <c r="F563" s="1509">
        <f t="shared" si="60"/>
        <v>0</v>
      </c>
      <c r="G563" s="1509">
        <f t="shared" si="61"/>
        <v>0</v>
      </c>
      <c r="H563" s="1509">
        <f t="shared" si="62"/>
        <v>0</v>
      </c>
      <c r="I563" s="1509">
        <v>0</v>
      </c>
      <c r="J563" s="1509">
        <v>0</v>
      </c>
      <c r="K563" s="1505"/>
      <c r="L563" s="1505"/>
      <c r="M563" s="1505">
        <f t="shared" si="63"/>
        <v>0</v>
      </c>
      <c r="N563" s="1505">
        <f t="shared" si="64"/>
        <v>0</v>
      </c>
    </row>
    <row r="564" spans="1:14" customFormat="1" outlineLevel="1" x14ac:dyDescent="0.25">
      <c r="A564" s="1511">
        <f t="shared" si="59"/>
        <v>16.2</v>
      </c>
      <c r="B564" s="1515" t="str">
        <f t="shared" si="59"/>
        <v>Supply of impact crusher major spares for CHP U-6/7</v>
      </c>
      <c r="C564" s="1396" t="str">
        <f t="shared" si="59"/>
        <v>Yet to be approved</v>
      </c>
      <c r="D564" s="1378" t="str">
        <f t="shared" si="59"/>
        <v>-</v>
      </c>
      <c r="E564" s="1505">
        <f t="shared" si="59"/>
        <v>0</v>
      </c>
      <c r="F564" s="1509">
        <f t="shared" si="60"/>
        <v>0</v>
      </c>
      <c r="G564" s="1509">
        <f t="shared" si="61"/>
        <v>0</v>
      </c>
      <c r="H564" s="1509">
        <f t="shared" si="62"/>
        <v>0</v>
      </c>
      <c r="I564" s="1509">
        <v>0</v>
      </c>
      <c r="J564" s="1509">
        <v>0</v>
      </c>
      <c r="K564" s="1505"/>
      <c r="L564" s="1505"/>
      <c r="M564" s="1505">
        <f t="shared" si="63"/>
        <v>0</v>
      </c>
      <c r="N564" s="1505">
        <f t="shared" si="64"/>
        <v>0</v>
      </c>
    </row>
    <row r="565" spans="1:14" customFormat="1" outlineLevel="1" x14ac:dyDescent="0.25">
      <c r="A565" s="1511">
        <f t="shared" si="59"/>
        <v>16.3</v>
      </c>
      <c r="B565" s="1515" t="str">
        <f t="shared" si="59"/>
        <v>Provision of Soft starter / VFD for Various conveyor</v>
      </c>
      <c r="C565" s="1396" t="str">
        <f t="shared" si="59"/>
        <v>Yet to be approved</v>
      </c>
      <c r="D565" s="1378" t="str">
        <f t="shared" si="59"/>
        <v>-</v>
      </c>
      <c r="E565" s="1505">
        <f t="shared" si="59"/>
        <v>0</v>
      </c>
      <c r="F565" s="1509">
        <f t="shared" si="60"/>
        <v>0</v>
      </c>
      <c r="G565" s="1509">
        <f t="shared" si="61"/>
        <v>0</v>
      </c>
      <c r="H565" s="1509">
        <f t="shared" si="62"/>
        <v>0</v>
      </c>
      <c r="I565" s="1509">
        <v>0</v>
      </c>
      <c r="J565" s="1509">
        <v>0</v>
      </c>
      <c r="K565" s="1505"/>
      <c r="L565" s="1505"/>
      <c r="M565" s="1505">
        <f t="shared" si="63"/>
        <v>0</v>
      </c>
      <c r="N565" s="1505">
        <f t="shared" si="64"/>
        <v>0</v>
      </c>
    </row>
    <row r="566" spans="1:14" customFormat="1" outlineLevel="1" x14ac:dyDescent="0.25">
      <c r="A566" s="1511">
        <f t="shared" si="59"/>
        <v>16.399999999999999</v>
      </c>
      <c r="B566" s="1515" t="str">
        <f t="shared" si="59"/>
        <v>Upgradation of siemens make PLC at U-6/7.</v>
      </c>
      <c r="C566" s="1396" t="str">
        <f t="shared" si="59"/>
        <v>Yet to be approved</v>
      </c>
      <c r="D566" s="1378" t="str">
        <f t="shared" si="59"/>
        <v>-</v>
      </c>
      <c r="E566" s="1505">
        <f t="shared" si="59"/>
        <v>0</v>
      </c>
      <c r="F566" s="1509">
        <f t="shared" si="60"/>
        <v>0</v>
      </c>
      <c r="G566" s="1509">
        <f t="shared" si="61"/>
        <v>0</v>
      </c>
      <c r="H566" s="1509">
        <f t="shared" si="62"/>
        <v>0</v>
      </c>
      <c r="I566" s="1509">
        <v>0</v>
      </c>
      <c r="J566" s="1509">
        <v>0</v>
      </c>
      <c r="K566" s="1505"/>
      <c r="L566" s="1505"/>
      <c r="M566" s="1505">
        <f t="shared" si="63"/>
        <v>0</v>
      </c>
      <c r="N566" s="1505">
        <f t="shared" si="64"/>
        <v>0</v>
      </c>
    </row>
    <row r="567" spans="1:14" customFormat="1" outlineLevel="1" x14ac:dyDescent="0.25">
      <c r="A567" s="1511">
        <f t="shared" si="59"/>
        <v>16.5</v>
      </c>
      <c r="B567" s="1515" t="str">
        <f t="shared" si="59"/>
        <v>Procurement of U-6/7 Stacker reclaimer major spares</v>
      </c>
      <c r="C567" s="1396" t="str">
        <f t="shared" si="59"/>
        <v>Yet to be approved</v>
      </c>
      <c r="D567" s="1378" t="str">
        <f t="shared" si="59"/>
        <v>-</v>
      </c>
      <c r="E567" s="1505">
        <f t="shared" si="59"/>
        <v>0</v>
      </c>
      <c r="F567" s="1509">
        <f t="shared" si="60"/>
        <v>0</v>
      </c>
      <c r="G567" s="1509">
        <f t="shared" si="61"/>
        <v>0</v>
      </c>
      <c r="H567" s="1509">
        <f t="shared" si="62"/>
        <v>0</v>
      </c>
      <c r="I567" s="1509">
        <v>0</v>
      </c>
      <c r="J567" s="1509">
        <v>0</v>
      </c>
      <c r="K567" s="1505"/>
      <c r="L567" s="1505"/>
      <c r="M567" s="1505">
        <f t="shared" si="63"/>
        <v>0</v>
      </c>
      <c r="N567" s="1505">
        <f t="shared" si="64"/>
        <v>0</v>
      </c>
    </row>
    <row r="568" spans="1:14" customFormat="1" ht="29" outlineLevel="1" x14ac:dyDescent="0.25">
      <c r="A568" s="1511">
        <f t="shared" si="59"/>
        <v>16.600000000000001</v>
      </c>
      <c r="B568" s="1515" t="str">
        <f t="shared" si="59"/>
        <v>Design, supply and commissioning of solar operated lighting system in CHP  U-6,7</v>
      </c>
      <c r="C568" s="1396" t="str">
        <f t="shared" si="59"/>
        <v>Yet to be approved</v>
      </c>
      <c r="D568" s="1378" t="str">
        <f t="shared" si="59"/>
        <v>-</v>
      </c>
      <c r="E568" s="1505">
        <f t="shared" si="59"/>
        <v>0</v>
      </c>
      <c r="F568" s="1509">
        <f t="shared" si="60"/>
        <v>0</v>
      </c>
      <c r="G568" s="1509">
        <f t="shared" si="61"/>
        <v>0</v>
      </c>
      <c r="H568" s="1509">
        <f t="shared" si="62"/>
        <v>0</v>
      </c>
      <c r="I568" s="1509">
        <v>0</v>
      </c>
      <c r="J568" s="1509">
        <v>0</v>
      </c>
      <c r="K568" s="1505"/>
      <c r="L568" s="1505"/>
      <c r="M568" s="1505">
        <f t="shared" si="63"/>
        <v>0</v>
      </c>
      <c r="N568" s="1505">
        <f t="shared" si="64"/>
        <v>0</v>
      </c>
    </row>
    <row r="569" spans="1:14" customFormat="1" outlineLevel="1" x14ac:dyDescent="0.25">
      <c r="A569" s="1511">
        <f t="shared" si="59"/>
        <v>16.7</v>
      </c>
      <c r="B569" s="1515" t="str">
        <f t="shared" si="59"/>
        <v>Installation of CCTV survillance system alongwith all conveyors.</v>
      </c>
      <c r="C569" s="1396" t="str">
        <f t="shared" si="59"/>
        <v>Yet to be approved</v>
      </c>
      <c r="D569" s="1378" t="str">
        <f t="shared" si="59"/>
        <v>-</v>
      </c>
      <c r="E569" s="1505">
        <f t="shared" si="59"/>
        <v>0</v>
      </c>
      <c r="F569" s="1509">
        <f t="shared" si="60"/>
        <v>0</v>
      </c>
      <c r="G569" s="1509">
        <f t="shared" si="61"/>
        <v>0</v>
      </c>
      <c r="H569" s="1509">
        <f t="shared" si="62"/>
        <v>0</v>
      </c>
      <c r="I569" s="1509">
        <v>0</v>
      </c>
      <c r="J569" s="1509">
        <v>0</v>
      </c>
      <c r="K569" s="1505"/>
      <c r="L569" s="1505"/>
      <c r="M569" s="1505">
        <f t="shared" si="63"/>
        <v>0</v>
      </c>
      <c r="N569" s="1505">
        <f t="shared" si="64"/>
        <v>0</v>
      </c>
    </row>
    <row r="570" spans="1:14" customFormat="1" ht="29" outlineLevel="1" x14ac:dyDescent="0.25">
      <c r="A570" s="1511">
        <f t="shared" si="59"/>
        <v>16.8</v>
      </c>
      <c r="B570" s="1515" t="str">
        <f t="shared" si="59"/>
        <v xml:space="preserve"> Upgradation / Retrofication of Bunker Lifts of Unit-6 &amp; Unit-7 at CHP TPS Parli-V.</v>
      </c>
      <c r="C570" s="1396" t="str">
        <f t="shared" si="59"/>
        <v>Yet to be approved</v>
      </c>
      <c r="D570" s="1378" t="str">
        <f t="shared" si="59"/>
        <v>-</v>
      </c>
      <c r="E570" s="1505">
        <f t="shared" si="59"/>
        <v>0</v>
      </c>
      <c r="F570" s="1509">
        <f t="shared" si="60"/>
        <v>0</v>
      </c>
      <c r="G570" s="1509">
        <f t="shared" si="61"/>
        <v>0</v>
      </c>
      <c r="H570" s="1509">
        <f t="shared" si="62"/>
        <v>0</v>
      </c>
      <c r="I570" s="1509">
        <v>0</v>
      </c>
      <c r="J570" s="1509">
        <v>0</v>
      </c>
      <c r="K570" s="1505"/>
      <c r="L570" s="1505"/>
      <c r="M570" s="1505">
        <f t="shared" si="63"/>
        <v>0</v>
      </c>
      <c r="N570" s="1505">
        <f t="shared" si="64"/>
        <v>0</v>
      </c>
    </row>
    <row r="571" spans="1:14" customFormat="1" outlineLevel="1" x14ac:dyDescent="0.25">
      <c r="A571" s="1511">
        <f t="shared" si="59"/>
        <v>0</v>
      </c>
      <c r="B571" s="1515" t="str">
        <f t="shared" si="59"/>
        <v>IDC</v>
      </c>
      <c r="C571" s="1396" t="str">
        <f t="shared" si="59"/>
        <v>Yet to be approved</v>
      </c>
      <c r="D571" s="1378" t="str">
        <f t="shared" si="59"/>
        <v>-</v>
      </c>
      <c r="E571" s="1505">
        <f t="shared" si="59"/>
        <v>0</v>
      </c>
      <c r="F571" s="1509">
        <f t="shared" si="60"/>
        <v>0</v>
      </c>
      <c r="G571" s="1509">
        <f t="shared" si="61"/>
        <v>0</v>
      </c>
      <c r="H571" s="1509">
        <f t="shared" si="62"/>
        <v>0</v>
      </c>
      <c r="I571" s="1509">
        <v>0</v>
      </c>
      <c r="J571" s="1509">
        <v>0</v>
      </c>
      <c r="K571" s="1505"/>
      <c r="L571" s="1505"/>
      <c r="M571" s="1505">
        <f t="shared" si="63"/>
        <v>0</v>
      </c>
      <c r="N571" s="1505">
        <f t="shared" si="64"/>
        <v>0</v>
      </c>
    </row>
    <row r="572" spans="1:14" customFormat="1" outlineLevel="1" x14ac:dyDescent="0.25">
      <c r="A572" s="1506">
        <f t="shared" si="59"/>
        <v>17</v>
      </c>
      <c r="B572" s="1507" t="str">
        <f t="shared" si="59"/>
        <v>DPR for maximiation of Coal Handling Plant efficiency.</v>
      </c>
      <c r="C572" s="1506" t="str">
        <f t="shared" si="59"/>
        <v>Yet to be approved</v>
      </c>
      <c r="D572" s="1507" t="str">
        <f t="shared" si="59"/>
        <v>-</v>
      </c>
      <c r="E572" s="1506">
        <f t="shared" si="59"/>
        <v>0</v>
      </c>
      <c r="F572" s="1509">
        <f t="shared" si="60"/>
        <v>0</v>
      </c>
      <c r="G572" s="1509">
        <f t="shared" si="61"/>
        <v>0</v>
      </c>
      <c r="H572" s="1509">
        <f t="shared" si="62"/>
        <v>0</v>
      </c>
      <c r="I572" s="1509">
        <v>0</v>
      </c>
      <c r="J572" s="1509">
        <v>0</v>
      </c>
      <c r="K572" s="1506"/>
      <c r="L572" s="1507"/>
      <c r="M572" s="1506">
        <f t="shared" si="63"/>
        <v>0</v>
      </c>
      <c r="N572" s="1507">
        <f t="shared" si="64"/>
        <v>0</v>
      </c>
    </row>
    <row r="573" spans="1:14" customFormat="1" outlineLevel="1" x14ac:dyDescent="0.25">
      <c r="A573" s="1511">
        <f t="shared" si="59"/>
        <v>17.100000000000001</v>
      </c>
      <c r="B573" s="1515" t="str">
        <f t="shared" si="59"/>
        <v>W/T control room &amp; bunker house battery &amp; UPS upgradation</v>
      </c>
      <c r="C573" s="1396" t="str">
        <f t="shared" si="59"/>
        <v>Yet to be approved</v>
      </c>
      <c r="D573" s="1378" t="str">
        <f t="shared" si="59"/>
        <v>-</v>
      </c>
      <c r="E573" s="1505">
        <f t="shared" si="59"/>
        <v>0</v>
      </c>
      <c r="F573" s="1509">
        <f t="shared" si="60"/>
        <v>0</v>
      </c>
      <c r="G573" s="1509">
        <f t="shared" si="61"/>
        <v>0</v>
      </c>
      <c r="H573" s="1509">
        <f t="shared" si="62"/>
        <v>0</v>
      </c>
      <c r="I573" s="1509">
        <v>0</v>
      </c>
      <c r="J573" s="1509">
        <v>0</v>
      </c>
      <c r="K573" s="1505"/>
      <c r="L573" s="1505"/>
      <c r="M573" s="1505">
        <f t="shared" si="63"/>
        <v>0</v>
      </c>
      <c r="N573" s="1505">
        <f t="shared" si="64"/>
        <v>0</v>
      </c>
    </row>
    <row r="574" spans="1:14" customFormat="1" outlineLevel="1" x14ac:dyDescent="0.25">
      <c r="A574" s="1511">
        <f t="shared" ref="A574:E589" si="65">A217</f>
        <v>17.2</v>
      </c>
      <c r="B574" s="1515" t="str">
        <f t="shared" si="65"/>
        <v>Provision of Soft starter / VFD for Various conveyor</v>
      </c>
      <c r="C574" s="1396" t="str">
        <f t="shared" si="65"/>
        <v>Yet to be approved</v>
      </c>
      <c r="D574" s="1378" t="str">
        <f t="shared" si="65"/>
        <v>-</v>
      </c>
      <c r="E574" s="1505">
        <f t="shared" si="65"/>
        <v>0</v>
      </c>
      <c r="F574" s="1509">
        <f t="shared" si="60"/>
        <v>0</v>
      </c>
      <c r="G574" s="1509">
        <f t="shared" si="61"/>
        <v>0</v>
      </c>
      <c r="H574" s="1509">
        <f t="shared" si="62"/>
        <v>0</v>
      </c>
      <c r="I574" s="1509">
        <v>0</v>
      </c>
      <c r="J574" s="1509">
        <v>0</v>
      </c>
      <c r="K574" s="1505"/>
      <c r="L574" s="1505"/>
      <c r="M574" s="1505">
        <f t="shared" si="63"/>
        <v>0</v>
      </c>
      <c r="N574" s="1505">
        <f t="shared" si="64"/>
        <v>0</v>
      </c>
    </row>
    <row r="575" spans="1:14" customFormat="1" ht="29" outlineLevel="1" x14ac:dyDescent="0.25">
      <c r="A575" s="1511">
        <f t="shared" si="65"/>
        <v>17.3</v>
      </c>
      <c r="B575" s="1515" t="str">
        <f t="shared" si="65"/>
        <v>Structure Strengthening of Conveyor NO. 3 and Stacker Reclaimer Rail at U-6/7 CHP</v>
      </c>
      <c r="C575" s="1396" t="str">
        <f t="shared" si="65"/>
        <v>Yet to be approved</v>
      </c>
      <c r="D575" s="1378" t="str">
        <f t="shared" si="65"/>
        <v>-</v>
      </c>
      <c r="E575" s="1505">
        <f t="shared" si="65"/>
        <v>0</v>
      </c>
      <c r="F575" s="1509">
        <f t="shared" si="60"/>
        <v>0</v>
      </c>
      <c r="G575" s="1509">
        <f t="shared" si="61"/>
        <v>0</v>
      </c>
      <c r="H575" s="1509">
        <f t="shared" si="62"/>
        <v>0</v>
      </c>
      <c r="I575" s="1509">
        <v>0</v>
      </c>
      <c r="J575" s="1509">
        <v>0</v>
      </c>
      <c r="K575" s="1505"/>
      <c r="L575" s="1505"/>
      <c r="M575" s="1505">
        <f t="shared" si="63"/>
        <v>0</v>
      </c>
      <c r="N575" s="1505">
        <f t="shared" si="64"/>
        <v>0</v>
      </c>
    </row>
    <row r="576" spans="1:14" customFormat="1" outlineLevel="1" x14ac:dyDescent="0.25">
      <c r="A576" s="1511">
        <f t="shared" si="65"/>
        <v>17.399999999999999</v>
      </c>
      <c r="B576" s="1515" t="str">
        <f t="shared" si="65"/>
        <v>Modernization/modification of Conveyor HT/LT cables at U-6/7 CHP.</v>
      </c>
      <c r="C576" s="1396" t="str">
        <f t="shared" si="65"/>
        <v>Yet to be approved</v>
      </c>
      <c r="D576" s="1378" t="str">
        <f t="shared" si="65"/>
        <v>-</v>
      </c>
      <c r="E576" s="1505">
        <f t="shared" si="65"/>
        <v>0</v>
      </c>
      <c r="F576" s="1509">
        <f t="shared" si="60"/>
        <v>0</v>
      </c>
      <c r="G576" s="1509">
        <f t="shared" si="61"/>
        <v>0</v>
      </c>
      <c r="H576" s="1509">
        <f t="shared" si="62"/>
        <v>0</v>
      </c>
      <c r="I576" s="1509">
        <v>0</v>
      </c>
      <c r="J576" s="1509">
        <v>0</v>
      </c>
      <c r="K576" s="1505"/>
      <c r="L576" s="1505"/>
      <c r="M576" s="1505">
        <f t="shared" si="63"/>
        <v>0</v>
      </c>
      <c r="N576" s="1505">
        <f t="shared" si="64"/>
        <v>0</v>
      </c>
    </row>
    <row r="577" spans="1:14" customFormat="1" ht="29" outlineLevel="1" x14ac:dyDescent="0.25">
      <c r="A577" s="1511">
        <f t="shared" si="65"/>
        <v>17.5</v>
      </c>
      <c r="B577" s="1515" t="str">
        <f t="shared" si="65"/>
        <v>Modernization of EOT cranes and Hoist at various junction tower and various location of CHP U-6/7</v>
      </c>
      <c r="C577" s="1396" t="str">
        <f t="shared" si="65"/>
        <v>Yet to be approved</v>
      </c>
      <c r="D577" s="1378" t="str">
        <f t="shared" si="65"/>
        <v>-</v>
      </c>
      <c r="E577" s="1505">
        <f t="shared" si="65"/>
        <v>0</v>
      </c>
      <c r="F577" s="1509">
        <f t="shared" si="60"/>
        <v>0</v>
      </c>
      <c r="G577" s="1509">
        <f t="shared" si="61"/>
        <v>0</v>
      </c>
      <c r="H577" s="1509">
        <f t="shared" si="62"/>
        <v>0</v>
      </c>
      <c r="I577" s="1509">
        <v>0</v>
      </c>
      <c r="J577" s="1509">
        <v>0</v>
      </c>
      <c r="K577" s="1505"/>
      <c r="L577" s="1505"/>
      <c r="M577" s="1505">
        <f t="shared" si="63"/>
        <v>0</v>
      </c>
      <c r="N577" s="1505">
        <f t="shared" si="64"/>
        <v>0</v>
      </c>
    </row>
    <row r="578" spans="1:14" customFormat="1" outlineLevel="1" x14ac:dyDescent="0.25">
      <c r="A578" s="1511">
        <f t="shared" si="65"/>
        <v>17.600000000000001</v>
      </c>
      <c r="B578" s="1515" t="str">
        <f t="shared" si="65"/>
        <v>Renovation / retrofitting of shuttle conveyor at CHP U-6/7.</v>
      </c>
      <c r="C578" s="1396" t="str">
        <f t="shared" si="65"/>
        <v>Yet to be approved</v>
      </c>
      <c r="D578" s="1378" t="str">
        <f t="shared" si="65"/>
        <v>-</v>
      </c>
      <c r="E578" s="1505">
        <f t="shared" si="65"/>
        <v>0</v>
      </c>
      <c r="F578" s="1509">
        <f t="shared" si="60"/>
        <v>0</v>
      </c>
      <c r="G578" s="1509">
        <f t="shared" si="61"/>
        <v>0</v>
      </c>
      <c r="H578" s="1509">
        <f t="shared" si="62"/>
        <v>0</v>
      </c>
      <c r="I578" s="1509">
        <v>0</v>
      </c>
      <c r="J578" s="1509">
        <v>0</v>
      </c>
      <c r="K578" s="1505"/>
      <c r="L578" s="1505"/>
      <c r="M578" s="1505">
        <f t="shared" si="63"/>
        <v>0</v>
      </c>
      <c r="N578" s="1505">
        <f t="shared" si="64"/>
        <v>0</v>
      </c>
    </row>
    <row r="579" spans="1:14" customFormat="1" outlineLevel="1" x14ac:dyDescent="0.25">
      <c r="A579" s="1511">
        <f t="shared" si="65"/>
        <v>17.7</v>
      </c>
      <c r="B579" s="1515" t="str">
        <f t="shared" si="65"/>
        <v>Upgradation/renovation of bunker lift at RSC-6 &amp; 7 of CHP U-6/7</v>
      </c>
      <c r="C579" s="1396" t="str">
        <f t="shared" si="65"/>
        <v>Yet to be approved</v>
      </c>
      <c r="D579" s="1378" t="str">
        <f t="shared" si="65"/>
        <v>-</v>
      </c>
      <c r="E579" s="1505">
        <f t="shared" si="65"/>
        <v>0</v>
      </c>
      <c r="F579" s="1509">
        <f t="shared" si="60"/>
        <v>0</v>
      </c>
      <c r="G579" s="1509">
        <f t="shared" si="61"/>
        <v>0</v>
      </c>
      <c r="H579" s="1509">
        <f t="shared" si="62"/>
        <v>0</v>
      </c>
      <c r="I579" s="1509">
        <v>0</v>
      </c>
      <c r="J579" s="1509">
        <v>0</v>
      </c>
      <c r="K579" s="1505"/>
      <c r="L579" s="1505"/>
      <c r="M579" s="1505">
        <f t="shared" si="63"/>
        <v>0</v>
      </c>
      <c r="N579" s="1505">
        <f t="shared" si="64"/>
        <v>0</v>
      </c>
    </row>
    <row r="580" spans="1:14" customFormat="1" outlineLevel="1" x14ac:dyDescent="0.25">
      <c r="A580" s="1511">
        <f t="shared" si="65"/>
        <v>0</v>
      </c>
      <c r="B580" s="1515" t="str">
        <f t="shared" si="65"/>
        <v>IDC</v>
      </c>
      <c r="C580" s="1396" t="str">
        <f t="shared" si="65"/>
        <v>Yet to be approved</v>
      </c>
      <c r="D580" s="1378" t="str">
        <f t="shared" si="65"/>
        <v>-</v>
      </c>
      <c r="E580" s="1505">
        <f t="shared" si="65"/>
        <v>0</v>
      </c>
      <c r="F580" s="1509">
        <f t="shared" si="60"/>
        <v>0</v>
      </c>
      <c r="G580" s="1509">
        <f t="shared" si="61"/>
        <v>0</v>
      </c>
      <c r="H580" s="1509">
        <f t="shared" si="62"/>
        <v>0</v>
      </c>
      <c r="I580" s="1509">
        <v>0</v>
      </c>
      <c r="J580" s="1509">
        <v>0</v>
      </c>
      <c r="K580" s="1505"/>
      <c r="L580" s="1505"/>
      <c r="M580" s="1505">
        <f t="shared" si="63"/>
        <v>0</v>
      </c>
      <c r="N580" s="1505">
        <f t="shared" si="64"/>
        <v>0</v>
      </c>
    </row>
    <row r="581" spans="1:14" customFormat="1" outlineLevel="1" x14ac:dyDescent="0.25">
      <c r="A581" s="1506">
        <f t="shared" si="65"/>
        <v>18</v>
      </c>
      <c r="B581" s="1507" t="str">
        <f t="shared" si="65"/>
        <v>DPR on life enhancement of Coal Handling Plant</v>
      </c>
      <c r="C581" s="1506" t="str">
        <f t="shared" si="65"/>
        <v>Yet to be approved</v>
      </c>
      <c r="D581" s="1507" t="str">
        <f t="shared" si="65"/>
        <v>-</v>
      </c>
      <c r="E581" s="1506">
        <f t="shared" si="65"/>
        <v>0</v>
      </c>
      <c r="F581" s="1509">
        <f t="shared" si="60"/>
        <v>0</v>
      </c>
      <c r="G581" s="1509">
        <f t="shared" si="61"/>
        <v>0</v>
      </c>
      <c r="H581" s="1509">
        <f t="shared" si="62"/>
        <v>0</v>
      </c>
      <c r="I581" s="1509">
        <v>0</v>
      </c>
      <c r="J581" s="1509">
        <v>0</v>
      </c>
      <c r="K581" s="1506"/>
      <c r="L581" s="1507"/>
      <c r="M581" s="1506">
        <f t="shared" si="63"/>
        <v>0</v>
      </c>
      <c r="N581" s="1507">
        <f t="shared" si="64"/>
        <v>0</v>
      </c>
    </row>
    <row r="582" spans="1:14" customFormat="1" ht="29" outlineLevel="1" x14ac:dyDescent="0.25">
      <c r="A582" s="1511">
        <f t="shared" si="65"/>
        <v>18.100000000000001</v>
      </c>
      <c r="B582" s="1515" t="str">
        <f t="shared" si="65"/>
        <v>Renovation, upgradation  &amp; capacity enhancement of LT switch gear panels at W/T, S/R and CHP control Switch board at CHP U-6/7.</v>
      </c>
      <c r="C582" s="1396" t="str">
        <f t="shared" si="65"/>
        <v>Yet to be approved</v>
      </c>
      <c r="D582" s="1378" t="str">
        <f t="shared" si="65"/>
        <v>-</v>
      </c>
      <c r="E582" s="1505">
        <f t="shared" si="65"/>
        <v>0</v>
      </c>
      <c r="F582" s="1509">
        <f t="shared" si="60"/>
        <v>0</v>
      </c>
      <c r="G582" s="1509">
        <f t="shared" si="61"/>
        <v>0</v>
      </c>
      <c r="H582" s="1509">
        <f t="shared" si="62"/>
        <v>0</v>
      </c>
      <c r="I582" s="1509">
        <v>0</v>
      </c>
      <c r="J582" s="1509">
        <v>0</v>
      </c>
      <c r="K582" s="1505"/>
      <c r="L582" s="1505"/>
      <c r="M582" s="1505">
        <f t="shared" si="63"/>
        <v>0</v>
      </c>
      <c r="N582" s="1505">
        <f t="shared" si="64"/>
        <v>0</v>
      </c>
    </row>
    <row r="583" spans="1:14" customFormat="1" outlineLevel="1" x14ac:dyDescent="0.25">
      <c r="A583" s="1511">
        <f t="shared" si="65"/>
        <v>18.2</v>
      </c>
      <c r="B583" s="1515" t="str">
        <f t="shared" si="65"/>
        <v>Procurement &amp; installation of Belt tear detection system</v>
      </c>
      <c r="C583" s="1396" t="str">
        <f t="shared" si="65"/>
        <v>Yet to be approved</v>
      </c>
      <c r="D583" s="1378" t="str">
        <f t="shared" si="65"/>
        <v>-</v>
      </c>
      <c r="E583" s="1505">
        <f t="shared" si="65"/>
        <v>0</v>
      </c>
      <c r="F583" s="1509">
        <f t="shared" si="60"/>
        <v>0</v>
      </c>
      <c r="G583" s="1509">
        <f t="shared" si="61"/>
        <v>0</v>
      </c>
      <c r="H583" s="1509">
        <f t="shared" si="62"/>
        <v>0</v>
      </c>
      <c r="I583" s="1509">
        <v>0</v>
      </c>
      <c r="J583" s="1509">
        <v>0</v>
      </c>
      <c r="K583" s="1505"/>
      <c r="L583" s="1505"/>
      <c r="M583" s="1505">
        <f t="shared" si="63"/>
        <v>0</v>
      </c>
      <c r="N583" s="1505">
        <f t="shared" si="64"/>
        <v>0</v>
      </c>
    </row>
    <row r="584" spans="1:14" customFormat="1" outlineLevel="1" x14ac:dyDescent="0.25">
      <c r="A584" s="1511">
        <f t="shared" si="65"/>
        <v>18.3</v>
      </c>
      <c r="B584" s="1515" t="str">
        <f t="shared" si="65"/>
        <v>Conveyor gravity takeup infrastructure strengthening work</v>
      </c>
      <c r="C584" s="1396" t="str">
        <f t="shared" si="65"/>
        <v>Yet to be approved</v>
      </c>
      <c r="D584" s="1378" t="str">
        <f t="shared" si="65"/>
        <v>-</v>
      </c>
      <c r="E584" s="1505">
        <f t="shared" si="65"/>
        <v>0</v>
      </c>
      <c r="F584" s="1509">
        <f t="shared" si="60"/>
        <v>0</v>
      </c>
      <c r="G584" s="1509">
        <f t="shared" si="61"/>
        <v>0</v>
      </c>
      <c r="H584" s="1509">
        <f t="shared" si="62"/>
        <v>0</v>
      </c>
      <c r="I584" s="1509">
        <v>0</v>
      </c>
      <c r="J584" s="1509">
        <v>0</v>
      </c>
      <c r="K584" s="1505"/>
      <c r="L584" s="1505"/>
      <c r="M584" s="1505">
        <f t="shared" si="63"/>
        <v>0</v>
      </c>
      <c r="N584" s="1505">
        <f t="shared" si="64"/>
        <v>0</v>
      </c>
    </row>
    <row r="585" spans="1:14" customFormat="1" outlineLevel="1" x14ac:dyDescent="0.25">
      <c r="A585" s="1511">
        <f t="shared" si="65"/>
        <v>18.399999999999999</v>
      </c>
      <c r="B585" s="1515" t="str">
        <f t="shared" si="65"/>
        <v>Replacement of vibrating feeder-I with Apron Feeder at CHP U-6/7.</v>
      </c>
      <c r="C585" s="1396" t="str">
        <f t="shared" si="65"/>
        <v>Yet to be approved</v>
      </c>
      <c r="D585" s="1378" t="str">
        <f t="shared" si="65"/>
        <v>-</v>
      </c>
      <c r="E585" s="1505">
        <f t="shared" si="65"/>
        <v>0</v>
      </c>
      <c r="F585" s="1509">
        <f t="shared" si="60"/>
        <v>0</v>
      </c>
      <c r="G585" s="1509">
        <f t="shared" si="61"/>
        <v>0</v>
      </c>
      <c r="H585" s="1509">
        <f t="shared" si="62"/>
        <v>0</v>
      </c>
      <c r="I585" s="1509">
        <v>0</v>
      </c>
      <c r="J585" s="1509">
        <v>0</v>
      </c>
      <c r="K585" s="1505"/>
      <c r="L585" s="1505"/>
      <c r="M585" s="1505">
        <f t="shared" si="63"/>
        <v>0</v>
      </c>
      <c r="N585" s="1505">
        <f t="shared" si="64"/>
        <v>0</v>
      </c>
    </row>
    <row r="586" spans="1:14" customFormat="1" outlineLevel="1" x14ac:dyDescent="0.25">
      <c r="A586" s="1511">
        <f t="shared" si="65"/>
        <v>0</v>
      </c>
      <c r="B586" s="1515" t="str">
        <f t="shared" si="65"/>
        <v>IDC</v>
      </c>
      <c r="C586" s="1396" t="str">
        <f t="shared" si="65"/>
        <v>Yet to be approved</v>
      </c>
      <c r="D586" s="1378" t="str">
        <f t="shared" si="65"/>
        <v>-</v>
      </c>
      <c r="E586" s="1505">
        <f t="shared" si="65"/>
        <v>0</v>
      </c>
      <c r="F586" s="1509">
        <f t="shared" si="60"/>
        <v>0</v>
      </c>
      <c r="G586" s="1509">
        <f t="shared" si="61"/>
        <v>0</v>
      </c>
      <c r="H586" s="1509">
        <f t="shared" si="62"/>
        <v>0</v>
      </c>
      <c r="I586" s="1509">
        <v>0</v>
      </c>
      <c r="J586" s="1509">
        <v>0</v>
      </c>
      <c r="K586" s="1505"/>
      <c r="L586" s="1505"/>
      <c r="M586" s="1505">
        <f t="shared" si="63"/>
        <v>0</v>
      </c>
      <c r="N586" s="1505">
        <f t="shared" si="64"/>
        <v>0</v>
      </c>
    </row>
    <row r="587" spans="1:14" customFormat="1" outlineLevel="1" x14ac:dyDescent="0.25">
      <c r="A587" s="1506">
        <f t="shared" si="65"/>
        <v>19</v>
      </c>
      <c r="B587" s="1507" t="str">
        <f t="shared" si="65"/>
        <v>DPR for stabiliazation of Coal Handling Performance.</v>
      </c>
      <c r="C587" s="1506" t="str">
        <f t="shared" si="65"/>
        <v>Yet to be approved</v>
      </c>
      <c r="D587" s="1507" t="str">
        <f t="shared" si="65"/>
        <v>-</v>
      </c>
      <c r="E587" s="1506">
        <f t="shared" si="65"/>
        <v>0</v>
      </c>
      <c r="F587" s="1509">
        <f t="shared" si="60"/>
        <v>0</v>
      </c>
      <c r="G587" s="1509">
        <f t="shared" si="61"/>
        <v>0</v>
      </c>
      <c r="H587" s="1509">
        <f t="shared" si="62"/>
        <v>0</v>
      </c>
      <c r="I587" s="1509">
        <v>0</v>
      </c>
      <c r="J587" s="1509">
        <v>0</v>
      </c>
      <c r="K587" s="1506"/>
      <c r="L587" s="1507"/>
      <c r="M587" s="1506">
        <f t="shared" si="63"/>
        <v>0</v>
      </c>
      <c r="N587" s="1507">
        <f t="shared" si="64"/>
        <v>0</v>
      </c>
    </row>
    <row r="588" spans="1:14" customFormat="1" outlineLevel="1" x14ac:dyDescent="0.25">
      <c r="A588" s="1511">
        <f t="shared" si="65"/>
        <v>19.100000000000001</v>
      </c>
      <c r="B588" s="1515" t="str">
        <f t="shared" si="65"/>
        <v>Drive modification of Stacker Reclaimer slewing system.</v>
      </c>
      <c r="C588" s="1396" t="str">
        <f t="shared" si="65"/>
        <v>Yet to be approved</v>
      </c>
      <c r="D588" s="1378" t="str">
        <f t="shared" si="65"/>
        <v>-</v>
      </c>
      <c r="E588" s="1505">
        <f t="shared" si="65"/>
        <v>0</v>
      </c>
      <c r="F588" s="1509">
        <f t="shared" si="60"/>
        <v>0</v>
      </c>
      <c r="G588" s="1509">
        <f t="shared" si="61"/>
        <v>0</v>
      </c>
      <c r="H588" s="1509">
        <f t="shared" si="62"/>
        <v>0</v>
      </c>
      <c r="I588" s="1509">
        <v>0</v>
      </c>
      <c r="J588" s="1509">
        <v>0</v>
      </c>
      <c r="K588" s="1505"/>
      <c r="L588" s="1505"/>
      <c r="M588" s="1505">
        <f t="shared" si="63"/>
        <v>0</v>
      </c>
      <c r="N588" s="1505">
        <f t="shared" si="64"/>
        <v>0</v>
      </c>
    </row>
    <row r="589" spans="1:14" customFormat="1" outlineLevel="1" x14ac:dyDescent="0.25">
      <c r="A589" s="1511">
        <f t="shared" si="65"/>
        <v>19.2</v>
      </c>
      <c r="B589" s="1515" t="str">
        <f t="shared" si="65"/>
        <v>Retrofitting of Side Arm Charger-I &amp; II at CHP U-6,7</v>
      </c>
      <c r="C589" s="1396" t="str">
        <f t="shared" si="65"/>
        <v>Yet to be approved</v>
      </c>
      <c r="D589" s="1378" t="str">
        <f t="shared" si="65"/>
        <v>-</v>
      </c>
      <c r="E589" s="1505">
        <f t="shared" si="65"/>
        <v>0</v>
      </c>
      <c r="F589" s="1509">
        <f t="shared" si="60"/>
        <v>0</v>
      </c>
      <c r="G589" s="1509">
        <f t="shared" si="61"/>
        <v>0</v>
      </c>
      <c r="H589" s="1509">
        <f t="shared" si="62"/>
        <v>0</v>
      </c>
      <c r="I589" s="1509">
        <v>0</v>
      </c>
      <c r="J589" s="1509">
        <v>0</v>
      </c>
      <c r="K589" s="1505"/>
      <c r="L589" s="1505"/>
      <c r="M589" s="1505">
        <f t="shared" si="63"/>
        <v>0</v>
      </c>
      <c r="N589" s="1505">
        <f t="shared" si="64"/>
        <v>0</v>
      </c>
    </row>
    <row r="590" spans="1:14" customFormat="1" outlineLevel="1" x14ac:dyDescent="0.25">
      <c r="A590" s="1511">
        <f t="shared" ref="A590:E605" si="66">A233</f>
        <v>19.3</v>
      </c>
      <c r="B590" s="1515" t="str">
        <f t="shared" si="66"/>
        <v>Provision of open Wagon Tippler at CHP U-6/7</v>
      </c>
      <c r="C590" s="1396" t="str">
        <f t="shared" si="66"/>
        <v>Yet to be approved</v>
      </c>
      <c r="D590" s="1378" t="str">
        <f t="shared" si="66"/>
        <v>-</v>
      </c>
      <c r="E590" s="1505">
        <f t="shared" si="66"/>
        <v>0</v>
      </c>
      <c r="F590" s="1509">
        <f t="shared" si="60"/>
        <v>0</v>
      </c>
      <c r="G590" s="1509">
        <f t="shared" si="61"/>
        <v>0</v>
      </c>
      <c r="H590" s="1509">
        <f t="shared" si="62"/>
        <v>0</v>
      </c>
      <c r="I590" s="1509">
        <v>0</v>
      </c>
      <c r="J590" s="1509">
        <v>0</v>
      </c>
      <c r="K590" s="1505"/>
      <c r="L590" s="1505"/>
      <c r="M590" s="1505">
        <f t="shared" si="63"/>
        <v>0</v>
      </c>
      <c r="N590" s="1505">
        <f t="shared" si="64"/>
        <v>0</v>
      </c>
    </row>
    <row r="591" spans="1:14" customFormat="1" outlineLevel="1" x14ac:dyDescent="0.25">
      <c r="A591" s="1511">
        <f t="shared" si="66"/>
        <v>19.399999999999999</v>
      </c>
      <c r="B591" s="1515" t="str">
        <f t="shared" si="66"/>
        <v>Refurbishment of Apron Feeder at CHP U-6,7</v>
      </c>
      <c r="C591" s="1396" t="str">
        <f t="shared" si="66"/>
        <v>Yet to be approved</v>
      </c>
      <c r="D591" s="1378" t="str">
        <f t="shared" si="66"/>
        <v>-</v>
      </c>
      <c r="E591" s="1505">
        <f t="shared" si="66"/>
        <v>0</v>
      </c>
      <c r="F591" s="1509">
        <f t="shared" si="60"/>
        <v>0</v>
      </c>
      <c r="G591" s="1509">
        <f t="shared" si="61"/>
        <v>0</v>
      </c>
      <c r="H591" s="1509">
        <f t="shared" si="62"/>
        <v>0</v>
      </c>
      <c r="I591" s="1509">
        <v>0</v>
      </c>
      <c r="J591" s="1509">
        <v>0</v>
      </c>
      <c r="K591" s="1505"/>
      <c r="L591" s="1505"/>
      <c r="M591" s="1505">
        <f t="shared" si="63"/>
        <v>0</v>
      </c>
      <c r="N591" s="1505">
        <f t="shared" si="64"/>
        <v>0</v>
      </c>
    </row>
    <row r="592" spans="1:14" customFormat="1" outlineLevel="1" x14ac:dyDescent="0.25">
      <c r="A592" s="1511">
        <f t="shared" si="66"/>
        <v>0</v>
      </c>
      <c r="B592" s="1515" t="str">
        <f t="shared" si="66"/>
        <v>IDC</v>
      </c>
      <c r="C592" s="1396" t="str">
        <f t="shared" si="66"/>
        <v>Yet to be approved</v>
      </c>
      <c r="D592" s="1378" t="str">
        <f t="shared" si="66"/>
        <v>-</v>
      </c>
      <c r="E592" s="1505">
        <f t="shared" si="66"/>
        <v>0</v>
      </c>
      <c r="F592" s="1509">
        <f t="shared" si="60"/>
        <v>0</v>
      </c>
      <c r="G592" s="1509">
        <f t="shared" si="61"/>
        <v>0</v>
      </c>
      <c r="H592" s="1509">
        <f t="shared" si="62"/>
        <v>0</v>
      </c>
      <c r="I592" s="1509">
        <v>0</v>
      </c>
      <c r="J592" s="1509">
        <v>0</v>
      </c>
      <c r="K592" s="1505"/>
      <c r="L592" s="1505"/>
      <c r="M592" s="1505">
        <f t="shared" si="63"/>
        <v>0</v>
      </c>
      <c r="N592" s="1505">
        <f t="shared" si="64"/>
        <v>0</v>
      </c>
    </row>
    <row r="593" spans="1:14" customFormat="1" ht="29" outlineLevel="1" x14ac:dyDescent="0.25">
      <c r="A593" s="1506">
        <f t="shared" si="66"/>
        <v>20</v>
      </c>
      <c r="B593" s="1507" t="str">
        <f t="shared" si="66"/>
        <v>Procurement &amp; Replacement of 220V station batteries, 360V UPS batteries, 24V DCS batteries , 360V UPS AHP batteries at U6 &amp; U7 NPTPS</v>
      </c>
      <c r="C593" s="1506" t="str">
        <f t="shared" si="66"/>
        <v>Yet to be approved</v>
      </c>
      <c r="D593" s="1507" t="str">
        <f t="shared" si="66"/>
        <v>-</v>
      </c>
      <c r="E593" s="1506">
        <f t="shared" si="66"/>
        <v>0</v>
      </c>
      <c r="F593" s="1509">
        <f t="shared" si="60"/>
        <v>0</v>
      </c>
      <c r="G593" s="1509">
        <f t="shared" si="61"/>
        <v>0</v>
      </c>
      <c r="H593" s="1509">
        <f t="shared" si="62"/>
        <v>0</v>
      </c>
      <c r="I593" s="1509">
        <v>0</v>
      </c>
      <c r="J593" s="1509">
        <v>0</v>
      </c>
      <c r="K593" s="1506"/>
      <c r="L593" s="1507"/>
      <c r="M593" s="1506">
        <f t="shared" si="63"/>
        <v>0</v>
      </c>
      <c r="N593" s="1507">
        <f t="shared" si="64"/>
        <v>0</v>
      </c>
    </row>
    <row r="594" spans="1:14" customFormat="1" ht="43.5" outlineLevel="1" x14ac:dyDescent="0.25">
      <c r="A594" s="1511">
        <f t="shared" si="66"/>
        <v>20.100000000000001</v>
      </c>
      <c r="B594" s="1515" t="str">
        <f t="shared" si="66"/>
        <v>Procurement &amp; Replacement of 220V station batteries, 360V UPS batteries, 24V DCS batteries , 360V UPS AHP batteries at U6 &amp; U7 NPTPS</v>
      </c>
      <c r="C594" s="1396" t="str">
        <f t="shared" si="66"/>
        <v>Yet to be approved</v>
      </c>
      <c r="D594" s="1378" t="str">
        <f t="shared" si="66"/>
        <v>-</v>
      </c>
      <c r="E594" s="1505">
        <f t="shared" si="66"/>
        <v>0</v>
      </c>
      <c r="F594" s="1509">
        <f t="shared" si="60"/>
        <v>0</v>
      </c>
      <c r="G594" s="1509">
        <f t="shared" si="61"/>
        <v>0</v>
      </c>
      <c r="H594" s="1509">
        <f t="shared" si="62"/>
        <v>0</v>
      </c>
      <c r="I594" s="1509">
        <v>0</v>
      </c>
      <c r="J594" s="1509">
        <v>0</v>
      </c>
      <c r="K594" s="1505"/>
      <c r="L594" s="1505"/>
      <c r="M594" s="1505">
        <f t="shared" si="63"/>
        <v>0</v>
      </c>
      <c r="N594" s="1505">
        <f t="shared" si="64"/>
        <v>0</v>
      </c>
    </row>
    <row r="595" spans="1:14" customFormat="1" outlineLevel="1" x14ac:dyDescent="0.25">
      <c r="A595" s="1511">
        <f t="shared" si="66"/>
        <v>0</v>
      </c>
      <c r="B595" s="1515" t="str">
        <f t="shared" si="66"/>
        <v>IDC</v>
      </c>
      <c r="C595" s="1396" t="str">
        <f t="shared" si="66"/>
        <v>Yet to be approved</v>
      </c>
      <c r="D595" s="1378" t="str">
        <f t="shared" si="66"/>
        <v>-</v>
      </c>
      <c r="E595" s="1505">
        <f t="shared" si="66"/>
        <v>0</v>
      </c>
      <c r="F595" s="1509">
        <f t="shared" si="60"/>
        <v>0</v>
      </c>
      <c r="G595" s="1509">
        <f t="shared" si="61"/>
        <v>0</v>
      </c>
      <c r="H595" s="1509">
        <f t="shared" si="62"/>
        <v>0</v>
      </c>
      <c r="I595" s="1509">
        <v>0</v>
      </c>
      <c r="J595" s="1509">
        <v>0</v>
      </c>
      <c r="K595" s="1505"/>
      <c r="L595" s="1505"/>
      <c r="M595" s="1505">
        <f t="shared" si="63"/>
        <v>0</v>
      </c>
      <c r="N595" s="1505">
        <f t="shared" si="64"/>
        <v>0</v>
      </c>
    </row>
    <row r="596" spans="1:14" customFormat="1" ht="29" outlineLevel="1" x14ac:dyDescent="0.25">
      <c r="A596" s="1506">
        <f t="shared" si="66"/>
        <v>21</v>
      </c>
      <c r="B596" s="1507" t="str">
        <f t="shared" si="66"/>
        <v>DPR on Various electricle maintenance schemes at Unit 6,7 NPTPS Parli-V</v>
      </c>
      <c r="C596" s="1506" t="str">
        <f t="shared" si="66"/>
        <v>Yet to be approved</v>
      </c>
      <c r="D596" s="1507" t="str">
        <f t="shared" si="66"/>
        <v>-</v>
      </c>
      <c r="E596" s="1506">
        <f t="shared" si="66"/>
        <v>0</v>
      </c>
      <c r="F596" s="1509">
        <f t="shared" si="60"/>
        <v>0</v>
      </c>
      <c r="G596" s="1509">
        <f t="shared" si="61"/>
        <v>0</v>
      </c>
      <c r="H596" s="1509">
        <f t="shared" si="62"/>
        <v>0</v>
      </c>
      <c r="I596" s="1509">
        <v>0</v>
      </c>
      <c r="J596" s="1509">
        <v>0</v>
      </c>
      <c r="K596" s="1506"/>
      <c r="L596" s="1507"/>
      <c r="M596" s="1506">
        <f t="shared" si="63"/>
        <v>0</v>
      </c>
      <c r="N596" s="1507">
        <f t="shared" si="64"/>
        <v>0</v>
      </c>
    </row>
    <row r="597" spans="1:14" customFormat="1" ht="29" outlineLevel="1" x14ac:dyDescent="0.25">
      <c r="A597" s="1511">
        <f t="shared" si="66"/>
        <v>21.1</v>
      </c>
      <c r="B597" s="1515" t="str">
        <f t="shared" si="66"/>
        <v>Rennovation of Khadka &amp; Naikota switchyard including replacement of Transformer and 33 KV outdoor type VCBs</v>
      </c>
      <c r="C597" s="1396" t="str">
        <f t="shared" si="66"/>
        <v>Yet to be approved</v>
      </c>
      <c r="D597" s="1378" t="str">
        <f t="shared" si="66"/>
        <v>-</v>
      </c>
      <c r="E597" s="1505">
        <f t="shared" si="66"/>
        <v>0</v>
      </c>
      <c r="F597" s="1509">
        <f t="shared" si="60"/>
        <v>0</v>
      </c>
      <c r="G597" s="1509">
        <f t="shared" si="61"/>
        <v>0</v>
      </c>
      <c r="H597" s="1509">
        <f t="shared" si="62"/>
        <v>0</v>
      </c>
      <c r="I597" s="1509">
        <v>0</v>
      </c>
      <c r="J597" s="1509">
        <v>0</v>
      </c>
      <c r="K597" s="1505"/>
      <c r="L597" s="1505"/>
      <c r="M597" s="1505">
        <f t="shared" si="63"/>
        <v>0</v>
      </c>
      <c r="N597" s="1505">
        <f t="shared" si="64"/>
        <v>0</v>
      </c>
    </row>
    <row r="598" spans="1:14" customFormat="1" ht="29" outlineLevel="1" x14ac:dyDescent="0.25">
      <c r="A598" s="1511">
        <f t="shared" si="66"/>
        <v>21.2</v>
      </c>
      <c r="B598" s="1515" t="str">
        <f t="shared" si="66"/>
        <v>Replacement of Khadka ,naikota 6.6 KV HT Breaker Panel , breaker trolleys and control cabinet</v>
      </c>
      <c r="C598" s="1396" t="str">
        <f t="shared" si="66"/>
        <v>Yet to be approved</v>
      </c>
      <c r="D598" s="1378" t="str">
        <f t="shared" si="66"/>
        <v>-</v>
      </c>
      <c r="E598" s="1505">
        <f t="shared" si="66"/>
        <v>0</v>
      </c>
      <c r="F598" s="1509">
        <f t="shared" si="60"/>
        <v>0</v>
      </c>
      <c r="G598" s="1509">
        <f t="shared" si="61"/>
        <v>0</v>
      </c>
      <c r="H598" s="1509">
        <f t="shared" si="62"/>
        <v>0</v>
      </c>
      <c r="I598" s="1509">
        <v>0</v>
      </c>
      <c r="J598" s="1509">
        <v>0</v>
      </c>
      <c r="K598" s="1505"/>
      <c r="L598" s="1505"/>
      <c r="M598" s="1505">
        <f t="shared" si="63"/>
        <v>0</v>
      </c>
      <c r="N598" s="1505">
        <f t="shared" si="64"/>
        <v>0</v>
      </c>
    </row>
    <row r="599" spans="1:14" customFormat="1" outlineLevel="1" x14ac:dyDescent="0.25">
      <c r="A599" s="1511">
        <f t="shared" si="66"/>
        <v>21.3</v>
      </c>
      <c r="B599" s="1515" t="str">
        <f t="shared" si="66"/>
        <v>Replacement of LT breakers &amp; modules at Unit 7</v>
      </c>
      <c r="C599" s="1396" t="str">
        <f t="shared" si="66"/>
        <v>Yet to be approved</v>
      </c>
      <c r="D599" s="1378" t="str">
        <f t="shared" si="66"/>
        <v>-</v>
      </c>
      <c r="E599" s="1505">
        <f t="shared" si="66"/>
        <v>0</v>
      </c>
      <c r="F599" s="1509">
        <f t="shared" si="60"/>
        <v>0</v>
      </c>
      <c r="G599" s="1509">
        <f t="shared" si="61"/>
        <v>0</v>
      </c>
      <c r="H599" s="1509">
        <f t="shared" si="62"/>
        <v>0</v>
      </c>
      <c r="I599" s="1509">
        <v>0</v>
      </c>
      <c r="J599" s="1509">
        <v>0</v>
      </c>
      <c r="K599" s="1505"/>
      <c r="L599" s="1505"/>
      <c r="M599" s="1505">
        <f t="shared" si="63"/>
        <v>0</v>
      </c>
      <c r="N599" s="1505">
        <f t="shared" si="64"/>
        <v>0</v>
      </c>
    </row>
    <row r="600" spans="1:14" customFormat="1" ht="29" outlineLevel="1" x14ac:dyDescent="0.25">
      <c r="A600" s="1511">
        <f t="shared" si="66"/>
        <v>21.4</v>
      </c>
      <c r="B600" s="1515" t="str">
        <f t="shared" si="66"/>
        <v>Rennovation/Replacement  of Boiler &amp; Turbine side lighting by energy efficient LED lighting at unit 6&amp;7, NPTPS, Parli vaijnath</v>
      </c>
      <c r="C600" s="1396" t="str">
        <f t="shared" si="66"/>
        <v>Yet to be approved</v>
      </c>
      <c r="D600" s="1378" t="str">
        <f t="shared" si="66"/>
        <v>-</v>
      </c>
      <c r="E600" s="1505">
        <f t="shared" si="66"/>
        <v>0</v>
      </c>
      <c r="F600" s="1509">
        <f t="shared" si="60"/>
        <v>0</v>
      </c>
      <c r="G600" s="1509">
        <f t="shared" si="61"/>
        <v>0</v>
      </c>
      <c r="H600" s="1509">
        <f t="shared" si="62"/>
        <v>0</v>
      </c>
      <c r="I600" s="1509">
        <v>0</v>
      </c>
      <c r="J600" s="1509">
        <v>0</v>
      </c>
      <c r="K600" s="1505"/>
      <c r="L600" s="1505"/>
      <c r="M600" s="1505">
        <f t="shared" si="63"/>
        <v>0</v>
      </c>
      <c r="N600" s="1505">
        <f t="shared" si="64"/>
        <v>0</v>
      </c>
    </row>
    <row r="601" spans="1:14" customFormat="1" ht="29" outlineLevel="1" x14ac:dyDescent="0.25">
      <c r="A601" s="1511">
        <f t="shared" si="66"/>
        <v>21.5</v>
      </c>
      <c r="B601" s="1515" t="str">
        <f t="shared" si="66"/>
        <v>nstallation of VFD for CEP, FD Fan, Seal Air Fan &amp; HFO pump motors at unit 6&amp;7, NPTPS, Parli Vaijnath</v>
      </c>
      <c r="C601" s="1396" t="str">
        <f t="shared" si="66"/>
        <v>Yet to be approved</v>
      </c>
      <c r="D601" s="1378" t="str">
        <f t="shared" si="66"/>
        <v>-</v>
      </c>
      <c r="E601" s="1505">
        <f t="shared" si="66"/>
        <v>0</v>
      </c>
      <c r="F601" s="1509">
        <f t="shared" si="60"/>
        <v>0</v>
      </c>
      <c r="G601" s="1509">
        <f t="shared" si="61"/>
        <v>0</v>
      </c>
      <c r="H601" s="1509">
        <f t="shared" si="62"/>
        <v>0</v>
      </c>
      <c r="I601" s="1509">
        <v>0</v>
      </c>
      <c r="J601" s="1509">
        <v>0</v>
      </c>
      <c r="K601" s="1505"/>
      <c r="L601" s="1505"/>
      <c r="M601" s="1505">
        <f t="shared" si="63"/>
        <v>0</v>
      </c>
      <c r="N601" s="1505">
        <f t="shared" si="64"/>
        <v>0</v>
      </c>
    </row>
    <row r="602" spans="1:14" customFormat="1" outlineLevel="1" x14ac:dyDescent="0.25">
      <c r="A602" s="1511">
        <f t="shared" si="66"/>
        <v>0</v>
      </c>
      <c r="B602" s="1515" t="str">
        <f t="shared" si="66"/>
        <v>IDC</v>
      </c>
      <c r="C602" s="1396" t="str">
        <f t="shared" si="66"/>
        <v>Yet to be approved</v>
      </c>
      <c r="D602" s="1378" t="str">
        <f t="shared" si="66"/>
        <v>-</v>
      </c>
      <c r="E602" s="1505">
        <f t="shared" si="66"/>
        <v>0</v>
      </c>
      <c r="F602" s="1509">
        <f t="shared" si="60"/>
        <v>0</v>
      </c>
      <c r="G602" s="1509">
        <f t="shared" si="61"/>
        <v>0</v>
      </c>
      <c r="H602" s="1509">
        <f t="shared" si="62"/>
        <v>0</v>
      </c>
      <c r="I602" s="1509">
        <v>0</v>
      </c>
      <c r="J602" s="1509">
        <v>0</v>
      </c>
      <c r="K602" s="1505"/>
      <c r="L602" s="1505"/>
      <c r="M602" s="1505">
        <f t="shared" si="63"/>
        <v>0</v>
      </c>
      <c r="N602" s="1505">
        <f t="shared" si="64"/>
        <v>0</v>
      </c>
    </row>
    <row r="603" spans="1:14" customFormat="1" ht="29" outlineLevel="1" x14ac:dyDescent="0.25">
      <c r="A603" s="1506">
        <f t="shared" si="66"/>
        <v>22</v>
      </c>
      <c r="B603" s="1507" t="str">
        <f t="shared" si="66"/>
        <v>Renovation of Colony Electrical supply system &amp; also replacement of wiring of all Types of buildings ,street light,highmast etc</v>
      </c>
      <c r="C603" s="1506" t="str">
        <f t="shared" si="66"/>
        <v>Yet to be approved</v>
      </c>
      <c r="D603" s="1507" t="str">
        <f t="shared" si="66"/>
        <v>-</v>
      </c>
      <c r="E603" s="1506">
        <f t="shared" si="66"/>
        <v>0</v>
      </c>
      <c r="F603" s="1509">
        <f t="shared" si="60"/>
        <v>0</v>
      </c>
      <c r="G603" s="1509">
        <f t="shared" si="61"/>
        <v>0</v>
      </c>
      <c r="H603" s="1509">
        <f t="shared" si="62"/>
        <v>0</v>
      </c>
      <c r="I603" s="1509">
        <v>0</v>
      </c>
      <c r="J603" s="1509">
        <v>0</v>
      </c>
      <c r="K603" s="1506"/>
      <c r="L603" s="1507"/>
      <c r="M603" s="1506">
        <f t="shared" si="63"/>
        <v>0</v>
      </c>
      <c r="N603" s="1507">
        <f t="shared" si="64"/>
        <v>0</v>
      </c>
    </row>
    <row r="604" spans="1:14" customFormat="1" ht="29" outlineLevel="1" x14ac:dyDescent="0.25">
      <c r="A604" s="1511">
        <f t="shared" si="66"/>
        <v>22.1</v>
      </c>
      <c r="B604" s="1515" t="str">
        <f t="shared" si="66"/>
        <v>Renovation of Colony Electrical supply system &amp; also replacement of wiring of all Types of buildings ,street light,highmast etc</v>
      </c>
      <c r="C604" s="1396" t="str">
        <f t="shared" si="66"/>
        <v>Yet to be approved</v>
      </c>
      <c r="D604" s="1378" t="str">
        <f t="shared" si="66"/>
        <v>-</v>
      </c>
      <c r="E604" s="1505">
        <f t="shared" si="66"/>
        <v>0</v>
      </c>
      <c r="F604" s="1509">
        <f t="shared" si="60"/>
        <v>0</v>
      </c>
      <c r="G604" s="1509">
        <f t="shared" si="61"/>
        <v>0</v>
      </c>
      <c r="H604" s="1509">
        <f t="shared" si="62"/>
        <v>0</v>
      </c>
      <c r="I604" s="1509">
        <v>0</v>
      </c>
      <c r="J604" s="1509">
        <v>0</v>
      </c>
      <c r="K604" s="1505"/>
      <c r="L604" s="1505"/>
      <c r="M604" s="1505">
        <f t="shared" si="63"/>
        <v>0</v>
      </c>
      <c r="N604" s="1505">
        <f t="shared" si="64"/>
        <v>0</v>
      </c>
    </row>
    <row r="605" spans="1:14" customFormat="1" outlineLevel="1" x14ac:dyDescent="0.25">
      <c r="A605" s="1511">
        <f t="shared" si="66"/>
        <v>0</v>
      </c>
      <c r="B605" s="1515" t="str">
        <f t="shared" si="66"/>
        <v>IDC</v>
      </c>
      <c r="C605" s="1396" t="str">
        <f t="shared" si="66"/>
        <v>Yet to be approved</v>
      </c>
      <c r="D605" s="1378" t="str">
        <f t="shared" si="66"/>
        <v>-</v>
      </c>
      <c r="E605" s="1505">
        <f t="shared" si="66"/>
        <v>0</v>
      </c>
      <c r="F605" s="1509">
        <f t="shared" si="60"/>
        <v>0</v>
      </c>
      <c r="G605" s="1509">
        <f t="shared" si="61"/>
        <v>0</v>
      </c>
      <c r="H605" s="1509">
        <f t="shared" si="62"/>
        <v>0</v>
      </c>
      <c r="I605" s="1509">
        <v>0</v>
      </c>
      <c r="J605" s="1509">
        <v>0</v>
      </c>
      <c r="K605" s="1505"/>
      <c r="L605" s="1505"/>
      <c r="M605" s="1505">
        <f t="shared" si="63"/>
        <v>0</v>
      </c>
      <c r="N605" s="1505">
        <f t="shared" si="64"/>
        <v>0</v>
      </c>
    </row>
    <row r="606" spans="1:14" customFormat="1" ht="58" outlineLevel="1" x14ac:dyDescent="0.25">
      <c r="A606" s="1506">
        <f t="shared" ref="A606:E621" si="67">A249</f>
        <v>23</v>
      </c>
      <c r="B606" s="1507" t="str">
        <f t="shared" si="67"/>
        <v xml:space="preserve"> UPGRADATION OF EXPIRED AND VULNERABLE Scada, operating system and hardware to improve life and communication system of IAC,OHP &amp; PTP plant UNIT 6&amp;7 250MW at NPTPS PARLI V" &amp; Emission Monitoring &amp; Water Quality Analysers system Upgradation Schemes</v>
      </c>
      <c r="C606" s="1506" t="str">
        <f t="shared" si="67"/>
        <v>Yet to be approved</v>
      </c>
      <c r="D606" s="1507" t="str">
        <f t="shared" si="67"/>
        <v>-</v>
      </c>
      <c r="E606" s="1506">
        <f t="shared" si="67"/>
        <v>0</v>
      </c>
      <c r="F606" s="1509">
        <f t="shared" si="60"/>
        <v>0</v>
      </c>
      <c r="G606" s="1509">
        <f t="shared" si="61"/>
        <v>0</v>
      </c>
      <c r="H606" s="1509">
        <f t="shared" si="62"/>
        <v>0</v>
      </c>
      <c r="I606" s="1509">
        <v>0</v>
      </c>
      <c r="J606" s="1509">
        <v>0</v>
      </c>
      <c r="K606" s="1506"/>
      <c r="L606" s="1507"/>
      <c r="M606" s="1506">
        <f t="shared" si="63"/>
        <v>0</v>
      </c>
      <c r="N606" s="1507">
        <f t="shared" si="64"/>
        <v>0</v>
      </c>
    </row>
    <row r="607" spans="1:14" customFormat="1" ht="43.5" outlineLevel="1" x14ac:dyDescent="0.25">
      <c r="A607" s="1511">
        <f t="shared" si="67"/>
        <v>23.1</v>
      </c>
      <c r="B607" s="1515" t="str">
        <f t="shared" si="67"/>
        <v>UPGRADATION OF EXPIRED AND VULNERABLE Scada, operating system and hardware to improve life and communication system of IAC,OHP &amp; PTP plant UNIT 6&amp;7 250MW at NPTPS PARLI V".</v>
      </c>
      <c r="C607" s="1396" t="str">
        <f t="shared" si="67"/>
        <v>Yet to be approved</v>
      </c>
      <c r="D607" s="1378" t="str">
        <f t="shared" si="67"/>
        <v>-</v>
      </c>
      <c r="E607" s="1505">
        <f t="shared" si="67"/>
        <v>0</v>
      </c>
      <c r="F607" s="1509">
        <f t="shared" si="60"/>
        <v>0</v>
      </c>
      <c r="G607" s="1509">
        <f t="shared" si="61"/>
        <v>0</v>
      </c>
      <c r="H607" s="1509">
        <f t="shared" si="62"/>
        <v>0</v>
      </c>
      <c r="I607" s="1509">
        <v>0</v>
      </c>
      <c r="J607" s="1509">
        <v>0</v>
      </c>
      <c r="K607" s="1505"/>
      <c r="L607" s="1505"/>
      <c r="M607" s="1505">
        <f t="shared" si="63"/>
        <v>0</v>
      </c>
      <c r="N607" s="1505">
        <f t="shared" si="64"/>
        <v>0</v>
      </c>
    </row>
    <row r="608" spans="1:14" customFormat="1" outlineLevel="1" x14ac:dyDescent="0.25">
      <c r="A608" s="1511">
        <f t="shared" si="67"/>
        <v>23.2</v>
      </c>
      <c r="B608" s="1515" t="str">
        <f t="shared" si="67"/>
        <v>Up gradation of SWAS system at U 7,NPTPS</v>
      </c>
      <c r="C608" s="1396" t="str">
        <f t="shared" si="67"/>
        <v>Yet to be approved</v>
      </c>
      <c r="D608" s="1378" t="str">
        <f t="shared" si="67"/>
        <v>-</v>
      </c>
      <c r="E608" s="1505">
        <f t="shared" si="67"/>
        <v>0</v>
      </c>
      <c r="F608" s="1509">
        <f t="shared" si="60"/>
        <v>0</v>
      </c>
      <c r="G608" s="1509">
        <f t="shared" si="61"/>
        <v>0</v>
      </c>
      <c r="H608" s="1509">
        <f t="shared" si="62"/>
        <v>0</v>
      </c>
      <c r="I608" s="1509">
        <v>0</v>
      </c>
      <c r="J608" s="1509">
        <v>0</v>
      </c>
      <c r="K608" s="1505"/>
      <c r="L608" s="1505"/>
      <c r="M608" s="1505">
        <f t="shared" si="63"/>
        <v>0</v>
      </c>
      <c r="N608" s="1505">
        <f t="shared" si="64"/>
        <v>0</v>
      </c>
    </row>
    <row r="609" spans="1:14" customFormat="1" outlineLevel="1" x14ac:dyDescent="0.25">
      <c r="A609" s="1511">
        <f t="shared" si="67"/>
        <v>23.3</v>
      </c>
      <c r="B609" s="1515" t="str">
        <f t="shared" si="67"/>
        <v>Oxygen measurement  APH and at ID outlet</v>
      </c>
      <c r="C609" s="1396" t="str">
        <f t="shared" si="67"/>
        <v>Yet to be approved</v>
      </c>
      <c r="D609" s="1378" t="str">
        <f t="shared" si="67"/>
        <v>-</v>
      </c>
      <c r="E609" s="1505">
        <f t="shared" si="67"/>
        <v>0</v>
      </c>
      <c r="F609" s="1509">
        <f t="shared" si="60"/>
        <v>0</v>
      </c>
      <c r="G609" s="1509">
        <f t="shared" si="61"/>
        <v>0</v>
      </c>
      <c r="H609" s="1509">
        <f t="shared" si="62"/>
        <v>0</v>
      </c>
      <c r="I609" s="1509">
        <v>0</v>
      </c>
      <c r="J609" s="1509">
        <v>0</v>
      </c>
      <c r="K609" s="1505"/>
      <c r="L609" s="1505"/>
      <c r="M609" s="1505">
        <f t="shared" si="63"/>
        <v>0</v>
      </c>
      <c r="N609" s="1505">
        <f t="shared" si="64"/>
        <v>0</v>
      </c>
    </row>
    <row r="610" spans="1:14" customFormat="1" ht="29" outlineLevel="1" x14ac:dyDescent="0.25">
      <c r="A610" s="1511">
        <f t="shared" si="67"/>
        <v>23.4</v>
      </c>
      <c r="B610" s="1515" t="str">
        <f t="shared" si="67"/>
        <v>Up gradation of  Drum level measurement system at Unit – 6 &amp;7 New Parli TPS, Parli-V</v>
      </c>
      <c r="C610" s="1396" t="str">
        <f t="shared" si="67"/>
        <v>Yet to be approved</v>
      </c>
      <c r="D610" s="1378" t="str">
        <f t="shared" si="67"/>
        <v>-</v>
      </c>
      <c r="E610" s="1505">
        <f t="shared" si="67"/>
        <v>0</v>
      </c>
      <c r="F610" s="1509">
        <f t="shared" si="60"/>
        <v>0</v>
      </c>
      <c r="G610" s="1509">
        <f t="shared" si="61"/>
        <v>0</v>
      </c>
      <c r="H610" s="1509">
        <f t="shared" si="62"/>
        <v>0</v>
      </c>
      <c r="I610" s="1509">
        <v>0</v>
      </c>
      <c r="J610" s="1509">
        <v>0</v>
      </c>
      <c r="K610" s="1505"/>
      <c r="L610" s="1505"/>
      <c r="M610" s="1505">
        <f t="shared" si="63"/>
        <v>0</v>
      </c>
      <c r="N610" s="1505">
        <f t="shared" si="64"/>
        <v>0</v>
      </c>
    </row>
    <row r="611" spans="1:14" customFormat="1" outlineLevel="1" x14ac:dyDescent="0.25">
      <c r="A611" s="1511">
        <f t="shared" si="67"/>
        <v>23.5</v>
      </c>
      <c r="B611" s="1515" t="str">
        <f t="shared" si="67"/>
        <v>OLCC SYSTEM UPGRADATION U6 &amp; U7</v>
      </c>
      <c r="C611" s="1396" t="str">
        <f t="shared" si="67"/>
        <v>Yet to be approved</v>
      </c>
      <c r="D611" s="1378" t="str">
        <f t="shared" si="67"/>
        <v>-</v>
      </c>
      <c r="E611" s="1505">
        <f t="shared" si="67"/>
        <v>0</v>
      </c>
      <c r="F611" s="1509">
        <f t="shared" si="60"/>
        <v>0</v>
      </c>
      <c r="G611" s="1509">
        <f t="shared" si="61"/>
        <v>0</v>
      </c>
      <c r="H611" s="1509">
        <f t="shared" si="62"/>
        <v>0</v>
      </c>
      <c r="I611" s="1509">
        <v>0</v>
      </c>
      <c r="J611" s="1509">
        <v>0</v>
      </c>
      <c r="K611" s="1505"/>
      <c r="L611" s="1505"/>
      <c r="M611" s="1505">
        <f t="shared" si="63"/>
        <v>0</v>
      </c>
      <c r="N611" s="1505">
        <f t="shared" si="64"/>
        <v>0</v>
      </c>
    </row>
    <row r="612" spans="1:14" customFormat="1" ht="43.5" outlineLevel="1" x14ac:dyDescent="0.25">
      <c r="A612" s="1511">
        <f t="shared" si="67"/>
        <v>23.6</v>
      </c>
      <c r="B612" s="1515" t="str">
        <f t="shared" si="67"/>
        <v>Up gradation of  Boiler tubes leakage detection system &amp; Furnace flame mapping with video camera at Unit – 6 &amp;7 New Parli TPS, Parli-V</v>
      </c>
      <c r="C612" s="1396" t="str">
        <f t="shared" si="67"/>
        <v>Yet to be approved</v>
      </c>
      <c r="D612" s="1378" t="str">
        <f t="shared" si="67"/>
        <v>-</v>
      </c>
      <c r="E612" s="1505">
        <f t="shared" si="67"/>
        <v>0</v>
      </c>
      <c r="F612" s="1509">
        <f t="shared" si="60"/>
        <v>0</v>
      </c>
      <c r="G612" s="1509">
        <f t="shared" si="61"/>
        <v>0</v>
      </c>
      <c r="H612" s="1509">
        <f t="shared" si="62"/>
        <v>0</v>
      </c>
      <c r="I612" s="1509">
        <v>0</v>
      </c>
      <c r="J612" s="1509">
        <v>0</v>
      </c>
      <c r="K612" s="1505"/>
      <c r="L612" s="1505"/>
      <c r="M612" s="1505">
        <f t="shared" si="63"/>
        <v>0</v>
      </c>
      <c r="N612" s="1505">
        <f t="shared" si="64"/>
        <v>0</v>
      </c>
    </row>
    <row r="613" spans="1:14" customFormat="1" outlineLevel="1" x14ac:dyDescent="0.25">
      <c r="A613" s="1511">
        <f t="shared" si="67"/>
        <v>23.7</v>
      </c>
      <c r="B613" s="1515" t="str">
        <f t="shared" si="67"/>
        <v>Unit7 LVS system SCADA/HMI  upgradation</v>
      </c>
      <c r="C613" s="1396" t="str">
        <f t="shared" si="67"/>
        <v>Yet to be approved</v>
      </c>
      <c r="D613" s="1378" t="str">
        <f t="shared" si="67"/>
        <v>-</v>
      </c>
      <c r="E613" s="1505">
        <f t="shared" si="67"/>
        <v>0</v>
      </c>
      <c r="F613" s="1509">
        <f t="shared" si="60"/>
        <v>0</v>
      </c>
      <c r="G613" s="1509">
        <f t="shared" si="61"/>
        <v>0</v>
      </c>
      <c r="H613" s="1509">
        <f t="shared" si="62"/>
        <v>0</v>
      </c>
      <c r="I613" s="1509">
        <v>0</v>
      </c>
      <c r="J613" s="1509">
        <v>0</v>
      </c>
      <c r="K613" s="1505"/>
      <c r="L613" s="1505"/>
      <c r="M613" s="1505">
        <f t="shared" si="63"/>
        <v>0</v>
      </c>
      <c r="N613" s="1505">
        <f t="shared" si="64"/>
        <v>0</v>
      </c>
    </row>
    <row r="614" spans="1:14" customFormat="1" outlineLevel="1" x14ac:dyDescent="0.25">
      <c r="A614" s="1511">
        <f t="shared" si="67"/>
        <v>23.8</v>
      </c>
      <c r="B614" s="1515" t="str">
        <f t="shared" si="67"/>
        <v>Upgradation of Instrumentation &amp; control lab</v>
      </c>
      <c r="C614" s="1396" t="str">
        <f t="shared" si="67"/>
        <v>Yet to be approved</v>
      </c>
      <c r="D614" s="1378" t="str">
        <f t="shared" si="67"/>
        <v>-</v>
      </c>
      <c r="E614" s="1505">
        <f t="shared" si="67"/>
        <v>0</v>
      </c>
      <c r="F614" s="1509">
        <f t="shared" si="60"/>
        <v>0</v>
      </c>
      <c r="G614" s="1509">
        <f t="shared" si="61"/>
        <v>0</v>
      </c>
      <c r="H614" s="1509">
        <f t="shared" si="62"/>
        <v>0</v>
      </c>
      <c r="I614" s="1509">
        <v>0</v>
      </c>
      <c r="J614" s="1509">
        <v>0</v>
      </c>
      <c r="K614" s="1505"/>
      <c r="L614" s="1505"/>
      <c r="M614" s="1505">
        <f t="shared" si="63"/>
        <v>0</v>
      </c>
      <c r="N614" s="1505">
        <f t="shared" si="64"/>
        <v>0</v>
      </c>
    </row>
    <row r="615" spans="1:14" customFormat="1" outlineLevel="1" x14ac:dyDescent="0.25">
      <c r="A615" s="1511">
        <f t="shared" si="67"/>
        <v>0</v>
      </c>
      <c r="B615" s="1515" t="str">
        <f t="shared" si="67"/>
        <v>IDC</v>
      </c>
      <c r="C615" s="1396" t="str">
        <f t="shared" si="67"/>
        <v>Yet to be approved</v>
      </c>
      <c r="D615" s="1378" t="str">
        <f t="shared" si="67"/>
        <v>-</v>
      </c>
      <c r="E615" s="1505">
        <f t="shared" si="67"/>
        <v>0</v>
      </c>
      <c r="F615" s="1509">
        <f t="shared" si="60"/>
        <v>0</v>
      </c>
      <c r="G615" s="1509">
        <f t="shared" si="61"/>
        <v>0</v>
      </c>
      <c r="H615" s="1509">
        <f t="shared" si="62"/>
        <v>0</v>
      </c>
      <c r="I615" s="1509">
        <v>0</v>
      </c>
      <c r="J615" s="1509">
        <v>0</v>
      </c>
      <c r="K615" s="1505"/>
      <c r="L615" s="1505"/>
      <c r="M615" s="1505">
        <f t="shared" si="63"/>
        <v>0</v>
      </c>
      <c r="N615" s="1505">
        <f t="shared" si="64"/>
        <v>0</v>
      </c>
    </row>
    <row r="616" spans="1:14" customFormat="1" ht="29" outlineLevel="1" x14ac:dyDescent="0.25">
      <c r="A616" s="1506">
        <f t="shared" si="67"/>
        <v>24</v>
      </c>
      <c r="B616" s="1507" t="str">
        <f t="shared" si="67"/>
        <v>Control and monitoring system upgradation at U6&amp;7 NPTPS &amp; Various Instrumentation schemes at Unit 6,7, NPTPS Parli-V</v>
      </c>
      <c r="C616" s="1506" t="str">
        <f t="shared" si="67"/>
        <v>Yet to be approved</v>
      </c>
      <c r="D616" s="1507" t="str">
        <f t="shared" si="67"/>
        <v>-</v>
      </c>
      <c r="E616" s="1506">
        <f t="shared" si="67"/>
        <v>0</v>
      </c>
      <c r="F616" s="1509">
        <f t="shared" si="60"/>
        <v>0</v>
      </c>
      <c r="G616" s="1509">
        <f t="shared" si="61"/>
        <v>0</v>
      </c>
      <c r="H616" s="1509">
        <f t="shared" si="62"/>
        <v>0</v>
      </c>
      <c r="I616" s="1509">
        <v>0</v>
      </c>
      <c r="J616" s="1509">
        <v>0</v>
      </c>
      <c r="K616" s="1506"/>
      <c r="L616" s="1507"/>
      <c r="M616" s="1506">
        <f t="shared" si="63"/>
        <v>0</v>
      </c>
      <c r="N616" s="1507">
        <f t="shared" si="64"/>
        <v>0</v>
      </c>
    </row>
    <row r="617" spans="1:14" customFormat="1" outlineLevel="1" x14ac:dyDescent="0.25">
      <c r="A617" s="1511">
        <f t="shared" si="67"/>
        <v>24.1</v>
      </c>
      <c r="B617" s="1515" t="str">
        <f t="shared" si="67"/>
        <v>Upgradation of level, flow &amp; pressure measurement system</v>
      </c>
      <c r="C617" s="1396" t="str">
        <f t="shared" si="67"/>
        <v>Yet to be approved</v>
      </c>
      <c r="D617" s="1378" t="str">
        <f t="shared" si="67"/>
        <v>-</v>
      </c>
      <c r="E617" s="1505">
        <f t="shared" si="67"/>
        <v>0</v>
      </c>
      <c r="F617" s="1509">
        <f t="shared" si="60"/>
        <v>0</v>
      </c>
      <c r="G617" s="1509">
        <f t="shared" si="61"/>
        <v>0</v>
      </c>
      <c r="H617" s="1509">
        <f t="shared" si="62"/>
        <v>0</v>
      </c>
      <c r="I617" s="1509">
        <v>0</v>
      </c>
      <c r="J617" s="1509">
        <v>0</v>
      </c>
      <c r="K617" s="1505"/>
      <c r="L617" s="1505"/>
      <c r="M617" s="1505">
        <f t="shared" si="63"/>
        <v>0</v>
      </c>
      <c r="N617" s="1505">
        <f t="shared" si="64"/>
        <v>0</v>
      </c>
    </row>
    <row r="618" spans="1:14" customFormat="1" ht="29" outlineLevel="1" x14ac:dyDescent="0.25">
      <c r="A618" s="1511">
        <f t="shared" si="67"/>
        <v>24.2</v>
      </c>
      <c r="B618" s="1515" t="str">
        <f t="shared" si="67"/>
        <v>Up gradation of  Vibration Monitoring System(VMS) at Unit – 6 &amp;7 Parli TPS, Parli-V</v>
      </c>
      <c r="C618" s="1396" t="str">
        <f t="shared" si="67"/>
        <v>Yet to be approved</v>
      </c>
      <c r="D618" s="1378" t="str">
        <f t="shared" si="67"/>
        <v>-</v>
      </c>
      <c r="E618" s="1505">
        <f t="shared" si="67"/>
        <v>0</v>
      </c>
      <c r="F618" s="1509">
        <f t="shared" si="60"/>
        <v>0</v>
      </c>
      <c r="G618" s="1509">
        <f t="shared" si="61"/>
        <v>0</v>
      </c>
      <c r="H618" s="1509">
        <f t="shared" si="62"/>
        <v>0</v>
      </c>
      <c r="I618" s="1509">
        <v>0</v>
      </c>
      <c r="J618" s="1509">
        <v>0</v>
      </c>
      <c r="K618" s="1505"/>
      <c r="L618" s="1505"/>
      <c r="M618" s="1505">
        <f t="shared" si="63"/>
        <v>0</v>
      </c>
      <c r="N618" s="1505">
        <f t="shared" si="64"/>
        <v>0</v>
      </c>
    </row>
    <row r="619" spans="1:14" customFormat="1" outlineLevel="1" x14ac:dyDescent="0.25">
      <c r="A619" s="1511">
        <f t="shared" si="67"/>
        <v>24.3</v>
      </c>
      <c r="B619" s="1515" t="str">
        <f t="shared" si="67"/>
        <v>Upgradation of feedstation valve contol instruments.</v>
      </c>
      <c r="C619" s="1396" t="str">
        <f t="shared" si="67"/>
        <v>Yet to be approved</v>
      </c>
      <c r="D619" s="1378" t="str">
        <f t="shared" si="67"/>
        <v>-</v>
      </c>
      <c r="E619" s="1505">
        <f t="shared" si="67"/>
        <v>0</v>
      </c>
      <c r="F619" s="1509">
        <f t="shared" si="60"/>
        <v>0</v>
      </c>
      <c r="G619" s="1509">
        <f t="shared" si="61"/>
        <v>0</v>
      </c>
      <c r="H619" s="1509">
        <f t="shared" si="62"/>
        <v>0</v>
      </c>
      <c r="I619" s="1509">
        <v>0</v>
      </c>
      <c r="J619" s="1509">
        <v>0</v>
      </c>
      <c r="K619" s="1505"/>
      <c r="L619" s="1505"/>
      <c r="M619" s="1505">
        <f t="shared" si="63"/>
        <v>0</v>
      </c>
      <c r="N619" s="1505">
        <f t="shared" si="64"/>
        <v>0</v>
      </c>
    </row>
    <row r="620" spans="1:14" customFormat="1" ht="58" outlineLevel="1" x14ac:dyDescent="0.25">
      <c r="A620" s="1511">
        <f t="shared" si="67"/>
        <v>24.4</v>
      </c>
      <c r="B620" s="1515" t="str">
        <f t="shared" si="67"/>
        <v>Supply of various instuments like H2 Dew point measurement system spares, Hydrogen analyzer, H2 leak detection system spares etc.Critical/Non-Critical Spares sub-assembly for performance improvement</v>
      </c>
      <c r="C620" s="1396" t="str">
        <f t="shared" si="67"/>
        <v>Yet to be approved</v>
      </c>
      <c r="D620" s="1378" t="str">
        <f t="shared" si="67"/>
        <v>-</v>
      </c>
      <c r="E620" s="1505">
        <f t="shared" si="67"/>
        <v>0</v>
      </c>
      <c r="F620" s="1509">
        <f t="shared" si="60"/>
        <v>0</v>
      </c>
      <c r="G620" s="1509">
        <f t="shared" si="61"/>
        <v>0</v>
      </c>
      <c r="H620" s="1509">
        <f t="shared" si="62"/>
        <v>0</v>
      </c>
      <c r="I620" s="1509">
        <v>0</v>
      </c>
      <c r="J620" s="1509">
        <v>0</v>
      </c>
      <c r="K620" s="1505"/>
      <c r="L620" s="1505"/>
      <c r="M620" s="1505">
        <f t="shared" si="63"/>
        <v>0</v>
      </c>
      <c r="N620" s="1505">
        <f t="shared" si="64"/>
        <v>0</v>
      </c>
    </row>
    <row r="621" spans="1:14" customFormat="1" outlineLevel="1" x14ac:dyDescent="0.25">
      <c r="A621" s="1511">
        <f t="shared" si="67"/>
        <v>24.5</v>
      </c>
      <c r="B621" s="1515" t="str">
        <f t="shared" si="67"/>
        <v>Online Water flow Monitoring System at Khadka</v>
      </c>
      <c r="C621" s="1396" t="str">
        <f t="shared" si="67"/>
        <v>Yet to be approved</v>
      </c>
      <c r="D621" s="1378" t="str">
        <f t="shared" si="67"/>
        <v>-</v>
      </c>
      <c r="E621" s="1505">
        <f t="shared" si="67"/>
        <v>0</v>
      </c>
      <c r="F621" s="1509">
        <f t="shared" si="60"/>
        <v>0</v>
      </c>
      <c r="G621" s="1509">
        <f t="shared" si="61"/>
        <v>0</v>
      </c>
      <c r="H621" s="1509">
        <f t="shared" si="62"/>
        <v>0</v>
      </c>
      <c r="I621" s="1509">
        <v>0</v>
      </c>
      <c r="J621" s="1509">
        <v>0</v>
      </c>
      <c r="K621" s="1505"/>
      <c r="L621" s="1505"/>
      <c r="M621" s="1505">
        <f t="shared" si="63"/>
        <v>0</v>
      </c>
      <c r="N621" s="1505">
        <f t="shared" si="64"/>
        <v>0</v>
      </c>
    </row>
    <row r="622" spans="1:14" customFormat="1" ht="43.5" outlineLevel="1" x14ac:dyDescent="0.25">
      <c r="A622" s="1511">
        <f t="shared" ref="A622:E637" si="68">A265</f>
        <v>24.6</v>
      </c>
      <c r="B622" s="1515" t="str">
        <f t="shared" si="68"/>
        <v xml:space="preserve"> Upgradation of CO analyser at APH  inlete and SOX NOX gas analyser installed at ID discharge along with remote calibration facility and connectivity to CPCB and MPCB as per latest CPCB Guidelines </v>
      </c>
      <c r="C622" s="1396" t="str">
        <f t="shared" si="68"/>
        <v>Yet to be approved</v>
      </c>
      <c r="D622" s="1378" t="str">
        <f t="shared" si="68"/>
        <v>-</v>
      </c>
      <c r="E622" s="1505">
        <f t="shared" si="68"/>
        <v>0</v>
      </c>
      <c r="F622" s="1509">
        <f t="shared" si="60"/>
        <v>0</v>
      </c>
      <c r="G622" s="1509">
        <f t="shared" si="61"/>
        <v>0</v>
      </c>
      <c r="H622" s="1509">
        <f t="shared" si="62"/>
        <v>0</v>
      </c>
      <c r="I622" s="1509">
        <v>0</v>
      </c>
      <c r="J622" s="1509">
        <v>0</v>
      </c>
      <c r="K622" s="1505"/>
      <c r="L622" s="1505"/>
      <c r="M622" s="1505">
        <f t="shared" si="63"/>
        <v>0</v>
      </c>
      <c r="N622" s="1505">
        <f t="shared" si="64"/>
        <v>0</v>
      </c>
    </row>
    <row r="623" spans="1:14" customFormat="1" ht="43.5" outlineLevel="1" x14ac:dyDescent="0.25">
      <c r="A623" s="1511">
        <f t="shared" si="68"/>
        <v>24.7</v>
      </c>
      <c r="B623" s="1515" t="str">
        <f t="shared" si="68"/>
        <v>Supply, Erection and Commissioning of Effluent Analyser for the parameters like COD, BOD, TSS &amp; PH installed at ETP &amp; STP outlet of the NPTPS, Parli.       complying CPCB / MPCB Guidelines.</v>
      </c>
      <c r="C623" s="1396" t="str">
        <f t="shared" si="68"/>
        <v>Yet to be approved</v>
      </c>
      <c r="D623" s="1378" t="str">
        <f t="shared" si="68"/>
        <v>-</v>
      </c>
      <c r="E623" s="1505">
        <f t="shared" si="68"/>
        <v>0</v>
      </c>
      <c r="F623" s="1509">
        <f t="shared" ref="F623:F686" si="69">F266+I266</f>
        <v>0</v>
      </c>
      <c r="G623" s="1509">
        <f t="shared" ref="G623:G686" si="70">G266+M266</f>
        <v>0</v>
      </c>
      <c r="H623" s="1509">
        <f t="shared" si="62"/>
        <v>0</v>
      </c>
      <c r="I623" s="1509">
        <v>0</v>
      </c>
      <c r="J623" s="1509">
        <v>0</v>
      </c>
      <c r="K623" s="1505"/>
      <c r="L623" s="1505"/>
      <c r="M623" s="1505">
        <f t="shared" si="63"/>
        <v>0</v>
      </c>
      <c r="N623" s="1505">
        <f t="shared" si="64"/>
        <v>0</v>
      </c>
    </row>
    <row r="624" spans="1:14" customFormat="1" outlineLevel="1" x14ac:dyDescent="0.25">
      <c r="A624" s="1511">
        <f t="shared" si="68"/>
        <v>0</v>
      </c>
      <c r="B624" s="1515" t="str">
        <f t="shared" si="68"/>
        <v>IDC</v>
      </c>
      <c r="C624" s="1396" t="str">
        <f t="shared" si="68"/>
        <v>Yet to be approved</v>
      </c>
      <c r="D624" s="1378" t="str">
        <f t="shared" si="68"/>
        <v>-</v>
      </c>
      <c r="E624" s="1505">
        <f t="shared" si="68"/>
        <v>0</v>
      </c>
      <c r="F624" s="1509">
        <f t="shared" si="69"/>
        <v>0</v>
      </c>
      <c r="G624" s="1509">
        <f t="shared" si="70"/>
        <v>0</v>
      </c>
      <c r="H624" s="1509">
        <f t="shared" ref="H624:H687" si="71">F624-G624</f>
        <v>0</v>
      </c>
      <c r="I624" s="1509">
        <v>0</v>
      </c>
      <c r="J624" s="1509">
        <v>0</v>
      </c>
      <c r="K624" s="1505"/>
      <c r="L624" s="1505"/>
      <c r="M624" s="1505">
        <f t="shared" ref="M624:M687" si="72">SUM(J624:L624)</f>
        <v>0</v>
      </c>
      <c r="N624" s="1505">
        <f t="shared" ref="N624:N687" si="73">H624+I624-M624</f>
        <v>0</v>
      </c>
    </row>
    <row r="625" spans="1:14" customFormat="1" ht="87" outlineLevel="1" x14ac:dyDescent="0.25">
      <c r="A625" s="1506">
        <f t="shared" si="68"/>
        <v>25</v>
      </c>
      <c r="B625" s="1507" t="str">
        <f t="shared" si="68"/>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625" s="1506" t="str">
        <f t="shared" si="68"/>
        <v>Yet to be approved</v>
      </c>
      <c r="D625" s="1507" t="str">
        <f t="shared" si="68"/>
        <v>-</v>
      </c>
      <c r="E625" s="1506">
        <f t="shared" si="68"/>
        <v>0</v>
      </c>
      <c r="F625" s="1509">
        <f t="shared" si="69"/>
        <v>0</v>
      </c>
      <c r="G625" s="1509">
        <f t="shared" si="70"/>
        <v>0</v>
      </c>
      <c r="H625" s="1509">
        <f t="shared" si="71"/>
        <v>0</v>
      </c>
      <c r="I625" s="1509">
        <v>0</v>
      </c>
      <c r="J625" s="1509">
        <v>0</v>
      </c>
      <c r="K625" s="1506"/>
      <c r="L625" s="1507"/>
      <c r="M625" s="1506">
        <f t="shared" si="72"/>
        <v>0</v>
      </c>
      <c r="N625" s="1507">
        <f t="shared" si="73"/>
        <v>0</v>
      </c>
    </row>
    <row r="626" spans="1:14" customFormat="1" ht="58" outlineLevel="1" x14ac:dyDescent="0.25">
      <c r="A626" s="1511">
        <f t="shared" si="68"/>
        <v>25.1</v>
      </c>
      <c r="B626" s="1515" t="str">
        <f t="shared" si="68"/>
        <v>Work of replacement of damaged/leaky underground Fire Water Pipelines and Static Fire water Pumps at Plant (Unit-6, 7 &amp; 8) and ODP area of Parli TPS including required material viz. MSERW Pipes/Steel, etc.</v>
      </c>
      <c r="C626" s="1396" t="str">
        <f t="shared" si="68"/>
        <v>Yet to be approved</v>
      </c>
      <c r="D626" s="1378" t="str">
        <f t="shared" si="68"/>
        <v>-</v>
      </c>
      <c r="E626" s="1505">
        <f t="shared" si="68"/>
        <v>0</v>
      </c>
      <c r="F626" s="1509">
        <f t="shared" si="69"/>
        <v>0</v>
      </c>
      <c r="G626" s="1509">
        <f t="shared" si="70"/>
        <v>0</v>
      </c>
      <c r="H626" s="1509">
        <f t="shared" si="71"/>
        <v>0</v>
      </c>
      <c r="I626" s="1509">
        <v>0</v>
      </c>
      <c r="J626" s="1509">
        <v>0</v>
      </c>
      <c r="K626" s="1505"/>
      <c r="L626" s="1505"/>
      <c r="M626" s="1505">
        <f t="shared" si="72"/>
        <v>0</v>
      </c>
      <c r="N626" s="1505">
        <f t="shared" si="73"/>
        <v>0</v>
      </c>
    </row>
    <row r="627" spans="1:14" customFormat="1" ht="58" outlineLevel="1" x14ac:dyDescent="0.25">
      <c r="A627" s="1511">
        <f t="shared" si="68"/>
        <v>25.2</v>
      </c>
      <c r="B627" s="1515" t="str">
        <f t="shared" si="68"/>
        <v>Restoration of Deluge Valve system along with work of repairing/reconstruction (with relocation for safe operation) of damaged Deluge Valve Houses at Plant &amp; ODP area of Parli TPS Unit#6, 7 &amp; 8.</v>
      </c>
      <c r="C627" s="1396" t="str">
        <f t="shared" si="68"/>
        <v>Yet to be approved</v>
      </c>
      <c r="D627" s="1378" t="str">
        <f t="shared" si="68"/>
        <v>-</v>
      </c>
      <c r="E627" s="1505">
        <f t="shared" si="68"/>
        <v>0</v>
      </c>
      <c r="F627" s="1509">
        <f t="shared" si="69"/>
        <v>0</v>
      </c>
      <c r="G627" s="1509">
        <f t="shared" si="70"/>
        <v>0</v>
      </c>
      <c r="H627" s="1509">
        <f t="shared" si="71"/>
        <v>0</v>
      </c>
      <c r="I627" s="1509">
        <v>0</v>
      </c>
      <c r="J627" s="1509">
        <v>0</v>
      </c>
      <c r="K627" s="1505"/>
      <c r="L627" s="1505"/>
      <c r="M627" s="1505">
        <f t="shared" si="72"/>
        <v>0</v>
      </c>
      <c r="N627" s="1505">
        <f t="shared" si="73"/>
        <v>0</v>
      </c>
    </row>
    <row r="628" spans="1:14" customFormat="1" ht="29" outlineLevel="1" x14ac:dyDescent="0.25">
      <c r="A628" s="1511">
        <f t="shared" si="68"/>
        <v>25.3</v>
      </c>
      <c r="B628" s="1515" t="str">
        <f t="shared" si="68"/>
        <v>Supply, Rectification and Installation of addressable fire alarm system and Fire suppression system at unit 6 &amp; 7,Parli TPS.</v>
      </c>
      <c r="C628" s="1396" t="str">
        <f t="shared" si="68"/>
        <v>Yet to be approved</v>
      </c>
      <c r="D628" s="1378" t="str">
        <f t="shared" si="68"/>
        <v>-</v>
      </c>
      <c r="E628" s="1505">
        <f t="shared" si="68"/>
        <v>0</v>
      </c>
      <c r="F628" s="1509">
        <f t="shared" si="69"/>
        <v>0</v>
      </c>
      <c r="G628" s="1509">
        <f t="shared" si="70"/>
        <v>0</v>
      </c>
      <c r="H628" s="1509">
        <f t="shared" si="71"/>
        <v>0</v>
      </c>
      <c r="I628" s="1509">
        <v>0</v>
      </c>
      <c r="J628" s="1509">
        <v>0</v>
      </c>
      <c r="K628" s="1505"/>
      <c r="L628" s="1505"/>
      <c r="M628" s="1505">
        <f t="shared" si="72"/>
        <v>0</v>
      </c>
      <c r="N628" s="1505">
        <f t="shared" si="73"/>
        <v>0</v>
      </c>
    </row>
    <row r="629" spans="1:14" customFormat="1" outlineLevel="1" x14ac:dyDescent="0.25">
      <c r="A629" s="1511">
        <f t="shared" si="68"/>
        <v>0</v>
      </c>
      <c r="B629" s="1515" t="str">
        <f t="shared" si="68"/>
        <v>IDC</v>
      </c>
      <c r="C629" s="1396" t="str">
        <f t="shared" si="68"/>
        <v>Yet to be approved</v>
      </c>
      <c r="D629" s="1378" t="str">
        <f t="shared" si="68"/>
        <v>-</v>
      </c>
      <c r="E629" s="1505">
        <f t="shared" si="68"/>
        <v>0</v>
      </c>
      <c r="F629" s="1509">
        <f t="shared" si="69"/>
        <v>0</v>
      </c>
      <c r="G629" s="1509">
        <f t="shared" si="70"/>
        <v>0</v>
      </c>
      <c r="H629" s="1509">
        <f t="shared" si="71"/>
        <v>0</v>
      </c>
      <c r="I629" s="1509">
        <v>0</v>
      </c>
      <c r="J629" s="1509">
        <v>0</v>
      </c>
      <c r="K629" s="1505"/>
      <c r="L629" s="1505"/>
      <c r="M629" s="1505">
        <f t="shared" si="72"/>
        <v>0</v>
      </c>
      <c r="N629" s="1505">
        <f t="shared" si="73"/>
        <v>0</v>
      </c>
    </row>
    <row r="630" spans="1:14" customFormat="1" ht="29" outlineLevel="1" x14ac:dyDescent="0.25">
      <c r="A630" s="1506">
        <f t="shared" si="68"/>
        <v>26</v>
      </c>
      <c r="B630" s="1507" t="str">
        <f t="shared" si="68"/>
        <v>ASH  EVACUATION  IMPROVEMENT  AND  PERFORMANCE &amp; EFFICIENCY OF ASH HANDLING SYSTEM At NPTPS Parli-V AT TPS PARLI-V.</v>
      </c>
      <c r="C630" s="1506" t="str">
        <f t="shared" si="68"/>
        <v>Yet to be approved</v>
      </c>
      <c r="D630" s="1507" t="str">
        <f t="shared" si="68"/>
        <v>-</v>
      </c>
      <c r="E630" s="1506">
        <f t="shared" si="68"/>
        <v>0</v>
      </c>
      <c r="F630" s="1509">
        <f t="shared" si="69"/>
        <v>0</v>
      </c>
      <c r="G630" s="1509">
        <f t="shared" si="70"/>
        <v>0</v>
      </c>
      <c r="H630" s="1509">
        <f t="shared" si="71"/>
        <v>0</v>
      </c>
      <c r="I630" s="1509">
        <v>0</v>
      </c>
      <c r="J630" s="1509">
        <v>0</v>
      </c>
      <c r="K630" s="1506"/>
      <c r="L630" s="1507"/>
      <c r="M630" s="1506">
        <f t="shared" si="72"/>
        <v>0</v>
      </c>
      <c r="N630" s="1507">
        <f t="shared" si="73"/>
        <v>0</v>
      </c>
    </row>
    <row r="631" spans="1:14" customFormat="1" ht="29" outlineLevel="1" x14ac:dyDescent="0.25">
      <c r="A631" s="1511">
        <f t="shared" si="68"/>
        <v>26.1</v>
      </c>
      <c r="B631" s="1515" t="str">
        <f t="shared" si="68"/>
        <v>DESIGN , SUPPLY &amp; REPLCEMENT OF  ASH DISPOSAL SLURRY PUMP  COMPLTE ASSEMBLY ALONG WITH GEAR BOX, MOTORS U-6</v>
      </c>
      <c r="C631" s="1396" t="str">
        <f t="shared" si="68"/>
        <v>Yet to be approved</v>
      </c>
      <c r="D631" s="1378" t="str">
        <f t="shared" si="68"/>
        <v>-</v>
      </c>
      <c r="E631" s="1505">
        <f t="shared" si="68"/>
        <v>0</v>
      </c>
      <c r="F631" s="1509">
        <f t="shared" si="69"/>
        <v>0</v>
      </c>
      <c r="G631" s="1509">
        <f t="shared" si="70"/>
        <v>0</v>
      </c>
      <c r="H631" s="1509">
        <f t="shared" si="71"/>
        <v>0</v>
      </c>
      <c r="I631" s="1509">
        <v>0</v>
      </c>
      <c r="J631" s="1509">
        <v>0</v>
      </c>
      <c r="K631" s="1505"/>
      <c r="L631" s="1505"/>
      <c r="M631" s="1505">
        <f t="shared" si="72"/>
        <v>0</v>
      </c>
      <c r="N631" s="1505">
        <f t="shared" si="73"/>
        <v>0</v>
      </c>
    </row>
    <row r="632" spans="1:14" customFormat="1" ht="29" outlineLevel="1" x14ac:dyDescent="0.25">
      <c r="A632" s="1511">
        <f t="shared" si="68"/>
        <v>26.2</v>
      </c>
      <c r="B632" s="1515" t="str">
        <f t="shared" si="68"/>
        <v>DESIGN , SUPPLY &amp; REPLCEMENT OF  HP WATER PUMP COMPLTE ASSEMBLY ALONG WITH GEAR BOX, MOTORS U-6</v>
      </c>
      <c r="C632" s="1396" t="str">
        <f t="shared" si="68"/>
        <v>Yet to be approved</v>
      </c>
      <c r="D632" s="1378" t="str">
        <f t="shared" si="68"/>
        <v>-</v>
      </c>
      <c r="E632" s="1505">
        <f t="shared" si="68"/>
        <v>0</v>
      </c>
      <c r="F632" s="1509">
        <f t="shared" si="69"/>
        <v>0</v>
      </c>
      <c r="G632" s="1509">
        <f t="shared" si="70"/>
        <v>0</v>
      </c>
      <c r="H632" s="1509">
        <f t="shared" si="71"/>
        <v>0</v>
      </c>
      <c r="I632" s="1509">
        <v>0</v>
      </c>
      <c r="J632" s="1509">
        <v>0</v>
      </c>
      <c r="K632" s="1505"/>
      <c r="L632" s="1505"/>
      <c r="M632" s="1505">
        <f t="shared" si="72"/>
        <v>0</v>
      </c>
      <c r="N632" s="1505">
        <f t="shared" si="73"/>
        <v>0</v>
      </c>
    </row>
    <row r="633" spans="1:14" customFormat="1" ht="29" outlineLevel="1" x14ac:dyDescent="0.25">
      <c r="A633" s="1511">
        <f t="shared" si="68"/>
        <v>26.3</v>
      </c>
      <c r="B633" s="1515" t="str">
        <f t="shared" si="68"/>
        <v>Upgradation of reciprocating  Conveying Air compressor into screw compressor  at U#6</v>
      </c>
      <c r="C633" s="1396" t="str">
        <f t="shared" si="68"/>
        <v>Yet to be approved</v>
      </c>
      <c r="D633" s="1378" t="str">
        <f t="shared" si="68"/>
        <v>-</v>
      </c>
      <c r="E633" s="1505">
        <f t="shared" si="68"/>
        <v>0</v>
      </c>
      <c r="F633" s="1509">
        <f t="shared" si="69"/>
        <v>0</v>
      </c>
      <c r="G633" s="1509">
        <f t="shared" si="70"/>
        <v>0</v>
      </c>
      <c r="H633" s="1509">
        <f t="shared" si="71"/>
        <v>0</v>
      </c>
      <c r="I633" s="1509">
        <v>0</v>
      </c>
      <c r="J633" s="1509">
        <v>0</v>
      </c>
      <c r="K633" s="1505"/>
      <c r="L633" s="1505"/>
      <c r="M633" s="1505">
        <f t="shared" si="72"/>
        <v>0</v>
      </c>
      <c r="N633" s="1505">
        <f t="shared" si="73"/>
        <v>0</v>
      </c>
    </row>
    <row r="634" spans="1:14" customFormat="1" ht="29" outlineLevel="1" x14ac:dyDescent="0.25">
      <c r="A634" s="1511">
        <f t="shared" si="68"/>
        <v>26.4</v>
      </c>
      <c r="B634" s="1515" t="str">
        <f t="shared" si="68"/>
        <v>Upgradation of reciprocating  Instrument  Air compressor into screw compressor  at U#6</v>
      </c>
      <c r="C634" s="1396" t="str">
        <f t="shared" si="68"/>
        <v>Yet to be approved</v>
      </c>
      <c r="D634" s="1378" t="str">
        <f t="shared" si="68"/>
        <v>-</v>
      </c>
      <c r="E634" s="1505">
        <f t="shared" si="68"/>
        <v>0</v>
      </c>
      <c r="F634" s="1509">
        <f t="shared" si="69"/>
        <v>0</v>
      </c>
      <c r="G634" s="1509">
        <f t="shared" si="70"/>
        <v>0</v>
      </c>
      <c r="H634" s="1509">
        <f t="shared" si="71"/>
        <v>0</v>
      </c>
      <c r="I634" s="1509">
        <v>0</v>
      </c>
      <c r="J634" s="1509">
        <v>0</v>
      </c>
      <c r="K634" s="1505"/>
      <c r="L634" s="1505"/>
      <c r="M634" s="1505">
        <f t="shared" si="72"/>
        <v>0</v>
      </c>
      <c r="N634" s="1505">
        <f t="shared" si="73"/>
        <v>0</v>
      </c>
    </row>
    <row r="635" spans="1:14" customFormat="1" ht="43.5" outlineLevel="1" x14ac:dyDescent="0.25">
      <c r="A635" s="1511">
        <f t="shared" si="68"/>
        <v>26.5</v>
      </c>
      <c r="B635" s="1515" t="str">
        <f t="shared" si="68"/>
        <v>Procurement &amp; replacement of 300 NB,200NB Cash Basalt Pipelines with the existing MSERW pipe of ash disposal system of Unit #6&amp;  7 at Parli TPS, Parli V .</v>
      </c>
      <c r="C635" s="1396" t="str">
        <f t="shared" si="68"/>
        <v>Yet to be approved</v>
      </c>
      <c r="D635" s="1378" t="str">
        <f t="shared" si="68"/>
        <v>-</v>
      </c>
      <c r="E635" s="1505">
        <f t="shared" si="68"/>
        <v>0</v>
      </c>
      <c r="F635" s="1509">
        <f t="shared" si="69"/>
        <v>0</v>
      </c>
      <c r="G635" s="1509">
        <f t="shared" si="70"/>
        <v>0</v>
      </c>
      <c r="H635" s="1509">
        <f t="shared" si="71"/>
        <v>0</v>
      </c>
      <c r="I635" s="1509">
        <v>0</v>
      </c>
      <c r="J635" s="1509">
        <v>0</v>
      </c>
      <c r="K635" s="1505"/>
      <c r="L635" s="1505"/>
      <c r="M635" s="1505">
        <f t="shared" si="72"/>
        <v>0</v>
      </c>
      <c r="N635" s="1505">
        <f t="shared" si="73"/>
        <v>0</v>
      </c>
    </row>
    <row r="636" spans="1:14" customFormat="1" outlineLevel="1" x14ac:dyDescent="0.25">
      <c r="A636" s="1511">
        <f t="shared" si="68"/>
        <v>26.6</v>
      </c>
      <c r="B636" s="1515" t="str">
        <f t="shared" si="68"/>
        <v>DESIGN , SUPPLY &amp; REPLCEMENT  VACUUM PUMP U6</v>
      </c>
      <c r="C636" s="1396" t="str">
        <f t="shared" si="68"/>
        <v>Yet to be approved</v>
      </c>
      <c r="D636" s="1378" t="str">
        <f t="shared" si="68"/>
        <v>-</v>
      </c>
      <c r="E636" s="1505">
        <f t="shared" si="68"/>
        <v>0</v>
      </c>
      <c r="F636" s="1509">
        <f t="shared" si="69"/>
        <v>0</v>
      </c>
      <c r="G636" s="1509">
        <f t="shared" si="70"/>
        <v>0</v>
      </c>
      <c r="H636" s="1509">
        <f t="shared" si="71"/>
        <v>0</v>
      </c>
      <c r="I636" s="1509">
        <v>0</v>
      </c>
      <c r="J636" s="1509">
        <v>0</v>
      </c>
      <c r="K636" s="1505"/>
      <c r="L636" s="1505"/>
      <c r="M636" s="1505">
        <f t="shared" si="72"/>
        <v>0</v>
      </c>
      <c r="N636" s="1505">
        <f t="shared" si="73"/>
        <v>0</v>
      </c>
    </row>
    <row r="637" spans="1:14" customFormat="1" ht="43.5" outlineLevel="1" x14ac:dyDescent="0.25">
      <c r="A637" s="1511">
        <f t="shared" si="68"/>
        <v>26.7</v>
      </c>
      <c r="B637" s="1515" t="str">
        <f t="shared" si="68"/>
        <v>Work of Repairing &amp; Reconditioning of Single Roll Clinker Grinder assembly from OEM on as and when required basis at AHP(2X250),Unit-6&amp;7 Parli TPS,Parli-V.</v>
      </c>
      <c r="C637" s="1396" t="str">
        <f t="shared" si="68"/>
        <v>Yet to be approved</v>
      </c>
      <c r="D637" s="1378" t="str">
        <f t="shared" si="68"/>
        <v>-</v>
      </c>
      <c r="E637" s="1505">
        <f t="shared" si="68"/>
        <v>0</v>
      </c>
      <c r="F637" s="1509">
        <f t="shared" si="69"/>
        <v>0</v>
      </c>
      <c r="G637" s="1509">
        <f t="shared" si="70"/>
        <v>0</v>
      </c>
      <c r="H637" s="1509">
        <f t="shared" si="71"/>
        <v>0</v>
      </c>
      <c r="I637" s="1509">
        <v>0</v>
      </c>
      <c r="J637" s="1509">
        <v>0</v>
      </c>
      <c r="K637" s="1505"/>
      <c r="L637" s="1505"/>
      <c r="M637" s="1505">
        <f t="shared" si="72"/>
        <v>0</v>
      </c>
      <c r="N637" s="1505">
        <f t="shared" si="73"/>
        <v>0</v>
      </c>
    </row>
    <row r="638" spans="1:14" customFormat="1" ht="29" outlineLevel="1" x14ac:dyDescent="0.25">
      <c r="A638" s="1511">
        <f t="shared" ref="A638:E653" si="74">A281</f>
        <v>26.8</v>
      </c>
      <c r="B638" s="1515" t="str">
        <f t="shared" si="74"/>
        <v>Work of complete Reconditioning and refurbishment of various spares in Unit 6&amp;7, Parli TPS, Parli-V</v>
      </c>
      <c r="C638" s="1396" t="str">
        <f t="shared" si="74"/>
        <v>Yet to be approved</v>
      </c>
      <c r="D638" s="1378" t="str">
        <f t="shared" si="74"/>
        <v>-</v>
      </c>
      <c r="E638" s="1505">
        <f t="shared" si="74"/>
        <v>0</v>
      </c>
      <c r="F638" s="1509">
        <f t="shared" si="69"/>
        <v>0</v>
      </c>
      <c r="G638" s="1509">
        <f t="shared" si="70"/>
        <v>0</v>
      </c>
      <c r="H638" s="1509">
        <f t="shared" si="71"/>
        <v>0</v>
      </c>
      <c r="I638" s="1509">
        <v>0</v>
      </c>
      <c r="J638" s="1509">
        <v>0</v>
      </c>
      <c r="K638" s="1505"/>
      <c r="L638" s="1505"/>
      <c r="M638" s="1505">
        <f t="shared" si="72"/>
        <v>0</v>
      </c>
      <c r="N638" s="1505">
        <f t="shared" si="73"/>
        <v>0</v>
      </c>
    </row>
    <row r="639" spans="1:14" customFormat="1" outlineLevel="1" x14ac:dyDescent="0.25">
      <c r="A639" s="1511">
        <f t="shared" si="74"/>
        <v>26.9</v>
      </c>
      <c r="B639" s="1515" t="str">
        <f t="shared" si="74"/>
        <v>Transmission drive system &amp; Fluid coupling replacements.</v>
      </c>
      <c r="C639" s="1396" t="str">
        <f t="shared" si="74"/>
        <v>Yet to be approved</v>
      </c>
      <c r="D639" s="1378" t="str">
        <f t="shared" si="74"/>
        <v>-</v>
      </c>
      <c r="E639" s="1505">
        <f t="shared" si="74"/>
        <v>0</v>
      </c>
      <c r="F639" s="1509">
        <f t="shared" si="69"/>
        <v>0</v>
      </c>
      <c r="G639" s="1509">
        <f t="shared" si="70"/>
        <v>0</v>
      </c>
      <c r="H639" s="1509">
        <f t="shared" si="71"/>
        <v>0</v>
      </c>
      <c r="I639" s="1509">
        <v>0</v>
      </c>
      <c r="J639" s="1509">
        <v>0</v>
      </c>
      <c r="K639" s="1505"/>
      <c r="L639" s="1505"/>
      <c r="M639" s="1505">
        <f t="shared" si="72"/>
        <v>0</v>
      </c>
      <c r="N639" s="1505">
        <f t="shared" si="73"/>
        <v>0</v>
      </c>
    </row>
    <row r="640" spans="1:14" customFormat="1" ht="29" outlineLevel="1" x14ac:dyDescent="0.25">
      <c r="A640" s="1511">
        <f t="shared" si="74"/>
        <v>26.1</v>
      </c>
      <c r="B640" s="1515" t="str">
        <f t="shared" si="74"/>
        <v>DESIGN , SUPPLY &amp; REPLCEMENT OF ASH INLET VALVE COMPLETE ASSEBLY U6</v>
      </c>
      <c r="C640" s="1396" t="str">
        <f t="shared" si="74"/>
        <v>Yet to be approved</v>
      </c>
      <c r="D640" s="1378" t="str">
        <f t="shared" si="74"/>
        <v>-</v>
      </c>
      <c r="E640" s="1505">
        <f t="shared" si="74"/>
        <v>0</v>
      </c>
      <c r="F640" s="1509">
        <f t="shared" si="69"/>
        <v>0</v>
      </c>
      <c r="G640" s="1509">
        <f t="shared" si="70"/>
        <v>0</v>
      </c>
      <c r="H640" s="1509">
        <f t="shared" si="71"/>
        <v>0</v>
      </c>
      <c r="I640" s="1509">
        <v>0</v>
      </c>
      <c r="J640" s="1509">
        <v>0</v>
      </c>
      <c r="K640" s="1505"/>
      <c r="L640" s="1505"/>
      <c r="M640" s="1505">
        <f t="shared" si="72"/>
        <v>0</v>
      </c>
      <c r="N640" s="1505">
        <f t="shared" si="73"/>
        <v>0</v>
      </c>
    </row>
    <row r="641" spans="1:14" customFormat="1" ht="43.5" outlineLevel="1" x14ac:dyDescent="0.25">
      <c r="A641" s="1511">
        <f t="shared" si="74"/>
        <v>26.11</v>
      </c>
      <c r="B641" s="1515" t="str">
        <f t="shared" si="74"/>
        <v>UPGRADATION OF EXPIRED AND VULNERABLE Scada, operating system and hardware to improve life and communication system of Ash handling plant UNIT 6&amp;7 250MW at NPTPS PARLI V".</v>
      </c>
      <c r="C641" s="1396" t="str">
        <f t="shared" si="74"/>
        <v>Yet to be approved</v>
      </c>
      <c r="D641" s="1378" t="str">
        <f t="shared" si="74"/>
        <v>-</v>
      </c>
      <c r="E641" s="1505">
        <f t="shared" si="74"/>
        <v>0</v>
      </c>
      <c r="F641" s="1509">
        <f t="shared" si="69"/>
        <v>0</v>
      </c>
      <c r="G641" s="1509">
        <f t="shared" si="70"/>
        <v>0</v>
      </c>
      <c r="H641" s="1509">
        <f t="shared" si="71"/>
        <v>0</v>
      </c>
      <c r="I641" s="1509">
        <v>0</v>
      </c>
      <c r="J641" s="1509">
        <v>0</v>
      </c>
      <c r="K641" s="1505"/>
      <c r="L641" s="1505"/>
      <c r="M641" s="1505">
        <f t="shared" si="72"/>
        <v>0</v>
      </c>
      <c r="N641" s="1505">
        <f t="shared" si="73"/>
        <v>0</v>
      </c>
    </row>
    <row r="642" spans="1:14" customFormat="1" outlineLevel="1" x14ac:dyDescent="0.25">
      <c r="A642" s="1511">
        <f t="shared" si="74"/>
        <v>0</v>
      </c>
      <c r="B642" s="1515" t="str">
        <f t="shared" si="74"/>
        <v>IDC</v>
      </c>
      <c r="C642" s="1396" t="str">
        <f t="shared" si="74"/>
        <v>Yet to be approved</v>
      </c>
      <c r="D642" s="1378" t="str">
        <f t="shared" si="74"/>
        <v>-</v>
      </c>
      <c r="E642" s="1505">
        <f t="shared" si="74"/>
        <v>0</v>
      </c>
      <c r="F642" s="1509">
        <f t="shared" si="69"/>
        <v>0</v>
      </c>
      <c r="G642" s="1509">
        <f t="shared" si="70"/>
        <v>0</v>
      </c>
      <c r="H642" s="1509">
        <f t="shared" si="71"/>
        <v>0</v>
      </c>
      <c r="I642" s="1509">
        <v>0</v>
      </c>
      <c r="J642" s="1509">
        <v>0</v>
      </c>
      <c r="K642" s="1505"/>
      <c r="L642" s="1505"/>
      <c r="M642" s="1505">
        <f t="shared" si="72"/>
        <v>0</v>
      </c>
      <c r="N642" s="1505">
        <f t="shared" si="73"/>
        <v>0</v>
      </c>
    </row>
    <row r="643" spans="1:14" customFormat="1" ht="29" outlineLevel="1" x14ac:dyDescent="0.25">
      <c r="A643" s="1506">
        <f t="shared" si="74"/>
        <v>27</v>
      </c>
      <c r="B643" s="1507" t="str">
        <f t="shared" si="74"/>
        <v>ASH  EVACUATION  IMPROVEMENT  AND  PERFORMANCE &amp; EFFICIENCY OF ASH HANDLING SYSTEM At NPTPS Parli-V AT TPS PARLI-V.</v>
      </c>
      <c r="C643" s="1506" t="str">
        <f t="shared" si="74"/>
        <v>Yet to be approved</v>
      </c>
      <c r="D643" s="1507" t="str">
        <f t="shared" si="74"/>
        <v>-</v>
      </c>
      <c r="E643" s="1506">
        <f t="shared" si="74"/>
        <v>0</v>
      </c>
      <c r="F643" s="1509">
        <f t="shared" si="69"/>
        <v>0</v>
      </c>
      <c r="G643" s="1509">
        <f t="shared" si="70"/>
        <v>0</v>
      </c>
      <c r="H643" s="1509">
        <f t="shared" si="71"/>
        <v>0</v>
      </c>
      <c r="I643" s="1509">
        <v>0</v>
      </c>
      <c r="J643" s="1509">
        <v>0</v>
      </c>
      <c r="K643" s="1506"/>
      <c r="L643" s="1507"/>
      <c r="M643" s="1506">
        <f t="shared" si="72"/>
        <v>0</v>
      </c>
      <c r="N643" s="1507">
        <f t="shared" si="73"/>
        <v>0</v>
      </c>
    </row>
    <row r="644" spans="1:14" customFormat="1" ht="29" outlineLevel="1" x14ac:dyDescent="0.25">
      <c r="A644" s="1511">
        <f t="shared" si="74"/>
        <v>27.1</v>
      </c>
      <c r="B644" s="1515" t="str">
        <f t="shared" si="74"/>
        <v>Upgradation of reciprocating  Conveying Air compressor into screw compressor  at U#7</v>
      </c>
      <c r="C644" s="1396" t="str">
        <f t="shared" si="74"/>
        <v>Yet to be approved</v>
      </c>
      <c r="D644" s="1378" t="str">
        <f t="shared" si="74"/>
        <v>-</v>
      </c>
      <c r="E644" s="1505">
        <f t="shared" si="74"/>
        <v>0</v>
      </c>
      <c r="F644" s="1509">
        <f t="shared" si="69"/>
        <v>0</v>
      </c>
      <c r="G644" s="1509">
        <f t="shared" si="70"/>
        <v>0</v>
      </c>
      <c r="H644" s="1509">
        <f t="shared" si="71"/>
        <v>0</v>
      </c>
      <c r="I644" s="1509">
        <v>0</v>
      </c>
      <c r="J644" s="1509">
        <v>0</v>
      </c>
      <c r="K644" s="1505"/>
      <c r="L644" s="1505"/>
      <c r="M644" s="1505">
        <f t="shared" si="72"/>
        <v>0</v>
      </c>
      <c r="N644" s="1505">
        <f t="shared" si="73"/>
        <v>0</v>
      </c>
    </row>
    <row r="645" spans="1:14" customFormat="1" ht="29" outlineLevel="1" x14ac:dyDescent="0.25">
      <c r="A645" s="1511">
        <f t="shared" si="74"/>
        <v>27.2</v>
      </c>
      <c r="B645" s="1515" t="str">
        <f t="shared" si="74"/>
        <v>Upgradation of reciprocating  Instrument  Air compressor into screw compressor  at U#7</v>
      </c>
      <c r="C645" s="1396" t="str">
        <f t="shared" si="74"/>
        <v>Yet to be approved</v>
      </c>
      <c r="D645" s="1378" t="str">
        <f t="shared" si="74"/>
        <v>-</v>
      </c>
      <c r="E645" s="1505">
        <f t="shared" si="74"/>
        <v>0</v>
      </c>
      <c r="F645" s="1509">
        <f t="shared" si="69"/>
        <v>0</v>
      </c>
      <c r="G645" s="1509">
        <f t="shared" si="70"/>
        <v>0</v>
      </c>
      <c r="H645" s="1509">
        <f t="shared" si="71"/>
        <v>0</v>
      </c>
      <c r="I645" s="1509">
        <v>0</v>
      </c>
      <c r="J645" s="1509">
        <v>0</v>
      </c>
      <c r="K645" s="1505"/>
      <c r="L645" s="1505"/>
      <c r="M645" s="1505">
        <f t="shared" si="72"/>
        <v>0</v>
      </c>
      <c r="N645" s="1505">
        <f t="shared" si="73"/>
        <v>0</v>
      </c>
    </row>
    <row r="646" spans="1:14" customFormat="1" ht="29" outlineLevel="1" x14ac:dyDescent="0.25">
      <c r="A646" s="1511">
        <f t="shared" si="74"/>
        <v>27.3</v>
      </c>
      <c r="B646" s="1515" t="str">
        <f t="shared" si="74"/>
        <v>DESIGN , SUPPLY &amp; REPLCEMENT OF  ASH DISPOSAL SLURRY PUMP  COMPLTE ASSEMBLY ALONG WITH GEAR BOX, MOTORS U-7</v>
      </c>
      <c r="C646" s="1396" t="str">
        <f t="shared" si="74"/>
        <v>Yet to be approved</v>
      </c>
      <c r="D646" s="1378" t="str">
        <f t="shared" si="74"/>
        <v>-</v>
      </c>
      <c r="E646" s="1505">
        <f t="shared" si="74"/>
        <v>0</v>
      </c>
      <c r="F646" s="1509">
        <f t="shared" si="69"/>
        <v>0</v>
      </c>
      <c r="G646" s="1509">
        <f t="shared" si="70"/>
        <v>0</v>
      </c>
      <c r="H646" s="1509">
        <f t="shared" si="71"/>
        <v>0</v>
      </c>
      <c r="I646" s="1509">
        <v>0</v>
      </c>
      <c r="J646" s="1509">
        <v>0</v>
      </c>
      <c r="K646" s="1505"/>
      <c r="L646" s="1505"/>
      <c r="M646" s="1505">
        <f t="shared" si="72"/>
        <v>0</v>
      </c>
      <c r="N646" s="1505">
        <f t="shared" si="73"/>
        <v>0</v>
      </c>
    </row>
    <row r="647" spans="1:14" customFormat="1" ht="29" outlineLevel="1" x14ac:dyDescent="0.25">
      <c r="A647" s="1511">
        <f t="shared" si="74"/>
        <v>27.4</v>
      </c>
      <c r="B647" s="1515" t="str">
        <f t="shared" si="74"/>
        <v>DESIGN , SUPPLY &amp; REPLCEMENT OF  HP WATER PUMP COMPLTE ASSEMBLY ALONG WITH GEAR BOX, MOTORS U-7</v>
      </c>
      <c r="C647" s="1396" t="str">
        <f t="shared" si="74"/>
        <v>Yet to be approved</v>
      </c>
      <c r="D647" s="1378" t="str">
        <f t="shared" si="74"/>
        <v>-</v>
      </c>
      <c r="E647" s="1505">
        <f t="shared" si="74"/>
        <v>0</v>
      </c>
      <c r="F647" s="1509">
        <f t="shared" si="69"/>
        <v>0</v>
      </c>
      <c r="G647" s="1509">
        <f t="shared" si="70"/>
        <v>0</v>
      </c>
      <c r="H647" s="1509">
        <f t="shared" si="71"/>
        <v>0</v>
      </c>
      <c r="I647" s="1509">
        <v>0</v>
      </c>
      <c r="J647" s="1509">
        <v>0</v>
      </c>
      <c r="K647" s="1505"/>
      <c r="L647" s="1505"/>
      <c r="M647" s="1505">
        <f t="shared" si="72"/>
        <v>0</v>
      </c>
      <c r="N647" s="1505">
        <f t="shared" si="73"/>
        <v>0</v>
      </c>
    </row>
    <row r="648" spans="1:14" customFormat="1" outlineLevel="1" x14ac:dyDescent="0.25">
      <c r="A648" s="1511">
        <f t="shared" si="74"/>
        <v>27.5</v>
      </c>
      <c r="B648" s="1515" t="str">
        <f t="shared" si="74"/>
        <v>DESIGN , SUPPLY &amp; REPLCEMENT  VACUUM PUMP U7.</v>
      </c>
      <c r="C648" s="1396" t="str">
        <f t="shared" si="74"/>
        <v>Yet to be approved</v>
      </c>
      <c r="D648" s="1378" t="str">
        <f t="shared" si="74"/>
        <v>-</v>
      </c>
      <c r="E648" s="1505">
        <f t="shared" si="74"/>
        <v>0</v>
      </c>
      <c r="F648" s="1509">
        <f t="shared" si="69"/>
        <v>0</v>
      </c>
      <c r="G648" s="1509">
        <f t="shared" si="70"/>
        <v>0</v>
      </c>
      <c r="H648" s="1509">
        <f t="shared" si="71"/>
        <v>0</v>
      </c>
      <c r="I648" s="1509">
        <v>0</v>
      </c>
      <c r="J648" s="1509">
        <v>0</v>
      </c>
      <c r="K648" s="1505"/>
      <c r="L648" s="1505"/>
      <c r="M648" s="1505">
        <f t="shared" si="72"/>
        <v>0</v>
      </c>
      <c r="N648" s="1505">
        <f t="shared" si="73"/>
        <v>0</v>
      </c>
    </row>
    <row r="649" spans="1:14" customFormat="1" ht="29" outlineLevel="1" x14ac:dyDescent="0.25">
      <c r="A649" s="1511">
        <f t="shared" si="74"/>
        <v>27.6</v>
      </c>
      <c r="B649" s="1515" t="str">
        <f t="shared" si="74"/>
        <v>DESIGN , SUPPLY &amp; REPLCEMENT BRANCH SEGEGATION COMPLETE VALVE ASSEBLY U7</v>
      </c>
      <c r="C649" s="1396" t="str">
        <f t="shared" si="74"/>
        <v>Yet to be approved</v>
      </c>
      <c r="D649" s="1378" t="str">
        <f t="shared" si="74"/>
        <v>-</v>
      </c>
      <c r="E649" s="1505">
        <f t="shared" si="74"/>
        <v>0</v>
      </c>
      <c r="F649" s="1509">
        <f t="shared" si="69"/>
        <v>0</v>
      </c>
      <c r="G649" s="1509">
        <f t="shared" si="70"/>
        <v>0</v>
      </c>
      <c r="H649" s="1509">
        <f t="shared" si="71"/>
        <v>0</v>
      </c>
      <c r="I649" s="1509">
        <v>0</v>
      </c>
      <c r="J649" s="1509">
        <v>0</v>
      </c>
      <c r="K649" s="1505"/>
      <c r="L649" s="1505"/>
      <c r="M649" s="1505">
        <f t="shared" si="72"/>
        <v>0</v>
      </c>
      <c r="N649" s="1505">
        <f t="shared" si="73"/>
        <v>0</v>
      </c>
    </row>
    <row r="650" spans="1:14" customFormat="1" ht="29" outlineLevel="1" x14ac:dyDescent="0.25">
      <c r="A650" s="1511">
        <f t="shared" si="74"/>
        <v>27.7</v>
      </c>
      <c r="B650" s="1515" t="str">
        <f t="shared" si="74"/>
        <v>DESIGN , SUPPLY &amp; REPLCEMENT BRANCH VALVE &amp; ASH INLET VALVE U7</v>
      </c>
      <c r="C650" s="1396" t="str">
        <f t="shared" si="74"/>
        <v>Yet to be approved</v>
      </c>
      <c r="D650" s="1378" t="str">
        <f t="shared" si="74"/>
        <v>-</v>
      </c>
      <c r="E650" s="1505">
        <f t="shared" si="74"/>
        <v>0</v>
      </c>
      <c r="F650" s="1509">
        <f t="shared" si="69"/>
        <v>0</v>
      </c>
      <c r="G650" s="1509">
        <f t="shared" si="70"/>
        <v>0</v>
      </c>
      <c r="H650" s="1509">
        <f t="shared" si="71"/>
        <v>0</v>
      </c>
      <c r="I650" s="1509">
        <v>0</v>
      </c>
      <c r="J650" s="1509">
        <v>0</v>
      </c>
      <c r="K650" s="1505"/>
      <c r="L650" s="1505"/>
      <c r="M650" s="1505">
        <f t="shared" si="72"/>
        <v>0</v>
      </c>
      <c r="N650" s="1505">
        <f t="shared" si="73"/>
        <v>0</v>
      </c>
    </row>
    <row r="651" spans="1:14" customFormat="1" ht="43.5" outlineLevel="1" x14ac:dyDescent="0.25">
      <c r="A651" s="1511">
        <f t="shared" si="74"/>
        <v>27.8</v>
      </c>
      <c r="B651" s="1515" t="str">
        <f t="shared" si="74"/>
        <v>Procurement of MOTORS, RELAY ,BREAKERS &amp; RETROFITTING   for pumps , IAC/CAC to improve availability &amp; performance of Bottom ash,  Coarse Ash &amp;  fly ash system of AHP, unit -7</v>
      </c>
      <c r="C651" s="1396" t="str">
        <f t="shared" si="74"/>
        <v>Yet to be approved</v>
      </c>
      <c r="D651" s="1378" t="str">
        <f t="shared" si="74"/>
        <v>-</v>
      </c>
      <c r="E651" s="1505">
        <f t="shared" si="74"/>
        <v>0</v>
      </c>
      <c r="F651" s="1509">
        <f t="shared" si="69"/>
        <v>0</v>
      </c>
      <c r="G651" s="1509">
        <f t="shared" si="70"/>
        <v>0</v>
      </c>
      <c r="H651" s="1509">
        <f t="shared" si="71"/>
        <v>0</v>
      </c>
      <c r="I651" s="1509">
        <v>0</v>
      </c>
      <c r="J651" s="1509">
        <v>0</v>
      </c>
      <c r="K651" s="1505"/>
      <c r="L651" s="1505"/>
      <c r="M651" s="1505">
        <f t="shared" si="72"/>
        <v>0</v>
      </c>
      <c r="N651" s="1505">
        <f t="shared" si="73"/>
        <v>0</v>
      </c>
    </row>
    <row r="652" spans="1:14" customFormat="1" outlineLevel="1" x14ac:dyDescent="0.25">
      <c r="A652" s="1511">
        <f t="shared" si="74"/>
        <v>27.9</v>
      </c>
      <c r="B652" s="1515" t="str">
        <f t="shared" si="74"/>
        <v>Procurement of Replcement Water valve, AUDCO valve</v>
      </c>
      <c r="C652" s="1396" t="str">
        <f t="shared" si="74"/>
        <v>Yet to be approved</v>
      </c>
      <c r="D652" s="1378" t="str">
        <f t="shared" si="74"/>
        <v>-</v>
      </c>
      <c r="E652" s="1505">
        <f t="shared" si="74"/>
        <v>0</v>
      </c>
      <c r="F652" s="1509">
        <f t="shared" si="69"/>
        <v>0</v>
      </c>
      <c r="G652" s="1509">
        <f t="shared" si="70"/>
        <v>0</v>
      </c>
      <c r="H652" s="1509">
        <f t="shared" si="71"/>
        <v>0</v>
      </c>
      <c r="I652" s="1509">
        <v>0</v>
      </c>
      <c r="J652" s="1509">
        <v>0</v>
      </c>
      <c r="K652" s="1505"/>
      <c r="L652" s="1505"/>
      <c r="M652" s="1505">
        <f t="shared" si="72"/>
        <v>0</v>
      </c>
      <c r="N652" s="1505">
        <f t="shared" si="73"/>
        <v>0</v>
      </c>
    </row>
    <row r="653" spans="1:14" customFormat="1" outlineLevel="1" x14ac:dyDescent="0.25">
      <c r="A653" s="1511">
        <f t="shared" si="74"/>
        <v>27.1</v>
      </c>
      <c r="B653" s="1515" t="str">
        <f t="shared" si="74"/>
        <v>Procurement &amp; replacement of Bottom ash clinker grinder</v>
      </c>
      <c r="C653" s="1396" t="str">
        <f t="shared" si="74"/>
        <v>Yet to be approved</v>
      </c>
      <c r="D653" s="1378" t="str">
        <f t="shared" si="74"/>
        <v>-</v>
      </c>
      <c r="E653" s="1505">
        <f t="shared" si="74"/>
        <v>0</v>
      </c>
      <c r="F653" s="1509">
        <f t="shared" si="69"/>
        <v>0</v>
      </c>
      <c r="G653" s="1509">
        <f t="shared" si="70"/>
        <v>0</v>
      </c>
      <c r="H653" s="1509">
        <f t="shared" si="71"/>
        <v>0</v>
      </c>
      <c r="I653" s="1509">
        <v>0</v>
      </c>
      <c r="J653" s="1509">
        <v>0</v>
      </c>
      <c r="K653" s="1505"/>
      <c r="L653" s="1505"/>
      <c r="M653" s="1505">
        <f t="shared" si="72"/>
        <v>0</v>
      </c>
      <c r="N653" s="1505">
        <f t="shared" si="73"/>
        <v>0</v>
      </c>
    </row>
    <row r="654" spans="1:14" customFormat="1" ht="43.5" outlineLevel="1" x14ac:dyDescent="0.25">
      <c r="A654" s="1511">
        <f t="shared" ref="A654:E669" si="75">A297</f>
        <v>27.11</v>
      </c>
      <c r="B654" s="1515" t="str">
        <f t="shared" si="75"/>
        <v>UPGRADATION OF EXPIRED AND VULNERABLE Scada, operating system and hardware to improve life and communication system of HCSD Ash handling plant UNIT 6&amp;7 250MW at NPTPS PARLI V"</v>
      </c>
      <c r="C654" s="1396" t="str">
        <f t="shared" si="75"/>
        <v>Yet to be approved</v>
      </c>
      <c r="D654" s="1378" t="str">
        <f t="shared" si="75"/>
        <v>-</v>
      </c>
      <c r="E654" s="1505">
        <f t="shared" si="75"/>
        <v>0</v>
      </c>
      <c r="F654" s="1509">
        <f t="shared" si="69"/>
        <v>0</v>
      </c>
      <c r="G654" s="1509">
        <f t="shared" si="70"/>
        <v>0</v>
      </c>
      <c r="H654" s="1509">
        <f t="shared" si="71"/>
        <v>0</v>
      </c>
      <c r="I654" s="1509">
        <v>0</v>
      </c>
      <c r="J654" s="1509">
        <v>0</v>
      </c>
      <c r="K654" s="1505"/>
      <c r="L654" s="1505"/>
      <c r="M654" s="1505">
        <f t="shared" si="72"/>
        <v>0</v>
      </c>
      <c r="N654" s="1505">
        <f t="shared" si="73"/>
        <v>0</v>
      </c>
    </row>
    <row r="655" spans="1:14" customFormat="1" outlineLevel="1" x14ac:dyDescent="0.25">
      <c r="A655" s="1511">
        <f t="shared" si="75"/>
        <v>0</v>
      </c>
      <c r="B655" s="1515" t="str">
        <f t="shared" si="75"/>
        <v>IDC</v>
      </c>
      <c r="C655" s="1396" t="str">
        <f t="shared" si="75"/>
        <v>Yet to be approved</v>
      </c>
      <c r="D655" s="1378" t="str">
        <f t="shared" si="75"/>
        <v>-</v>
      </c>
      <c r="E655" s="1505">
        <f t="shared" si="75"/>
        <v>0</v>
      </c>
      <c r="F655" s="1509">
        <f t="shared" si="69"/>
        <v>0</v>
      </c>
      <c r="G655" s="1509">
        <f t="shared" si="70"/>
        <v>0</v>
      </c>
      <c r="H655" s="1509">
        <f t="shared" si="71"/>
        <v>0</v>
      </c>
      <c r="I655" s="1509">
        <v>0</v>
      </c>
      <c r="J655" s="1509">
        <v>0</v>
      </c>
      <c r="K655" s="1505"/>
      <c r="L655" s="1505"/>
      <c r="M655" s="1505">
        <f t="shared" si="72"/>
        <v>0</v>
      </c>
      <c r="N655" s="1505">
        <f t="shared" si="73"/>
        <v>0</v>
      </c>
    </row>
    <row r="656" spans="1:14" customFormat="1" ht="29" outlineLevel="1" x14ac:dyDescent="0.25">
      <c r="A656" s="1506">
        <f t="shared" si="75"/>
        <v>28</v>
      </c>
      <c r="B656" s="1507" t="str">
        <f t="shared" si="75"/>
        <v>ASH  EVACUATION  IMPROVEMENT  AND  PERFORMANCE &amp; EFFICIENCY OF ASH HANDLING SYSTEM At NPTPS Parli-V AT TPS PARLI-V.</v>
      </c>
      <c r="C656" s="1506" t="str">
        <f t="shared" si="75"/>
        <v>Yet to be approved</v>
      </c>
      <c r="D656" s="1507" t="str">
        <f t="shared" si="75"/>
        <v>-</v>
      </c>
      <c r="E656" s="1506">
        <f t="shared" si="75"/>
        <v>0</v>
      </c>
      <c r="F656" s="1509">
        <f t="shared" si="69"/>
        <v>0</v>
      </c>
      <c r="G656" s="1509">
        <f t="shared" si="70"/>
        <v>0</v>
      </c>
      <c r="H656" s="1509">
        <f t="shared" si="71"/>
        <v>0</v>
      </c>
      <c r="I656" s="1509">
        <v>0</v>
      </c>
      <c r="J656" s="1509">
        <v>0</v>
      </c>
      <c r="K656" s="1506"/>
      <c r="L656" s="1507"/>
      <c r="M656" s="1506">
        <f t="shared" si="72"/>
        <v>0</v>
      </c>
      <c r="N656" s="1507">
        <f t="shared" si="73"/>
        <v>0</v>
      </c>
    </row>
    <row r="657" spans="1:14" customFormat="1" outlineLevel="1" x14ac:dyDescent="0.25">
      <c r="A657" s="1511">
        <f t="shared" si="75"/>
        <v>28.1</v>
      </c>
      <c r="B657" s="1515" t="str">
        <f t="shared" si="75"/>
        <v>GEHO pump critical assemblies replacement.</v>
      </c>
      <c r="C657" s="1396" t="str">
        <f t="shared" si="75"/>
        <v>Yet to be approved</v>
      </c>
      <c r="D657" s="1378" t="str">
        <f t="shared" si="75"/>
        <v>-</v>
      </c>
      <c r="E657" s="1505">
        <f t="shared" si="75"/>
        <v>0</v>
      </c>
      <c r="F657" s="1509">
        <f t="shared" si="69"/>
        <v>0</v>
      </c>
      <c r="G657" s="1509">
        <f t="shared" si="70"/>
        <v>0</v>
      </c>
      <c r="H657" s="1509">
        <f t="shared" si="71"/>
        <v>0</v>
      </c>
      <c r="I657" s="1509">
        <v>0</v>
      </c>
      <c r="J657" s="1509">
        <v>0</v>
      </c>
      <c r="K657" s="1505"/>
      <c r="L657" s="1505"/>
      <c r="M657" s="1505">
        <f t="shared" si="72"/>
        <v>0</v>
      </c>
      <c r="N657" s="1505">
        <f t="shared" si="73"/>
        <v>0</v>
      </c>
    </row>
    <row r="658" spans="1:14" customFormat="1" ht="29" outlineLevel="1" x14ac:dyDescent="0.25">
      <c r="A658" s="1511">
        <f t="shared" si="75"/>
        <v>28.2</v>
      </c>
      <c r="B658" s="1515" t="str">
        <f t="shared" si="75"/>
        <v xml:space="preserve">DESIGN , SUPPLY &amp; REPLCEMENT OF  HP WATER PUMP COMPLTE ASSEMBLY ALONG WITH GEAR BOX, MOTORS </v>
      </c>
      <c r="C658" s="1396" t="str">
        <f t="shared" si="75"/>
        <v>Yet to be approved</v>
      </c>
      <c r="D658" s="1378" t="str">
        <f t="shared" si="75"/>
        <v>-</v>
      </c>
      <c r="E658" s="1505">
        <f t="shared" si="75"/>
        <v>0</v>
      </c>
      <c r="F658" s="1509">
        <f t="shared" si="69"/>
        <v>0</v>
      </c>
      <c r="G658" s="1509">
        <f t="shared" si="70"/>
        <v>0</v>
      </c>
      <c r="H658" s="1509">
        <f t="shared" si="71"/>
        <v>0</v>
      </c>
      <c r="I658" s="1509">
        <v>0</v>
      </c>
      <c r="J658" s="1509">
        <v>0</v>
      </c>
      <c r="K658" s="1505"/>
      <c r="L658" s="1505"/>
      <c r="M658" s="1505">
        <f t="shared" si="72"/>
        <v>0</v>
      </c>
      <c r="N658" s="1505">
        <f t="shared" si="73"/>
        <v>0</v>
      </c>
    </row>
    <row r="659" spans="1:14" customFormat="1" outlineLevel="1" x14ac:dyDescent="0.25">
      <c r="A659" s="1511">
        <f t="shared" si="75"/>
        <v>28.3</v>
      </c>
      <c r="B659" s="1515" t="str">
        <f t="shared" si="75"/>
        <v>Upgradation of BA clinker grinder  at U#6/7</v>
      </c>
      <c r="C659" s="1396" t="str">
        <f t="shared" si="75"/>
        <v>Yet to be approved</v>
      </c>
      <c r="D659" s="1378" t="str">
        <f t="shared" si="75"/>
        <v>-</v>
      </c>
      <c r="E659" s="1505">
        <f t="shared" si="75"/>
        <v>0</v>
      </c>
      <c r="F659" s="1509">
        <f t="shared" si="69"/>
        <v>0</v>
      </c>
      <c r="G659" s="1509">
        <f t="shared" si="70"/>
        <v>0</v>
      </c>
      <c r="H659" s="1509">
        <f t="shared" si="71"/>
        <v>0</v>
      </c>
      <c r="I659" s="1509">
        <v>0</v>
      </c>
      <c r="J659" s="1509">
        <v>0</v>
      </c>
      <c r="K659" s="1505"/>
      <c r="L659" s="1505"/>
      <c r="M659" s="1505">
        <f t="shared" si="72"/>
        <v>0</v>
      </c>
      <c r="N659" s="1505">
        <f t="shared" si="73"/>
        <v>0</v>
      </c>
    </row>
    <row r="660" spans="1:14" customFormat="1" ht="29" outlineLevel="1" x14ac:dyDescent="0.25">
      <c r="A660" s="1511">
        <f t="shared" si="75"/>
        <v>28.4</v>
      </c>
      <c r="B660" s="1515" t="str">
        <f t="shared" si="75"/>
        <v>Scheme 4: Spares for premium make ash mixer gear box H1-160 5.06/1, P2 O No.160106, Sr No.2RF 12629 &amp; H1-180 1.35/1</v>
      </c>
      <c r="C660" s="1396" t="str">
        <f t="shared" si="75"/>
        <v>Yet to be approved</v>
      </c>
      <c r="D660" s="1378" t="str">
        <f t="shared" si="75"/>
        <v>-</v>
      </c>
      <c r="E660" s="1505">
        <f t="shared" si="75"/>
        <v>0</v>
      </c>
      <c r="F660" s="1509">
        <f t="shared" si="69"/>
        <v>0</v>
      </c>
      <c r="G660" s="1509">
        <f t="shared" si="70"/>
        <v>0</v>
      </c>
      <c r="H660" s="1509">
        <f t="shared" si="71"/>
        <v>0</v>
      </c>
      <c r="I660" s="1509">
        <v>0</v>
      </c>
      <c r="J660" s="1509">
        <v>0</v>
      </c>
      <c r="K660" s="1505"/>
      <c r="L660" s="1505"/>
      <c r="M660" s="1505">
        <f t="shared" si="72"/>
        <v>0</v>
      </c>
      <c r="N660" s="1505">
        <f t="shared" si="73"/>
        <v>0</v>
      </c>
    </row>
    <row r="661" spans="1:14" customFormat="1" outlineLevel="1" x14ac:dyDescent="0.25">
      <c r="A661" s="1511">
        <f t="shared" si="75"/>
        <v>28.5</v>
      </c>
      <c r="B661" s="1515" t="str">
        <f t="shared" si="75"/>
        <v>Spares for premium make ash mixer gear box  VB2SA-225 17.1/1p1</v>
      </c>
      <c r="C661" s="1396" t="str">
        <f t="shared" si="75"/>
        <v>Yet to be approved</v>
      </c>
      <c r="D661" s="1378" t="str">
        <f t="shared" si="75"/>
        <v>-</v>
      </c>
      <c r="E661" s="1505">
        <f t="shared" si="75"/>
        <v>0</v>
      </c>
      <c r="F661" s="1509">
        <f t="shared" si="69"/>
        <v>0</v>
      </c>
      <c r="G661" s="1509">
        <f t="shared" si="70"/>
        <v>0</v>
      </c>
      <c r="H661" s="1509">
        <f t="shared" si="71"/>
        <v>0</v>
      </c>
      <c r="I661" s="1509">
        <v>0</v>
      </c>
      <c r="J661" s="1509">
        <v>0</v>
      </c>
      <c r="K661" s="1505"/>
      <c r="L661" s="1505"/>
      <c r="M661" s="1505">
        <f t="shared" si="72"/>
        <v>0</v>
      </c>
      <c r="N661" s="1505">
        <f t="shared" si="73"/>
        <v>0</v>
      </c>
    </row>
    <row r="662" spans="1:14" customFormat="1" outlineLevel="1" x14ac:dyDescent="0.25">
      <c r="A662" s="1511">
        <f t="shared" si="75"/>
        <v>28.6</v>
      </c>
      <c r="B662" s="1515" t="str">
        <f t="shared" si="75"/>
        <v xml:space="preserve">DESIGN , SUPPLY &amp; REPLCEMENT  VACUUM PUMP  </v>
      </c>
      <c r="C662" s="1396" t="str">
        <f t="shared" si="75"/>
        <v>Yet to be approved</v>
      </c>
      <c r="D662" s="1378" t="str">
        <f t="shared" si="75"/>
        <v>-</v>
      </c>
      <c r="E662" s="1505">
        <f t="shared" si="75"/>
        <v>0</v>
      </c>
      <c r="F662" s="1509">
        <f t="shared" si="69"/>
        <v>0</v>
      </c>
      <c r="G662" s="1509">
        <f t="shared" si="70"/>
        <v>0</v>
      </c>
      <c r="H662" s="1509">
        <f t="shared" si="71"/>
        <v>0</v>
      </c>
      <c r="I662" s="1509">
        <v>0</v>
      </c>
      <c r="J662" s="1509">
        <v>0</v>
      </c>
      <c r="K662" s="1505"/>
      <c r="L662" s="1505"/>
      <c r="M662" s="1505">
        <f t="shared" si="72"/>
        <v>0</v>
      </c>
      <c r="N662" s="1505">
        <f t="shared" si="73"/>
        <v>0</v>
      </c>
    </row>
    <row r="663" spans="1:14" customFormat="1" outlineLevel="1" x14ac:dyDescent="0.25">
      <c r="A663" s="1511">
        <f t="shared" si="75"/>
        <v>0</v>
      </c>
      <c r="B663" s="1515" t="str">
        <f t="shared" si="75"/>
        <v>IDC</v>
      </c>
      <c r="C663" s="1396" t="str">
        <f t="shared" si="75"/>
        <v>Yet to be approved</v>
      </c>
      <c r="D663" s="1378" t="str">
        <f t="shared" si="75"/>
        <v>-</v>
      </c>
      <c r="E663" s="1505">
        <f t="shared" si="75"/>
        <v>0</v>
      </c>
      <c r="F663" s="1509">
        <f t="shared" si="69"/>
        <v>0</v>
      </c>
      <c r="G663" s="1509">
        <f t="shared" si="70"/>
        <v>0</v>
      </c>
      <c r="H663" s="1509">
        <f t="shared" si="71"/>
        <v>0</v>
      </c>
      <c r="I663" s="1509">
        <v>0</v>
      </c>
      <c r="J663" s="1509">
        <v>0</v>
      </c>
      <c r="K663" s="1505"/>
      <c r="L663" s="1505"/>
      <c r="M663" s="1505">
        <f t="shared" si="72"/>
        <v>0</v>
      </c>
      <c r="N663" s="1505">
        <f t="shared" si="73"/>
        <v>0</v>
      </c>
    </row>
    <row r="664" spans="1:14" customFormat="1" ht="29" outlineLevel="1" x14ac:dyDescent="0.25">
      <c r="A664" s="1506">
        <f t="shared" si="75"/>
        <v>29</v>
      </c>
      <c r="B664" s="1507" t="str">
        <f t="shared" si="75"/>
        <v>ASH  EVACUATION  IMPROVEMENT  AND  PERFORMANCE &amp; EFFICIENCY OF ASH HANDLING SYSTEM At NPTPS Parli-V AT TPS PARLI-V.</v>
      </c>
      <c r="C664" s="1506" t="str">
        <f t="shared" si="75"/>
        <v>Yet to be approved</v>
      </c>
      <c r="D664" s="1507" t="str">
        <f t="shared" si="75"/>
        <v>-</v>
      </c>
      <c r="E664" s="1506">
        <f t="shared" si="75"/>
        <v>0</v>
      </c>
      <c r="F664" s="1509">
        <f t="shared" si="69"/>
        <v>0</v>
      </c>
      <c r="G664" s="1509">
        <f t="shared" si="70"/>
        <v>0</v>
      </c>
      <c r="H664" s="1509">
        <f t="shared" si="71"/>
        <v>0</v>
      </c>
      <c r="I664" s="1509">
        <v>0</v>
      </c>
      <c r="J664" s="1509">
        <v>0</v>
      </c>
      <c r="K664" s="1506"/>
      <c r="L664" s="1507"/>
      <c r="M664" s="1506">
        <f t="shared" si="72"/>
        <v>0</v>
      </c>
      <c r="N664" s="1507">
        <f t="shared" si="73"/>
        <v>0</v>
      </c>
    </row>
    <row r="665" spans="1:14" customFormat="1" ht="43.5" outlineLevel="1" x14ac:dyDescent="0.25">
      <c r="A665" s="1511">
        <f t="shared" si="75"/>
        <v>29.1</v>
      </c>
      <c r="B665" s="1515" t="str">
        <f t="shared" si="75"/>
        <v>Procurement &amp; replacement of 300 NB,200NB Cash Basalt Pipelines with the existing MSERW pipe of ash disposal system of Unit #6&amp;  7 at Parli TPS, Parli V .</v>
      </c>
      <c r="C665" s="1396" t="str">
        <f t="shared" si="75"/>
        <v>Yet to be approved</v>
      </c>
      <c r="D665" s="1378" t="str">
        <f t="shared" si="75"/>
        <v>-</v>
      </c>
      <c r="E665" s="1505">
        <f t="shared" si="75"/>
        <v>0</v>
      </c>
      <c r="F665" s="1509">
        <f t="shared" si="69"/>
        <v>0</v>
      </c>
      <c r="G665" s="1509">
        <f t="shared" si="70"/>
        <v>0</v>
      </c>
      <c r="H665" s="1509">
        <f t="shared" si="71"/>
        <v>0</v>
      </c>
      <c r="I665" s="1509">
        <v>0</v>
      </c>
      <c r="J665" s="1509">
        <v>0</v>
      </c>
      <c r="K665" s="1505"/>
      <c r="L665" s="1505"/>
      <c r="M665" s="1505">
        <f t="shared" si="72"/>
        <v>0</v>
      </c>
      <c r="N665" s="1505">
        <f t="shared" si="73"/>
        <v>0</v>
      </c>
    </row>
    <row r="666" spans="1:14" customFormat="1" ht="43.5" outlineLevel="1" x14ac:dyDescent="0.25">
      <c r="A666" s="1511">
        <f t="shared" si="75"/>
        <v>29.2</v>
      </c>
      <c r="B666" s="1515" t="str">
        <f t="shared" si="75"/>
        <v>Procurement of MOTORS, RELAY ,BREAKERS &amp; RETROFITTING   for pumps , IAC/CAC to improve availability &amp; performance of Bottom ash,  Coarse Ash &amp;  fly ash system of AHP, unit 6</v>
      </c>
      <c r="C666" s="1396" t="str">
        <f t="shared" si="75"/>
        <v>Yet to be approved</v>
      </c>
      <c r="D666" s="1378" t="str">
        <f t="shared" si="75"/>
        <v>-</v>
      </c>
      <c r="E666" s="1505">
        <f t="shared" si="75"/>
        <v>0</v>
      </c>
      <c r="F666" s="1509">
        <f t="shared" si="69"/>
        <v>0</v>
      </c>
      <c r="G666" s="1509">
        <f t="shared" si="70"/>
        <v>0</v>
      </c>
      <c r="H666" s="1509">
        <f t="shared" si="71"/>
        <v>0</v>
      </c>
      <c r="I666" s="1509">
        <v>0</v>
      </c>
      <c r="J666" s="1509">
        <v>0</v>
      </c>
      <c r="K666" s="1505"/>
      <c r="L666" s="1505"/>
      <c r="M666" s="1505">
        <f t="shared" si="72"/>
        <v>0</v>
      </c>
      <c r="N666" s="1505">
        <f t="shared" si="73"/>
        <v>0</v>
      </c>
    </row>
    <row r="667" spans="1:14" customFormat="1" outlineLevel="1" x14ac:dyDescent="0.25">
      <c r="A667" s="1511">
        <f t="shared" si="75"/>
        <v>29.3</v>
      </c>
      <c r="B667" s="1515" t="str">
        <f t="shared" si="75"/>
        <v>DESIGN , SUPPLY &amp; REPLCEMENT  VACUUM PUMP U#6</v>
      </c>
      <c r="C667" s="1396" t="str">
        <f t="shared" si="75"/>
        <v>Yet to be approved</v>
      </c>
      <c r="D667" s="1378" t="str">
        <f t="shared" si="75"/>
        <v>-</v>
      </c>
      <c r="E667" s="1505">
        <f t="shared" si="75"/>
        <v>0</v>
      </c>
      <c r="F667" s="1509">
        <f t="shared" si="69"/>
        <v>0</v>
      </c>
      <c r="G667" s="1509">
        <f t="shared" si="70"/>
        <v>0</v>
      </c>
      <c r="H667" s="1509">
        <f t="shared" si="71"/>
        <v>0</v>
      </c>
      <c r="I667" s="1509">
        <v>0</v>
      </c>
      <c r="J667" s="1509">
        <v>0</v>
      </c>
      <c r="K667" s="1505"/>
      <c r="L667" s="1505"/>
      <c r="M667" s="1505">
        <f t="shared" si="72"/>
        <v>0</v>
      </c>
      <c r="N667" s="1505">
        <f t="shared" si="73"/>
        <v>0</v>
      </c>
    </row>
    <row r="668" spans="1:14" customFormat="1" outlineLevel="1" x14ac:dyDescent="0.25">
      <c r="A668" s="1511">
        <f t="shared" si="75"/>
        <v>0</v>
      </c>
      <c r="B668" s="1515" t="str">
        <f t="shared" si="75"/>
        <v>IDC</v>
      </c>
      <c r="C668" s="1396" t="str">
        <f t="shared" si="75"/>
        <v>Yet to be approved</v>
      </c>
      <c r="D668" s="1378" t="str">
        <f t="shared" si="75"/>
        <v>-</v>
      </c>
      <c r="E668" s="1505">
        <f t="shared" si="75"/>
        <v>0</v>
      </c>
      <c r="F668" s="1509">
        <f t="shared" si="69"/>
        <v>0</v>
      </c>
      <c r="G668" s="1509">
        <f t="shared" si="70"/>
        <v>0</v>
      </c>
      <c r="H668" s="1509">
        <f t="shared" si="71"/>
        <v>0</v>
      </c>
      <c r="I668" s="1509">
        <v>0</v>
      </c>
      <c r="J668" s="1509">
        <v>0</v>
      </c>
      <c r="K668" s="1505"/>
      <c r="L668" s="1505"/>
      <c r="M668" s="1505">
        <f t="shared" si="72"/>
        <v>0</v>
      </c>
      <c r="N668" s="1505">
        <f t="shared" si="73"/>
        <v>0</v>
      </c>
    </row>
    <row r="669" spans="1:14" customFormat="1" ht="29" outlineLevel="1" x14ac:dyDescent="0.25">
      <c r="A669" s="1506">
        <f t="shared" si="75"/>
        <v>30</v>
      </c>
      <c r="B669" s="1507" t="str">
        <f t="shared" si="75"/>
        <v>ASH  EVACUATION  IMPROVEMENT  AND  PERFORMANCE &amp; EFFICIENCY OF ASH HANDLING SYSTEM At NPTPS Parli-V AT TPS PARLI-V.</v>
      </c>
      <c r="C669" s="1506" t="str">
        <f t="shared" si="75"/>
        <v>Yet to be approved</v>
      </c>
      <c r="D669" s="1507" t="str">
        <f t="shared" si="75"/>
        <v>-</v>
      </c>
      <c r="E669" s="1506">
        <f t="shared" si="75"/>
        <v>0</v>
      </c>
      <c r="F669" s="1509">
        <f t="shared" si="69"/>
        <v>0</v>
      </c>
      <c r="G669" s="1509">
        <f t="shared" si="70"/>
        <v>0</v>
      </c>
      <c r="H669" s="1509">
        <f t="shared" si="71"/>
        <v>0</v>
      </c>
      <c r="I669" s="1509">
        <v>0</v>
      </c>
      <c r="J669" s="1509">
        <v>0</v>
      </c>
      <c r="K669" s="1506"/>
      <c r="L669" s="1507"/>
      <c r="M669" s="1506">
        <f t="shared" si="72"/>
        <v>0</v>
      </c>
      <c r="N669" s="1507">
        <f t="shared" si="73"/>
        <v>0</v>
      </c>
    </row>
    <row r="670" spans="1:14" customFormat="1" outlineLevel="1" x14ac:dyDescent="0.25">
      <c r="A670" s="1511">
        <f t="shared" ref="A670:E685" si="76">A313</f>
        <v>30.1</v>
      </c>
      <c r="B670" s="1515" t="str">
        <f t="shared" si="76"/>
        <v>DESIGN , SUPPLY &amp; REPLCEMENT  VACUUM PUMP</v>
      </c>
      <c r="C670" s="1396" t="str">
        <f t="shared" si="76"/>
        <v>Yet to be approved</v>
      </c>
      <c r="D670" s="1378" t="str">
        <f t="shared" si="76"/>
        <v>-</v>
      </c>
      <c r="E670" s="1505">
        <f t="shared" si="76"/>
        <v>0</v>
      </c>
      <c r="F670" s="1509">
        <f t="shared" si="69"/>
        <v>0</v>
      </c>
      <c r="G670" s="1509">
        <f t="shared" si="70"/>
        <v>0</v>
      </c>
      <c r="H670" s="1509">
        <f t="shared" si="71"/>
        <v>0</v>
      </c>
      <c r="I670" s="1509">
        <v>0</v>
      </c>
      <c r="J670" s="1509">
        <v>0</v>
      </c>
      <c r="K670" s="1505"/>
      <c r="L670" s="1505"/>
      <c r="M670" s="1505">
        <f t="shared" si="72"/>
        <v>0</v>
      </c>
      <c r="N670" s="1505">
        <f t="shared" si="73"/>
        <v>0</v>
      </c>
    </row>
    <row r="671" spans="1:14" customFormat="1" ht="29" outlineLevel="1" x14ac:dyDescent="0.25">
      <c r="A671" s="1511">
        <f t="shared" si="76"/>
        <v>30.2</v>
      </c>
      <c r="B671" s="1515" t="str">
        <f t="shared" si="76"/>
        <v>DESIGN , SUPPLY &amp; REPLCEMENT OF  ASH DISPOSAL SLURRY PUMP  COMPLTE ASSEMBLY ALONG WITH GEAR BOX, MOTORS U-6&amp; 7</v>
      </c>
      <c r="C671" s="1396" t="str">
        <f t="shared" si="76"/>
        <v>Yet to be approved</v>
      </c>
      <c r="D671" s="1378" t="str">
        <f t="shared" si="76"/>
        <v>-</v>
      </c>
      <c r="E671" s="1505">
        <f t="shared" si="76"/>
        <v>0</v>
      </c>
      <c r="F671" s="1509">
        <f t="shared" si="69"/>
        <v>0</v>
      </c>
      <c r="G671" s="1509">
        <f t="shared" si="70"/>
        <v>0</v>
      </c>
      <c r="H671" s="1509">
        <f t="shared" si="71"/>
        <v>0</v>
      </c>
      <c r="I671" s="1509">
        <v>0</v>
      </c>
      <c r="J671" s="1509">
        <v>0</v>
      </c>
      <c r="K671" s="1505"/>
      <c r="L671" s="1505"/>
      <c r="M671" s="1505">
        <f t="shared" si="72"/>
        <v>0</v>
      </c>
      <c r="N671" s="1505">
        <f t="shared" si="73"/>
        <v>0</v>
      </c>
    </row>
    <row r="672" spans="1:14" customFormat="1" ht="29" outlineLevel="1" x14ac:dyDescent="0.25">
      <c r="A672" s="1511">
        <f t="shared" si="76"/>
        <v>30.3</v>
      </c>
      <c r="B672" s="1515" t="str">
        <f t="shared" si="76"/>
        <v>DESIGN , SUPPLY &amp; REPLCEMENT OF  HP WATER PUMP COMPLTE ASSEMBLY ALONG WITH GEAR BOX, MOTORS U-6&amp; 7</v>
      </c>
      <c r="C672" s="1396" t="str">
        <f t="shared" si="76"/>
        <v>Yet to be approved</v>
      </c>
      <c r="D672" s="1378" t="str">
        <f t="shared" si="76"/>
        <v>-</v>
      </c>
      <c r="E672" s="1505">
        <f t="shared" si="76"/>
        <v>0</v>
      </c>
      <c r="F672" s="1509">
        <f t="shared" si="69"/>
        <v>0</v>
      </c>
      <c r="G672" s="1509">
        <f t="shared" si="70"/>
        <v>0</v>
      </c>
      <c r="H672" s="1509">
        <f t="shared" si="71"/>
        <v>0</v>
      </c>
      <c r="I672" s="1509">
        <v>0</v>
      </c>
      <c r="J672" s="1509">
        <v>0</v>
      </c>
      <c r="K672" s="1505"/>
      <c r="L672" s="1505"/>
      <c r="M672" s="1505">
        <f t="shared" si="72"/>
        <v>0</v>
      </c>
      <c r="N672" s="1505">
        <f t="shared" si="73"/>
        <v>0</v>
      </c>
    </row>
    <row r="673" spans="1:14" customFormat="1" ht="43.5" outlineLevel="1" x14ac:dyDescent="0.25">
      <c r="A673" s="1511">
        <f t="shared" si="76"/>
        <v>30.4</v>
      </c>
      <c r="B673" s="1515" t="str">
        <f t="shared" si="76"/>
        <v xml:space="preserve"> Procurement of MOTORS, RELAY ,BREAKERS &amp; RETROFITTING   for HCSD  to improve availability &amp; performance of Bottom ash,  Coarse Ash &amp;  fly ash system of AHP, unit 6</v>
      </c>
      <c r="C673" s="1396" t="str">
        <f t="shared" si="76"/>
        <v>Yet to be approved</v>
      </c>
      <c r="D673" s="1378" t="str">
        <f t="shared" si="76"/>
        <v>-</v>
      </c>
      <c r="E673" s="1505">
        <f t="shared" si="76"/>
        <v>0</v>
      </c>
      <c r="F673" s="1509">
        <f t="shared" si="69"/>
        <v>0</v>
      </c>
      <c r="G673" s="1509">
        <f t="shared" si="70"/>
        <v>0</v>
      </c>
      <c r="H673" s="1509">
        <f t="shared" si="71"/>
        <v>0</v>
      </c>
      <c r="I673" s="1509">
        <v>0</v>
      </c>
      <c r="J673" s="1509">
        <v>0</v>
      </c>
      <c r="K673" s="1505"/>
      <c r="L673" s="1505"/>
      <c r="M673" s="1505">
        <f t="shared" si="72"/>
        <v>0</v>
      </c>
      <c r="N673" s="1505">
        <f t="shared" si="73"/>
        <v>0</v>
      </c>
    </row>
    <row r="674" spans="1:14" customFormat="1" ht="29" outlineLevel="1" x14ac:dyDescent="0.25">
      <c r="A674" s="1511">
        <f t="shared" si="76"/>
        <v>30.5</v>
      </c>
      <c r="B674" s="1515" t="str">
        <f t="shared" si="76"/>
        <v>Upgradation of reciprocating  Conveying Air compressor into screw compressor  at U#6</v>
      </c>
      <c r="C674" s="1396" t="str">
        <f t="shared" si="76"/>
        <v>Yet to be approved</v>
      </c>
      <c r="D674" s="1378" t="str">
        <f t="shared" si="76"/>
        <v>-</v>
      </c>
      <c r="E674" s="1505">
        <f t="shared" si="76"/>
        <v>0</v>
      </c>
      <c r="F674" s="1509">
        <f t="shared" si="69"/>
        <v>0</v>
      </c>
      <c r="G674" s="1509">
        <f t="shared" si="70"/>
        <v>0</v>
      </c>
      <c r="H674" s="1509">
        <f t="shared" si="71"/>
        <v>0</v>
      </c>
      <c r="I674" s="1509">
        <v>0</v>
      </c>
      <c r="J674" s="1509">
        <v>0</v>
      </c>
      <c r="K674" s="1505"/>
      <c r="L674" s="1505"/>
      <c r="M674" s="1505">
        <f t="shared" si="72"/>
        <v>0</v>
      </c>
      <c r="N674" s="1505">
        <f t="shared" si="73"/>
        <v>0</v>
      </c>
    </row>
    <row r="675" spans="1:14" customFormat="1" ht="29" outlineLevel="1" x14ac:dyDescent="0.25">
      <c r="A675" s="1511">
        <f t="shared" si="76"/>
        <v>30.6</v>
      </c>
      <c r="B675" s="1515" t="str">
        <f t="shared" si="76"/>
        <v xml:space="preserve">Upgradation of reciprocating  Instrument  Air compressor into screw compressor  at U#6  </v>
      </c>
      <c r="C675" s="1396" t="str">
        <f t="shared" si="76"/>
        <v>Yet to be approved</v>
      </c>
      <c r="D675" s="1378" t="str">
        <f t="shared" si="76"/>
        <v>-</v>
      </c>
      <c r="E675" s="1505">
        <f t="shared" si="76"/>
        <v>0</v>
      </c>
      <c r="F675" s="1509">
        <f t="shared" si="69"/>
        <v>0</v>
      </c>
      <c r="G675" s="1509">
        <f t="shared" si="70"/>
        <v>0</v>
      </c>
      <c r="H675" s="1509">
        <f t="shared" si="71"/>
        <v>0</v>
      </c>
      <c r="I675" s="1509">
        <v>0</v>
      </c>
      <c r="J675" s="1509">
        <v>0</v>
      </c>
      <c r="K675" s="1505"/>
      <c r="L675" s="1505"/>
      <c r="M675" s="1505">
        <f t="shared" si="72"/>
        <v>0</v>
      </c>
      <c r="N675" s="1505">
        <f t="shared" si="73"/>
        <v>0</v>
      </c>
    </row>
    <row r="676" spans="1:14" customFormat="1" outlineLevel="1" x14ac:dyDescent="0.25">
      <c r="A676" s="1511">
        <f t="shared" si="76"/>
        <v>0</v>
      </c>
      <c r="B676" s="1515" t="str">
        <f t="shared" si="76"/>
        <v>IDC</v>
      </c>
      <c r="C676" s="1396" t="str">
        <f t="shared" si="76"/>
        <v>Yet to be approved</v>
      </c>
      <c r="D676" s="1378" t="str">
        <f t="shared" si="76"/>
        <v>-</v>
      </c>
      <c r="E676" s="1505">
        <f t="shared" si="76"/>
        <v>0</v>
      </c>
      <c r="F676" s="1509">
        <f t="shared" si="69"/>
        <v>0</v>
      </c>
      <c r="G676" s="1509">
        <f t="shared" si="70"/>
        <v>0</v>
      </c>
      <c r="H676" s="1509">
        <f t="shared" si="71"/>
        <v>0</v>
      </c>
      <c r="I676" s="1509">
        <v>0</v>
      </c>
      <c r="J676" s="1509">
        <v>0</v>
      </c>
      <c r="K676" s="1505"/>
      <c r="L676" s="1505"/>
      <c r="M676" s="1505">
        <f t="shared" si="72"/>
        <v>0</v>
      </c>
      <c r="N676" s="1505">
        <f t="shared" si="73"/>
        <v>0</v>
      </c>
    </row>
    <row r="677" spans="1:14" customFormat="1" outlineLevel="1" x14ac:dyDescent="0.25">
      <c r="A677" s="1506">
        <f t="shared" si="76"/>
        <v>31</v>
      </c>
      <c r="B677" s="1507" t="str">
        <f t="shared" si="76"/>
        <v xml:space="preserve">Construction of VIP guest house building at TPS Parli Vaijnath  </v>
      </c>
      <c r="C677" s="1506" t="str">
        <f t="shared" si="76"/>
        <v>Yet to be approved</v>
      </c>
      <c r="D677" s="1507" t="str">
        <f t="shared" si="76"/>
        <v>-</v>
      </c>
      <c r="E677" s="1506">
        <f t="shared" si="76"/>
        <v>0</v>
      </c>
      <c r="F677" s="1509">
        <f t="shared" si="69"/>
        <v>0</v>
      </c>
      <c r="G677" s="1509">
        <f t="shared" si="70"/>
        <v>0</v>
      </c>
      <c r="H677" s="1509">
        <f t="shared" si="71"/>
        <v>0</v>
      </c>
      <c r="I677" s="1509">
        <v>0</v>
      </c>
      <c r="J677" s="1509">
        <v>0</v>
      </c>
      <c r="K677" s="1506"/>
      <c r="L677" s="1507"/>
      <c r="M677" s="1506">
        <f t="shared" si="72"/>
        <v>0</v>
      </c>
      <c r="N677" s="1507">
        <f t="shared" si="73"/>
        <v>0</v>
      </c>
    </row>
    <row r="678" spans="1:14" customFormat="1" outlineLevel="1" x14ac:dyDescent="0.25">
      <c r="A678" s="1511">
        <f t="shared" si="76"/>
        <v>31.1</v>
      </c>
      <c r="B678" s="1515" t="str">
        <f t="shared" si="76"/>
        <v xml:space="preserve">Construction of VIP guest house building at TPS Parli Vaijnath  </v>
      </c>
      <c r="C678" s="1396" t="str">
        <f t="shared" si="76"/>
        <v>Yet to be approved</v>
      </c>
      <c r="D678" s="1378" t="str">
        <f t="shared" si="76"/>
        <v>-</v>
      </c>
      <c r="E678" s="1505">
        <f t="shared" si="76"/>
        <v>0</v>
      </c>
      <c r="F678" s="1509">
        <f t="shared" si="69"/>
        <v>0</v>
      </c>
      <c r="G678" s="1509">
        <f t="shared" si="70"/>
        <v>0</v>
      </c>
      <c r="H678" s="1509">
        <f t="shared" si="71"/>
        <v>0</v>
      </c>
      <c r="I678" s="1509">
        <v>0</v>
      </c>
      <c r="J678" s="1509">
        <v>0</v>
      </c>
      <c r="K678" s="1505"/>
      <c r="L678" s="1505"/>
      <c r="M678" s="1505">
        <f t="shared" si="72"/>
        <v>0</v>
      </c>
      <c r="N678" s="1505">
        <f t="shared" si="73"/>
        <v>0</v>
      </c>
    </row>
    <row r="679" spans="1:14" customFormat="1" ht="43.5" outlineLevel="1" x14ac:dyDescent="0.25">
      <c r="A679" s="1506">
        <f t="shared" si="76"/>
        <v>32</v>
      </c>
      <c r="B679" s="1507" t="str">
        <f t="shared" si="76"/>
        <v xml:space="preserve"> Permanent water supply scheme for parli TPS by lifting water from Dead storage of Majalgaon dam and supplying through enclosed pipe line at New TPS Parli Vaijnath.</v>
      </c>
      <c r="C679" s="1506" t="str">
        <f t="shared" si="76"/>
        <v>Yet to be approved</v>
      </c>
      <c r="D679" s="1507" t="str">
        <f t="shared" si="76"/>
        <v>-</v>
      </c>
      <c r="E679" s="1506">
        <f t="shared" si="76"/>
        <v>0</v>
      </c>
      <c r="F679" s="1509">
        <f t="shared" si="69"/>
        <v>0</v>
      </c>
      <c r="G679" s="1509">
        <f t="shared" si="70"/>
        <v>0</v>
      </c>
      <c r="H679" s="1509">
        <f t="shared" si="71"/>
        <v>0</v>
      </c>
      <c r="I679" s="1509">
        <v>0</v>
      </c>
      <c r="J679" s="1509">
        <v>0</v>
      </c>
      <c r="K679" s="1506"/>
      <c r="L679" s="1507"/>
      <c r="M679" s="1506">
        <f t="shared" si="72"/>
        <v>0</v>
      </c>
      <c r="N679" s="1507">
        <f t="shared" si="73"/>
        <v>0</v>
      </c>
    </row>
    <row r="680" spans="1:14" customFormat="1" ht="43.5" outlineLevel="1" x14ac:dyDescent="0.25">
      <c r="A680" s="1511">
        <f t="shared" si="76"/>
        <v>32.1</v>
      </c>
      <c r="B680" s="1515" t="str">
        <f t="shared" si="76"/>
        <v xml:space="preserve"> Permanent water supply scheme for parli TPS by lifting water from Dead storage of Majalgaon dam and supplying through enclosed pipe line at New TPS Parli Vaijnath.</v>
      </c>
      <c r="C680" s="1396" t="str">
        <f t="shared" si="76"/>
        <v>Yet to be approved</v>
      </c>
      <c r="D680" s="1378" t="str">
        <f t="shared" si="76"/>
        <v>-</v>
      </c>
      <c r="E680" s="1505">
        <f t="shared" si="76"/>
        <v>0</v>
      </c>
      <c r="F680" s="1509">
        <f t="shared" si="69"/>
        <v>0</v>
      </c>
      <c r="G680" s="1509">
        <f t="shared" si="70"/>
        <v>0</v>
      </c>
      <c r="H680" s="1509">
        <f t="shared" si="71"/>
        <v>0</v>
      </c>
      <c r="I680" s="1509">
        <v>0</v>
      </c>
      <c r="J680" s="1509">
        <v>0</v>
      </c>
      <c r="K680" s="1505"/>
      <c r="L680" s="1505"/>
      <c r="M680" s="1505">
        <f t="shared" si="72"/>
        <v>0</v>
      </c>
      <c r="N680" s="1505">
        <f t="shared" si="73"/>
        <v>0</v>
      </c>
    </row>
    <row r="681" spans="1:14" customFormat="1" ht="29" outlineLevel="1" x14ac:dyDescent="0.25">
      <c r="A681" s="1511">
        <f t="shared" si="76"/>
        <v>32.200000000000003</v>
      </c>
      <c r="B681" s="1515" t="str">
        <f t="shared" si="76"/>
        <v>Providing drinking water supply to GSR Tank of Shaktikunj Vasahat from Unit 6,7 and 8 premises new TPS Parli Vaijnath</v>
      </c>
      <c r="C681" s="1396" t="str">
        <f t="shared" si="76"/>
        <v>Yet to be approved</v>
      </c>
      <c r="D681" s="1378" t="str">
        <f t="shared" si="76"/>
        <v>-</v>
      </c>
      <c r="E681" s="1505">
        <f t="shared" si="76"/>
        <v>0</v>
      </c>
      <c r="F681" s="1509">
        <f t="shared" si="69"/>
        <v>0</v>
      </c>
      <c r="G681" s="1509">
        <f t="shared" si="70"/>
        <v>0</v>
      </c>
      <c r="H681" s="1509">
        <f t="shared" si="71"/>
        <v>0</v>
      </c>
      <c r="I681" s="1509">
        <v>0</v>
      </c>
      <c r="J681" s="1509">
        <v>0</v>
      </c>
      <c r="K681" s="1505"/>
      <c r="L681" s="1505"/>
      <c r="M681" s="1505">
        <f t="shared" si="72"/>
        <v>0</v>
      </c>
      <c r="N681" s="1505">
        <f t="shared" si="73"/>
        <v>0</v>
      </c>
    </row>
    <row r="682" spans="1:14" customFormat="1" outlineLevel="1" x14ac:dyDescent="0.25">
      <c r="A682" s="1506">
        <f t="shared" si="76"/>
        <v>33</v>
      </c>
      <c r="B682" s="1507" t="str">
        <f t="shared" si="76"/>
        <v>DPR on Raw water leackage arresting</v>
      </c>
      <c r="C682" s="1506" t="str">
        <f t="shared" si="76"/>
        <v>Yet to be approved</v>
      </c>
      <c r="D682" s="1507" t="str">
        <f t="shared" si="76"/>
        <v>-</v>
      </c>
      <c r="E682" s="1506">
        <f t="shared" si="76"/>
        <v>0</v>
      </c>
      <c r="F682" s="1509">
        <f t="shared" si="69"/>
        <v>0</v>
      </c>
      <c r="G682" s="1509">
        <f t="shared" si="70"/>
        <v>0</v>
      </c>
      <c r="H682" s="1509">
        <f t="shared" si="71"/>
        <v>0</v>
      </c>
      <c r="I682" s="1509">
        <v>0</v>
      </c>
      <c r="J682" s="1509">
        <v>0</v>
      </c>
      <c r="K682" s="1506"/>
      <c r="L682" s="1507"/>
      <c r="M682" s="1506">
        <f t="shared" si="72"/>
        <v>0</v>
      </c>
      <c r="N682" s="1507">
        <f t="shared" si="73"/>
        <v>0</v>
      </c>
    </row>
    <row r="683" spans="1:14" customFormat="1" outlineLevel="1" x14ac:dyDescent="0.25">
      <c r="A683" s="1511">
        <f t="shared" si="76"/>
        <v>33.1</v>
      </c>
      <c r="B683" s="1515" t="str">
        <f t="shared" si="76"/>
        <v xml:space="preserve">Raw water leackage arresting </v>
      </c>
      <c r="C683" s="1396" t="str">
        <f t="shared" si="76"/>
        <v>Yet to be approved</v>
      </c>
      <c r="D683" s="1378" t="str">
        <f t="shared" si="76"/>
        <v>-</v>
      </c>
      <c r="E683" s="1505">
        <f t="shared" si="76"/>
        <v>0</v>
      </c>
      <c r="F683" s="1509">
        <f t="shared" si="69"/>
        <v>0</v>
      </c>
      <c r="G683" s="1509">
        <f t="shared" si="70"/>
        <v>0</v>
      </c>
      <c r="H683" s="1509">
        <f t="shared" si="71"/>
        <v>0</v>
      </c>
      <c r="I683" s="1509">
        <v>0</v>
      </c>
      <c r="J683" s="1509">
        <v>0</v>
      </c>
      <c r="K683" s="1505"/>
      <c r="L683" s="1505"/>
      <c r="M683" s="1505">
        <f t="shared" si="72"/>
        <v>0</v>
      </c>
      <c r="N683" s="1505">
        <f t="shared" si="73"/>
        <v>0</v>
      </c>
    </row>
    <row r="684" spans="1:14" customFormat="1" ht="29" outlineLevel="1" x14ac:dyDescent="0.25">
      <c r="A684" s="1506">
        <f t="shared" si="76"/>
        <v>34</v>
      </c>
      <c r="B684" s="1507" t="str">
        <f t="shared" si="76"/>
        <v>NDCT structural strenthing and leackage arresting througth  basin and CW channel of Unit 6,7</v>
      </c>
      <c r="C684" s="1506" t="str">
        <f t="shared" si="76"/>
        <v>Yet to be approved</v>
      </c>
      <c r="D684" s="1507" t="str">
        <f t="shared" si="76"/>
        <v>-</v>
      </c>
      <c r="E684" s="1506">
        <f t="shared" si="76"/>
        <v>0</v>
      </c>
      <c r="F684" s="1509">
        <f t="shared" si="69"/>
        <v>0</v>
      </c>
      <c r="G684" s="1509">
        <f t="shared" si="70"/>
        <v>0</v>
      </c>
      <c r="H684" s="1509">
        <f t="shared" si="71"/>
        <v>0</v>
      </c>
      <c r="I684" s="1509">
        <v>0</v>
      </c>
      <c r="J684" s="1509">
        <v>0</v>
      </c>
      <c r="K684" s="1506"/>
      <c r="L684" s="1507"/>
      <c r="M684" s="1506">
        <f t="shared" si="72"/>
        <v>0</v>
      </c>
      <c r="N684" s="1507">
        <f t="shared" si="73"/>
        <v>0</v>
      </c>
    </row>
    <row r="685" spans="1:14" customFormat="1" outlineLevel="1" x14ac:dyDescent="0.25">
      <c r="A685" s="1511">
        <f t="shared" si="76"/>
        <v>34.1</v>
      </c>
      <c r="B685" s="1515" t="str">
        <f t="shared" si="76"/>
        <v xml:space="preserve">NDCT basin of unit 6&amp; 7 leackage arresing work </v>
      </c>
      <c r="C685" s="1396" t="str">
        <f t="shared" si="76"/>
        <v>Yet to be approved</v>
      </c>
      <c r="D685" s="1378" t="str">
        <f t="shared" si="76"/>
        <v>-</v>
      </c>
      <c r="E685" s="1505">
        <f t="shared" si="76"/>
        <v>0</v>
      </c>
      <c r="F685" s="1509">
        <f t="shared" si="69"/>
        <v>0</v>
      </c>
      <c r="G685" s="1509">
        <f t="shared" si="70"/>
        <v>0</v>
      </c>
      <c r="H685" s="1509">
        <f t="shared" si="71"/>
        <v>0</v>
      </c>
      <c r="I685" s="1509">
        <v>0</v>
      </c>
      <c r="J685" s="1509">
        <v>0</v>
      </c>
      <c r="K685" s="1505"/>
      <c r="L685" s="1505"/>
      <c r="M685" s="1505">
        <f t="shared" si="72"/>
        <v>0</v>
      </c>
      <c r="N685" s="1505">
        <f t="shared" si="73"/>
        <v>0</v>
      </c>
    </row>
    <row r="686" spans="1:14" customFormat="1" outlineLevel="1" x14ac:dyDescent="0.25">
      <c r="A686" s="1511">
        <f t="shared" ref="A686:E701" si="77">A329</f>
        <v>34.200000000000003</v>
      </c>
      <c r="B686" s="1515" t="str">
        <f t="shared" si="77"/>
        <v>CW channel leackage arresting of  Unit 6 &amp;7</v>
      </c>
      <c r="C686" s="1396" t="str">
        <f t="shared" si="77"/>
        <v>Yet to be approved</v>
      </c>
      <c r="D686" s="1378" t="str">
        <f t="shared" si="77"/>
        <v>-</v>
      </c>
      <c r="E686" s="1505">
        <f t="shared" si="77"/>
        <v>0</v>
      </c>
      <c r="F686" s="1509">
        <f t="shared" si="69"/>
        <v>0</v>
      </c>
      <c r="G686" s="1509">
        <f t="shared" si="70"/>
        <v>0</v>
      </c>
      <c r="H686" s="1509">
        <f t="shared" si="71"/>
        <v>0</v>
      </c>
      <c r="I686" s="1509">
        <v>0</v>
      </c>
      <c r="J686" s="1509">
        <v>0</v>
      </c>
      <c r="K686" s="1505"/>
      <c r="L686" s="1505"/>
      <c r="M686" s="1505">
        <f t="shared" si="72"/>
        <v>0</v>
      </c>
      <c r="N686" s="1505">
        <f t="shared" si="73"/>
        <v>0</v>
      </c>
    </row>
    <row r="687" spans="1:14" customFormat="1" ht="29" outlineLevel="1" x14ac:dyDescent="0.25">
      <c r="A687" s="1511">
        <f t="shared" si="77"/>
        <v>34.299999999999997</v>
      </c>
      <c r="B687" s="1515" t="str">
        <f t="shared" si="77"/>
        <v>NDCT structural strenthing of intermadiate racker coloumn of Unit 6&amp;7</v>
      </c>
      <c r="C687" s="1396" t="str">
        <f t="shared" si="77"/>
        <v>Yet to be approved</v>
      </c>
      <c r="D687" s="1378" t="str">
        <f t="shared" si="77"/>
        <v>-</v>
      </c>
      <c r="E687" s="1505">
        <f t="shared" si="77"/>
        <v>0</v>
      </c>
      <c r="F687" s="1509">
        <f t="shared" ref="F687:F718" si="78">F330+I330</f>
        <v>0</v>
      </c>
      <c r="G687" s="1509">
        <f t="shared" ref="G687:G718" si="79">G330+M330</f>
        <v>0</v>
      </c>
      <c r="H687" s="1509">
        <f t="shared" si="71"/>
        <v>0</v>
      </c>
      <c r="I687" s="1509">
        <v>0</v>
      </c>
      <c r="J687" s="1509">
        <v>0</v>
      </c>
      <c r="K687" s="1505"/>
      <c r="L687" s="1505"/>
      <c r="M687" s="1505">
        <f t="shared" si="72"/>
        <v>0</v>
      </c>
      <c r="N687" s="1505">
        <f t="shared" si="73"/>
        <v>0</v>
      </c>
    </row>
    <row r="688" spans="1:14" customFormat="1" ht="29" outlineLevel="1" x14ac:dyDescent="0.25">
      <c r="A688" s="1511">
        <f t="shared" si="77"/>
        <v>34.4</v>
      </c>
      <c r="B688" s="1515" t="str">
        <f t="shared" si="77"/>
        <v>Construction of Store shed's at Major store in Unit No.6,7 NPTPS Parli V</v>
      </c>
      <c r="C688" s="1396" t="str">
        <f t="shared" si="77"/>
        <v>Yet to be approved</v>
      </c>
      <c r="D688" s="1378" t="str">
        <f t="shared" si="77"/>
        <v>-</v>
      </c>
      <c r="E688" s="1505">
        <f t="shared" si="77"/>
        <v>0</v>
      </c>
      <c r="F688" s="1509">
        <f t="shared" si="78"/>
        <v>0</v>
      </c>
      <c r="G688" s="1509">
        <f t="shared" si="79"/>
        <v>0</v>
      </c>
      <c r="H688" s="1509">
        <f t="shared" ref="H688:H718" si="80">F688-G688</f>
        <v>0</v>
      </c>
      <c r="I688" s="1509">
        <v>0</v>
      </c>
      <c r="J688" s="1509">
        <v>0</v>
      </c>
      <c r="K688" s="1505"/>
      <c r="L688" s="1505"/>
      <c r="M688" s="1505">
        <f t="shared" ref="M688:M718" si="81">SUM(J688:L688)</f>
        <v>0</v>
      </c>
      <c r="N688" s="1505">
        <f t="shared" ref="N688:N718" si="82">H688+I688-M688</f>
        <v>0</v>
      </c>
    </row>
    <row r="689" spans="1:14" customFormat="1" ht="29" outlineLevel="1" x14ac:dyDescent="0.25">
      <c r="A689" s="1506">
        <f t="shared" si="77"/>
        <v>35</v>
      </c>
      <c r="B689" s="1507" t="str">
        <f t="shared" si="77"/>
        <v>DPR on road work &amp;   rennovation work of colony buildings Parli -V at TPS Parli -V</v>
      </c>
      <c r="C689" s="1506" t="str">
        <f t="shared" si="77"/>
        <v>Yet to be approved</v>
      </c>
      <c r="D689" s="1507" t="str">
        <f t="shared" si="77"/>
        <v>-</v>
      </c>
      <c r="E689" s="1506">
        <f t="shared" si="77"/>
        <v>0</v>
      </c>
      <c r="F689" s="1509">
        <f t="shared" si="78"/>
        <v>0</v>
      </c>
      <c r="G689" s="1509">
        <f t="shared" si="79"/>
        <v>0</v>
      </c>
      <c r="H689" s="1509">
        <f t="shared" si="80"/>
        <v>0</v>
      </c>
      <c r="I689" s="1509">
        <v>0</v>
      </c>
      <c r="J689" s="1509">
        <v>0</v>
      </c>
      <c r="K689" s="1506"/>
      <c r="L689" s="1507"/>
      <c r="M689" s="1506">
        <f t="shared" si="81"/>
        <v>0</v>
      </c>
      <c r="N689" s="1507">
        <f t="shared" si="82"/>
        <v>0</v>
      </c>
    </row>
    <row r="690" spans="1:14" customFormat="1" ht="43.5" outlineLevel="1" x14ac:dyDescent="0.25">
      <c r="A690" s="1511">
        <f t="shared" si="77"/>
        <v>35.1</v>
      </c>
      <c r="B690" s="1515" t="str">
        <f t="shared" si="77"/>
        <v xml:space="preserve">contruction of roads of few roads in clusters and main road repairs ,carpet laying,seal coats, strips on road &amp; indicators on roads with rumbble strips at TPS colony Parli V </v>
      </c>
      <c r="C690" s="1396" t="str">
        <f t="shared" si="77"/>
        <v>Yet to be approved</v>
      </c>
      <c r="D690" s="1378" t="str">
        <f t="shared" si="77"/>
        <v>-</v>
      </c>
      <c r="E690" s="1505">
        <f t="shared" si="77"/>
        <v>0</v>
      </c>
      <c r="F690" s="1509">
        <f t="shared" si="78"/>
        <v>0</v>
      </c>
      <c r="G690" s="1509">
        <f t="shared" si="79"/>
        <v>0</v>
      </c>
      <c r="H690" s="1509">
        <f t="shared" si="80"/>
        <v>0</v>
      </c>
      <c r="I690" s="1509">
        <v>0</v>
      </c>
      <c r="J690" s="1509">
        <v>0</v>
      </c>
      <c r="K690" s="1505"/>
      <c r="L690" s="1505"/>
      <c r="M690" s="1505">
        <f t="shared" si="81"/>
        <v>0</v>
      </c>
      <c r="N690" s="1505">
        <f t="shared" si="82"/>
        <v>0</v>
      </c>
    </row>
    <row r="691" spans="1:14" customFormat="1" ht="43.5" outlineLevel="1" x14ac:dyDescent="0.25">
      <c r="A691" s="1511">
        <f t="shared" si="77"/>
        <v>35.200000000000003</v>
      </c>
      <c r="B691" s="1515" t="str">
        <f t="shared" si="77"/>
        <v xml:space="preserve"> In ABC colony ( Putty work,plastic emulsion paint,oil paint plaster etc) ,In DEF &amp; New colony ( internal &amp; external paint  ,oil paint etc) at TPS colony Parli-V.</v>
      </c>
      <c r="C691" s="1396" t="str">
        <f t="shared" si="77"/>
        <v>Yet to be approved</v>
      </c>
      <c r="D691" s="1378" t="str">
        <f t="shared" si="77"/>
        <v>-</v>
      </c>
      <c r="E691" s="1505">
        <f t="shared" si="77"/>
        <v>0</v>
      </c>
      <c r="F691" s="1509">
        <f t="shared" si="78"/>
        <v>0</v>
      </c>
      <c r="G691" s="1509">
        <f t="shared" si="79"/>
        <v>0</v>
      </c>
      <c r="H691" s="1509">
        <f t="shared" si="80"/>
        <v>0</v>
      </c>
      <c r="I691" s="1509">
        <v>0</v>
      </c>
      <c r="J691" s="1509">
        <v>0</v>
      </c>
      <c r="K691" s="1505"/>
      <c r="L691" s="1505"/>
      <c r="M691" s="1505">
        <f t="shared" si="81"/>
        <v>0</v>
      </c>
      <c r="N691" s="1505">
        <f t="shared" si="82"/>
        <v>0</v>
      </c>
    </row>
    <row r="692" spans="1:14" customFormat="1" ht="29" outlineLevel="1" x14ac:dyDescent="0.25">
      <c r="A692" s="1511">
        <f t="shared" si="77"/>
        <v>35.299999999999997</v>
      </c>
      <c r="B692" s="1515" t="str">
        <f t="shared" si="77"/>
        <v xml:space="preserve"> In ABC,DEF &amp; New colony ( chember ,300 m dia rcc pipe,150mm  rcc pipe etc)at tps colony Parli V </v>
      </c>
      <c r="C692" s="1396" t="str">
        <f t="shared" si="77"/>
        <v>Yet to be approved</v>
      </c>
      <c r="D692" s="1378" t="str">
        <f t="shared" si="77"/>
        <v>-</v>
      </c>
      <c r="E692" s="1505">
        <f t="shared" si="77"/>
        <v>0</v>
      </c>
      <c r="F692" s="1509">
        <f t="shared" si="78"/>
        <v>0</v>
      </c>
      <c r="G692" s="1509">
        <f t="shared" si="79"/>
        <v>0</v>
      </c>
      <c r="H692" s="1509">
        <f t="shared" si="80"/>
        <v>0</v>
      </c>
      <c r="I692" s="1509">
        <v>0</v>
      </c>
      <c r="J692" s="1509">
        <v>0</v>
      </c>
      <c r="K692" s="1505"/>
      <c r="L692" s="1505"/>
      <c r="M692" s="1505">
        <f t="shared" si="81"/>
        <v>0</v>
      </c>
      <c r="N692" s="1505">
        <f t="shared" si="82"/>
        <v>0</v>
      </c>
    </row>
    <row r="693" spans="1:14" customFormat="1" ht="29" outlineLevel="1" x14ac:dyDescent="0.25">
      <c r="A693" s="1511">
        <f t="shared" si="77"/>
        <v>35.4</v>
      </c>
      <c r="B693" s="1515" t="str">
        <f t="shared" si="77"/>
        <v>Plinth protection along the building and providing and placing rcc bench infront of all buildings etc at tps colony Parli v</v>
      </c>
      <c r="C693" s="1396" t="str">
        <f t="shared" si="77"/>
        <v>Yet to be approved</v>
      </c>
      <c r="D693" s="1378" t="str">
        <f t="shared" si="77"/>
        <v>-</v>
      </c>
      <c r="E693" s="1505">
        <f t="shared" si="77"/>
        <v>0</v>
      </c>
      <c r="F693" s="1509">
        <f t="shared" si="78"/>
        <v>0</v>
      </c>
      <c r="G693" s="1509">
        <f t="shared" si="79"/>
        <v>0</v>
      </c>
      <c r="H693" s="1509">
        <f t="shared" si="80"/>
        <v>0</v>
      </c>
      <c r="I693" s="1509">
        <v>0</v>
      </c>
      <c r="J693" s="1509">
        <v>0</v>
      </c>
      <c r="K693" s="1505"/>
      <c r="L693" s="1505"/>
      <c r="M693" s="1505">
        <f t="shared" si="81"/>
        <v>0</v>
      </c>
      <c r="N693" s="1505">
        <f t="shared" si="82"/>
        <v>0</v>
      </c>
    </row>
    <row r="694" spans="1:14" customFormat="1" ht="58" outlineLevel="1" x14ac:dyDescent="0.25">
      <c r="A694" s="1511">
        <f t="shared" si="77"/>
        <v>35.5</v>
      </c>
      <c r="B694" s="1515" t="str">
        <f t="shared" si="77"/>
        <v xml:space="preserve">changing all internal qtrs pipeline from gi pipeline to Upvc pipeline and replacing existing damaged gi pipe by new one and also providing water tank  over single qtrs and buildings at ABC, DEF, &amp; New colony TPS Parli v </v>
      </c>
      <c r="C694" s="1396" t="str">
        <f t="shared" si="77"/>
        <v>Yet to be approved</v>
      </c>
      <c r="D694" s="1378" t="str">
        <f t="shared" si="77"/>
        <v>-</v>
      </c>
      <c r="E694" s="1505">
        <f t="shared" si="77"/>
        <v>0</v>
      </c>
      <c r="F694" s="1509">
        <f t="shared" si="78"/>
        <v>0</v>
      </c>
      <c r="G694" s="1509">
        <f t="shared" si="79"/>
        <v>0</v>
      </c>
      <c r="H694" s="1509">
        <f t="shared" si="80"/>
        <v>0</v>
      </c>
      <c r="I694" s="1509">
        <v>0</v>
      </c>
      <c r="J694" s="1509">
        <v>0</v>
      </c>
      <c r="K694" s="1505"/>
      <c r="L694" s="1505"/>
      <c r="M694" s="1505">
        <f t="shared" si="81"/>
        <v>0</v>
      </c>
      <c r="N694" s="1505">
        <f t="shared" si="82"/>
        <v>0</v>
      </c>
    </row>
    <row r="695" spans="1:14" customFormat="1" outlineLevel="1" x14ac:dyDescent="0.25">
      <c r="A695" s="1511">
        <f t="shared" si="77"/>
        <v>35.6</v>
      </c>
      <c r="B695" s="1515" t="str">
        <f t="shared" si="77"/>
        <v>Carpentary works  at ABC,DEF &amp; New colony TPS  , Parli -V</v>
      </c>
      <c r="C695" s="1396" t="str">
        <f t="shared" si="77"/>
        <v>Yet to be approved</v>
      </c>
      <c r="D695" s="1378" t="str">
        <f t="shared" si="77"/>
        <v>-</v>
      </c>
      <c r="E695" s="1505">
        <f t="shared" si="77"/>
        <v>0</v>
      </c>
      <c r="F695" s="1509">
        <f t="shared" si="78"/>
        <v>0</v>
      </c>
      <c r="G695" s="1509">
        <f t="shared" si="79"/>
        <v>0</v>
      </c>
      <c r="H695" s="1509">
        <f t="shared" si="80"/>
        <v>0</v>
      </c>
      <c r="I695" s="1509">
        <v>0</v>
      </c>
      <c r="J695" s="1509">
        <v>0</v>
      </c>
      <c r="K695" s="1505"/>
      <c r="L695" s="1505"/>
      <c r="M695" s="1505">
        <f t="shared" si="81"/>
        <v>0</v>
      </c>
      <c r="N695" s="1505">
        <f t="shared" si="82"/>
        <v>0</v>
      </c>
    </row>
    <row r="696" spans="1:14" customFormat="1" outlineLevel="1" x14ac:dyDescent="0.25">
      <c r="A696" s="1511">
        <f t="shared" si="77"/>
        <v>35.700000000000003</v>
      </c>
      <c r="B696" s="1515" t="str">
        <f t="shared" si="77"/>
        <v>Flooring work  at ABC,DEF &amp; New colony TPS  , Parli -V</v>
      </c>
      <c r="C696" s="1396" t="str">
        <f t="shared" si="77"/>
        <v>Yet to be approved</v>
      </c>
      <c r="D696" s="1378" t="str">
        <f t="shared" si="77"/>
        <v>-</v>
      </c>
      <c r="E696" s="1505">
        <f t="shared" si="77"/>
        <v>0</v>
      </c>
      <c r="F696" s="1509">
        <f t="shared" si="78"/>
        <v>0</v>
      </c>
      <c r="G696" s="1509">
        <f t="shared" si="79"/>
        <v>0</v>
      </c>
      <c r="H696" s="1509">
        <f t="shared" si="80"/>
        <v>0</v>
      </c>
      <c r="I696" s="1509">
        <v>0</v>
      </c>
      <c r="J696" s="1509">
        <v>0</v>
      </c>
      <c r="K696" s="1505"/>
      <c r="L696" s="1505"/>
      <c r="M696" s="1505">
        <f t="shared" si="81"/>
        <v>0</v>
      </c>
      <c r="N696" s="1505">
        <f t="shared" si="82"/>
        <v>0</v>
      </c>
    </row>
    <row r="697" spans="1:14" customFormat="1" ht="29" outlineLevel="1" x14ac:dyDescent="0.25">
      <c r="A697" s="1511">
        <f t="shared" si="77"/>
        <v>35.799999999999997</v>
      </c>
      <c r="B697" s="1515" t="str">
        <f t="shared" si="77"/>
        <v>construction of new ESR and GSR  at ABC,DEF &amp; New colony TPS  , Parli -V</v>
      </c>
      <c r="C697" s="1396" t="str">
        <f t="shared" si="77"/>
        <v>Yet to be approved</v>
      </c>
      <c r="D697" s="1378" t="str">
        <f t="shared" si="77"/>
        <v>-</v>
      </c>
      <c r="E697" s="1505">
        <f t="shared" si="77"/>
        <v>0</v>
      </c>
      <c r="F697" s="1509">
        <f t="shared" si="78"/>
        <v>0</v>
      </c>
      <c r="G697" s="1509">
        <f t="shared" si="79"/>
        <v>0</v>
      </c>
      <c r="H697" s="1509">
        <f t="shared" si="80"/>
        <v>0</v>
      </c>
      <c r="I697" s="1509">
        <v>0</v>
      </c>
      <c r="J697" s="1509">
        <v>0</v>
      </c>
      <c r="K697" s="1505"/>
      <c r="L697" s="1505"/>
      <c r="M697" s="1505">
        <f t="shared" si="81"/>
        <v>0</v>
      </c>
      <c r="N697" s="1505">
        <f t="shared" si="82"/>
        <v>0</v>
      </c>
    </row>
    <row r="698" spans="1:14" customFormat="1" ht="29" outlineLevel="1" x14ac:dyDescent="0.25">
      <c r="A698" s="1511">
        <f t="shared" si="77"/>
        <v>35.9</v>
      </c>
      <c r="B698" s="1515" t="str">
        <f t="shared" si="77"/>
        <v>refurbishment of qtrs by strenthening structurein ABC ,DEF &amp; New colony tps parli v</v>
      </c>
      <c r="C698" s="1396" t="str">
        <f t="shared" si="77"/>
        <v>Yet to be approved</v>
      </c>
      <c r="D698" s="1378" t="str">
        <f t="shared" si="77"/>
        <v>-</v>
      </c>
      <c r="E698" s="1505">
        <f t="shared" si="77"/>
        <v>0</v>
      </c>
      <c r="F698" s="1509">
        <f t="shared" si="78"/>
        <v>0</v>
      </c>
      <c r="G698" s="1509">
        <f t="shared" si="79"/>
        <v>0</v>
      </c>
      <c r="H698" s="1509">
        <f t="shared" si="80"/>
        <v>0</v>
      </c>
      <c r="I698" s="1509">
        <v>0</v>
      </c>
      <c r="J698" s="1509">
        <v>0</v>
      </c>
      <c r="K698" s="1505"/>
      <c r="L698" s="1505"/>
      <c r="M698" s="1505">
        <f t="shared" si="81"/>
        <v>0</v>
      </c>
      <c r="N698" s="1505">
        <f t="shared" si="82"/>
        <v>0</v>
      </c>
    </row>
    <row r="699" spans="1:14" customFormat="1" ht="29" outlineLevel="1" x14ac:dyDescent="0.25">
      <c r="A699" s="1511">
        <f t="shared" si="77"/>
        <v>35.1</v>
      </c>
      <c r="B699" s="1515" t="str">
        <f t="shared" si="77"/>
        <v>Devolpment of garden and providing child friendly equiment in ABC ,DEF &amp; New colony tps parli v</v>
      </c>
      <c r="C699" s="1396" t="str">
        <f t="shared" si="77"/>
        <v>Yet to be approved</v>
      </c>
      <c r="D699" s="1378" t="str">
        <f t="shared" si="77"/>
        <v>-</v>
      </c>
      <c r="E699" s="1505">
        <f t="shared" si="77"/>
        <v>0</v>
      </c>
      <c r="F699" s="1509">
        <f t="shared" si="78"/>
        <v>0</v>
      </c>
      <c r="G699" s="1509">
        <f t="shared" si="79"/>
        <v>0</v>
      </c>
      <c r="H699" s="1509">
        <f t="shared" si="80"/>
        <v>0</v>
      </c>
      <c r="I699" s="1509">
        <v>0</v>
      </c>
      <c r="J699" s="1509">
        <v>0</v>
      </c>
      <c r="K699" s="1505"/>
      <c r="L699" s="1505"/>
      <c r="M699" s="1505">
        <f t="shared" si="81"/>
        <v>0</v>
      </c>
      <c r="N699" s="1505">
        <f t="shared" si="82"/>
        <v>0</v>
      </c>
    </row>
    <row r="700" spans="1:14" customFormat="1" outlineLevel="1" x14ac:dyDescent="0.25">
      <c r="A700" s="1506">
        <f t="shared" si="77"/>
        <v>36</v>
      </c>
      <c r="B700" s="1507" t="str">
        <f t="shared" si="77"/>
        <v xml:space="preserve">CHP improvement schemes at 2 x 250 MW Unit </v>
      </c>
      <c r="C700" s="1506">
        <f t="shared" si="77"/>
        <v>0</v>
      </c>
      <c r="D700" s="1507" t="str">
        <f t="shared" si="77"/>
        <v>-</v>
      </c>
      <c r="E700" s="1506">
        <f t="shared" si="77"/>
        <v>0</v>
      </c>
      <c r="F700" s="1509">
        <f t="shared" si="78"/>
        <v>0</v>
      </c>
      <c r="G700" s="1509">
        <f t="shared" si="79"/>
        <v>0</v>
      </c>
      <c r="H700" s="1509">
        <f t="shared" si="80"/>
        <v>0</v>
      </c>
      <c r="I700" s="1509">
        <v>0</v>
      </c>
      <c r="J700" s="1509">
        <v>0</v>
      </c>
      <c r="K700" s="1506"/>
      <c r="L700" s="1507"/>
      <c r="M700" s="1506">
        <f t="shared" si="81"/>
        <v>0</v>
      </c>
      <c r="N700" s="1507">
        <f t="shared" si="82"/>
        <v>0</v>
      </c>
    </row>
    <row r="701" spans="1:14" customFormat="1" outlineLevel="1" x14ac:dyDescent="0.25">
      <c r="A701" s="1511">
        <f t="shared" si="77"/>
        <v>36.1</v>
      </c>
      <c r="B701" s="1515" t="str">
        <f t="shared" si="77"/>
        <v xml:space="preserve">CHP improvement schemes at 2 x 250 MW Unit </v>
      </c>
      <c r="C701" s="1396">
        <f t="shared" si="77"/>
        <v>0</v>
      </c>
      <c r="D701" s="1378" t="str">
        <f t="shared" si="77"/>
        <v>-</v>
      </c>
      <c r="E701" s="1505">
        <f t="shared" si="77"/>
        <v>0</v>
      </c>
      <c r="F701" s="1509">
        <f t="shared" si="78"/>
        <v>0</v>
      </c>
      <c r="G701" s="1509">
        <f t="shared" si="79"/>
        <v>0</v>
      </c>
      <c r="H701" s="1509">
        <f t="shared" si="80"/>
        <v>0</v>
      </c>
      <c r="I701" s="1509">
        <v>0</v>
      </c>
      <c r="J701" s="1509">
        <v>0</v>
      </c>
      <c r="K701" s="1505"/>
      <c r="L701" s="1505"/>
      <c r="M701" s="1505">
        <f t="shared" si="81"/>
        <v>0</v>
      </c>
      <c r="N701" s="1505">
        <f t="shared" si="82"/>
        <v>0</v>
      </c>
    </row>
    <row r="702" spans="1:14" customFormat="1" outlineLevel="1" x14ac:dyDescent="0.25">
      <c r="A702" s="1506">
        <f t="shared" ref="A702:E717" si="83">A345</f>
        <v>37</v>
      </c>
      <c r="B702" s="1507" t="str">
        <f t="shared" si="83"/>
        <v>Flexible Operation work at U#6,7</v>
      </c>
      <c r="C702" s="1506" t="str">
        <f t="shared" si="83"/>
        <v>Yet to be approved</v>
      </c>
      <c r="D702" s="1507" t="str">
        <f t="shared" si="83"/>
        <v>-</v>
      </c>
      <c r="E702" s="1506">
        <f t="shared" si="83"/>
        <v>0</v>
      </c>
      <c r="F702" s="1509">
        <f t="shared" si="78"/>
        <v>0</v>
      </c>
      <c r="G702" s="1509">
        <f t="shared" si="79"/>
        <v>0</v>
      </c>
      <c r="H702" s="1509">
        <f t="shared" si="80"/>
        <v>0</v>
      </c>
      <c r="I702" s="1509">
        <v>0</v>
      </c>
      <c r="J702" s="1509">
        <v>0</v>
      </c>
      <c r="K702" s="1506"/>
      <c r="L702" s="1507"/>
      <c r="M702" s="1506">
        <f t="shared" si="81"/>
        <v>0</v>
      </c>
      <c r="N702" s="1507">
        <f t="shared" si="82"/>
        <v>0</v>
      </c>
    </row>
    <row r="703" spans="1:14" customFormat="1" outlineLevel="1" x14ac:dyDescent="0.25">
      <c r="A703" s="1511">
        <f t="shared" si="83"/>
        <v>37.1</v>
      </c>
      <c r="B703" s="1515" t="str">
        <f t="shared" si="83"/>
        <v>Flexible Operation work at U#6,7</v>
      </c>
      <c r="C703" s="1396" t="str">
        <f t="shared" si="83"/>
        <v>Yet to be approved</v>
      </c>
      <c r="D703" s="1378" t="str">
        <f t="shared" si="83"/>
        <v>-</v>
      </c>
      <c r="E703" s="1505">
        <f t="shared" si="83"/>
        <v>0</v>
      </c>
      <c r="F703" s="1509">
        <f t="shared" si="78"/>
        <v>0</v>
      </c>
      <c r="G703" s="1509">
        <f t="shared" si="79"/>
        <v>0</v>
      </c>
      <c r="H703" s="1509">
        <f t="shared" si="80"/>
        <v>0</v>
      </c>
      <c r="I703" s="1509">
        <v>0</v>
      </c>
      <c r="J703" s="1509">
        <v>0</v>
      </c>
      <c r="K703" s="1505"/>
      <c r="L703" s="1505"/>
      <c r="M703" s="1505">
        <f t="shared" si="81"/>
        <v>0</v>
      </c>
      <c r="N703" s="1505">
        <f t="shared" si="82"/>
        <v>0</v>
      </c>
    </row>
    <row r="704" spans="1:14" customFormat="1" outlineLevel="1" x14ac:dyDescent="0.25">
      <c r="A704" s="1511">
        <f t="shared" si="83"/>
        <v>0</v>
      </c>
      <c r="B704" s="1515">
        <f t="shared" si="83"/>
        <v>0</v>
      </c>
      <c r="C704" s="1396">
        <f t="shared" si="83"/>
        <v>0</v>
      </c>
      <c r="D704" s="1378" t="str">
        <f t="shared" si="83"/>
        <v>-</v>
      </c>
      <c r="E704" s="1505">
        <f t="shared" si="83"/>
        <v>0</v>
      </c>
      <c r="F704" s="1509">
        <f t="shared" si="78"/>
        <v>0</v>
      </c>
      <c r="G704" s="1509">
        <f t="shared" si="79"/>
        <v>0</v>
      </c>
      <c r="H704" s="1509">
        <f t="shared" si="80"/>
        <v>0</v>
      </c>
      <c r="I704" s="1509">
        <v>0</v>
      </c>
      <c r="J704" s="1509">
        <v>0</v>
      </c>
      <c r="K704" s="1505"/>
      <c r="L704" s="1505"/>
      <c r="M704" s="1505">
        <f t="shared" si="81"/>
        <v>0</v>
      </c>
      <c r="N704" s="1505">
        <f t="shared" si="82"/>
        <v>0</v>
      </c>
    </row>
    <row r="705" spans="1:14" customFormat="1" outlineLevel="1" x14ac:dyDescent="0.25">
      <c r="A705" s="1511">
        <f t="shared" si="83"/>
        <v>0</v>
      </c>
      <c r="B705" s="1515">
        <f t="shared" si="83"/>
        <v>0</v>
      </c>
      <c r="C705" s="1396">
        <f t="shared" si="83"/>
        <v>0</v>
      </c>
      <c r="D705" s="1378" t="str">
        <f t="shared" si="83"/>
        <v>-</v>
      </c>
      <c r="E705" s="1505">
        <f t="shared" si="83"/>
        <v>0</v>
      </c>
      <c r="F705" s="1509">
        <f t="shared" si="78"/>
        <v>0</v>
      </c>
      <c r="G705" s="1509">
        <f t="shared" si="79"/>
        <v>0</v>
      </c>
      <c r="H705" s="1509">
        <f t="shared" si="80"/>
        <v>0</v>
      </c>
      <c r="I705" s="1509">
        <v>0</v>
      </c>
      <c r="J705" s="1509">
        <v>0</v>
      </c>
      <c r="K705" s="1505"/>
      <c r="L705" s="1505"/>
      <c r="M705" s="1505">
        <f t="shared" si="81"/>
        <v>0</v>
      </c>
      <c r="N705" s="1505">
        <f t="shared" si="82"/>
        <v>0</v>
      </c>
    </row>
    <row r="706" spans="1:14" customFormat="1" ht="18.5" outlineLevel="1" x14ac:dyDescent="0.25">
      <c r="A706" s="1339" t="str">
        <f t="shared" si="83"/>
        <v>D</v>
      </c>
      <c r="B706" s="1339" t="str">
        <f t="shared" si="83"/>
        <v>Non-DPR Schemes</v>
      </c>
      <c r="C706" s="1396">
        <f t="shared" si="83"/>
        <v>0</v>
      </c>
      <c r="D706" s="1378" t="str">
        <f t="shared" si="83"/>
        <v>-</v>
      </c>
      <c r="E706" s="1505">
        <f t="shared" si="83"/>
        <v>0</v>
      </c>
      <c r="F706" s="1509">
        <f t="shared" si="78"/>
        <v>0</v>
      </c>
      <c r="G706" s="1509">
        <f t="shared" si="79"/>
        <v>0</v>
      </c>
      <c r="H706" s="1509">
        <f t="shared" si="80"/>
        <v>0</v>
      </c>
      <c r="I706" s="1509">
        <v>0</v>
      </c>
      <c r="J706" s="1509">
        <v>0</v>
      </c>
      <c r="K706" s="1505"/>
      <c r="L706" s="1505"/>
      <c r="M706" s="1505">
        <f t="shared" si="81"/>
        <v>0</v>
      </c>
      <c r="N706" s="1505">
        <f t="shared" si="82"/>
        <v>0</v>
      </c>
    </row>
    <row r="707" spans="1:14" customFormat="1" outlineLevel="1" x14ac:dyDescent="0.25">
      <c r="A707" s="1511">
        <f t="shared" si="83"/>
        <v>1</v>
      </c>
      <c r="B707" s="1515" t="str">
        <f t="shared" si="83"/>
        <v>SWAS Upgradation at U#6 NPTPS Parli-V</v>
      </c>
      <c r="C707" s="1396" t="str">
        <f t="shared" si="83"/>
        <v>N.A.</v>
      </c>
      <c r="D707" s="1378" t="str">
        <f t="shared" si="83"/>
        <v>-</v>
      </c>
      <c r="E707" s="1505">
        <f t="shared" si="83"/>
        <v>0</v>
      </c>
      <c r="F707" s="1509">
        <f t="shared" si="78"/>
        <v>2.2390500000000002</v>
      </c>
      <c r="G707" s="1509">
        <f t="shared" si="79"/>
        <v>2.2390500000000002</v>
      </c>
      <c r="H707" s="1509">
        <f t="shared" si="80"/>
        <v>0</v>
      </c>
      <c r="I707" s="1509">
        <v>0</v>
      </c>
      <c r="J707" s="1509">
        <v>0</v>
      </c>
      <c r="K707" s="1505"/>
      <c r="L707" s="1505"/>
      <c r="M707" s="1505">
        <f t="shared" si="81"/>
        <v>0</v>
      </c>
      <c r="N707" s="1505">
        <f t="shared" si="82"/>
        <v>0</v>
      </c>
    </row>
    <row r="708" spans="1:14" customFormat="1" ht="43.5" outlineLevel="1" x14ac:dyDescent="0.25">
      <c r="A708" s="1511">
        <f t="shared" si="83"/>
        <v>2</v>
      </c>
      <c r="B708" s="1515" t="str">
        <f t="shared" si="83"/>
        <v xml:space="preserve">Procurement of electro-machanical vibrating feeder at CHP NPTPS 6,7
</v>
      </c>
      <c r="C708" s="1396" t="str">
        <f t="shared" si="83"/>
        <v>N.A.</v>
      </c>
      <c r="D708" s="1378" t="str">
        <f t="shared" si="83"/>
        <v>-</v>
      </c>
      <c r="E708" s="1505">
        <f t="shared" si="83"/>
        <v>0</v>
      </c>
      <c r="F708" s="1509">
        <f t="shared" si="78"/>
        <v>0.89292959999999999</v>
      </c>
      <c r="G708" s="1509">
        <f t="shared" si="79"/>
        <v>0.89292959999999999</v>
      </c>
      <c r="H708" s="1509">
        <f t="shared" si="80"/>
        <v>0</v>
      </c>
      <c r="I708" s="1509">
        <v>0</v>
      </c>
      <c r="J708" s="1509">
        <v>0</v>
      </c>
      <c r="K708" s="1505"/>
      <c r="L708" s="1505"/>
      <c r="M708" s="1505">
        <f t="shared" si="81"/>
        <v>0</v>
      </c>
      <c r="N708" s="1505">
        <f t="shared" si="82"/>
        <v>0</v>
      </c>
    </row>
    <row r="709" spans="1:14" customFormat="1" ht="43.5" outlineLevel="1" x14ac:dyDescent="0.25">
      <c r="A709" s="1511">
        <f t="shared" si="83"/>
        <v>3</v>
      </c>
      <c r="B709" s="1515" t="str">
        <f t="shared" si="83"/>
        <v xml:space="preserve">erection, commissioning of 6.6kv/33kv switch yard &amp; shifting of 2x7.5 MVA 6.6/33KV transformer from 210 MW to proposed switch yard for 33KV supply feeder to Khadka naikota at NPTPS Parli-V. </v>
      </c>
      <c r="C709" s="1396" t="str">
        <f t="shared" si="83"/>
        <v>N.A.</v>
      </c>
      <c r="D709" s="1378" t="str">
        <f t="shared" si="83"/>
        <v>-</v>
      </c>
      <c r="E709" s="1505">
        <f t="shared" si="83"/>
        <v>0</v>
      </c>
      <c r="F709" s="1509">
        <f t="shared" si="78"/>
        <v>2.1992632800000003</v>
      </c>
      <c r="G709" s="1509">
        <f t="shared" si="79"/>
        <v>2.1992632800000003</v>
      </c>
      <c r="H709" s="1509">
        <f t="shared" si="80"/>
        <v>0</v>
      </c>
      <c r="I709" s="1509">
        <v>0</v>
      </c>
      <c r="J709" s="1509">
        <v>0</v>
      </c>
      <c r="K709" s="1505"/>
      <c r="L709" s="1505"/>
      <c r="M709" s="1505">
        <f t="shared" si="81"/>
        <v>0</v>
      </c>
      <c r="N709" s="1505">
        <f t="shared" si="82"/>
        <v>0</v>
      </c>
    </row>
    <row r="710" spans="1:14" customFormat="1" outlineLevel="1" x14ac:dyDescent="0.25">
      <c r="A710" s="1511">
        <f t="shared" si="83"/>
        <v>4</v>
      </c>
      <c r="B710" s="1515" t="str">
        <f t="shared" si="83"/>
        <v>IDC</v>
      </c>
      <c r="C710" s="1396">
        <f t="shared" si="83"/>
        <v>0</v>
      </c>
      <c r="D710" s="1378" t="str">
        <f t="shared" si="83"/>
        <v>-</v>
      </c>
      <c r="E710" s="1505">
        <f t="shared" si="83"/>
        <v>0</v>
      </c>
      <c r="F710" s="1509">
        <f t="shared" si="78"/>
        <v>7.2220000000000001E-3</v>
      </c>
      <c r="G710" s="1509">
        <f t="shared" si="79"/>
        <v>7.2220000000000001E-3</v>
      </c>
      <c r="H710" s="1509">
        <f t="shared" si="80"/>
        <v>0</v>
      </c>
      <c r="I710" s="1509">
        <v>0</v>
      </c>
      <c r="J710" s="1509">
        <v>0</v>
      </c>
      <c r="K710" s="1505"/>
      <c r="L710" s="1505"/>
      <c r="M710" s="1505">
        <f t="shared" si="81"/>
        <v>0</v>
      </c>
      <c r="N710" s="1505">
        <f t="shared" si="82"/>
        <v>0</v>
      </c>
    </row>
    <row r="711" spans="1:14" customFormat="1" ht="43.5" outlineLevel="1" x14ac:dyDescent="0.25">
      <c r="A711" s="1511">
        <f t="shared" si="83"/>
        <v>5</v>
      </c>
      <c r="B711" s="1515" t="str">
        <f t="shared" si="83"/>
        <v xml:space="preserve"> Non-DPR scheme "Design, Supply, Installation &amp; Commissioning of High performance Energy Chain System for Stacker reclaimer, Shuttle Conveyors at U-6/7 CHP NPTPS – PARLI-Vaijnath.”</v>
      </c>
      <c r="C711" s="1396" t="str">
        <f t="shared" si="83"/>
        <v>N.A.</v>
      </c>
      <c r="D711" s="1378" t="str">
        <f t="shared" si="83"/>
        <v>-</v>
      </c>
      <c r="E711" s="1505">
        <f t="shared" si="83"/>
        <v>0</v>
      </c>
      <c r="F711" s="1509">
        <f t="shared" si="78"/>
        <v>2.8638599999999999</v>
      </c>
      <c r="G711" s="1509">
        <f t="shared" si="79"/>
        <v>2.8638599999999999</v>
      </c>
      <c r="H711" s="1509">
        <f t="shared" si="80"/>
        <v>0</v>
      </c>
      <c r="I711" s="1509">
        <v>0</v>
      </c>
      <c r="J711" s="1509">
        <v>0</v>
      </c>
      <c r="K711" s="1505"/>
      <c r="L711" s="1505"/>
      <c r="M711" s="1505">
        <f t="shared" si="81"/>
        <v>0</v>
      </c>
      <c r="N711" s="1505">
        <f t="shared" si="82"/>
        <v>0</v>
      </c>
    </row>
    <row r="712" spans="1:14" customFormat="1" ht="29" outlineLevel="1" x14ac:dyDescent="0.25">
      <c r="A712" s="1511">
        <f t="shared" si="83"/>
        <v>6</v>
      </c>
      <c r="B712" s="1515" t="str">
        <f t="shared" si="83"/>
        <v>Refurbishment of Existing M/s Atlas Copco Make Air Compressors at Unit 7 Parli TPS</v>
      </c>
      <c r="C712" s="1396" t="str">
        <f t="shared" si="83"/>
        <v>N.A.</v>
      </c>
      <c r="D712" s="1378" t="str">
        <f t="shared" si="83"/>
        <v>-</v>
      </c>
      <c r="E712" s="1505">
        <f t="shared" si="83"/>
        <v>0</v>
      </c>
      <c r="F712" s="1509">
        <f t="shared" si="78"/>
        <v>2.9532406999999998</v>
      </c>
      <c r="G712" s="1509">
        <f t="shared" si="79"/>
        <v>2.9532406999999998</v>
      </c>
      <c r="H712" s="1509">
        <f t="shared" si="80"/>
        <v>0</v>
      </c>
      <c r="I712" s="1509">
        <v>0</v>
      </c>
      <c r="J712" s="1509">
        <v>0</v>
      </c>
      <c r="K712" s="1505"/>
      <c r="L712" s="1505"/>
      <c r="M712" s="1505">
        <f t="shared" si="81"/>
        <v>0</v>
      </c>
      <c r="N712" s="1505">
        <f t="shared" si="82"/>
        <v>0</v>
      </c>
    </row>
    <row r="713" spans="1:14" customFormat="1" outlineLevel="1" x14ac:dyDescent="0.25">
      <c r="A713" s="1511">
        <f t="shared" si="83"/>
        <v>7</v>
      </c>
      <c r="B713" s="1515" t="str">
        <f t="shared" si="83"/>
        <v>Procurement of Fire Extinguisher</v>
      </c>
      <c r="C713" s="1396" t="str">
        <f t="shared" si="83"/>
        <v>N.A.</v>
      </c>
      <c r="D713" s="1378" t="str">
        <f t="shared" si="83"/>
        <v>-</v>
      </c>
      <c r="E713" s="1505">
        <f t="shared" si="83"/>
        <v>0</v>
      </c>
      <c r="F713" s="1509">
        <f t="shared" si="78"/>
        <v>0</v>
      </c>
      <c r="G713" s="1509">
        <f t="shared" si="79"/>
        <v>0</v>
      </c>
      <c r="H713" s="1509">
        <f t="shared" si="80"/>
        <v>0</v>
      </c>
      <c r="I713" s="1509">
        <v>0.68</v>
      </c>
      <c r="J713" s="1509">
        <v>0</v>
      </c>
      <c r="K713" s="1505"/>
      <c r="L713" s="1505"/>
      <c r="M713" s="1505">
        <f t="shared" si="81"/>
        <v>0</v>
      </c>
      <c r="N713" s="1505">
        <f t="shared" si="82"/>
        <v>0.68</v>
      </c>
    </row>
    <row r="714" spans="1:14" customFormat="1" ht="29" outlineLevel="1" x14ac:dyDescent="0.25">
      <c r="A714" s="1511">
        <f t="shared" si="83"/>
        <v>8</v>
      </c>
      <c r="B714" s="1515" t="str">
        <f t="shared" si="83"/>
        <v>Non DPR For Supply, Erection &amp; Commissioning, Testing of Coal Flow Management system for Coal Bunker at CHP NPTPS U-6.</v>
      </c>
      <c r="C714" s="1396" t="str">
        <f t="shared" si="83"/>
        <v>N.A.</v>
      </c>
      <c r="D714" s="1378" t="str">
        <f t="shared" si="83"/>
        <v>-</v>
      </c>
      <c r="E714" s="1505">
        <f t="shared" si="83"/>
        <v>0</v>
      </c>
      <c r="F714" s="1509">
        <f t="shared" si="78"/>
        <v>0</v>
      </c>
      <c r="G714" s="1509">
        <f t="shared" si="79"/>
        <v>0</v>
      </c>
      <c r="H714" s="1509">
        <f t="shared" si="80"/>
        <v>0</v>
      </c>
      <c r="I714" s="1509">
        <v>0</v>
      </c>
      <c r="J714" s="1509">
        <v>0</v>
      </c>
      <c r="K714" s="1505"/>
      <c r="L714" s="1505"/>
      <c r="M714" s="1505">
        <f t="shared" si="81"/>
        <v>0</v>
      </c>
      <c r="N714" s="1505">
        <f t="shared" si="82"/>
        <v>0</v>
      </c>
    </row>
    <row r="715" spans="1:14" customFormat="1" ht="43.5" outlineLevel="1" x14ac:dyDescent="0.25">
      <c r="A715" s="1511">
        <f t="shared" si="83"/>
        <v>9</v>
      </c>
      <c r="B715" s="1515" t="str">
        <f t="shared" si="83"/>
        <v xml:space="preserve">Non DPR for Supply &amp; Installation of Coal Handling Plant critical equipment Major Spares like Wagon Tippler and Conveyors at CHP U6/7 ,T.P.S.Parli. </v>
      </c>
      <c r="C715" s="1396" t="str">
        <f t="shared" si="83"/>
        <v>N.A.</v>
      </c>
      <c r="D715" s="1378" t="str">
        <f t="shared" si="83"/>
        <v>-</v>
      </c>
      <c r="E715" s="1505">
        <f t="shared" si="83"/>
        <v>0</v>
      </c>
      <c r="F715" s="1509">
        <f t="shared" si="78"/>
        <v>0</v>
      </c>
      <c r="G715" s="1509">
        <f t="shared" si="79"/>
        <v>0</v>
      </c>
      <c r="H715" s="1509">
        <f t="shared" si="80"/>
        <v>0</v>
      </c>
      <c r="I715" s="1509">
        <v>0</v>
      </c>
      <c r="J715" s="1509">
        <v>0</v>
      </c>
      <c r="K715" s="1505"/>
      <c r="L715" s="1505"/>
      <c r="M715" s="1505">
        <f t="shared" si="81"/>
        <v>0</v>
      </c>
      <c r="N715" s="1505">
        <f t="shared" si="82"/>
        <v>0</v>
      </c>
    </row>
    <row r="716" spans="1:14" customFormat="1" ht="43.5" outlineLevel="1" x14ac:dyDescent="0.25">
      <c r="A716" s="1511">
        <f t="shared" si="83"/>
        <v>10</v>
      </c>
      <c r="B716" s="1515" t="str">
        <f t="shared" si="83"/>
        <v>Design,Manufacture ,Supply &amp; Installation of Banana pattern and Modular chutes for various Conveyor discharge areas at CHP U 6/7,TPS Parli.</v>
      </c>
      <c r="C716" s="1396" t="str">
        <f t="shared" si="83"/>
        <v>N.A.</v>
      </c>
      <c r="D716" s="1378" t="str">
        <f t="shared" si="83"/>
        <v>-</v>
      </c>
      <c r="E716" s="1505">
        <f t="shared" si="83"/>
        <v>0</v>
      </c>
      <c r="F716" s="1509">
        <f t="shared" si="78"/>
        <v>0</v>
      </c>
      <c r="G716" s="1509">
        <f t="shared" si="79"/>
        <v>0</v>
      </c>
      <c r="H716" s="1509">
        <f t="shared" si="80"/>
        <v>0</v>
      </c>
      <c r="I716" s="1509">
        <v>0</v>
      </c>
      <c r="J716" s="1509">
        <v>0</v>
      </c>
      <c r="K716" s="1505"/>
      <c r="L716" s="1505"/>
      <c r="M716" s="1505">
        <f t="shared" si="81"/>
        <v>0</v>
      </c>
      <c r="N716" s="1505">
        <f t="shared" si="82"/>
        <v>0</v>
      </c>
    </row>
    <row r="717" spans="1:14" customFormat="1" outlineLevel="1" x14ac:dyDescent="0.25">
      <c r="A717" s="1511">
        <f t="shared" si="83"/>
        <v>11</v>
      </c>
      <c r="B717" s="1515" t="str">
        <f t="shared" si="83"/>
        <v>Refrigeration Compressed Air Dryer at TM &amp; AHP, U#6,7 Parli TPS</v>
      </c>
      <c r="C717" s="1396">
        <f t="shared" si="83"/>
        <v>0</v>
      </c>
      <c r="D717" s="1378" t="str">
        <f t="shared" si="83"/>
        <v>-</v>
      </c>
      <c r="E717" s="1505">
        <f t="shared" si="83"/>
        <v>0</v>
      </c>
      <c r="F717" s="1509">
        <f t="shared" si="78"/>
        <v>0</v>
      </c>
      <c r="G717" s="1509">
        <f t="shared" si="79"/>
        <v>0</v>
      </c>
      <c r="H717" s="1509">
        <f t="shared" si="80"/>
        <v>0</v>
      </c>
      <c r="I717" s="1509">
        <v>0</v>
      </c>
      <c r="J717" s="1509">
        <v>0</v>
      </c>
      <c r="K717" s="1505"/>
      <c r="L717" s="1505"/>
      <c r="M717" s="1505">
        <f t="shared" si="81"/>
        <v>0</v>
      </c>
      <c r="N717" s="1505">
        <f t="shared" si="82"/>
        <v>0</v>
      </c>
    </row>
    <row r="718" spans="1:14" customFormat="1" ht="15" outlineLevel="1" thickBot="1" x14ac:dyDescent="0.3">
      <c r="A718" s="1511">
        <f t="shared" ref="A718:E718" si="84">A361</f>
        <v>12</v>
      </c>
      <c r="B718" s="1515" t="str">
        <f t="shared" si="84"/>
        <v>General Asset</v>
      </c>
      <c r="C718" s="1396">
        <f t="shared" si="84"/>
        <v>0</v>
      </c>
      <c r="D718" s="1378" t="str">
        <f t="shared" si="84"/>
        <v>-</v>
      </c>
      <c r="E718" s="1505">
        <f t="shared" si="84"/>
        <v>0</v>
      </c>
      <c r="F718" s="1509">
        <f t="shared" si="78"/>
        <v>2.6393938490000002</v>
      </c>
      <c r="G718" s="1509">
        <f t="shared" si="79"/>
        <v>2.3805723370000003</v>
      </c>
      <c r="H718" s="1509">
        <f t="shared" si="80"/>
        <v>0.25882151199999992</v>
      </c>
      <c r="I718" s="1509">
        <v>0</v>
      </c>
      <c r="J718" s="1509">
        <v>9.8087331999999999E-2</v>
      </c>
      <c r="K718" s="1505"/>
      <c r="L718" s="1505"/>
      <c r="M718" s="1505">
        <f t="shared" si="81"/>
        <v>9.8087331999999999E-2</v>
      </c>
      <c r="N718" s="1505">
        <f t="shared" si="82"/>
        <v>0.16073417999999992</v>
      </c>
    </row>
    <row r="719" spans="1:14" ht="15" thickBot="1" x14ac:dyDescent="0.3">
      <c r="A719" s="1454"/>
      <c r="B719" s="1455" t="str">
        <f>B362</f>
        <v>Total</v>
      </c>
      <c r="C719" s="1456"/>
      <c r="D719" s="1457"/>
      <c r="E719" s="1517"/>
      <c r="F719" s="1517">
        <f>SUM(F367:F718)</f>
        <v>435.91597104899995</v>
      </c>
      <c r="G719" s="1517">
        <f t="shared" ref="G719:N719" si="85">SUM(G367:G718)</f>
        <v>280.52968265699997</v>
      </c>
      <c r="H719" s="1517">
        <f t="shared" si="85"/>
        <v>155.38628839200001</v>
      </c>
      <c r="I719" s="1517">
        <f t="shared" si="85"/>
        <v>27.2666954</v>
      </c>
      <c r="J719" s="1517">
        <f t="shared" si="85"/>
        <v>7.8647827320000001</v>
      </c>
      <c r="K719" s="1517">
        <f t="shared" si="85"/>
        <v>0</v>
      </c>
      <c r="L719" s="1517">
        <f t="shared" si="85"/>
        <v>0</v>
      </c>
      <c r="M719" s="1517">
        <f t="shared" si="85"/>
        <v>7.8647827320000001</v>
      </c>
      <c r="N719" s="1517">
        <f t="shared" si="85"/>
        <v>174.78820106000001</v>
      </c>
    </row>
    <row r="721" spans="1:16" x14ac:dyDescent="0.25">
      <c r="A721" s="1446"/>
      <c r="B721" s="1447" t="s">
        <v>508</v>
      </c>
      <c r="C721" s="1448"/>
      <c r="D721" s="1449"/>
      <c r="E721" s="1504"/>
      <c r="F721" s="1504"/>
      <c r="G721" s="1504"/>
      <c r="H721" s="1504"/>
      <c r="I721" s="1504"/>
      <c r="J721" s="1504"/>
      <c r="K721" s="1504"/>
      <c r="L721" s="1504"/>
      <c r="M721" s="1504"/>
      <c r="N721" s="1504"/>
    </row>
    <row r="722" spans="1:16" ht="18.5" outlineLevel="1" x14ac:dyDescent="0.25">
      <c r="A722" s="1339" t="s">
        <v>171</v>
      </c>
      <c r="B722" s="1339" t="s">
        <v>1575</v>
      </c>
      <c r="C722" s="1448"/>
      <c r="D722" s="1449"/>
      <c r="E722" s="1504"/>
      <c r="F722" s="1504"/>
      <c r="G722" s="1504"/>
      <c r="H722" s="1504"/>
      <c r="I722" s="1504"/>
      <c r="J722" s="1504"/>
      <c r="K722" s="1504"/>
      <c r="L722" s="1504"/>
      <c r="M722" s="1504"/>
      <c r="N722" s="1504"/>
    </row>
    <row r="723" spans="1:16" outlineLevel="1" x14ac:dyDescent="0.25">
      <c r="A723" s="1450"/>
      <c r="B723" s="1450"/>
      <c r="C723" s="1451"/>
      <c r="D723" s="1452"/>
      <c r="E723" s="1505"/>
      <c r="F723" s="1505"/>
      <c r="G723" s="1505"/>
      <c r="H723" s="1505"/>
      <c r="I723" s="1505"/>
      <c r="J723" s="1505"/>
      <c r="K723" s="1505"/>
      <c r="L723" s="1505"/>
      <c r="M723" s="1505"/>
      <c r="N723" s="1505"/>
    </row>
    <row r="724" spans="1:16" ht="43.5" outlineLevel="1" x14ac:dyDescent="0.25">
      <c r="A724" s="1506">
        <f t="shared" ref="A724:E739" si="86">A367</f>
        <v>6</v>
      </c>
      <c r="B724" s="1507" t="str">
        <f t="shared" si="86"/>
        <v>Arrangement for permanent water supply scheme for Parli TPS from Majalgaon Dam through Majalgaon Lift Irrigation scheme (Loni / Savangi)</v>
      </c>
      <c r="C724" s="1506" t="str">
        <f t="shared" si="86"/>
        <v>MERC/TECH 1/CAPEX/20122013/00500</v>
      </c>
      <c r="D724" s="1508">
        <f t="shared" si="86"/>
        <v>41421</v>
      </c>
      <c r="E724" s="1509">
        <f t="shared" si="86"/>
        <v>199.86</v>
      </c>
      <c r="F724" s="1509">
        <f t="shared" ref="F724:F787" si="87">F367+I367</f>
        <v>142</v>
      </c>
      <c r="G724" s="1509">
        <f t="shared" ref="G724:G787" si="88">G367+M367</f>
        <v>0</v>
      </c>
      <c r="H724" s="1509">
        <f>F724-G724</f>
        <v>142</v>
      </c>
      <c r="I724" s="1509">
        <v>0</v>
      </c>
      <c r="J724" s="1509">
        <v>0</v>
      </c>
      <c r="K724" s="1509"/>
      <c r="L724" s="1509"/>
      <c r="M724" s="1509">
        <f>SUM(J724:L724)</f>
        <v>0</v>
      </c>
      <c r="N724" s="1509">
        <f>H724+I724-M724</f>
        <v>142</v>
      </c>
      <c r="O724" s="1510">
        <f t="shared" ref="O724:O776" si="89">MAX(0,IF(M724=0,0,IF(G724+M724&lt;E724,M724,E724-G724)))</f>
        <v>0</v>
      </c>
      <c r="P724" s="1453">
        <f t="shared" ref="P724:P776" si="90">M724-O724</f>
        <v>0</v>
      </c>
    </row>
    <row r="725" spans="1:16" ht="29" outlineLevel="1" x14ac:dyDescent="0.25">
      <c r="A725" s="1506">
        <f t="shared" si="86"/>
        <v>9</v>
      </c>
      <c r="B725" s="1507" t="str">
        <f t="shared" si="86"/>
        <v>Procurement of 250 MW spare HPT Module, IPT Module &amp; LPT Rotor of New Parli TPS</v>
      </c>
      <c r="C725" s="1506" t="str">
        <f t="shared" si="86"/>
        <v>MERC/TECH 1/CAPEX/20142015/00362</v>
      </c>
      <c r="D725" s="1508">
        <f t="shared" si="86"/>
        <v>41779</v>
      </c>
      <c r="E725" s="1509">
        <f t="shared" si="86"/>
        <v>22.059060828</v>
      </c>
      <c r="F725" s="1509">
        <f t="shared" si="87"/>
        <v>0</v>
      </c>
      <c r="G725" s="1509">
        <f t="shared" si="88"/>
        <v>0</v>
      </c>
      <c r="H725" s="1509">
        <f t="shared" ref="H725:H788" si="91">F725-G725</f>
        <v>0</v>
      </c>
      <c r="I725" s="1509">
        <v>0</v>
      </c>
      <c r="J725" s="1509">
        <v>0</v>
      </c>
      <c r="K725" s="1509"/>
      <c r="L725" s="1509"/>
      <c r="M725" s="1509">
        <f t="shared" ref="M725:M788" si="92">SUM(J725:L725)</f>
        <v>0</v>
      </c>
      <c r="N725" s="1509">
        <f t="shared" ref="N725:N788" si="93">H725+I725-M725</f>
        <v>0</v>
      </c>
      <c r="O725" s="1510">
        <f t="shared" si="89"/>
        <v>0</v>
      </c>
      <c r="P725" s="1453">
        <f t="shared" si="90"/>
        <v>0</v>
      </c>
    </row>
    <row r="726" spans="1:16" outlineLevel="1" x14ac:dyDescent="0.25">
      <c r="A726" s="1511">
        <f t="shared" si="86"/>
        <v>9.1</v>
      </c>
      <c r="B726" s="1512" t="str">
        <f t="shared" si="86"/>
        <v>HP Module</v>
      </c>
      <c r="C726" s="1511" t="str">
        <f t="shared" si="86"/>
        <v>MERC/TECH 1/CAPEX/20142015/00362</v>
      </c>
      <c r="D726" s="1378">
        <f t="shared" si="86"/>
        <v>41779</v>
      </c>
      <c r="E726" s="1513">
        <f t="shared" si="86"/>
        <v>22.059060828</v>
      </c>
      <c r="F726" s="1509">
        <f t="shared" si="87"/>
        <v>21.53</v>
      </c>
      <c r="G726" s="1509">
        <f t="shared" si="88"/>
        <v>21.53</v>
      </c>
      <c r="H726" s="1509">
        <f t="shared" si="91"/>
        <v>0</v>
      </c>
      <c r="I726" s="1509">
        <v>0</v>
      </c>
      <c r="J726" s="1509">
        <v>0</v>
      </c>
      <c r="K726" s="1509"/>
      <c r="L726" s="1509"/>
      <c r="M726" s="1509">
        <f t="shared" si="92"/>
        <v>0</v>
      </c>
      <c r="N726" s="1509">
        <f t="shared" si="93"/>
        <v>0</v>
      </c>
      <c r="O726" s="1510">
        <f t="shared" si="89"/>
        <v>0</v>
      </c>
      <c r="P726" s="1453">
        <f t="shared" si="90"/>
        <v>0</v>
      </c>
    </row>
    <row r="727" spans="1:16" outlineLevel="1" x14ac:dyDescent="0.25">
      <c r="A727" s="1511">
        <f t="shared" si="86"/>
        <v>9.1999999999999993</v>
      </c>
      <c r="B727" s="1512" t="str">
        <f t="shared" si="86"/>
        <v>IP Module</v>
      </c>
      <c r="C727" s="1511" t="str">
        <f t="shared" si="86"/>
        <v>MERC/TECH 1/CAPEX/20142015/00362</v>
      </c>
      <c r="D727" s="1378">
        <f t="shared" si="86"/>
        <v>41779</v>
      </c>
      <c r="E727" s="1513">
        <f t="shared" si="86"/>
        <v>21.359824199999998</v>
      </c>
      <c r="F727" s="1509">
        <f t="shared" si="87"/>
        <v>20.62</v>
      </c>
      <c r="G727" s="1509">
        <f t="shared" si="88"/>
        <v>20.62</v>
      </c>
      <c r="H727" s="1509">
        <f t="shared" si="91"/>
        <v>0</v>
      </c>
      <c r="I727" s="1509">
        <v>0</v>
      </c>
      <c r="J727" s="1509">
        <v>0</v>
      </c>
      <c r="K727" s="1509"/>
      <c r="L727" s="1509"/>
      <c r="M727" s="1509">
        <f t="shared" si="92"/>
        <v>0</v>
      </c>
      <c r="N727" s="1509">
        <f t="shared" si="93"/>
        <v>0</v>
      </c>
      <c r="O727" s="1510">
        <f t="shared" si="89"/>
        <v>0</v>
      </c>
      <c r="P727" s="1453">
        <f t="shared" si="90"/>
        <v>0</v>
      </c>
    </row>
    <row r="728" spans="1:16" outlineLevel="1" x14ac:dyDescent="0.25">
      <c r="A728" s="1511">
        <f t="shared" si="86"/>
        <v>9.3000000000000007</v>
      </c>
      <c r="B728" s="1512" t="str">
        <f t="shared" si="86"/>
        <v>LP Rotor</v>
      </c>
      <c r="C728" s="1511" t="str">
        <f t="shared" si="86"/>
        <v>MERC/TECH 1/CAPEX/20142015/00362</v>
      </c>
      <c r="D728" s="1378">
        <f t="shared" si="86"/>
        <v>41779</v>
      </c>
      <c r="E728" s="1513">
        <f t="shared" si="86"/>
        <v>38.724661685000001</v>
      </c>
      <c r="F728" s="1509">
        <f t="shared" si="87"/>
        <v>38.72</v>
      </c>
      <c r="G728" s="1509">
        <f t="shared" si="88"/>
        <v>38.72</v>
      </c>
      <c r="H728" s="1509">
        <f t="shared" si="91"/>
        <v>0</v>
      </c>
      <c r="I728" s="1509">
        <v>0</v>
      </c>
      <c r="J728" s="1509">
        <v>0</v>
      </c>
      <c r="K728" s="1509"/>
      <c r="L728" s="1509"/>
      <c r="M728" s="1509">
        <f t="shared" si="92"/>
        <v>0</v>
      </c>
      <c r="N728" s="1509">
        <f t="shared" si="93"/>
        <v>0</v>
      </c>
      <c r="O728" s="1510">
        <f t="shared" si="89"/>
        <v>0</v>
      </c>
      <c r="P728" s="1453">
        <f t="shared" si="90"/>
        <v>0</v>
      </c>
    </row>
    <row r="729" spans="1:16" outlineLevel="1" x14ac:dyDescent="0.25">
      <c r="A729" s="1511">
        <f t="shared" si="86"/>
        <v>0</v>
      </c>
      <c r="B729" s="1512" t="str">
        <f t="shared" si="86"/>
        <v>IDC</v>
      </c>
      <c r="C729" s="1511" t="str">
        <f t="shared" si="86"/>
        <v>MERC/TECH 1/CAPEX/20142015/00362</v>
      </c>
      <c r="D729" s="1378">
        <f t="shared" si="86"/>
        <v>41779</v>
      </c>
      <c r="E729" s="1513">
        <f t="shared" si="86"/>
        <v>0</v>
      </c>
      <c r="F729" s="1509">
        <f t="shared" si="87"/>
        <v>0</v>
      </c>
      <c r="G729" s="1509">
        <f t="shared" si="88"/>
        <v>0</v>
      </c>
      <c r="H729" s="1509">
        <f t="shared" si="91"/>
        <v>0</v>
      </c>
      <c r="I729" s="1509">
        <v>0</v>
      </c>
      <c r="J729" s="1509">
        <v>0</v>
      </c>
      <c r="K729" s="1509"/>
      <c r="L729" s="1509"/>
      <c r="M729" s="1509">
        <f t="shared" si="92"/>
        <v>0</v>
      </c>
      <c r="N729" s="1509">
        <f t="shared" si="93"/>
        <v>0</v>
      </c>
      <c r="O729" s="1510">
        <f t="shared" si="89"/>
        <v>0</v>
      </c>
      <c r="P729" s="1453">
        <f t="shared" si="90"/>
        <v>0</v>
      </c>
    </row>
    <row r="730" spans="1:16" ht="29" outlineLevel="1" x14ac:dyDescent="0.25">
      <c r="A730" s="1506">
        <f t="shared" si="86"/>
        <v>10</v>
      </c>
      <c r="B730" s="1507" t="str">
        <f t="shared" si="86"/>
        <v xml:space="preserve">Procurement of 315 MVA Spare GTR for 250 MW sets at New Parli &amp; New Paras TPS </v>
      </c>
      <c r="C730" s="1506" t="str">
        <f t="shared" si="86"/>
        <v>MERC/TECH 1/CAPEX/20142015/001</v>
      </c>
      <c r="D730" s="1508">
        <f t="shared" si="86"/>
        <v>41913</v>
      </c>
      <c r="E730" s="1509">
        <f t="shared" si="86"/>
        <v>11.32</v>
      </c>
      <c r="F730" s="1509">
        <f t="shared" si="87"/>
        <v>0</v>
      </c>
      <c r="G730" s="1509">
        <f t="shared" si="88"/>
        <v>0</v>
      </c>
      <c r="H730" s="1509">
        <f t="shared" si="91"/>
        <v>0</v>
      </c>
      <c r="I730" s="1509">
        <v>0</v>
      </c>
      <c r="J730" s="1509">
        <v>0</v>
      </c>
      <c r="K730" s="1509"/>
      <c r="L730" s="1509"/>
      <c r="M730" s="1509">
        <f t="shared" si="92"/>
        <v>0</v>
      </c>
      <c r="N730" s="1509">
        <f t="shared" si="93"/>
        <v>0</v>
      </c>
      <c r="O730" s="1510">
        <f t="shared" si="89"/>
        <v>0</v>
      </c>
      <c r="P730" s="1453">
        <f t="shared" si="90"/>
        <v>0</v>
      </c>
    </row>
    <row r="731" spans="1:16" outlineLevel="1" x14ac:dyDescent="0.25">
      <c r="A731" s="1511">
        <f t="shared" si="86"/>
        <v>10.1</v>
      </c>
      <c r="B731" s="1512" t="str">
        <f t="shared" si="86"/>
        <v>Procurement of 250 MVA Spare GTR</v>
      </c>
      <c r="C731" s="1511" t="str">
        <f t="shared" si="86"/>
        <v>MERC/TECH 1/CAPEX/20142015/001</v>
      </c>
      <c r="D731" s="1378">
        <f t="shared" si="86"/>
        <v>41913</v>
      </c>
      <c r="E731" s="1513">
        <f t="shared" si="86"/>
        <v>11.32</v>
      </c>
      <c r="F731" s="1509">
        <f t="shared" si="87"/>
        <v>13.4</v>
      </c>
      <c r="G731" s="1509">
        <f t="shared" si="88"/>
        <v>13.4</v>
      </c>
      <c r="H731" s="1509">
        <f t="shared" si="91"/>
        <v>0</v>
      </c>
      <c r="I731" s="1509">
        <v>0</v>
      </c>
      <c r="J731" s="1509">
        <v>0</v>
      </c>
      <c r="K731" s="1509"/>
      <c r="L731" s="1509"/>
      <c r="M731" s="1509">
        <f t="shared" si="92"/>
        <v>0</v>
      </c>
      <c r="N731" s="1509">
        <f t="shared" si="93"/>
        <v>0</v>
      </c>
      <c r="O731" s="1510">
        <f t="shared" si="89"/>
        <v>0</v>
      </c>
      <c r="P731" s="1453">
        <f t="shared" si="90"/>
        <v>0</v>
      </c>
    </row>
    <row r="732" spans="1:16" ht="29" outlineLevel="1" x14ac:dyDescent="0.25">
      <c r="A732" s="1506">
        <f t="shared" si="86"/>
        <v>13</v>
      </c>
      <c r="B732" s="1507" t="str">
        <f t="shared" si="86"/>
        <v>Construction of Concrete Roads &amp; Spare Generator Transformer Foundation at Parli TPS</v>
      </c>
      <c r="C732" s="1506" t="str">
        <f t="shared" si="86"/>
        <v>MERC/CAPEX/20162017/01172</v>
      </c>
      <c r="D732" s="1508">
        <f t="shared" si="86"/>
        <v>42713</v>
      </c>
      <c r="E732" s="1509">
        <f t="shared" si="86"/>
        <v>16.850000000000001</v>
      </c>
      <c r="F732" s="1509">
        <f t="shared" si="87"/>
        <v>0</v>
      </c>
      <c r="G732" s="1509">
        <f t="shared" si="88"/>
        <v>0</v>
      </c>
      <c r="H732" s="1509">
        <f t="shared" si="91"/>
        <v>0</v>
      </c>
      <c r="I732" s="1509">
        <v>0</v>
      </c>
      <c r="J732" s="1509">
        <v>0</v>
      </c>
      <c r="K732" s="1509"/>
      <c r="L732" s="1509"/>
      <c r="M732" s="1509">
        <f t="shared" si="92"/>
        <v>0</v>
      </c>
      <c r="N732" s="1509">
        <f t="shared" si="93"/>
        <v>0</v>
      </c>
      <c r="O732" s="1510">
        <f t="shared" si="89"/>
        <v>0</v>
      </c>
      <c r="P732" s="1453">
        <f t="shared" si="90"/>
        <v>0</v>
      </c>
    </row>
    <row r="733" spans="1:16" ht="29" outlineLevel="1" x14ac:dyDescent="0.25">
      <c r="A733" s="1511">
        <f t="shared" si="86"/>
        <v>13.1</v>
      </c>
      <c r="B733" s="1512" t="str">
        <f t="shared" si="86"/>
        <v>Construction of concrete road from Gangakhed road to entrance of unit no.6,7 at NPTPS Parli V.</v>
      </c>
      <c r="C733" s="1511" t="str">
        <f t="shared" si="86"/>
        <v>MERC/CAPEX/20162017/01172</v>
      </c>
      <c r="D733" s="1378">
        <f t="shared" si="86"/>
        <v>42713</v>
      </c>
      <c r="E733" s="1513">
        <f t="shared" si="86"/>
        <v>7.02</v>
      </c>
      <c r="F733" s="1509">
        <f t="shared" si="87"/>
        <v>6.8551506</v>
      </c>
      <c r="G733" s="1509">
        <f t="shared" si="88"/>
        <v>6.8551506</v>
      </c>
      <c r="H733" s="1509">
        <f t="shared" si="91"/>
        <v>0</v>
      </c>
      <c r="I733" s="1509">
        <v>0</v>
      </c>
      <c r="J733" s="1509">
        <v>0</v>
      </c>
      <c r="K733" s="1509"/>
      <c r="L733" s="1509"/>
      <c r="M733" s="1509">
        <f t="shared" si="92"/>
        <v>0</v>
      </c>
      <c r="N733" s="1509">
        <f t="shared" si="93"/>
        <v>0</v>
      </c>
      <c r="O733" s="1510">
        <f t="shared" si="89"/>
        <v>0</v>
      </c>
      <c r="P733" s="1453">
        <f t="shared" si="90"/>
        <v>0</v>
      </c>
    </row>
    <row r="734" spans="1:16" ht="29" outlineLevel="1" x14ac:dyDescent="0.25">
      <c r="A734" s="1511">
        <f t="shared" si="86"/>
        <v>13.2</v>
      </c>
      <c r="B734" s="1512" t="str">
        <f t="shared" si="86"/>
        <v>Construction of internal concrete roads within premises of Unit 6 and 7.</v>
      </c>
      <c r="C734" s="1511" t="str">
        <f t="shared" si="86"/>
        <v>MERC/CAPEX/20162017/01172</v>
      </c>
      <c r="D734" s="1378">
        <f t="shared" si="86"/>
        <v>42713</v>
      </c>
      <c r="E734" s="1513">
        <f t="shared" si="86"/>
        <v>7.55</v>
      </c>
      <c r="F734" s="1509">
        <f t="shared" si="87"/>
        <v>5.9636063540000004</v>
      </c>
      <c r="G734" s="1509">
        <f t="shared" si="88"/>
        <v>5.9636063540000004</v>
      </c>
      <c r="H734" s="1509">
        <f t="shared" si="91"/>
        <v>0</v>
      </c>
      <c r="I734" s="1509">
        <v>0</v>
      </c>
      <c r="J734" s="1509">
        <v>0</v>
      </c>
      <c r="K734" s="1509"/>
      <c r="L734" s="1509"/>
      <c r="M734" s="1509">
        <f t="shared" si="92"/>
        <v>0</v>
      </c>
      <c r="N734" s="1509">
        <f t="shared" si="93"/>
        <v>0</v>
      </c>
      <c r="O734" s="1510">
        <f t="shared" si="89"/>
        <v>0</v>
      </c>
      <c r="P734" s="1453">
        <f t="shared" si="90"/>
        <v>0</v>
      </c>
    </row>
    <row r="735" spans="1:16" ht="29" outlineLevel="1" x14ac:dyDescent="0.25">
      <c r="A735" s="1511">
        <f t="shared" si="86"/>
        <v>13.3</v>
      </c>
      <c r="B735" s="1512" t="str">
        <f t="shared" si="86"/>
        <v>Construction of spare generator transformer foundation of Unit No. 6,7 at NPTPS Parli-V &amp; Paras TPS</v>
      </c>
      <c r="C735" s="1511" t="str">
        <f t="shared" si="86"/>
        <v>MERC/CAPEX/20162017/01172</v>
      </c>
      <c r="D735" s="1378">
        <f t="shared" si="86"/>
        <v>42713</v>
      </c>
      <c r="E735" s="1513">
        <f t="shared" si="86"/>
        <v>1.48</v>
      </c>
      <c r="F735" s="1509">
        <f t="shared" si="87"/>
        <v>1.2847999999999999</v>
      </c>
      <c r="G735" s="1509">
        <f t="shared" si="88"/>
        <v>1.2847999999999999</v>
      </c>
      <c r="H735" s="1509">
        <f t="shared" si="91"/>
        <v>0</v>
      </c>
      <c r="I735" s="1509">
        <v>0</v>
      </c>
      <c r="J735" s="1509">
        <v>0</v>
      </c>
      <c r="K735" s="1509"/>
      <c r="L735" s="1509"/>
      <c r="M735" s="1509">
        <f t="shared" si="92"/>
        <v>0</v>
      </c>
      <c r="N735" s="1509">
        <f t="shared" si="93"/>
        <v>0</v>
      </c>
      <c r="O735" s="1510">
        <f t="shared" si="89"/>
        <v>0</v>
      </c>
      <c r="P735" s="1453">
        <f t="shared" si="90"/>
        <v>0</v>
      </c>
    </row>
    <row r="736" spans="1:16" outlineLevel="1" x14ac:dyDescent="0.25">
      <c r="A736" s="1511">
        <f t="shared" si="86"/>
        <v>0</v>
      </c>
      <c r="B736" s="1515" t="str">
        <f t="shared" si="86"/>
        <v>IDC</v>
      </c>
      <c r="C736" s="1511" t="str">
        <f t="shared" si="86"/>
        <v>MERC/CAPEX/20162017/01172</v>
      </c>
      <c r="D736" s="1378">
        <f t="shared" si="86"/>
        <v>42713</v>
      </c>
      <c r="E736" s="1513">
        <f t="shared" si="86"/>
        <v>0.8</v>
      </c>
      <c r="F736" s="1509">
        <f t="shared" si="87"/>
        <v>0</v>
      </c>
      <c r="G736" s="1509">
        <f t="shared" si="88"/>
        <v>0</v>
      </c>
      <c r="H736" s="1509">
        <f t="shared" si="91"/>
        <v>0</v>
      </c>
      <c r="I736" s="1509">
        <v>0</v>
      </c>
      <c r="J736" s="1509">
        <v>0</v>
      </c>
      <c r="K736" s="1509"/>
      <c r="L736" s="1509"/>
      <c r="M736" s="1509">
        <f t="shared" si="92"/>
        <v>0</v>
      </c>
      <c r="N736" s="1509">
        <f t="shared" si="93"/>
        <v>0</v>
      </c>
      <c r="O736" s="1510">
        <f t="shared" si="89"/>
        <v>0</v>
      </c>
      <c r="P736" s="1453">
        <f t="shared" si="90"/>
        <v>0</v>
      </c>
    </row>
    <row r="737" spans="1:16" outlineLevel="1" x14ac:dyDescent="0.25">
      <c r="A737" s="1506">
        <f t="shared" si="86"/>
        <v>14</v>
      </c>
      <c r="B737" s="1507" t="str">
        <f t="shared" si="86"/>
        <v>Procurement of battery breakers and weigh bridge for Parli Unit 6 &amp; 7</v>
      </c>
      <c r="C737" s="1506" t="str">
        <f t="shared" si="86"/>
        <v>MERC/CAPEX/20172018/4711</v>
      </c>
      <c r="D737" s="1508">
        <f t="shared" si="86"/>
        <v>43055</v>
      </c>
      <c r="E737" s="1509">
        <f t="shared" si="86"/>
        <v>18.279999999999998</v>
      </c>
      <c r="F737" s="1509">
        <f t="shared" si="87"/>
        <v>0</v>
      </c>
      <c r="G737" s="1509">
        <f t="shared" si="88"/>
        <v>0</v>
      </c>
      <c r="H737" s="1509">
        <f t="shared" si="91"/>
        <v>0</v>
      </c>
      <c r="I737" s="1509">
        <v>0</v>
      </c>
      <c r="J737" s="1509">
        <v>0</v>
      </c>
      <c r="K737" s="1509"/>
      <c r="L737" s="1509"/>
      <c r="M737" s="1509">
        <f t="shared" si="92"/>
        <v>0</v>
      </c>
      <c r="N737" s="1509">
        <f t="shared" si="93"/>
        <v>0</v>
      </c>
      <c r="O737" s="1510">
        <f t="shared" si="89"/>
        <v>0</v>
      </c>
      <c r="P737" s="1453">
        <f t="shared" si="90"/>
        <v>0</v>
      </c>
    </row>
    <row r="738" spans="1:16" ht="29" outlineLevel="1" x14ac:dyDescent="0.25">
      <c r="A738" s="1511">
        <f t="shared" si="86"/>
        <v>14.1</v>
      </c>
      <c r="B738" s="1512" t="str">
        <f t="shared" si="86"/>
        <v>Replacement of 220V station batteries, 360V UPS batteries, 24V DCS batteries , 360V UPS AHP batteries at U6 &amp; U7 NPTPS</v>
      </c>
      <c r="C738" s="1511" t="str">
        <f t="shared" si="86"/>
        <v>MERC/CAPEX/20172018/4711</v>
      </c>
      <c r="D738" s="1378">
        <f t="shared" si="86"/>
        <v>43055</v>
      </c>
      <c r="E738" s="1513">
        <f t="shared" si="86"/>
        <v>15.08</v>
      </c>
      <c r="F738" s="1509">
        <f t="shared" si="87"/>
        <v>14.4772699</v>
      </c>
      <c r="G738" s="1509">
        <f t="shared" si="88"/>
        <v>14.4772699</v>
      </c>
      <c r="H738" s="1509">
        <f t="shared" si="91"/>
        <v>0</v>
      </c>
      <c r="I738" s="1509">
        <v>0</v>
      </c>
      <c r="J738" s="1509">
        <v>0</v>
      </c>
      <c r="K738" s="1509"/>
      <c r="L738" s="1509"/>
      <c r="M738" s="1509">
        <f t="shared" si="92"/>
        <v>0</v>
      </c>
      <c r="N738" s="1509">
        <f t="shared" si="93"/>
        <v>0</v>
      </c>
      <c r="O738" s="1510">
        <f t="shared" si="89"/>
        <v>0</v>
      </c>
      <c r="P738" s="1453">
        <f t="shared" si="90"/>
        <v>0</v>
      </c>
    </row>
    <row r="739" spans="1:16" outlineLevel="1" x14ac:dyDescent="0.25">
      <c r="A739" s="1511">
        <f t="shared" si="86"/>
        <v>14.2</v>
      </c>
      <c r="B739" s="1512" t="str">
        <f t="shared" si="86"/>
        <v>Installation of Pit less weighbridge of 100 MT capacity.</v>
      </c>
      <c r="C739" s="1511" t="str">
        <f t="shared" si="86"/>
        <v>MERC/CAPEX/20172018/4711</v>
      </c>
      <c r="D739" s="1378">
        <f t="shared" si="86"/>
        <v>43055</v>
      </c>
      <c r="E739" s="1513">
        <f t="shared" si="86"/>
        <v>0.3</v>
      </c>
      <c r="F739" s="1509">
        <f t="shared" si="87"/>
        <v>0.29736000000000001</v>
      </c>
      <c r="G739" s="1509">
        <f t="shared" si="88"/>
        <v>0.29736000000000001</v>
      </c>
      <c r="H739" s="1509">
        <f t="shared" si="91"/>
        <v>0</v>
      </c>
      <c r="I739" s="1509">
        <v>0</v>
      </c>
      <c r="J739" s="1509">
        <v>0</v>
      </c>
      <c r="K739" s="1509"/>
      <c r="L739" s="1509"/>
      <c r="M739" s="1509">
        <f t="shared" si="92"/>
        <v>0</v>
      </c>
      <c r="N739" s="1509">
        <f t="shared" si="93"/>
        <v>0</v>
      </c>
      <c r="O739" s="1510">
        <f t="shared" si="89"/>
        <v>0</v>
      </c>
      <c r="P739" s="1453">
        <f t="shared" si="90"/>
        <v>0</v>
      </c>
    </row>
    <row r="740" spans="1:16" outlineLevel="1" x14ac:dyDescent="0.25">
      <c r="A740" s="1511">
        <f t="shared" ref="A740:E755" si="94">A383</f>
        <v>14.3</v>
      </c>
      <c r="B740" s="1512" t="str">
        <f t="shared" si="94"/>
        <v>Procurement of SF 6 Generator Circuit Breaker Type- FKG1X</v>
      </c>
      <c r="C740" s="1511" t="str">
        <f t="shared" si="94"/>
        <v>MERC/CAPEX/20172018/4711</v>
      </c>
      <c r="D740" s="1378">
        <f t="shared" si="94"/>
        <v>43055</v>
      </c>
      <c r="E740" s="1513">
        <f t="shared" si="94"/>
        <v>2.46</v>
      </c>
      <c r="F740" s="1509">
        <f t="shared" si="87"/>
        <v>0</v>
      </c>
      <c r="G740" s="1509">
        <f t="shared" si="88"/>
        <v>0</v>
      </c>
      <c r="H740" s="1509">
        <f t="shared" si="91"/>
        <v>0</v>
      </c>
      <c r="I740" s="1509">
        <v>0</v>
      </c>
      <c r="J740" s="1509">
        <v>0</v>
      </c>
      <c r="K740" s="1509"/>
      <c r="L740" s="1509"/>
      <c r="M740" s="1509">
        <f t="shared" si="92"/>
        <v>0</v>
      </c>
      <c r="N740" s="1509">
        <f t="shared" si="93"/>
        <v>0</v>
      </c>
      <c r="O740" s="1510">
        <f t="shared" si="89"/>
        <v>0</v>
      </c>
      <c r="P740" s="1453">
        <f t="shared" si="90"/>
        <v>0</v>
      </c>
    </row>
    <row r="741" spans="1:16" outlineLevel="1" x14ac:dyDescent="0.25">
      <c r="A741" s="1511">
        <f t="shared" si="94"/>
        <v>14.4</v>
      </c>
      <c r="B741" s="1512" t="str">
        <f t="shared" si="94"/>
        <v>Procurement of spare VCB’s trolleys.</v>
      </c>
      <c r="C741" s="1511" t="str">
        <f t="shared" si="94"/>
        <v>MERC/CAPEX/20172018/4711</v>
      </c>
      <c r="D741" s="1378">
        <f t="shared" si="94"/>
        <v>43055</v>
      </c>
      <c r="E741" s="1513">
        <f t="shared" si="94"/>
        <v>0.31</v>
      </c>
      <c r="F741" s="1509">
        <f t="shared" si="87"/>
        <v>0.5057102</v>
      </c>
      <c r="G741" s="1509">
        <f t="shared" si="88"/>
        <v>0.5057102</v>
      </c>
      <c r="H741" s="1509">
        <f t="shared" si="91"/>
        <v>0</v>
      </c>
      <c r="I741" s="1509">
        <v>0</v>
      </c>
      <c r="J741" s="1509">
        <v>0</v>
      </c>
      <c r="K741" s="1509"/>
      <c r="L741" s="1509"/>
      <c r="M741" s="1509">
        <f t="shared" si="92"/>
        <v>0</v>
      </c>
      <c r="N741" s="1509">
        <f t="shared" si="93"/>
        <v>0</v>
      </c>
      <c r="O741" s="1510">
        <f t="shared" si="89"/>
        <v>0</v>
      </c>
      <c r="P741" s="1453">
        <f t="shared" si="90"/>
        <v>0</v>
      </c>
    </row>
    <row r="742" spans="1:16" outlineLevel="1" x14ac:dyDescent="0.25">
      <c r="A742" s="1511">
        <f t="shared" si="94"/>
        <v>0</v>
      </c>
      <c r="B742" s="1512" t="str">
        <f t="shared" si="94"/>
        <v>IDC</v>
      </c>
      <c r="C742" s="1511" t="str">
        <f t="shared" si="94"/>
        <v>MERC/CAPEX/20172018/4711</v>
      </c>
      <c r="D742" s="1378">
        <f t="shared" si="94"/>
        <v>43055</v>
      </c>
      <c r="E742" s="1513">
        <f t="shared" si="94"/>
        <v>0.13</v>
      </c>
      <c r="F742" s="1509">
        <f t="shared" si="87"/>
        <v>0</v>
      </c>
      <c r="G742" s="1509">
        <f t="shared" si="88"/>
        <v>0</v>
      </c>
      <c r="H742" s="1509">
        <f t="shared" si="91"/>
        <v>0</v>
      </c>
      <c r="I742" s="1509">
        <v>0</v>
      </c>
      <c r="J742" s="1509">
        <v>0</v>
      </c>
      <c r="K742" s="1509"/>
      <c r="L742" s="1509"/>
      <c r="M742" s="1509">
        <f t="shared" si="92"/>
        <v>0</v>
      </c>
      <c r="N742" s="1509">
        <f t="shared" si="93"/>
        <v>0</v>
      </c>
      <c r="O742" s="1510">
        <f t="shared" si="89"/>
        <v>0</v>
      </c>
      <c r="P742" s="1453">
        <f t="shared" si="90"/>
        <v>0</v>
      </c>
    </row>
    <row r="743" spans="1:16" ht="29" outlineLevel="1" x14ac:dyDescent="0.25">
      <c r="A743" s="1506">
        <f t="shared" si="94"/>
        <v>15</v>
      </c>
      <c r="B743" s="1507" t="str">
        <f t="shared" si="94"/>
        <v>First raising of ash bund from 426 Mtr. To 432 Mtr. Of Dautpur Ash Bund No. 2 for Unit No. 4, 6, 7 &amp; 8 at Parli TPS.</v>
      </c>
      <c r="C743" s="1506" t="str">
        <f t="shared" si="94"/>
        <v>MERC/CAPEX/20172018/4703</v>
      </c>
      <c r="D743" s="1508">
        <f t="shared" si="94"/>
        <v>43055</v>
      </c>
      <c r="E743" s="1509">
        <f t="shared" si="94"/>
        <v>45.524777499999992</v>
      </c>
      <c r="F743" s="1509">
        <f t="shared" si="87"/>
        <v>0</v>
      </c>
      <c r="G743" s="1509">
        <f t="shared" si="88"/>
        <v>0</v>
      </c>
      <c r="H743" s="1509">
        <f t="shared" si="91"/>
        <v>0</v>
      </c>
      <c r="I743" s="1509">
        <v>0</v>
      </c>
      <c r="J743" s="1509">
        <v>0</v>
      </c>
      <c r="K743" s="1509"/>
      <c r="L743" s="1509"/>
      <c r="M743" s="1509">
        <f t="shared" si="92"/>
        <v>0</v>
      </c>
      <c r="N743" s="1509">
        <f t="shared" si="93"/>
        <v>0</v>
      </c>
      <c r="O743" s="1510">
        <f t="shared" si="89"/>
        <v>0</v>
      </c>
      <c r="P743" s="1453">
        <f t="shared" si="90"/>
        <v>0</v>
      </c>
    </row>
    <row r="744" spans="1:16" ht="29" outlineLevel="1" x14ac:dyDescent="0.25">
      <c r="A744" s="1511">
        <f t="shared" si="94"/>
        <v>15.1</v>
      </c>
      <c r="B744" s="1512" t="str">
        <f t="shared" si="94"/>
        <v>First raising of ash bund from 426 Mtr. To 432 Mtr. Of Dautpur Ash Bund No. 2 for Unit No. 4, 6, 7 &amp; 8 at Parli TPS.</v>
      </c>
      <c r="C744" s="1511" t="str">
        <f t="shared" si="94"/>
        <v>MERC/CAPEX/20172018/4703</v>
      </c>
      <c r="D744" s="1378">
        <f t="shared" si="94"/>
        <v>43055</v>
      </c>
      <c r="E744" s="1513">
        <f t="shared" si="94"/>
        <v>44.154777499999994</v>
      </c>
      <c r="F744" s="1509">
        <f t="shared" si="87"/>
        <v>43.094741947000003</v>
      </c>
      <c r="G744" s="1509">
        <f t="shared" si="88"/>
        <v>43.094741947000003</v>
      </c>
      <c r="H744" s="1509">
        <f t="shared" si="91"/>
        <v>0</v>
      </c>
      <c r="I744" s="1509">
        <v>0</v>
      </c>
      <c r="J744" s="1509">
        <v>0</v>
      </c>
      <c r="K744" s="1509"/>
      <c r="L744" s="1509"/>
      <c r="M744" s="1509">
        <f t="shared" si="92"/>
        <v>0</v>
      </c>
      <c r="N744" s="1509">
        <f t="shared" si="93"/>
        <v>0</v>
      </c>
      <c r="O744" s="1510">
        <f t="shared" si="89"/>
        <v>0</v>
      </c>
      <c r="P744" s="1453">
        <f t="shared" si="90"/>
        <v>0</v>
      </c>
    </row>
    <row r="745" spans="1:16" outlineLevel="1" x14ac:dyDescent="0.25">
      <c r="A745" s="1511">
        <f t="shared" si="94"/>
        <v>0</v>
      </c>
      <c r="B745" s="1512" t="str">
        <f t="shared" si="94"/>
        <v>IDC</v>
      </c>
      <c r="C745" s="1511" t="str">
        <f t="shared" si="94"/>
        <v>MERC/CAPEX/20172018/4703</v>
      </c>
      <c r="D745" s="1378">
        <f t="shared" si="94"/>
        <v>43055</v>
      </c>
      <c r="E745" s="1513">
        <f t="shared" si="94"/>
        <v>1.37</v>
      </c>
      <c r="F745" s="1509">
        <f t="shared" si="87"/>
        <v>0</v>
      </c>
      <c r="G745" s="1509">
        <f t="shared" si="88"/>
        <v>0</v>
      </c>
      <c r="H745" s="1509">
        <f t="shared" si="91"/>
        <v>0</v>
      </c>
      <c r="I745" s="1509">
        <v>0</v>
      </c>
      <c r="J745" s="1509">
        <v>0</v>
      </c>
      <c r="K745" s="1509"/>
      <c r="L745" s="1509"/>
      <c r="M745" s="1509">
        <f t="shared" si="92"/>
        <v>0</v>
      </c>
      <c r="N745" s="1509">
        <f t="shared" si="93"/>
        <v>0</v>
      </c>
      <c r="O745" s="1510">
        <f t="shared" si="89"/>
        <v>0</v>
      </c>
      <c r="P745" s="1453">
        <f t="shared" si="90"/>
        <v>0</v>
      </c>
    </row>
    <row r="746" spans="1:16" outlineLevel="1" x14ac:dyDescent="0.25">
      <c r="A746" s="1506">
        <f t="shared" si="94"/>
        <v>16</v>
      </c>
      <c r="B746" s="1507" t="str">
        <f t="shared" si="94"/>
        <v>Renovation works of colony at Parli TPS</v>
      </c>
      <c r="C746" s="1506" t="str">
        <f t="shared" si="94"/>
        <v>MERC/CAPEX/2018-2019/065</v>
      </c>
      <c r="D746" s="1508">
        <f t="shared" si="94"/>
        <v>43529</v>
      </c>
      <c r="E746" s="1509">
        <f t="shared" si="94"/>
        <v>13.148149</v>
      </c>
      <c r="F746" s="1509">
        <f t="shared" si="87"/>
        <v>0</v>
      </c>
      <c r="G746" s="1509">
        <f t="shared" si="88"/>
        <v>0</v>
      </c>
      <c r="H746" s="1509">
        <f t="shared" si="91"/>
        <v>0</v>
      </c>
      <c r="I746" s="1509">
        <v>0</v>
      </c>
      <c r="J746" s="1509">
        <v>0</v>
      </c>
      <c r="K746" s="1509"/>
      <c r="L746" s="1509"/>
      <c r="M746" s="1509">
        <f t="shared" si="92"/>
        <v>0</v>
      </c>
      <c r="N746" s="1509">
        <f t="shared" si="93"/>
        <v>0</v>
      </c>
      <c r="O746" s="1510">
        <f t="shared" si="89"/>
        <v>0</v>
      </c>
      <c r="P746" s="1453">
        <f t="shared" si="90"/>
        <v>0</v>
      </c>
    </row>
    <row r="747" spans="1:16" outlineLevel="1" x14ac:dyDescent="0.25">
      <c r="A747" s="1511">
        <f t="shared" si="94"/>
        <v>16.100000000000001</v>
      </c>
      <c r="B747" s="1512" t="str">
        <f t="shared" si="94"/>
        <v>Colony Renovation / Garden and relation works</v>
      </c>
      <c r="C747" s="1511" t="str">
        <f t="shared" si="94"/>
        <v>MERC/CAPEX/2018-2019/065</v>
      </c>
      <c r="D747" s="1378">
        <f t="shared" si="94"/>
        <v>43529</v>
      </c>
      <c r="E747" s="1513">
        <f t="shared" si="94"/>
        <v>8.0502839999999996</v>
      </c>
      <c r="F747" s="1509">
        <f t="shared" si="87"/>
        <v>5.6193481700000003</v>
      </c>
      <c r="G747" s="1509">
        <f t="shared" si="88"/>
        <v>5.6193481700000003</v>
      </c>
      <c r="H747" s="1509">
        <f t="shared" si="91"/>
        <v>0</v>
      </c>
      <c r="I747" s="1509">
        <v>0.37056899999999998</v>
      </c>
      <c r="J747" s="1509">
        <v>0.37056899999999998</v>
      </c>
      <c r="K747" s="1509"/>
      <c r="L747" s="1509"/>
      <c r="M747" s="1509">
        <f t="shared" si="92"/>
        <v>0.37056899999999998</v>
      </c>
      <c r="N747" s="1509">
        <f t="shared" si="93"/>
        <v>0</v>
      </c>
      <c r="O747" s="1510">
        <f t="shared" si="89"/>
        <v>0.37056899999999998</v>
      </c>
      <c r="P747" s="1453">
        <f t="shared" si="90"/>
        <v>0</v>
      </c>
    </row>
    <row r="748" spans="1:16" outlineLevel="1" x14ac:dyDescent="0.25">
      <c r="A748" s="1511">
        <f t="shared" si="94"/>
        <v>16.2</v>
      </c>
      <c r="B748" s="1512" t="str">
        <f t="shared" si="94"/>
        <v>Colony Road work</v>
      </c>
      <c r="C748" s="1511" t="str">
        <f t="shared" si="94"/>
        <v>MERC/CAPEX/2018-2019/065</v>
      </c>
      <c r="D748" s="1378">
        <f t="shared" si="94"/>
        <v>43529</v>
      </c>
      <c r="E748" s="1513">
        <f t="shared" si="94"/>
        <v>2.3051249999999999</v>
      </c>
      <c r="F748" s="1509">
        <f t="shared" si="87"/>
        <v>2.0084425239999999</v>
      </c>
      <c r="G748" s="1509">
        <f t="shared" si="88"/>
        <v>2.0084425239999999</v>
      </c>
      <c r="H748" s="1509">
        <f t="shared" si="91"/>
        <v>0</v>
      </c>
      <c r="I748" s="1509">
        <v>0</v>
      </c>
      <c r="J748" s="1509">
        <v>0</v>
      </c>
      <c r="K748" s="1509"/>
      <c r="L748" s="1509"/>
      <c r="M748" s="1509">
        <f t="shared" si="92"/>
        <v>0</v>
      </c>
      <c r="N748" s="1509">
        <f t="shared" si="93"/>
        <v>0</v>
      </c>
      <c r="O748" s="1510">
        <f t="shared" si="89"/>
        <v>0</v>
      </c>
      <c r="P748" s="1453">
        <f t="shared" si="90"/>
        <v>0</v>
      </c>
    </row>
    <row r="749" spans="1:16" outlineLevel="1" x14ac:dyDescent="0.25">
      <c r="A749" s="1511">
        <f t="shared" si="94"/>
        <v>16.3</v>
      </c>
      <c r="B749" s="1512" t="str">
        <f t="shared" si="94"/>
        <v>Colony Water supply, Sanitary and drinage line work</v>
      </c>
      <c r="C749" s="1511" t="str">
        <f t="shared" si="94"/>
        <v>MERC/CAPEX/2018-2019/065</v>
      </c>
      <c r="D749" s="1378">
        <f t="shared" si="94"/>
        <v>43529</v>
      </c>
      <c r="E749" s="1513">
        <f t="shared" si="94"/>
        <v>2.7927399999999998</v>
      </c>
      <c r="F749" s="1509">
        <f t="shared" si="87"/>
        <v>0.16449244900000001</v>
      </c>
      <c r="G749" s="1509">
        <f t="shared" si="88"/>
        <v>0.16449244900000001</v>
      </c>
      <c r="H749" s="1509">
        <f t="shared" si="91"/>
        <v>0</v>
      </c>
      <c r="I749" s="1509">
        <v>2.35</v>
      </c>
      <c r="J749" s="1509">
        <v>2.35</v>
      </c>
      <c r="K749" s="1509"/>
      <c r="L749" s="1509"/>
      <c r="M749" s="1509">
        <f t="shared" si="92"/>
        <v>2.35</v>
      </c>
      <c r="N749" s="1509">
        <f t="shared" si="93"/>
        <v>0</v>
      </c>
      <c r="O749" s="1510">
        <f t="shared" si="89"/>
        <v>2.35</v>
      </c>
      <c r="P749" s="1453">
        <f t="shared" si="90"/>
        <v>0</v>
      </c>
    </row>
    <row r="750" spans="1:16" outlineLevel="1" x14ac:dyDescent="0.25">
      <c r="A750" s="1511">
        <f t="shared" si="94"/>
        <v>16.399999999999999</v>
      </c>
      <c r="B750" s="1512" t="str">
        <f t="shared" si="94"/>
        <v>Mangal Karyalaya and Community Hall work</v>
      </c>
      <c r="C750" s="1511" t="str">
        <f t="shared" si="94"/>
        <v>MERC/CAPEX/2018-2019/065</v>
      </c>
      <c r="D750" s="1378">
        <f t="shared" si="94"/>
        <v>43529</v>
      </c>
      <c r="E750" s="1513">
        <f t="shared" si="94"/>
        <v>0</v>
      </c>
      <c r="F750" s="1509">
        <f t="shared" si="87"/>
        <v>0</v>
      </c>
      <c r="G750" s="1509">
        <f t="shared" si="88"/>
        <v>0</v>
      </c>
      <c r="H750" s="1509">
        <f t="shared" si="91"/>
        <v>0</v>
      </c>
      <c r="I750" s="1509">
        <v>0</v>
      </c>
      <c r="J750" s="1509">
        <v>0</v>
      </c>
      <c r="K750" s="1509"/>
      <c r="L750" s="1509"/>
      <c r="M750" s="1509">
        <f t="shared" si="92"/>
        <v>0</v>
      </c>
      <c r="N750" s="1509">
        <f t="shared" si="93"/>
        <v>0</v>
      </c>
      <c r="O750" s="1510">
        <f t="shared" si="89"/>
        <v>0</v>
      </c>
      <c r="P750" s="1453">
        <f t="shared" si="90"/>
        <v>0</v>
      </c>
    </row>
    <row r="751" spans="1:16" outlineLevel="1" x14ac:dyDescent="0.25">
      <c r="A751" s="1511">
        <f t="shared" si="94"/>
        <v>16.5</v>
      </c>
      <c r="B751" s="1512" t="str">
        <f t="shared" si="94"/>
        <v>Other Civil  works</v>
      </c>
      <c r="C751" s="1511" t="str">
        <f t="shared" si="94"/>
        <v>MERC/CAPEX/2018-2019/065</v>
      </c>
      <c r="D751" s="1378">
        <f t="shared" si="94"/>
        <v>43529</v>
      </c>
      <c r="E751" s="1513">
        <f t="shared" si="94"/>
        <v>0</v>
      </c>
      <c r="F751" s="1509">
        <f t="shared" si="87"/>
        <v>0</v>
      </c>
      <c r="G751" s="1509">
        <f t="shared" si="88"/>
        <v>0</v>
      </c>
      <c r="H751" s="1509">
        <f t="shared" si="91"/>
        <v>0</v>
      </c>
      <c r="I751" s="1509">
        <v>0</v>
      </c>
      <c r="J751" s="1509">
        <v>0</v>
      </c>
      <c r="K751" s="1509"/>
      <c r="L751" s="1509"/>
      <c r="M751" s="1509">
        <f t="shared" si="92"/>
        <v>0</v>
      </c>
      <c r="N751" s="1509">
        <f t="shared" si="93"/>
        <v>0</v>
      </c>
      <c r="O751" s="1510">
        <f t="shared" si="89"/>
        <v>0</v>
      </c>
      <c r="P751" s="1453">
        <f t="shared" si="90"/>
        <v>0</v>
      </c>
    </row>
    <row r="752" spans="1:16" outlineLevel="1" x14ac:dyDescent="0.25">
      <c r="A752" s="1506">
        <f t="shared" si="94"/>
        <v>17</v>
      </c>
      <c r="B752" s="1507" t="str">
        <f t="shared" si="94"/>
        <v>Various Civil Schemes at Parli TPS</v>
      </c>
      <c r="C752" s="1506" t="str">
        <f t="shared" si="94"/>
        <v>MERC/CAPEX/20182019/020</v>
      </c>
      <c r="D752" s="1508">
        <f t="shared" si="94"/>
        <v>43481</v>
      </c>
      <c r="E752" s="1509">
        <f t="shared" si="94"/>
        <v>11.99868781</v>
      </c>
      <c r="F752" s="1509">
        <f t="shared" si="87"/>
        <v>0</v>
      </c>
      <c r="G752" s="1509">
        <f t="shared" si="88"/>
        <v>0</v>
      </c>
      <c r="H752" s="1509">
        <f t="shared" si="91"/>
        <v>0</v>
      </c>
      <c r="I752" s="1509">
        <v>0</v>
      </c>
      <c r="J752" s="1509">
        <v>0</v>
      </c>
      <c r="K752" s="1509"/>
      <c r="L752" s="1509"/>
      <c r="M752" s="1509">
        <f t="shared" si="92"/>
        <v>0</v>
      </c>
      <c r="N752" s="1509">
        <f t="shared" si="93"/>
        <v>0</v>
      </c>
      <c r="O752" s="1510">
        <f t="shared" si="89"/>
        <v>0</v>
      </c>
      <c r="P752" s="1453">
        <f t="shared" si="90"/>
        <v>0</v>
      </c>
    </row>
    <row r="753" spans="1:16" ht="43.5" outlineLevel="1" x14ac:dyDescent="0.25">
      <c r="A753" s="1511">
        <f t="shared" si="94"/>
        <v>17.100000000000001</v>
      </c>
      <c r="B753" s="1512" t="str">
        <f t="shared" si="94"/>
        <v>Repair work of Khadka road from Sangam T point TPS compound wall to Khadka pump house by providing and laying GSB and bituminous macadam surface on existing road at TPS Parli V</v>
      </c>
      <c r="C753" s="1511" t="str">
        <f t="shared" si="94"/>
        <v>MERC/CAPEX/20182019/020</v>
      </c>
      <c r="D753" s="1378">
        <f t="shared" si="94"/>
        <v>43481</v>
      </c>
      <c r="E753" s="1513">
        <f t="shared" si="94"/>
        <v>6.1932861680000002</v>
      </c>
      <c r="F753" s="1509">
        <f t="shared" si="87"/>
        <v>5.6459529719999999</v>
      </c>
      <c r="G753" s="1509">
        <f t="shared" si="88"/>
        <v>5.6459529719999999</v>
      </c>
      <c r="H753" s="1509">
        <f t="shared" si="91"/>
        <v>0</v>
      </c>
      <c r="I753" s="1509">
        <v>0</v>
      </c>
      <c r="J753" s="1509">
        <v>0</v>
      </c>
      <c r="K753" s="1509"/>
      <c r="L753" s="1509"/>
      <c r="M753" s="1509">
        <f t="shared" si="92"/>
        <v>0</v>
      </c>
      <c r="N753" s="1509">
        <f t="shared" si="93"/>
        <v>0</v>
      </c>
      <c r="O753" s="1510">
        <f t="shared" si="89"/>
        <v>0</v>
      </c>
      <c r="P753" s="1453">
        <f t="shared" si="90"/>
        <v>0</v>
      </c>
    </row>
    <row r="754" spans="1:16" ht="29" outlineLevel="1" x14ac:dyDescent="0.25">
      <c r="A754" s="1511">
        <f t="shared" si="94"/>
        <v>17.2</v>
      </c>
      <c r="B754" s="1512" t="str">
        <f t="shared" si="94"/>
        <v xml:space="preserve">Replacement of old  A.C. / G.I. Sheets by new C.G.I. Sheets  at Unit 4 and 5  TPS Parli Vaijnath                         </v>
      </c>
      <c r="C754" s="1511" t="str">
        <f t="shared" si="94"/>
        <v>MERC/CAPEX/20182019/020</v>
      </c>
      <c r="D754" s="1378">
        <f t="shared" si="94"/>
        <v>43481</v>
      </c>
      <c r="E754" s="1513">
        <f t="shared" si="94"/>
        <v>0.38584171</v>
      </c>
      <c r="F754" s="1509">
        <f t="shared" si="87"/>
        <v>0.28061102900000001</v>
      </c>
      <c r="G754" s="1509">
        <f t="shared" si="88"/>
        <v>0.28061102900000001</v>
      </c>
      <c r="H754" s="1509">
        <f t="shared" si="91"/>
        <v>0</v>
      </c>
      <c r="I754" s="1509">
        <v>0</v>
      </c>
      <c r="J754" s="1509">
        <v>0</v>
      </c>
      <c r="K754" s="1509"/>
      <c r="L754" s="1509"/>
      <c r="M754" s="1509">
        <f t="shared" si="92"/>
        <v>0</v>
      </c>
      <c r="N754" s="1509">
        <f t="shared" si="93"/>
        <v>0</v>
      </c>
      <c r="O754" s="1510">
        <f t="shared" si="89"/>
        <v>0</v>
      </c>
      <c r="P754" s="1453">
        <f t="shared" si="90"/>
        <v>0</v>
      </c>
    </row>
    <row r="755" spans="1:16" ht="29" outlineLevel="1" x14ac:dyDescent="0.25">
      <c r="A755" s="1511">
        <f t="shared" si="94"/>
        <v>17.3</v>
      </c>
      <c r="B755" s="1512" t="str">
        <f t="shared" si="94"/>
        <v xml:space="preserve">Water supply pipe line  from Way bridge to chummery gate at Old Power House premises TPS Parli   Vaijnath   </v>
      </c>
      <c r="C755" s="1511" t="str">
        <f t="shared" si="94"/>
        <v>MERC/CAPEX/20182019/020</v>
      </c>
      <c r="D755" s="1378">
        <f t="shared" si="94"/>
        <v>43481</v>
      </c>
      <c r="E755" s="1513">
        <f t="shared" si="94"/>
        <v>1.490824862</v>
      </c>
      <c r="F755" s="1509">
        <f t="shared" si="87"/>
        <v>0</v>
      </c>
      <c r="G755" s="1509">
        <f t="shared" si="88"/>
        <v>0</v>
      </c>
      <c r="H755" s="1509">
        <f t="shared" si="91"/>
        <v>0</v>
      </c>
      <c r="I755" s="1509">
        <v>0</v>
      </c>
      <c r="J755" s="1509">
        <v>0</v>
      </c>
      <c r="K755" s="1509"/>
      <c r="L755" s="1509"/>
      <c r="M755" s="1509">
        <f t="shared" si="92"/>
        <v>0</v>
      </c>
      <c r="N755" s="1509">
        <f t="shared" si="93"/>
        <v>0</v>
      </c>
      <c r="O755" s="1510">
        <f t="shared" si="89"/>
        <v>0</v>
      </c>
      <c r="P755" s="1453">
        <f t="shared" si="90"/>
        <v>0</v>
      </c>
    </row>
    <row r="756" spans="1:16" ht="29" outlineLevel="1" x14ac:dyDescent="0.25">
      <c r="A756" s="1511">
        <f t="shared" ref="A756:E771" si="95">A399</f>
        <v>17.399999999999999</v>
      </c>
      <c r="B756" s="1512" t="str">
        <f t="shared" si="95"/>
        <v>Providing and fixing colour coated sheets for roofing and cladding of Major Store godowns (3 Nos.) at NPTPS Parli Vaijnath.</v>
      </c>
      <c r="C756" s="1511" t="str">
        <f t="shared" si="95"/>
        <v>MERC/CAPEX/20182019/020</v>
      </c>
      <c r="D756" s="1378">
        <f t="shared" si="95"/>
        <v>43481</v>
      </c>
      <c r="E756" s="1513">
        <f t="shared" si="95"/>
        <v>0.32052575999999999</v>
      </c>
      <c r="F756" s="1509">
        <f t="shared" si="87"/>
        <v>0.23293444999999999</v>
      </c>
      <c r="G756" s="1509">
        <f t="shared" si="88"/>
        <v>0.23293444999999999</v>
      </c>
      <c r="H756" s="1509">
        <f t="shared" si="91"/>
        <v>0</v>
      </c>
      <c r="I756" s="1509">
        <v>0</v>
      </c>
      <c r="J756" s="1509">
        <v>0</v>
      </c>
      <c r="K756" s="1509"/>
      <c r="L756" s="1509"/>
      <c r="M756" s="1509">
        <f t="shared" si="92"/>
        <v>0</v>
      </c>
      <c r="N756" s="1509">
        <f t="shared" si="93"/>
        <v>0</v>
      </c>
      <c r="O756" s="1510">
        <f t="shared" si="89"/>
        <v>0</v>
      </c>
      <c r="P756" s="1453">
        <f t="shared" si="90"/>
        <v>0</v>
      </c>
    </row>
    <row r="757" spans="1:16" ht="29" outlineLevel="1" x14ac:dyDescent="0.25">
      <c r="A757" s="1511">
        <f t="shared" si="95"/>
        <v>17.5</v>
      </c>
      <c r="B757" s="1512" t="str">
        <f t="shared" si="95"/>
        <v xml:space="preserve">Development of Major store unloading yard by providing RCC grade slab in unit 6 &amp; 7 premises at NPTPS Parli     V.                   </v>
      </c>
      <c r="C757" s="1511" t="str">
        <f t="shared" si="95"/>
        <v>MERC/CAPEX/20182019/020</v>
      </c>
      <c r="D757" s="1378">
        <f t="shared" si="95"/>
        <v>43481</v>
      </c>
      <c r="E757" s="1513">
        <f t="shared" si="95"/>
        <v>2.7334139500000001</v>
      </c>
      <c r="F757" s="1509">
        <f t="shared" si="87"/>
        <v>0</v>
      </c>
      <c r="G757" s="1509">
        <f t="shared" si="88"/>
        <v>0</v>
      </c>
      <c r="H757" s="1509">
        <f t="shared" si="91"/>
        <v>0</v>
      </c>
      <c r="I757" s="1509">
        <v>0</v>
      </c>
      <c r="J757" s="1509">
        <v>0</v>
      </c>
      <c r="K757" s="1509"/>
      <c r="L757" s="1509"/>
      <c r="M757" s="1509">
        <f t="shared" si="92"/>
        <v>0</v>
      </c>
      <c r="N757" s="1509">
        <f t="shared" si="93"/>
        <v>0</v>
      </c>
      <c r="O757" s="1510">
        <f t="shared" si="89"/>
        <v>0</v>
      </c>
      <c r="P757" s="1453">
        <f t="shared" si="90"/>
        <v>0</v>
      </c>
    </row>
    <row r="758" spans="1:16" ht="43.5" outlineLevel="1" x14ac:dyDescent="0.25">
      <c r="A758" s="1511">
        <f t="shared" si="95"/>
        <v>17.600000000000001</v>
      </c>
      <c r="B758" s="1512" t="str">
        <f t="shared" si="95"/>
        <v xml:space="preserve">Work of painting to service building, Main plant building and various Auxillarey buildings of unit No. 6&amp;7 at New Parli Thermal Power Station.         </v>
      </c>
      <c r="C758" s="1511" t="str">
        <f t="shared" si="95"/>
        <v>MERC/CAPEX/20182019/020</v>
      </c>
      <c r="D758" s="1378">
        <f t="shared" si="95"/>
        <v>43481</v>
      </c>
      <c r="E758" s="1513">
        <f t="shared" si="95"/>
        <v>0.58998525000000002</v>
      </c>
      <c r="F758" s="1509">
        <f t="shared" si="87"/>
        <v>0.43154335300000002</v>
      </c>
      <c r="G758" s="1509">
        <f t="shared" si="88"/>
        <v>0.43154335300000002</v>
      </c>
      <c r="H758" s="1509">
        <f t="shared" si="91"/>
        <v>0</v>
      </c>
      <c r="I758" s="1509">
        <v>0</v>
      </c>
      <c r="J758" s="1509">
        <v>0</v>
      </c>
      <c r="K758" s="1509"/>
      <c r="L758" s="1509"/>
      <c r="M758" s="1509">
        <f t="shared" si="92"/>
        <v>0</v>
      </c>
      <c r="N758" s="1509">
        <f t="shared" si="93"/>
        <v>0</v>
      </c>
      <c r="O758" s="1510">
        <f t="shared" si="89"/>
        <v>0</v>
      </c>
      <c r="P758" s="1453">
        <f t="shared" si="90"/>
        <v>0</v>
      </c>
    </row>
    <row r="759" spans="1:16" ht="29" outlineLevel="1" x14ac:dyDescent="0.25">
      <c r="A759" s="1511">
        <f t="shared" si="95"/>
        <v>17.600000000000001</v>
      </c>
      <c r="B759" s="1512" t="str">
        <f t="shared" si="95"/>
        <v>Construction of RCC cabins at various locations in unit No.6&amp;7 premises at NPTPS Parli - V.</v>
      </c>
      <c r="C759" s="1511" t="str">
        <f t="shared" si="95"/>
        <v>MERC/CAPEX/20182019/020</v>
      </c>
      <c r="D759" s="1378">
        <f t="shared" si="95"/>
        <v>43481</v>
      </c>
      <c r="E759" s="1513">
        <f t="shared" si="95"/>
        <v>0.28481011000000001</v>
      </c>
      <c r="F759" s="1509">
        <f t="shared" si="87"/>
        <v>0.20461170000000001</v>
      </c>
      <c r="G759" s="1509">
        <f t="shared" si="88"/>
        <v>0.20461170000000001</v>
      </c>
      <c r="H759" s="1509">
        <f t="shared" si="91"/>
        <v>0</v>
      </c>
      <c r="I759" s="1509">
        <v>0</v>
      </c>
      <c r="J759" s="1509">
        <v>0</v>
      </c>
      <c r="K759" s="1509"/>
      <c r="L759" s="1509"/>
      <c r="M759" s="1509">
        <f t="shared" si="92"/>
        <v>0</v>
      </c>
      <c r="N759" s="1509">
        <f t="shared" si="93"/>
        <v>0</v>
      </c>
      <c r="O759" s="1510">
        <f t="shared" si="89"/>
        <v>0</v>
      </c>
      <c r="P759" s="1453">
        <f t="shared" si="90"/>
        <v>0</v>
      </c>
    </row>
    <row r="760" spans="1:16" outlineLevel="1" x14ac:dyDescent="0.25">
      <c r="A760" s="1511">
        <f t="shared" si="95"/>
        <v>0</v>
      </c>
      <c r="B760" s="1512" t="str">
        <f t="shared" si="95"/>
        <v>IDC</v>
      </c>
      <c r="C760" s="1511" t="str">
        <f t="shared" si="95"/>
        <v>MERC/CAPEX/20182019/020</v>
      </c>
      <c r="D760" s="1378">
        <f t="shared" si="95"/>
        <v>43481</v>
      </c>
      <c r="E760" s="1513">
        <f t="shared" si="95"/>
        <v>0</v>
      </c>
      <c r="F760" s="1509">
        <f t="shared" si="87"/>
        <v>0</v>
      </c>
      <c r="G760" s="1509">
        <f t="shared" si="88"/>
        <v>0</v>
      </c>
      <c r="H760" s="1509">
        <f t="shared" si="91"/>
        <v>0</v>
      </c>
      <c r="I760" s="1509">
        <v>0</v>
      </c>
      <c r="J760" s="1509">
        <v>0</v>
      </c>
      <c r="K760" s="1509"/>
      <c r="L760" s="1509"/>
      <c r="M760" s="1509">
        <f t="shared" si="92"/>
        <v>0</v>
      </c>
      <c r="N760" s="1509">
        <f t="shared" si="93"/>
        <v>0</v>
      </c>
      <c r="O760" s="1510">
        <f t="shared" si="89"/>
        <v>0</v>
      </c>
      <c r="P760" s="1453">
        <f t="shared" si="90"/>
        <v>0</v>
      </c>
    </row>
    <row r="761" spans="1:16" ht="29" outlineLevel="1" x14ac:dyDescent="0.25">
      <c r="A761" s="1506">
        <f t="shared" si="95"/>
        <v>18</v>
      </c>
      <c r="B761" s="1507" t="str">
        <f t="shared" si="95"/>
        <v>Procurement &amp; replacement of complete set of Economizer and LTSH upper &amp; lower coils of Unit No. 6 &amp; 7 at Parli TPS</v>
      </c>
      <c r="C761" s="1506" t="str">
        <f t="shared" si="95"/>
        <v>MERC/CAPEX/2019-2020/419</v>
      </c>
      <c r="D761" s="1508">
        <f t="shared" si="95"/>
        <v>43672</v>
      </c>
      <c r="E761" s="1509">
        <f t="shared" si="95"/>
        <v>22.72</v>
      </c>
      <c r="F761" s="1509">
        <f t="shared" si="87"/>
        <v>0</v>
      </c>
      <c r="G761" s="1509">
        <f t="shared" si="88"/>
        <v>0</v>
      </c>
      <c r="H761" s="1509">
        <f t="shared" si="91"/>
        <v>0</v>
      </c>
      <c r="I761" s="1509">
        <v>0</v>
      </c>
      <c r="J761" s="1509">
        <v>0</v>
      </c>
      <c r="K761" s="1509"/>
      <c r="L761" s="1509"/>
      <c r="M761" s="1509">
        <f t="shared" si="92"/>
        <v>0</v>
      </c>
      <c r="N761" s="1509">
        <f t="shared" si="93"/>
        <v>0</v>
      </c>
      <c r="O761" s="1510">
        <f t="shared" si="89"/>
        <v>0</v>
      </c>
      <c r="P761" s="1453">
        <f t="shared" si="90"/>
        <v>0</v>
      </c>
    </row>
    <row r="762" spans="1:16" ht="29" outlineLevel="1" x14ac:dyDescent="0.25">
      <c r="A762" s="1511">
        <f t="shared" si="95"/>
        <v>18.100000000000001</v>
      </c>
      <c r="B762" s="1512" t="str">
        <f t="shared" si="95"/>
        <v xml:space="preserve">Procurement &amp; replacement of complete set of economizer upper &amp; lower bank coils of Unit No. 6 </v>
      </c>
      <c r="C762" s="1511" t="str">
        <f t="shared" si="95"/>
        <v>MERC/CAPEX/2019-2020/419</v>
      </c>
      <c r="D762" s="1378">
        <f t="shared" si="95"/>
        <v>43672</v>
      </c>
      <c r="E762" s="1513">
        <f t="shared" si="95"/>
        <v>10.6</v>
      </c>
      <c r="F762" s="1509">
        <f t="shared" si="87"/>
        <v>8.7955000000000005</v>
      </c>
      <c r="G762" s="1509">
        <f t="shared" si="88"/>
        <v>0</v>
      </c>
      <c r="H762" s="1509">
        <f t="shared" si="91"/>
        <v>8.7955000000000005</v>
      </c>
      <c r="I762" s="1509">
        <v>3.7095201000000002</v>
      </c>
      <c r="J762" s="1509">
        <v>12.505120100000001</v>
      </c>
      <c r="K762" s="1509"/>
      <c r="L762" s="1509"/>
      <c r="M762" s="1509">
        <f t="shared" si="92"/>
        <v>12.505120100000001</v>
      </c>
      <c r="N762" s="1509">
        <f t="shared" si="93"/>
        <v>-9.9999999999766942E-5</v>
      </c>
      <c r="O762" s="1510">
        <f t="shared" si="89"/>
        <v>10.6</v>
      </c>
      <c r="P762" s="1453">
        <f t="shared" si="90"/>
        <v>1.9051201000000013</v>
      </c>
    </row>
    <row r="763" spans="1:16" ht="29" outlineLevel="1" x14ac:dyDescent="0.25">
      <c r="A763" s="1511">
        <f t="shared" si="95"/>
        <v>18.2</v>
      </c>
      <c r="B763" s="1512" t="str">
        <f t="shared" si="95"/>
        <v>Procurement &amp; replacement of complete set of LTSH upper &amp; lower bank coils for Parli TPS unit-7</v>
      </c>
      <c r="C763" s="1511" t="str">
        <f t="shared" si="95"/>
        <v>MERC/CAPEX/2019-2020/419</v>
      </c>
      <c r="D763" s="1378">
        <f t="shared" si="95"/>
        <v>43672</v>
      </c>
      <c r="E763" s="1513">
        <f t="shared" si="95"/>
        <v>10.6</v>
      </c>
      <c r="F763" s="1509">
        <f t="shared" si="87"/>
        <v>12.3255</v>
      </c>
      <c r="G763" s="1509">
        <f t="shared" si="88"/>
        <v>12.328390300000001</v>
      </c>
      <c r="H763" s="1509">
        <f t="shared" si="91"/>
        <v>-2.8903000000006784E-3</v>
      </c>
      <c r="I763" s="1509">
        <v>0</v>
      </c>
      <c r="J763" s="1509">
        <v>0</v>
      </c>
      <c r="K763" s="1509"/>
      <c r="L763" s="1509"/>
      <c r="M763" s="1509">
        <f t="shared" si="92"/>
        <v>0</v>
      </c>
      <c r="N763" s="1509">
        <f t="shared" si="93"/>
        <v>-2.8903000000006784E-3</v>
      </c>
      <c r="O763" s="1510">
        <f t="shared" si="89"/>
        <v>0</v>
      </c>
      <c r="P763" s="1453">
        <f t="shared" si="90"/>
        <v>0</v>
      </c>
    </row>
    <row r="764" spans="1:16" outlineLevel="1" x14ac:dyDescent="0.25">
      <c r="A764" s="1511">
        <f t="shared" si="95"/>
        <v>0</v>
      </c>
      <c r="B764" s="1516" t="str">
        <f t="shared" si="95"/>
        <v>IDC</v>
      </c>
      <c r="C764" s="1511" t="str">
        <f t="shared" si="95"/>
        <v>MERC/CAPEX/2019-2020/419</v>
      </c>
      <c r="D764" s="1378">
        <f t="shared" si="95"/>
        <v>43672</v>
      </c>
      <c r="E764" s="1513">
        <f t="shared" si="95"/>
        <v>1.52</v>
      </c>
      <c r="F764" s="1509">
        <f t="shared" si="87"/>
        <v>0.81066607999999996</v>
      </c>
      <c r="G764" s="1509">
        <f t="shared" si="88"/>
        <v>0.81066079999999996</v>
      </c>
      <c r="H764" s="1509">
        <f t="shared" si="91"/>
        <v>5.2799999999963987E-6</v>
      </c>
      <c r="I764" s="1509">
        <v>0</v>
      </c>
      <c r="J764" s="1509">
        <v>1.82</v>
      </c>
      <c r="K764" s="1509"/>
      <c r="L764" s="1509"/>
      <c r="M764" s="1509">
        <f t="shared" si="92"/>
        <v>1.82</v>
      </c>
      <c r="N764" s="1509">
        <f t="shared" si="93"/>
        <v>-1.81999472</v>
      </c>
      <c r="O764" s="1510">
        <f t="shared" si="89"/>
        <v>0.70933920000000006</v>
      </c>
      <c r="P764" s="1453">
        <f t="shared" si="90"/>
        <v>1.1106608</v>
      </c>
    </row>
    <row r="765" spans="1:16" ht="29" outlineLevel="1" x14ac:dyDescent="0.25">
      <c r="A765" s="1506">
        <f t="shared" si="95"/>
        <v>19</v>
      </c>
      <c r="B765" s="1507" t="str">
        <f t="shared" si="95"/>
        <v>Schemes related to enhance the performance of Coal Handling Plant (2 x 250 MW) at Parli TPS</v>
      </c>
      <c r="C765" s="1506" t="str">
        <f t="shared" si="95"/>
        <v>MERC/CAPEX/2019-2020/451</v>
      </c>
      <c r="D765" s="1508">
        <f t="shared" si="95"/>
        <v>43676</v>
      </c>
      <c r="E765" s="1509">
        <f t="shared" si="95"/>
        <v>10.719999999999999</v>
      </c>
      <c r="F765" s="1509">
        <f t="shared" si="87"/>
        <v>0</v>
      </c>
      <c r="G765" s="1509">
        <f t="shared" si="88"/>
        <v>0</v>
      </c>
      <c r="H765" s="1509">
        <f t="shared" si="91"/>
        <v>0</v>
      </c>
      <c r="I765" s="1509">
        <v>0</v>
      </c>
      <c r="J765" s="1509">
        <v>0</v>
      </c>
      <c r="K765" s="1509"/>
      <c r="L765" s="1509"/>
      <c r="M765" s="1509">
        <f t="shared" si="92"/>
        <v>0</v>
      </c>
      <c r="N765" s="1509">
        <f t="shared" si="93"/>
        <v>0</v>
      </c>
      <c r="O765" s="1510">
        <f t="shared" si="89"/>
        <v>0</v>
      </c>
      <c r="P765" s="1453">
        <f t="shared" si="90"/>
        <v>0</v>
      </c>
    </row>
    <row r="766" spans="1:16" outlineLevel="1" x14ac:dyDescent="0.25">
      <c r="A766" s="1511">
        <f t="shared" si="95"/>
        <v>19.100000000000001</v>
      </c>
      <c r="B766" s="1512" t="str">
        <f t="shared" si="95"/>
        <v xml:space="preserve">Procurement of 02 Nos. of BD155 Bulldozers for Parli TPS    </v>
      </c>
      <c r="C766" s="1511" t="str">
        <f t="shared" si="95"/>
        <v>MERC/CAPEX/2019-2020/451</v>
      </c>
      <c r="D766" s="1378">
        <f t="shared" si="95"/>
        <v>43676</v>
      </c>
      <c r="E766" s="1513">
        <f t="shared" si="95"/>
        <v>3.93</v>
      </c>
      <c r="F766" s="1509">
        <f t="shared" si="87"/>
        <v>4.3292536000000004</v>
      </c>
      <c r="G766" s="1509">
        <f t="shared" si="88"/>
        <v>4.3292536000000004</v>
      </c>
      <c r="H766" s="1509">
        <f t="shared" si="91"/>
        <v>0</v>
      </c>
      <c r="I766" s="1509">
        <v>0</v>
      </c>
      <c r="J766" s="1509">
        <v>0</v>
      </c>
      <c r="K766" s="1509"/>
      <c r="L766" s="1509"/>
      <c r="M766" s="1509">
        <f t="shared" si="92"/>
        <v>0</v>
      </c>
      <c r="N766" s="1509">
        <f t="shared" si="93"/>
        <v>0</v>
      </c>
      <c r="O766" s="1510">
        <f t="shared" si="89"/>
        <v>0</v>
      </c>
      <c r="P766" s="1453">
        <f t="shared" si="90"/>
        <v>0</v>
      </c>
    </row>
    <row r="767" spans="1:16" outlineLevel="1" x14ac:dyDescent="0.25">
      <c r="A767" s="1511">
        <f t="shared" si="95"/>
        <v>19.2</v>
      </c>
      <c r="B767" s="1512" t="str">
        <f t="shared" si="95"/>
        <v xml:space="preserve">Procurement of 02 Nos. of Locomotives(800 HP) for Parli TPS    </v>
      </c>
      <c r="C767" s="1506" t="str">
        <f t="shared" si="95"/>
        <v>MERC/CAPEX/2019-2020/451</v>
      </c>
      <c r="D767" s="1508">
        <f t="shared" si="95"/>
        <v>43676</v>
      </c>
      <c r="E767" s="1509">
        <f t="shared" si="95"/>
        <v>6.25</v>
      </c>
      <c r="F767" s="1509">
        <f t="shared" si="87"/>
        <v>6.4416200000000003</v>
      </c>
      <c r="G767" s="1509">
        <f t="shared" si="88"/>
        <v>6.4416200000000003</v>
      </c>
      <c r="H767" s="1509">
        <f t="shared" si="91"/>
        <v>0</v>
      </c>
      <c r="I767" s="1509">
        <v>0</v>
      </c>
      <c r="J767" s="1509">
        <v>0</v>
      </c>
      <c r="K767" s="1509"/>
      <c r="L767" s="1509"/>
      <c r="M767" s="1509">
        <f t="shared" si="92"/>
        <v>0</v>
      </c>
      <c r="N767" s="1509">
        <f t="shared" si="93"/>
        <v>0</v>
      </c>
      <c r="O767" s="1510">
        <f t="shared" si="89"/>
        <v>0</v>
      </c>
      <c r="P767" s="1453">
        <f t="shared" si="90"/>
        <v>0</v>
      </c>
    </row>
    <row r="768" spans="1:16" outlineLevel="1" x14ac:dyDescent="0.25">
      <c r="A768" s="1511">
        <f t="shared" si="95"/>
        <v>0</v>
      </c>
      <c r="B768" s="1512" t="str">
        <f t="shared" si="95"/>
        <v>IDC</v>
      </c>
      <c r="C768" s="1511" t="str">
        <f t="shared" si="95"/>
        <v>MERC/CAPEX/2019-2020/451</v>
      </c>
      <c r="D768" s="1378">
        <f t="shared" si="95"/>
        <v>43676</v>
      </c>
      <c r="E768" s="1513">
        <f t="shared" si="95"/>
        <v>0.54</v>
      </c>
      <c r="F768" s="1509">
        <f t="shared" si="87"/>
        <v>0</v>
      </c>
      <c r="G768" s="1509">
        <f t="shared" si="88"/>
        <v>0</v>
      </c>
      <c r="H768" s="1509">
        <f t="shared" si="91"/>
        <v>0</v>
      </c>
      <c r="I768" s="1509">
        <v>0</v>
      </c>
      <c r="J768" s="1509">
        <v>0</v>
      </c>
      <c r="K768" s="1509"/>
      <c r="L768" s="1509"/>
      <c r="M768" s="1509">
        <f t="shared" si="92"/>
        <v>0</v>
      </c>
      <c r="N768" s="1509">
        <f t="shared" si="93"/>
        <v>0</v>
      </c>
      <c r="O768" s="1510">
        <f t="shared" si="89"/>
        <v>0</v>
      </c>
      <c r="P768" s="1453">
        <f t="shared" si="90"/>
        <v>0</v>
      </c>
    </row>
    <row r="769" spans="1:16" ht="58" outlineLevel="1" x14ac:dyDescent="0.25">
      <c r="A769" s="1506">
        <f t="shared" si="95"/>
        <v>20</v>
      </c>
      <c r="B769" s="1507" t="str">
        <f t="shared" si="95"/>
        <v>Procurement of Energy Efficient Cartridges of boiler Feed Pumps at Unit # 6 &amp; 7, Girth Gear, Pinion for BBD-4772 Coal Mills &amp; Procurement, Installation, Commissioning of Variable Frequency Drive for Gravimetric Coal Feeders (2X250MW) at Parli TPS</v>
      </c>
      <c r="C769" s="1506" t="str">
        <f t="shared" si="95"/>
        <v>MERC/CAPEX/2019-2020/476,
MERC/CAPEX/2019-2020/858</v>
      </c>
      <c r="D769" s="1508" t="str">
        <f t="shared" si="95"/>
        <v>01-08-2019,
10-10-2019</v>
      </c>
      <c r="E769" s="1509">
        <f t="shared" si="95"/>
        <v>21.26</v>
      </c>
      <c r="F769" s="1509">
        <f t="shared" si="87"/>
        <v>0</v>
      </c>
      <c r="G769" s="1509">
        <f t="shared" si="88"/>
        <v>0</v>
      </c>
      <c r="H769" s="1509">
        <f t="shared" si="91"/>
        <v>0</v>
      </c>
      <c r="I769" s="1509">
        <v>0</v>
      </c>
      <c r="J769" s="1509">
        <v>0</v>
      </c>
      <c r="K769" s="1509"/>
      <c r="L769" s="1509"/>
      <c r="M769" s="1509">
        <f t="shared" si="92"/>
        <v>0</v>
      </c>
      <c r="N769" s="1509">
        <f t="shared" si="93"/>
        <v>0</v>
      </c>
      <c r="O769" s="1510">
        <f t="shared" si="89"/>
        <v>0</v>
      </c>
      <c r="P769" s="1453">
        <f t="shared" si="90"/>
        <v>0</v>
      </c>
    </row>
    <row r="770" spans="1:16" ht="58" outlineLevel="1" x14ac:dyDescent="0.25">
      <c r="A770" s="1511">
        <f t="shared" si="95"/>
        <v>20.100000000000001</v>
      </c>
      <c r="B770" s="1512" t="str">
        <f t="shared" si="95"/>
        <v>Procurement &amp; replacement of complete BFP Cartridge for advance class pump model FK-3B-40.</v>
      </c>
      <c r="C770" s="1511" t="str">
        <f t="shared" si="95"/>
        <v>MERC/CAPEX/2019-2020/476,
MERC/CAPEX/2019-2020/858</v>
      </c>
      <c r="D770" s="1378" t="str">
        <f t="shared" si="95"/>
        <v>01-08-2019,
10-10-2019</v>
      </c>
      <c r="E770" s="1513">
        <f t="shared" si="95"/>
        <v>14.39</v>
      </c>
      <c r="F770" s="1509">
        <f t="shared" si="87"/>
        <v>14.1187</v>
      </c>
      <c r="G770" s="1509">
        <f t="shared" si="88"/>
        <v>14.1187</v>
      </c>
      <c r="H770" s="1509">
        <f t="shared" si="91"/>
        <v>0</v>
      </c>
      <c r="I770" s="1509">
        <v>0</v>
      </c>
      <c r="J770" s="1509">
        <v>0</v>
      </c>
      <c r="K770" s="1509"/>
      <c r="L770" s="1509"/>
      <c r="M770" s="1509">
        <f t="shared" si="92"/>
        <v>0</v>
      </c>
      <c r="N770" s="1509">
        <f t="shared" si="93"/>
        <v>0</v>
      </c>
      <c r="O770" s="1510">
        <f t="shared" si="89"/>
        <v>0</v>
      </c>
      <c r="P770" s="1453">
        <f t="shared" si="90"/>
        <v>0</v>
      </c>
    </row>
    <row r="771" spans="1:16" ht="29" outlineLevel="1" x14ac:dyDescent="0.25">
      <c r="A771" s="1511">
        <f t="shared" si="95"/>
        <v>20.2</v>
      </c>
      <c r="B771" s="1512" t="str">
        <f t="shared" si="95"/>
        <v>Procurement of girth gear pinion for BBD-4772 coal mill at Parli TPS &amp; Work Cost for replacement of girth gear, pinion shaft bearing.</v>
      </c>
      <c r="C771" s="1506">
        <f t="shared" si="95"/>
        <v>0</v>
      </c>
      <c r="D771" s="1508" t="str">
        <f t="shared" si="95"/>
        <v>Not Approved</v>
      </c>
      <c r="E771" s="1509">
        <f t="shared" si="95"/>
        <v>0</v>
      </c>
      <c r="F771" s="1509">
        <f t="shared" si="87"/>
        <v>0</v>
      </c>
      <c r="G771" s="1509">
        <f t="shared" si="88"/>
        <v>0</v>
      </c>
      <c r="H771" s="1509">
        <f t="shared" si="91"/>
        <v>0</v>
      </c>
      <c r="I771" s="1509">
        <v>0</v>
      </c>
      <c r="J771" s="1509">
        <v>0</v>
      </c>
      <c r="K771" s="1509"/>
      <c r="L771" s="1509"/>
      <c r="M771" s="1509">
        <f t="shared" si="92"/>
        <v>0</v>
      </c>
      <c r="N771" s="1509">
        <f t="shared" si="93"/>
        <v>0</v>
      </c>
      <c r="O771" s="1510">
        <f t="shared" si="89"/>
        <v>0</v>
      </c>
      <c r="P771" s="1453">
        <f t="shared" si="90"/>
        <v>0</v>
      </c>
    </row>
    <row r="772" spans="1:16" ht="58" outlineLevel="1" x14ac:dyDescent="0.25">
      <c r="A772" s="1511">
        <f t="shared" ref="A772:E787" si="96">A415</f>
        <v>20.3</v>
      </c>
      <c r="B772" s="1512" t="str">
        <f t="shared" si="96"/>
        <v>Procurement of VFD up-grade kit for replacement of existing Eddy current clutch drive system.</v>
      </c>
      <c r="C772" s="1511" t="str">
        <f t="shared" si="96"/>
        <v>MERC/CAPEX/2019-2020/476,
MERC/CAPEX/2019-2020/858</v>
      </c>
      <c r="D772" s="1378" t="str">
        <f t="shared" si="96"/>
        <v>01-08-2019,
10-10-2019</v>
      </c>
      <c r="E772" s="1513">
        <f t="shared" si="96"/>
        <v>5.94</v>
      </c>
      <c r="F772" s="1509">
        <f t="shared" si="87"/>
        <v>5.9323319999999997</v>
      </c>
      <c r="G772" s="1509">
        <f t="shared" si="88"/>
        <v>5.9323319999999997</v>
      </c>
      <c r="H772" s="1509">
        <f t="shared" si="91"/>
        <v>0</v>
      </c>
      <c r="I772" s="1509">
        <v>0</v>
      </c>
      <c r="J772" s="1509">
        <v>0</v>
      </c>
      <c r="K772" s="1509"/>
      <c r="L772" s="1509"/>
      <c r="M772" s="1509">
        <f t="shared" si="92"/>
        <v>0</v>
      </c>
      <c r="N772" s="1509">
        <f t="shared" si="93"/>
        <v>0</v>
      </c>
      <c r="O772" s="1510">
        <f t="shared" si="89"/>
        <v>0</v>
      </c>
      <c r="P772" s="1453">
        <f t="shared" si="90"/>
        <v>0</v>
      </c>
    </row>
    <row r="773" spans="1:16" ht="58" outlineLevel="1" x14ac:dyDescent="0.25">
      <c r="A773" s="1511">
        <f t="shared" si="96"/>
        <v>20.399999999999999</v>
      </c>
      <c r="B773" s="1512" t="str">
        <f t="shared" si="96"/>
        <v>Supervision of Installation, erection and commissioning for DT-9 &amp; VFD Upgrade system inclusive of travel charges Boarding and lodging.</v>
      </c>
      <c r="C773" s="1511" t="str">
        <f t="shared" si="96"/>
        <v>MERC/CAPEX/2019-2020/476,
MERC/CAPEX/2019-2020/858</v>
      </c>
      <c r="D773" s="1378" t="str">
        <f t="shared" si="96"/>
        <v>01-08-2019,
10-10-2019</v>
      </c>
      <c r="E773" s="1513">
        <f t="shared" si="96"/>
        <v>0.28999999999999998</v>
      </c>
      <c r="F773" s="1509">
        <f t="shared" si="87"/>
        <v>0.28320000000000001</v>
      </c>
      <c r="G773" s="1509">
        <f t="shared" si="88"/>
        <v>0.28320000000000001</v>
      </c>
      <c r="H773" s="1509">
        <f t="shared" si="91"/>
        <v>0</v>
      </c>
      <c r="I773" s="1509">
        <v>0</v>
      </c>
      <c r="J773" s="1509">
        <v>0</v>
      </c>
      <c r="K773" s="1509"/>
      <c r="L773" s="1509"/>
      <c r="M773" s="1509">
        <f t="shared" si="92"/>
        <v>0</v>
      </c>
      <c r="N773" s="1509">
        <f t="shared" si="93"/>
        <v>0</v>
      </c>
      <c r="O773" s="1510">
        <f t="shared" si="89"/>
        <v>0</v>
      </c>
      <c r="P773" s="1453">
        <f t="shared" si="90"/>
        <v>0</v>
      </c>
    </row>
    <row r="774" spans="1:16" ht="58" outlineLevel="1" x14ac:dyDescent="0.25">
      <c r="A774" s="1511">
        <f t="shared" si="96"/>
        <v>0</v>
      </c>
      <c r="B774" s="1512" t="str">
        <f t="shared" si="96"/>
        <v>IDC</v>
      </c>
      <c r="C774" s="1511" t="str">
        <f t="shared" si="96"/>
        <v>MERC/CAPEX/2019-2020/476,
MERC/CAPEX/2019-2020/858</v>
      </c>
      <c r="D774" s="1378" t="str">
        <f t="shared" si="96"/>
        <v>01-08-2019,
10-10-2019</v>
      </c>
      <c r="E774" s="1513">
        <f t="shared" si="96"/>
        <v>0.64</v>
      </c>
      <c r="F774" s="1509">
        <f t="shared" si="87"/>
        <v>0.51657549999999997</v>
      </c>
      <c r="G774" s="1509">
        <f t="shared" si="88"/>
        <v>0.51657549999999997</v>
      </c>
      <c r="H774" s="1509">
        <f t="shared" si="91"/>
        <v>0</v>
      </c>
      <c r="I774" s="1509">
        <v>0</v>
      </c>
      <c r="J774" s="1509">
        <v>0</v>
      </c>
      <c r="K774" s="1509"/>
      <c r="L774" s="1509"/>
      <c r="M774" s="1509">
        <f t="shared" si="92"/>
        <v>0</v>
      </c>
      <c r="N774" s="1509">
        <f t="shared" si="93"/>
        <v>0</v>
      </c>
      <c r="O774" s="1510">
        <f t="shared" si="89"/>
        <v>0</v>
      </c>
      <c r="P774" s="1453">
        <f t="shared" si="90"/>
        <v>0</v>
      </c>
    </row>
    <row r="775" spans="1:16" ht="43.5" outlineLevel="1" x14ac:dyDescent="0.25">
      <c r="A775" s="1506">
        <f t="shared" si="96"/>
        <v>21</v>
      </c>
      <c r="B775" s="1507" t="str">
        <f t="shared" si="96"/>
        <v>HMI up-gradation of DCS U-6 &amp; U-7 and Procurement of Assemblies for Reducer Gear box SZN-630 &amp; SBN-630 for BBD-4772 (2 x 250 MW) coal mills at Parli TPS</v>
      </c>
      <c r="C775" s="1506" t="str">
        <f t="shared" si="96"/>
        <v>MERC/CAPEX/2019-2020/854</v>
      </c>
      <c r="D775" s="1508">
        <f t="shared" si="96"/>
        <v>43748</v>
      </c>
      <c r="E775" s="1509">
        <f t="shared" si="96"/>
        <v>13.2</v>
      </c>
      <c r="F775" s="1509">
        <f t="shared" si="87"/>
        <v>0</v>
      </c>
      <c r="G775" s="1509">
        <f t="shared" si="88"/>
        <v>0</v>
      </c>
      <c r="H775" s="1509">
        <f t="shared" si="91"/>
        <v>0</v>
      </c>
      <c r="I775" s="1509">
        <v>0</v>
      </c>
      <c r="J775" s="1509">
        <v>0</v>
      </c>
      <c r="K775" s="1509"/>
      <c r="L775" s="1509"/>
      <c r="M775" s="1509">
        <f t="shared" si="92"/>
        <v>0</v>
      </c>
      <c r="N775" s="1509">
        <f t="shared" si="93"/>
        <v>0</v>
      </c>
      <c r="O775" s="1510">
        <f t="shared" si="89"/>
        <v>0</v>
      </c>
      <c r="P775" s="1453">
        <f t="shared" si="90"/>
        <v>0</v>
      </c>
    </row>
    <row r="776" spans="1:16" outlineLevel="1" x14ac:dyDescent="0.25">
      <c r="A776" s="1511">
        <f t="shared" si="96"/>
        <v>21.1</v>
      </c>
      <c r="B776" s="1512" t="str">
        <f t="shared" si="96"/>
        <v>Up gradation of MaxDNA DCS system (HMI Up gradation).</v>
      </c>
      <c r="C776" s="1511" t="str">
        <f t="shared" si="96"/>
        <v>MERC/CAPEX/2019-2020/854</v>
      </c>
      <c r="D776" s="1378">
        <f t="shared" si="96"/>
        <v>43748</v>
      </c>
      <c r="E776" s="1513">
        <f t="shared" si="96"/>
        <v>10.49</v>
      </c>
      <c r="F776" s="1509">
        <f t="shared" si="87"/>
        <v>9.06</v>
      </c>
      <c r="G776" s="1509">
        <f t="shared" si="88"/>
        <v>4.7251481000000002</v>
      </c>
      <c r="H776" s="1509">
        <f t="shared" si="91"/>
        <v>4.3348519000000003</v>
      </c>
      <c r="I776" s="1509">
        <v>0</v>
      </c>
      <c r="J776" s="1509">
        <v>4.7251481000000002</v>
      </c>
      <c r="K776" s="1509"/>
      <c r="L776" s="1509"/>
      <c r="M776" s="1509">
        <f t="shared" si="92"/>
        <v>4.7251481000000002</v>
      </c>
      <c r="N776" s="1509">
        <f t="shared" si="93"/>
        <v>-0.39029619999999987</v>
      </c>
      <c r="O776" s="1510">
        <f t="shared" si="89"/>
        <v>4.7251481000000002</v>
      </c>
      <c r="P776" s="1453">
        <f t="shared" si="90"/>
        <v>0</v>
      </c>
    </row>
    <row r="777" spans="1:16" outlineLevel="1" x14ac:dyDescent="0.25">
      <c r="A777" s="1511">
        <f t="shared" si="96"/>
        <v>0</v>
      </c>
      <c r="B777" s="1512" t="str">
        <f t="shared" si="96"/>
        <v>IDC</v>
      </c>
      <c r="C777" s="1511">
        <f t="shared" si="96"/>
        <v>0</v>
      </c>
      <c r="D777" s="1378" t="str">
        <f t="shared" si="96"/>
        <v>-</v>
      </c>
      <c r="E777" s="1513">
        <f t="shared" si="96"/>
        <v>0</v>
      </c>
      <c r="F777" s="1509">
        <f t="shared" si="87"/>
        <v>0.20089699999999999</v>
      </c>
      <c r="G777" s="1509">
        <f t="shared" si="88"/>
        <v>0.20089699999999999</v>
      </c>
      <c r="H777" s="1509">
        <f t="shared" si="91"/>
        <v>0</v>
      </c>
      <c r="I777" s="1509">
        <v>0</v>
      </c>
      <c r="J777" s="1509">
        <v>0.52765789999999946</v>
      </c>
      <c r="K777" s="1509"/>
      <c r="L777" s="1509"/>
      <c r="M777" s="1509">
        <f t="shared" si="92"/>
        <v>0.52765789999999946</v>
      </c>
      <c r="N777" s="1509">
        <f t="shared" si="93"/>
        <v>-0.52765789999999946</v>
      </c>
      <c r="O777" s="1510"/>
      <c r="P777" s="1453"/>
    </row>
    <row r="778" spans="1:16" ht="29" outlineLevel="1" x14ac:dyDescent="0.25">
      <c r="A778" s="1511">
        <f t="shared" si="96"/>
        <v>21.2</v>
      </c>
      <c r="B778" s="1512" t="str">
        <f t="shared" si="96"/>
        <v xml:space="preserve">Procurement of Spares for Reducer Gear box SZN-630 for BBD-4772 Coal mills of 250MW at Unit 6 </v>
      </c>
      <c r="C778" s="1506" t="str">
        <f t="shared" si="96"/>
        <v>MERC/CAPEX/2019-2020/854</v>
      </c>
      <c r="D778" s="1508">
        <f t="shared" si="96"/>
        <v>43748</v>
      </c>
      <c r="E778" s="1509">
        <f t="shared" si="96"/>
        <v>1.01</v>
      </c>
      <c r="F778" s="1509">
        <f t="shared" si="87"/>
        <v>1.0442298999999999</v>
      </c>
      <c r="G778" s="1509">
        <f t="shared" si="88"/>
        <v>1.0442298999999999</v>
      </c>
      <c r="H778" s="1509">
        <f t="shared" si="91"/>
        <v>0</v>
      </c>
      <c r="I778" s="1509">
        <v>0</v>
      </c>
      <c r="J778" s="1509">
        <v>0</v>
      </c>
      <c r="K778" s="1509"/>
      <c r="L778" s="1509"/>
      <c r="M778" s="1509">
        <f t="shared" si="92"/>
        <v>0</v>
      </c>
      <c r="N778" s="1509">
        <f t="shared" si="93"/>
        <v>0</v>
      </c>
      <c r="O778" s="1510">
        <f t="shared" ref="O778:O787" si="97">MAX(0,IF(M778=0,0,IF(G778+M778&lt;E778,M778,E778-G778)))</f>
        <v>0</v>
      </c>
      <c r="P778" s="1453">
        <f t="shared" ref="P778:P787" si="98">M778-O778</f>
        <v>0</v>
      </c>
    </row>
    <row r="779" spans="1:16" ht="29" outlineLevel="1" x14ac:dyDescent="0.25">
      <c r="A779" s="1511">
        <f t="shared" si="96"/>
        <v>21.3</v>
      </c>
      <c r="B779" s="1512" t="str">
        <f t="shared" si="96"/>
        <v xml:space="preserve">Procurement of Spares for Reducer Gear box SBN-630 for BBD-4772 Coal mills of 250MW at Unit 7 </v>
      </c>
      <c r="C779" s="1511" t="str">
        <f t="shared" si="96"/>
        <v>MERC/CAPEX/2019-2020/854</v>
      </c>
      <c r="D779" s="1378">
        <f t="shared" si="96"/>
        <v>43748</v>
      </c>
      <c r="E779" s="1513">
        <f t="shared" si="96"/>
        <v>1.7</v>
      </c>
      <c r="F779" s="1509">
        <f t="shared" si="87"/>
        <v>1.6232219000000001</v>
      </c>
      <c r="G779" s="1509">
        <f t="shared" si="88"/>
        <v>1.6232219000000001</v>
      </c>
      <c r="H779" s="1509">
        <f t="shared" si="91"/>
        <v>0</v>
      </c>
      <c r="I779" s="1509">
        <v>0</v>
      </c>
      <c r="J779" s="1509">
        <v>0</v>
      </c>
      <c r="K779" s="1509"/>
      <c r="L779" s="1509"/>
      <c r="M779" s="1509">
        <f t="shared" si="92"/>
        <v>0</v>
      </c>
      <c r="N779" s="1509">
        <f t="shared" si="93"/>
        <v>0</v>
      </c>
      <c r="O779" s="1510">
        <f t="shared" si="97"/>
        <v>0</v>
      </c>
      <c r="P779" s="1453">
        <f t="shared" si="98"/>
        <v>0</v>
      </c>
    </row>
    <row r="780" spans="1:16" outlineLevel="1" x14ac:dyDescent="0.25">
      <c r="A780" s="1511">
        <f t="shared" si="96"/>
        <v>0</v>
      </c>
      <c r="B780" s="1512" t="str">
        <f t="shared" si="96"/>
        <v>IDC</v>
      </c>
      <c r="C780" s="1511" t="str">
        <f t="shared" si="96"/>
        <v>MERC/CAPEX/2019-2020/854</v>
      </c>
      <c r="D780" s="1378">
        <f t="shared" si="96"/>
        <v>43748</v>
      </c>
      <c r="E780" s="1513">
        <f t="shared" si="96"/>
        <v>0</v>
      </c>
      <c r="F780" s="1509">
        <f t="shared" si="87"/>
        <v>0</v>
      </c>
      <c r="G780" s="1509">
        <f t="shared" si="88"/>
        <v>0</v>
      </c>
      <c r="H780" s="1509">
        <f t="shared" si="91"/>
        <v>0</v>
      </c>
      <c r="I780" s="1509">
        <v>0</v>
      </c>
      <c r="J780" s="1509">
        <v>0</v>
      </c>
      <c r="K780" s="1509"/>
      <c r="L780" s="1509"/>
      <c r="M780" s="1509">
        <f t="shared" si="92"/>
        <v>0</v>
      </c>
      <c r="N780" s="1509">
        <f t="shared" si="93"/>
        <v>0</v>
      </c>
      <c r="O780" s="1510">
        <f t="shared" si="97"/>
        <v>0</v>
      </c>
      <c r="P780" s="1453">
        <f t="shared" si="98"/>
        <v>0</v>
      </c>
    </row>
    <row r="781" spans="1:16" outlineLevel="1" x14ac:dyDescent="0.25">
      <c r="A781" s="1506">
        <f t="shared" si="96"/>
        <v>22</v>
      </c>
      <c r="B781" s="1507" t="str">
        <f t="shared" si="96"/>
        <v>Flue Gas Desulphurization (FGD) System at Unit 6 &amp; 7 Parli TPS</v>
      </c>
      <c r="C781" s="1506" t="str">
        <f t="shared" si="96"/>
        <v>MERC/CAPEX/2021-2022/0284</v>
      </c>
      <c r="D781" s="1508">
        <f t="shared" si="96"/>
        <v>44739</v>
      </c>
      <c r="E781" s="1509">
        <f t="shared" si="96"/>
        <v>145.01688209794372</v>
      </c>
      <c r="F781" s="1509">
        <f t="shared" si="87"/>
        <v>0</v>
      </c>
      <c r="G781" s="1509">
        <f t="shared" si="88"/>
        <v>0</v>
      </c>
      <c r="H781" s="1509">
        <f t="shared" si="91"/>
        <v>0</v>
      </c>
      <c r="I781" s="1509">
        <v>0</v>
      </c>
      <c r="J781" s="1509">
        <v>0</v>
      </c>
      <c r="K781" s="1509"/>
      <c r="L781" s="1509"/>
      <c r="M781" s="1509">
        <f t="shared" si="92"/>
        <v>0</v>
      </c>
      <c r="N781" s="1509">
        <f t="shared" si="93"/>
        <v>0</v>
      </c>
      <c r="O781" s="1510">
        <f t="shared" si="97"/>
        <v>0</v>
      </c>
      <c r="P781" s="1453">
        <f t="shared" si="98"/>
        <v>0</v>
      </c>
    </row>
    <row r="782" spans="1:16" outlineLevel="1" x14ac:dyDescent="0.25">
      <c r="A782" s="1511">
        <f t="shared" si="96"/>
        <v>22.1</v>
      </c>
      <c r="B782" s="1512" t="str">
        <f t="shared" si="96"/>
        <v xml:space="preserve">Flue Gas Desulphurization (FGD) System at Unit 6 &amp; 7 Parli TPS                    </v>
      </c>
      <c r="C782" s="1511" t="str">
        <f t="shared" si="96"/>
        <v>MERC/CAPEX/2021-2022/0284</v>
      </c>
      <c r="D782" s="1378">
        <f t="shared" si="96"/>
        <v>44739</v>
      </c>
      <c r="E782" s="1513">
        <f t="shared" si="96"/>
        <v>138.44</v>
      </c>
      <c r="F782" s="1509">
        <f t="shared" si="87"/>
        <v>18.25</v>
      </c>
      <c r="G782" s="1509">
        <f t="shared" si="88"/>
        <v>0</v>
      </c>
      <c r="H782" s="1509">
        <f t="shared" si="91"/>
        <v>18.25</v>
      </c>
      <c r="I782" s="1509">
        <v>136.60509999999999</v>
      </c>
      <c r="J782" s="1509">
        <v>0</v>
      </c>
      <c r="K782" s="1509"/>
      <c r="L782" s="1509"/>
      <c r="M782" s="1509">
        <f t="shared" si="92"/>
        <v>0</v>
      </c>
      <c r="N782" s="1509">
        <f t="shared" si="93"/>
        <v>154.85509999999999</v>
      </c>
      <c r="O782" s="1510">
        <f t="shared" si="97"/>
        <v>0</v>
      </c>
      <c r="P782" s="1453">
        <f t="shared" si="98"/>
        <v>0</v>
      </c>
    </row>
    <row r="783" spans="1:16" outlineLevel="1" x14ac:dyDescent="0.25">
      <c r="A783" s="1511">
        <f t="shared" si="96"/>
        <v>0</v>
      </c>
      <c r="B783" s="1512" t="str">
        <f t="shared" si="96"/>
        <v>IDC</v>
      </c>
      <c r="C783" s="1511" t="str">
        <f t="shared" si="96"/>
        <v>MERC/CAPEX/2021-2022/0284</v>
      </c>
      <c r="D783" s="1378">
        <f t="shared" si="96"/>
        <v>44739</v>
      </c>
      <c r="E783" s="1513">
        <f t="shared" si="96"/>
        <v>6.5768820979437104</v>
      </c>
      <c r="F783" s="1509">
        <f t="shared" si="87"/>
        <v>0.56999999999999995</v>
      </c>
      <c r="G783" s="1509">
        <f t="shared" si="88"/>
        <v>0</v>
      </c>
      <c r="H783" s="1509">
        <f t="shared" si="91"/>
        <v>0.56999999999999995</v>
      </c>
      <c r="I783" s="1509">
        <v>6.58</v>
      </c>
      <c r="J783" s="1509">
        <v>0</v>
      </c>
      <c r="K783" s="1509"/>
      <c r="L783" s="1509"/>
      <c r="M783" s="1509">
        <f t="shared" si="92"/>
        <v>0</v>
      </c>
      <c r="N783" s="1509">
        <f t="shared" si="93"/>
        <v>7.15</v>
      </c>
      <c r="O783" s="1510">
        <f t="shared" si="97"/>
        <v>0</v>
      </c>
      <c r="P783" s="1453">
        <f t="shared" si="98"/>
        <v>0</v>
      </c>
    </row>
    <row r="784" spans="1:16" ht="43.5" outlineLevel="1" x14ac:dyDescent="0.25">
      <c r="A784" s="1506" t="str">
        <f t="shared" si="96"/>
        <v>HO
DPR-5</v>
      </c>
      <c r="B784" s="1507" t="str">
        <f t="shared" si="96"/>
        <v>Procurement of energy efficient HT motors at Bhusawal TPS, Koradi TPS, Chandrapur TPS, khaperkheda TPS, Parli TPS &amp; Paras TPS as insurance spares</v>
      </c>
      <c r="C784" s="1506" t="str">
        <f t="shared" si="96"/>
        <v>MERC/TECH 1/CAPEX/20142015/01218</v>
      </c>
      <c r="D784" s="1508">
        <f t="shared" si="96"/>
        <v>41968</v>
      </c>
      <c r="E784" s="1509">
        <f t="shared" si="96"/>
        <v>3.05</v>
      </c>
      <c r="F784" s="1509">
        <f t="shared" si="87"/>
        <v>0</v>
      </c>
      <c r="G784" s="1509">
        <f t="shared" si="88"/>
        <v>0</v>
      </c>
      <c r="H784" s="1509">
        <f t="shared" si="91"/>
        <v>0</v>
      </c>
      <c r="I784" s="1509">
        <v>0</v>
      </c>
      <c r="J784" s="1509">
        <v>0</v>
      </c>
      <c r="K784" s="1509"/>
      <c r="L784" s="1509"/>
      <c r="M784" s="1509">
        <f t="shared" si="92"/>
        <v>0</v>
      </c>
      <c r="N784" s="1509">
        <f t="shared" si="93"/>
        <v>0</v>
      </c>
      <c r="O784" s="1510">
        <f t="shared" si="97"/>
        <v>0</v>
      </c>
      <c r="P784" s="1453">
        <f t="shared" si="98"/>
        <v>0</v>
      </c>
    </row>
    <row r="785" spans="1:16" ht="43.5" outlineLevel="1" x14ac:dyDescent="0.25">
      <c r="A785" s="1511" t="str">
        <f t="shared" si="96"/>
        <v>HO
DPR-5a</v>
      </c>
      <c r="B785" s="1512" t="str">
        <f t="shared" si="96"/>
        <v>Parli: Procurement of HT Motors (CHP-I Phase and CEP/CW/ACW-II Phase)for NPTPS U-6&amp;7</v>
      </c>
      <c r="C785" s="1511" t="str">
        <f t="shared" si="96"/>
        <v>MERC/TECH 1/CAPEX/20142015/01218</v>
      </c>
      <c r="D785" s="1378">
        <f t="shared" si="96"/>
        <v>41968</v>
      </c>
      <c r="E785" s="1513">
        <f t="shared" si="96"/>
        <v>3.05</v>
      </c>
      <c r="F785" s="1509">
        <f t="shared" si="87"/>
        <v>1.409902</v>
      </c>
      <c r="G785" s="1509">
        <f t="shared" si="88"/>
        <v>1.409902</v>
      </c>
      <c r="H785" s="1509">
        <f t="shared" si="91"/>
        <v>0</v>
      </c>
      <c r="I785" s="1509">
        <v>0</v>
      </c>
      <c r="J785" s="1509">
        <v>0</v>
      </c>
      <c r="K785" s="1509"/>
      <c r="L785" s="1509"/>
      <c r="M785" s="1509">
        <f t="shared" si="92"/>
        <v>0</v>
      </c>
      <c r="N785" s="1509">
        <f t="shared" si="93"/>
        <v>0</v>
      </c>
      <c r="O785" s="1510">
        <f t="shared" si="97"/>
        <v>0</v>
      </c>
      <c r="P785" s="1453">
        <f t="shared" si="98"/>
        <v>0</v>
      </c>
    </row>
    <row r="786" spans="1:16" ht="43.5" outlineLevel="1" x14ac:dyDescent="0.25">
      <c r="A786" s="1506" t="str">
        <f t="shared" si="96"/>
        <v>HO
DPR-6</v>
      </c>
      <c r="B786" s="1507" t="str">
        <f t="shared" si="96"/>
        <v>Supply, Installation, Commissioning and Operation &amp; Maintenance Services of Continuous Ambient Air Quality Monitoring Stations (CAAQMS) at various TPS</v>
      </c>
      <c r="C786" s="1506" t="str">
        <f t="shared" si="96"/>
        <v>MERC/CAPEX/20162017/00423</v>
      </c>
      <c r="D786" s="1508">
        <f t="shared" si="96"/>
        <v>42585</v>
      </c>
      <c r="E786" s="1509">
        <f t="shared" si="96"/>
        <v>1.3257526714285699</v>
      </c>
      <c r="F786" s="1509">
        <f t="shared" si="87"/>
        <v>0</v>
      </c>
      <c r="G786" s="1509">
        <f t="shared" si="88"/>
        <v>0</v>
      </c>
      <c r="H786" s="1509">
        <f t="shared" si="91"/>
        <v>0</v>
      </c>
      <c r="I786" s="1509">
        <v>0</v>
      </c>
      <c r="J786" s="1509">
        <v>0</v>
      </c>
      <c r="K786" s="1509"/>
      <c r="L786" s="1509"/>
      <c r="M786" s="1509">
        <f t="shared" si="92"/>
        <v>0</v>
      </c>
      <c r="N786" s="1509">
        <f t="shared" si="93"/>
        <v>0</v>
      </c>
      <c r="O786" s="1510">
        <f t="shared" si="97"/>
        <v>0</v>
      </c>
      <c r="P786" s="1453">
        <f t="shared" si="98"/>
        <v>0</v>
      </c>
    </row>
    <row r="787" spans="1:16" ht="43.5" outlineLevel="1" x14ac:dyDescent="0.25">
      <c r="A787" s="1511" t="str">
        <f t="shared" si="96"/>
        <v>HO
DPR-6a</v>
      </c>
      <c r="B787" s="1512" t="str">
        <f t="shared" si="96"/>
        <v>NEW PARLI (U-6 &amp; 7)</v>
      </c>
      <c r="C787" s="1511" t="str">
        <f t="shared" si="96"/>
        <v>MERC/CAPEX/20162017/00423</v>
      </c>
      <c r="D787" s="1378">
        <f t="shared" si="96"/>
        <v>42585</v>
      </c>
      <c r="E787" s="1513">
        <f t="shared" si="96"/>
        <v>1.3257526714285699</v>
      </c>
      <c r="F787" s="1509">
        <f t="shared" si="87"/>
        <v>0.94127489999999991</v>
      </c>
      <c r="G787" s="1509">
        <f t="shared" si="88"/>
        <v>0.94127489999999991</v>
      </c>
      <c r="H787" s="1509">
        <f t="shared" si="91"/>
        <v>0</v>
      </c>
      <c r="I787" s="1509">
        <v>0</v>
      </c>
      <c r="J787" s="1509">
        <v>0</v>
      </c>
      <c r="K787" s="1509"/>
      <c r="L787" s="1509"/>
      <c r="M787" s="1509">
        <f t="shared" si="92"/>
        <v>0</v>
      </c>
      <c r="N787" s="1509">
        <f t="shared" si="93"/>
        <v>0</v>
      </c>
      <c r="O787" s="1510">
        <f t="shared" si="97"/>
        <v>0</v>
      </c>
      <c r="P787" s="1453">
        <f t="shared" si="98"/>
        <v>0</v>
      </c>
    </row>
    <row r="788" spans="1:16" outlineLevel="1" x14ac:dyDescent="0.25">
      <c r="A788" s="1511">
        <f t="shared" ref="A788:E803" si="99">A431</f>
        <v>0</v>
      </c>
      <c r="B788" s="1512" t="str">
        <f t="shared" si="99"/>
        <v>IDC</v>
      </c>
      <c r="C788" s="1511">
        <f t="shared" si="99"/>
        <v>0</v>
      </c>
      <c r="D788" s="1378" t="str">
        <f t="shared" si="99"/>
        <v>-</v>
      </c>
      <c r="E788" s="1513">
        <f t="shared" si="99"/>
        <v>0</v>
      </c>
      <c r="F788" s="1509">
        <f t="shared" ref="F788:F851" si="100">F431+I431</f>
        <v>3.9603800000000002E-2</v>
      </c>
      <c r="G788" s="1509">
        <f t="shared" ref="G788:G851" si="101">G431+M431</f>
        <v>3.9603800000000002E-2</v>
      </c>
      <c r="H788" s="1509">
        <f t="shared" si="91"/>
        <v>0</v>
      </c>
      <c r="I788" s="1509">
        <v>0</v>
      </c>
      <c r="J788" s="1509">
        <v>0</v>
      </c>
      <c r="K788" s="1509"/>
      <c r="L788" s="1509"/>
      <c r="M788" s="1509">
        <f t="shared" si="92"/>
        <v>0</v>
      </c>
      <c r="N788" s="1509">
        <f t="shared" si="93"/>
        <v>0</v>
      </c>
      <c r="O788" s="1510"/>
      <c r="P788" s="1453"/>
    </row>
    <row r="789" spans="1:16" ht="43.5" outlineLevel="1" x14ac:dyDescent="0.25">
      <c r="A789" s="1506" t="str">
        <f t="shared" si="99"/>
        <v>HO
DPR 7</v>
      </c>
      <c r="B789" s="1507" t="str">
        <f t="shared" si="99"/>
        <v>Installation of Real Time Online Coal-Ash Analyzer at various TPS</v>
      </c>
      <c r="C789" s="1506" t="str">
        <f t="shared" si="99"/>
        <v>MERC/CAPEX/20162017/00774</v>
      </c>
      <c r="D789" s="1508">
        <f t="shared" si="99"/>
        <v>42643</v>
      </c>
      <c r="E789" s="1509">
        <f t="shared" si="99"/>
        <v>7.0965999999999996</v>
      </c>
      <c r="F789" s="1509">
        <f t="shared" si="100"/>
        <v>0</v>
      </c>
      <c r="G789" s="1509">
        <f t="shared" si="101"/>
        <v>0</v>
      </c>
      <c r="H789" s="1509">
        <f t="shared" ref="H789:H852" si="102">F789-G789</f>
        <v>0</v>
      </c>
      <c r="I789" s="1509">
        <v>0</v>
      </c>
      <c r="J789" s="1509">
        <v>0</v>
      </c>
      <c r="K789" s="1509"/>
      <c r="L789" s="1509"/>
      <c r="M789" s="1509">
        <f t="shared" ref="M789:M852" si="103">SUM(J789:L789)</f>
        <v>0</v>
      </c>
      <c r="N789" s="1509">
        <f t="shared" ref="N789:N852" si="104">H789+I789-M789</f>
        <v>0</v>
      </c>
      <c r="O789" s="1510">
        <f t="shared" ref="O789:O798" si="105">MAX(0,IF(M789=0,0,IF(G789+M789&lt;E789,M789,E789-G789)))</f>
        <v>0</v>
      </c>
      <c r="P789" s="1453">
        <f t="shared" ref="P789:P798" si="106">M789-O789</f>
        <v>0</v>
      </c>
    </row>
    <row r="790" spans="1:16" ht="43.5" outlineLevel="1" x14ac:dyDescent="0.25">
      <c r="A790" s="1511" t="str">
        <f t="shared" si="99"/>
        <v>HO
DPR 7a</v>
      </c>
      <c r="B790" s="1512" t="str">
        <f t="shared" si="99"/>
        <v>NEW PARLI (U-6 &amp; 7)</v>
      </c>
      <c r="C790" s="1511" t="str">
        <f t="shared" si="99"/>
        <v>MERC/CAPEX/20162017/00774</v>
      </c>
      <c r="D790" s="1378">
        <f t="shared" si="99"/>
        <v>42643</v>
      </c>
      <c r="E790" s="1513">
        <f t="shared" si="99"/>
        <v>7.0965999999999996</v>
      </c>
      <c r="F790" s="1509">
        <f t="shared" si="100"/>
        <v>0</v>
      </c>
      <c r="G790" s="1509">
        <f t="shared" si="101"/>
        <v>0</v>
      </c>
      <c r="H790" s="1509">
        <f t="shared" si="102"/>
        <v>0</v>
      </c>
      <c r="I790" s="1509">
        <v>0</v>
      </c>
      <c r="J790" s="1509">
        <v>0</v>
      </c>
      <c r="K790" s="1509"/>
      <c r="L790" s="1509"/>
      <c r="M790" s="1509">
        <f t="shared" si="103"/>
        <v>0</v>
      </c>
      <c r="N790" s="1509">
        <f t="shared" si="104"/>
        <v>0</v>
      </c>
      <c r="O790" s="1510">
        <f t="shared" si="105"/>
        <v>0</v>
      </c>
      <c r="P790" s="1453">
        <f t="shared" si="106"/>
        <v>0</v>
      </c>
    </row>
    <row r="791" spans="1:16" ht="43.5" outlineLevel="1" x14ac:dyDescent="0.25">
      <c r="A791" s="1506" t="str">
        <f t="shared" si="99"/>
        <v>HO
DPR 8</v>
      </c>
      <c r="B791" s="1507" t="str">
        <f t="shared" si="99"/>
        <v>Replacement of Fire Tenders at Various Power Stations of Mahagenco</v>
      </c>
      <c r="C791" s="1506" t="str">
        <f t="shared" si="99"/>
        <v>MERC/CAPEX/20172018/4653</v>
      </c>
      <c r="D791" s="1508">
        <f t="shared" si="99"/>
        <v>43052</v>
      </c>
      <c r="E791" s="1509">
        <f t="shared" si="99"/>
        <v>3.97</v>
      </c>
      <c r="F791" s="1509">
        <f t="shared" si="100"/>
        <v>0</v>
      </c>
      <c r="G791" s="1509">
        <f t="shared" si="101"/>
        <v>0</v>
      </c>
      <c r="H791" s="1509">
        <f t="shared" si="102"/>
        <v>0</v>
      </c>
      <c r="I791" s="1509">
        <v>0</v>
      </c>
      <c r="J791" s="1509">
        <v>0</v>
      </c>
      <c r="K791" s="1509"/>
      <c r="L791" s="1509"/>
      <c r="M791" s="1509">
        <f t="shared" si="103"/>
        <v>0</v>
      </c>
      <c r="N791" s="1509">
        <f t="shared" si="104"/>
        <v>0</v>
      </c>
      <c r="O791" s="1510">
        <f t="shared" si="105"/>
        <v>0</v>
      </c>
      <c r="P791" s="1453">
        <f t="shared" si="106"/>
        <v>0</v>
      </c>
    </row>
    <row r="792" spans="1:16" ht="43.5" outlineLevel="1" x14ac:dyDescent="0.25">
      <c r="A792" s="1511" t="str">
        <f t="shared" si="99"/>
        <v>HO
DPR 8.1</v>
      </c>
      <c r="B792" s="1512" t="str">
        <f t="shared" si="99"/>
        <v>Advance Multipurpose Fire Tender for Parli 6-7</v>
      </c>
      <c r="C792" s="1511" t="str">
        <f t="shared" si="99"/>
        <v>MERC/CAPEX/20172018/4653</v>
      </c>
      <c r="D792" s="1378">
        <f t="shared" si="99"/>
        <v>43052</v>
      </c>
      <c r="E792" s="1513">
        <f t="shared" si="99"/>
        <v>2.72</v>
      </c>
      <c r="F792" s="1509">
        <f t="shared" si="100"/>
        <v>1.7765</v>
      </c>
      <c r="G792" s="1509">
        <f t="shared" si="101"/>
        <v>1.7765</v>
      </c>
      <c r="H792" s="1509">
        <f t="shared" si="102"/>
        <v>0</v>
      </c>
      <c r="I792" s="1509">
        <v>0</v>
      </c>
      <c r="J792" s="1509">
        <v>0</v>
      </c>
      <c r="K792" s="1509"/>
      <c r="L792" s="1509"/>
      <c r="M792" s="1509">
        <f t="shared" si="103"/>
        <v>0</v>
      </c>
      <c r="N792" s="1509">
        <f t="shared" si="104"/>
        <v>0</v>
      </c>
      <c r="O792" s="1510">
        <f t="shared" si="105"/>
        <v>0</v>
      </c>
      <c r="P792" s="1453">
        <f t="shared" si="106"/>
        <v>0</v>
      </c>
    </row>
    <row r="793" spans="1:16" ht="43.5" outlineLevel="1" x14ac:dyDescent="0.25">
      <c r="A793" s="1511" t="str">
        <f t="shared" si="99"/>
        <v>HO
DPR 8.2</v>
      </c>
      <c r="B793" s="1512" t="str">
        <f t="shared" si="99"/>
        <v>Normal Multipurpose Fire Tender Parli 6-7</v>
      </c>
      <c r="C793" s="1511" t="str">
        <f t="shared" si="99"/>
        <v>MERC/CAPEX/20172018/4653</v>
      </c>
      <c r="D793" s="1378">
        <f t="shared" si="99"/>
        <v>43052</v>
      </c>
      <c r="E793" s="1513">
        <f t="shared" si="99"/>
        <v>1.25</v>
      </c>
      <c r="F793" s="1509">
        <f t="shared" si="100"/>
        <v>0</v>
      </c>
      <c r="G793" s="1509">
        <f t="shared" si="101"/>
        <v>0</v>
      </c>
      <c r="H793" s="1509">
        <f t="shared" si="102"/>
        <v>0</v>
      </c>
      <c r="I793" s="1509">
        <v>0</v>
      </c>
      <c r="J793" s="1509">
        <v>0</v>
      </c>
      <c r="K793" s="1509"/>
      <c r="L793" s="1509"/>
      <c r="M793" s="1509">
        <f t="shared" si="103"/>
        <v>0</v>
      </c>
      <c r="N793" s="1509">
        <f t="shared" si="104"/>
        <v>0</v>
      </c>
      <c r="O793" s="1510">
        <f t="shared" si="105"/>
        <v>0</v>
      </c>
      <c r="P793" s="1453">
        <f t="shared" si="106"/>
        <v>0</v>
      </c>
    </row>
    <row r="794" spans="1:16" outlineLevel="1" x14ac:dyDescent="0.25">
      <c r="A794" s="1511">
        <f t="shared" si="99"/>
        <v>0</v>
      </c>
      <c r="B794" s="1512" t="str">
        <f t="shared" si="99"/>
        <v>IDC</v>
      </c>
      <c r="C794" s="1511" t="str">
        <f t="shared" si="99"/>
        <v>MERC/CAPEX/20172018/4653</v>
      </c>
      <c r="D794" s="1378">
        <f t="shared" si="99"/>
        <v>43052</v>
      </c>
      <c r="E794" s="1513">
        <f t="shared" si="99"/>
        <v>0</v>
      </c>
      <c r="F794" s="1509">
        <f t="shared" si="100"/>
        <v>0</v>
      </c>
      <c r="G794" s="1509">
        <f t="shared" si="101"/>
        <v>0</v>
      </c>
      <c r="H794" s="1509">
        <f t="shared" si="102"/>
        <v>0</v>
      </c>
      <c r="I794" s="1509">
        <v>0</v>
      </c>
      <c r="J794" s="1509">
        <v>0</v>
      </c>
      <c r="K794" s="1509"/>
      <c r="L794" s="1509"/>
      <c r="M794" s="1509">
        <f t="shared" si="103"/>
        <v>0</v>
      </c>
      <c r="N794" s="1509">
        <f t="shared" si="104"/>
        <v>0</v>
      </c>
      <c r="O794" s="1510">
        <f t="shared" si="105"/>
        <v>0</v>
      </c>
      <c r="P794" s="1453">
        <f t="shared" si="106"/>
        <v>0</v>
      </c>
    </row>
    <row r="795" spans="1:16" ht="43.5" outlineLevel="1" x14ac:dyDescent="0.25">
      <c r="A795" s="1506" t="str">
        <f t="shared" si="99"/>
        <v>HO
DPR 10</v>
      </c>
      <c r="B795" s="1507" t="str">
        <f t="shared" si="99"/>
        <v>Implementation of IB recommendations- Civil works at various TPS of Mahagenco</v>
      </c>
      <c r="C795" s="1506" t="str">
        <f t="shared" si="99"/>
        <v>MERC/CAPEX/20172018/0177</v>
      </c>
      <c r="D795" s="1508">
        <f t="shared" si="99"/>
        <v>43137</v>
      </c>
      <c r="E795" s="1509">
        <f t="shared" si="99"/>
        <v>2.36</v>
      </c>
      <c r="F795" s="1509">
        <f t="shared" si="100"/>
        <v>0</v>
      </c>
      <c r="G795" s="1509">
        <f t="shared" si="101"/>
        <v>0</v>
      </c>
      <c r="H795" s="1509">
        <f t="shared" si="102"/>
        <v>0</v>
      </c>
      <c r="I795" s="1509">
        <v>0</v>
      </c>
      <c r="J795" s="1509">
        <v>0</v>
      </c>
      <c r="K795" s="1509"/>
      <c r="L795" s="1509"/>
      <c r="M795" s="1509">
        <f t="shared" si="103"/>
        <v>0</v>
      </c>
      <c r="N795" s="1509">
        <f t="shared" si="104"/>
        <v>0</v>
      </c>
      <c r="O795" s="1510">
        <f t="shared" si="105"/>
        <v>0</v>
      </c>
      <c r="P795" s="1453">
        <f t="shared" si="106"/>
        <v>0</v>
      </c>
    </row>
    <row r="796" spans="1:16" ht="43.5" outlineLevel="1" x14ac:dyDescent="0.25">
      <c r="A796" s="1511" t="str">
        <f t="shared" si="99"/>
        <v>HO
DPR 10a</v>
      </c>
      <c r="B796" s="1512" t="str">
        <f t="shared" si="99"/>
        <v>NEW PARLI (U-6 &amp; 7)</v>
      </c>
      <c r="C796" s="1511" t="str">
        <f t="shared" si="99"/>
        <v>MERC/CAPEX/20172018/0177</v>
      </c>
      <c r="D796" s="1378">
        <f t="shared" si="99"/>
        <v>43137</v>
      </c>
      <c r="E796" s="1513">
        <f t="shared" si="99"/>
        <v>2.36</v>
      </c>
      <c r="F796" s="1509">
        <f t="shared" si="100"/>
        <v>1.584952667</v>
      </c>
      <c r="G796" s="1509">
        <f t="shared" si="101"/>
        <v>1.584952667</v>
      </c>
      <c r="H796" s="1509">
        <f t="shared" si="102"/>
        <v>0</v>
      </c>
      <c r="I796" s="1509">
        <v>0</v>
      </c>
      <c r="J796" s="1509">
        <v>0</v>
      </c>
      <c r="K796" s="1509"/>
      <c r="L796" s="1509"/>
      <c r="M796" s="1509">
        <f t="shared" si="103"/>
        <v>0</v>
      </c>
      <c r="N796" s="1509">
        <f t="shared" si="104"/>
        <v>0</v>
      </c>
      <c r="O796" s="1510">
        <f t="shared" si="105"/>
        <v>0</v>
      </c>
      <c r="P796" s="1453">
        <f t="shared" si="106"/>
        <v>0</v>
      </c>
    </row>
    <row r="797" spans="1:16" ht="43.5" outlineLevel="1" x14ac:dyDescent="0.25">
      <c r="A797" s="1506" t="str">
        <f t="shared" si="99"/>
        <v>HO
DPR 15</v>
      </c>
      <c r="B797" s="1507" t="str">
        <f t="shared" si="99"/>
        <v>Procurement &amp; Replacement of Complete Sets of Air Pre-heater Baskets at Nashik, Parli &amp; Chandrapur TPS of Mahagenco</v>
      </c>
      <c r="C797" s="1506" t="str">
        <f t="shared" si="99"/>
        <v>MERC/CAPEX/2019-2020/643</v>
      </c>
      <c r="D797" s="1508">
        <f t="shared" si="99"/>
        <v>43703</v>
      </c>
      <c r="E797" s="1509">
        <f t="shared" si="99"/>
        <v>2.12</v>
      </c>
      <c r="F797" s="1509">
        <f t="shared" si="100"/>
        <v>0</v>
      </c>
      <c r="G797" s="1509">
        <f t="shared" si="101"/>
        <v>0</v>
      </c>
      <c r="H797" s="1509">
        <f t="shared" si="102"/>
        <v>0</v>
      </c>
      <c r="I797" s="1509">
        <v>0</v>
      </c>
      <c r="J797" s="1509">
        <v>0</v>
      </c>
      <c r="K797" s="1509"/>
      <c r="L797" s="1509"/>
      <c r="M797" s="1509">
        <f t="shared" si="103"/>
        <v>0</v>
      </c>
      <c r="N797" s="1509">
        <f t="shared" si="104"/>
        <v>0</v>
      </c>
      <c r="O797" s="1510">
        <f t="shared" si="105"/>
        <v>0</v>
      </c>
      <c r="P797" s="1453">
        <f t="shared" si="106"/>
        <v>0</v>
      </c>
    </row>
    <row r="798" spans="1:16" ht="43.5" outlineLevel="1" x14ac:dyDescent="0.25">
      <c r="A798" s="1511" t="str">
        <f t="shared" si="99"/>
        <v>HO
DPR 15a</v>
      </c>
      <c r="B798" s="1512" t="str">
        <f t="shared" si="99"/>
        <v>Procurement and Replacement of Complete sets of assembly of baskets for air preheater of type tri-sector APH 27 VI(T) 74” in NTPS unit no. 4 &amp; 5 (210MW). (2 Sets Per Unit)</v>
      </c>
      <c r="C798" s="1511" t="str">
        <f t="shared" si="99"/>
        <v>MERC/CAPEX/2019-2020/643</v>
      </c>
      <c r="D798" s="1378">
        <f t="shared" si="99"/>
        <v>43703</v>
      </c>
      <c r="E798" s="1513">
        <f t="shared" si="99"/>
        <v>2.12</v>
      </c>
      <c r="F798" s="1509">
        <f t="shared" si="100"/>
        <v>2.4580069300000003</v>
      </c>
      <c r="G798" s="1509">
        <f t="shared" si="101"/>
        <v>2.4580069300000003</v>
      </c>
      <c r="H798" s="1509">
        <f t="shared" si="102"/>
        <v>0</v>
      </c>
      <c r="I798" s="1509">
        <v>0</v>
      </c>
      <c r="J798" s="1509">
        <v>0</v>
      </c>
      <c r="K798" s="1509"/>
      <c r="L798" s="1509"/>
      <c r="M798" s="1509">
        <f t="shared" si="103"/>
        <v>0</v>
      </c>
      <c r="N798" s="1509">
        <f t="shared" si="104"/>
        <v>0</v>
      </c>
      <c r="O798" s="1510">
        <f t="shared" si="105"/>
        <v>0</v>
      </c>
      <c r="P798" s="1453">
        <f t="shared" si="106"/>
        <v>0</v>
      </c>
    </row>
    <row r="799" spans="1:16" ht="43.5" outlineLevel="1" x14ac:dyDescent="0.25">
      <c r="A799" s="1511" t="str">
        <f t="shared" si="99"/>
        <v>HO
DPR 16</v>
      </c>
      <c r="B799" s="1512" t="str">
        <f t="shared" si="99"/>
        <v>Construction of new Administrative Building for Mahagenco at Vidyut Bhawan, Katol Road, Nagpur</v>
      </c>
      <c r="C799" s="1511" t="str">
        <f t="shared" si="99"/>
        <v>MERC/CAPEX/2021-2022/MSPGCL/063</v>
      </c>
      <c r="D799" s="1378">
        <f t="shared" si="99"/>
        <v>44604</v>
      </c>
      <c r="E799" s="1513">
        <f t="shared" si="99"/>
        <v>57</v>
      </c>
      <c r="F799" s="1509">
        <f t="shared" si="100"/>
        <v>0</v>
      </c>
      <c r="G799" s="1509">
        <f t="shared" si="101"/>
        <v>0</v>
      </c>
      <c r="H799" s="1509">
        <f t="shared" si="102"/>
        <v>0</v>
      </c>
      <c r="I799" s="1509">
        <v>0</v>
      </c>
      <c r="J799" s="1509">
        <v>0</v>
      </c>
      <c r="K799" s="1509"/>
      <c r="L799" s="1509"/>
      <c r="M799" s="1509">
        <f t="shared" si="103"/>
        <v>0</v>
      </c>
      <c r="N799" s="1509">
        <f t="shared" si="104"/>
        <v>0</v>
      </c>
      <c r="O799" s="1510"/>
      <c r="P799" s="1453"/>
    </row>
    <row r="800" spans="1:16" ht="43.5" outlineLevel="1" x14ac:dyDescent="0.25">
      <c r="A800" s="1511" t="str">
        <f t="shared" si="99"/>
        <v>HO
DPR 16.1</v>
      </c>
      <c r="B800" s="1512" t="str">
        <f t="shared" si="99"/>
        <v>Construction of new Administrative Building for Mahagenco at Vidyut Bhawan, Katol Road, Nagpur</v>
      </c>
      <c r="C800" s="1511" t="str">
        <f t="shared" si="99"/>
        <v>MERC/CAPEX/2021-2022/MSPGCL/063</v>
      </c>
      <c r="D800" s="1378">
        <f t="shared" si="99"/>
        <v>44604</v>
      </c>
      <c r="E800" s="1513">
        <f t="shared" si="99"/>
        <v>54.24</v>
      </c>
      <c r="F800" s="1509">
        <f t="shared" si="100"/>
        <v>0</v>
      </c>
      <c r="G800" s="1509">
        <f t="shared" si="101"/>
        <v>0</v>
      </c>
      <c r="H800" s="1509">
        <f t="shared" si="102"/>
        <v>0</v>
      </c>
      <c r="I800" s="1509">
        <v>0</v>
      </c>
      <c r="J800" s="1509">
        <v>0</v>
      </c>
      <c r="K800" s="1509"/>
      <c r="L800" s="1509"/>
      <c r="M800" s="1509">
        <f t="shared" si="103"/>
        <v>0</v>
      </c>
      <c r="N800" s="1509">
        <f t="shared" si="104"/>
        <v>0</v>
      </c>
      <c r="O800" s="1510"/>
      <c r="P800" s="1453"/>
    </row>
    <row r="801" spans="1:16" outlineLevel="1" x14ac:dyDescent="0.25">
      <c r="A801" s="1511">
        <f t="shared" si="99"/>
        <v>0</v>
      </c>
      <c r="B801" s="1512" t="str">
        <f t="shared" si="99"/>
        <v>IDC</v>
      </c>
      <c r="C801" s="1511" t="str">
        <f t="shared" si="99"/>
        <v>MERC/CAPEX/2021-2022/MSPGCL/063</v>
      </c>
      <c r="D801" s="1378">
        <f t="shared" si="99"/>
        <v>44604</v>
      </c>
      <c r="E801" s="1513">
        <f t="shared" si="99"/>
        <v>2.76</v>
      </c>
      <c r="F801" s="1509">
        <f t="shared" si="100"/>
        <v>0</v>
      </c>
      <c r="G801" s="1509">
        <f t="shared" si="101"/>
        <v>0</v>
      </c>
      <c r="H801" s="1509">
        <f t="shared" si="102"/>
        <v>0</v>
      </c>
      <c r="I801" s="1509">
        <v>0</v>
      </c>
      <c r="J801" s="1509">
        <v>0</v>
      </c>
      <c r="K801" s="1509"/>
      <c r="L801" s="1509"/>
      <c r="M801" s="1509">
        <f t="shared" si="103"/>
        <v>0</v>
      </c>
      <c r="N801" s="1509">
        <f t="shared" si="104"/>
        <v>0</v>
      </c>
      <c r="O801" s="1510"/>
      <c r="P801" s="1453"/>
    </row>
    <row r="802" spans="1:16" ht="43.5" outlineLevel="1" x14ac:dyDescent="0.25">
      <c r="A802" s="1511" t="str">
        <f t="shared" si="99"/>
        <v>HO
DPR 17</v>
      </c>
      <c r="B802" s="1512" t="str">
        <f t="shared" si="99"/>
        <v>Centralized Monitoring Solution</v>
      </c>
      <c r="C802" s="1511" t="str">
        <f t="shared" si="99"/>
        <v>MERC/CAPEX/MSPGCL/2023-24/0576</v>
      </c>
      <c r="D802" s="1378">
        <f t="shared" si="99"/>
        <v>45232</v>
      </c>
      <c r="E802" s="1513">
        <f t="shared" si="99"/>
        <v>69.308999999999997</v>
      </c>
      <c r="F802" s="1509">
        <f t="shared" si="100"/>
        <v>0</v>
      </c>
      <c r="G802" s="1509">
        <f t="shared" si="101"/>
        <v>0</v>
      </c>
      <c r="H802" s="1509">
        <f t="shared" si="102"/>
        <v>0</v>
      </c>
      <c r="I802" s="1509">
        <v>0</v>
      </c>
      <c r="J802" s="1509">
        <v>0</v>
      </c>
      <c r="K802" s="1509"/>
      <c r="L802" s="1509"/>
      <c r="M802" s="1509">
        <f t="shared" si="103"/>
        <v>0</v>
      </c>
      <c r="N802" s="1509">
        <f t="shared" si="104"/>
        <v>0</v>
      </c>
      <c r="O802" s="1510"/>
      <c r="P802" s="1453"/>
    </row>
    <row r="803" spans="1:16" ht="43.5" outlineLevel="1" x14ac:dyDescent="0.25">
      <c r="A803" s="1511" t="str">
        <f t="shared" si="99"/>
        <v>HO
DPR 17.1</v>
      </c>
      <c r="B803" s="1512" t="str">
        <f t="shared" si="99"/>
        <v>Centralized Monitoring Solution</v>
      </c>
      <c r="C803" s="1511" t="str">
        <f t="shared" si="99"/>
        <v>MERC/CAPEX/MSPGCL/2023-24/0576</v>
      </c>
      <c r="D803" s="1378">
        <f t="shared" si="99"/>
        <v>45232</v>
      </c>
      <c r="E803" s="1513">
        <f t="shared" si="99"/>
        <v>66.009</v>
      </c>
      <c r="F803" s="1509">
        <f t="shared" si="100"/>
        <v>0</v>
      </c>
      <c r="G803" s="1509">
        <f t="shared" si="101"/>
        <v>0</v>
      </c>
      <c r="H803" s="1509">
        <f t="shared" si="102"/>
        <v>0</v>
      </c>
      <c r="I803" s="1509">
        <v>4.46</v>
      </c>
      <c r="J803" s="1509">
        <v>4.46</v>
      </c>
      <c r="K803" s="1509"/>
      <c r="L803" s="1509"/>
      <c r="M803" s="1509">
        <f t="shared" si="103"/>
        <v>4.46</v>
      </c>
      <c r="N803" s="1509">
        <f t="shared" si="104"/>
        <v>0</v>
      </c>
      <c r="O803" s="1510"/>
      <c r="P803" s="1453"/>
    </row>
    <row r="804" spans="1:16" outlineLevel="1" x14ac:dyDescent="0.25">
      <c r="A804" s="1511">
        <f t="shared" ref="A804:E819" si="107">A447</f>
        <v>0</v>
      </c>
      <c r="B804" s="1512" t="str">
        <f t="shared" si="107"/>
        <v>IDC</v>
      </c>
      <c r="C804" s="1511" t="str">
        <f t="shared" si="107"/>
        <v>MERC/CAPEX/MSPGCL/2023-24/0576</v>
      </c>
      <c r="D804" s="1378">
        <f t="shared" si="107"/>
        <v>45232</v>
      </c>
      <c r="E804" s="1513">
        <f t="shared" si="107"/>
        <v>3.3</v>
      </c>
      <c r="F804" s="1509">
        <f t="shared" si="100"/>
        <v>0</v>
      </c>
      <c r="G804" s="1509">
        <f t="shared" si="101"/>
        <v>0</v>
      </c>
      <c r="H804" s="1509">
        <f t="shared" si="102"/>
        <v>0</v>
      </c>
      <c r="I804" s="1509">
        <v>0</v>
      </c>
      <c r="J804" s="1509">
        <v>0</v>
      </c>
      <c r="K804" s="1509"/>
      <c r="L804" s="1509"/>
      <c r="M804" s="1509">
        <f t="shared" si="103"/>
        <v>0</v>
      </c>
      <c r="N804" s="1509">
        <f t="shared" si="104"/>
        <v>0</v>
      </c>
      <c r="O804" s="1510"/>
      <c r="P804" s="1453"/>
    </row>
    <row r="805" spans="1:16" ht="29" outlineLevel="1" x14ac:dyDescent="0.25">
      <c r="A805" s="1506">
        <f t="shared" si="107"/>
        <v>23</v>
      </c>
      <c r="B805" s="1507" t="str">
        <f t="shared" si="107"/>
        <v>Coal Handling Plant Environment Improvement Schemes at U-6&amp;7 CHP (2X250MW) Parli TPS</v>
      </c>
      <c r="C805" s="1506" t="str">
        <f t="shared" si="107"/>
        <v>Yet to be approve</v>
      </c>
      <c r="D805" s="1378" t="str">
        <f t="shared" si="107"/>
        <v>-</v>
      </c>
      <c r="E805" s="1513">
        <f t="shared" si="107"/>
        <v>0</v>
      </c>
      <c r="F805" s="1509">
        <f t="shared" si="100"/>
        <v>0</v>
      </c>
      <c r="G805" s="1509">
        <f t="shared" si="101"/>
        <v>0</v>
      </c>
      <c r="H805" s="1509">
        <f t="shared" si="102"/>
        <v>0</v>
      </c>
      <c r="I805" s="1509">
        <v>0</v>
      </c>
      <c r="J805" s="1509">
        <v>0</v>
      </c>
      <c r="K805" s="1509"/>
      <c r="L805" s="1509"/>
      <c r="M805" s="1509">
        <f t="shared" si="103"/>
        <v>0</v>
      </c>
      <c r="N805" s="1509">
        <f t="shared" si="104"/>
        <v>0</v>
      </c>
      <c r="O805" s="1510">
        <f t="shared" ref="O805:O813" si="108">MAX(0,IF(M805=0,0,IF(G805+M805&lt;E805,M805,E805-G805)))</f>
        <v>0</v>
      </c>
      <c r="P805" s="1453">
        <f t="shared" ref="P805:P813" si="109">M805-O805</f>
        <v>0</v>
      </c>
    </row>
    <row r="806" spans="1:16" ht="43.5" outlineLevel="1" x14ac:dyDescent="0.25">
      <c r="A806" s="1511">
        <f t="shared" si="107"/>
        <v>23.1</v>
      </c>
      <c r="B806" s="1515" t="str">
        <f t="shared" si="107"/>
        <v>Scheme-1: Design, Engineering, Manufacturing, Supply, Installation and Commissioning of Dedusting System ( Dust Extraction System) for Crusher House and Bunker House at  Unit -6 &amp; 7 at CHP Parli  TPS.</v>
      </c>
      <c r="C806" s="1511" t="str">
        <f t="shared" si="107"/>
        <v>Yet to be approve</v>
      </c>
      <c r="D806" s="1378" t="str">
        <f t="shared" si="107"/>
        <v>-</v>
      </c>
      <c r="E806" s="1513">
        <f t="shared" si="107"/>
        <v>0</v>
      </c>
      <c r="F806" s="1509">
        <f t="shared" si="100"/>
        <v>0</v>
      </c>
      <c r="G806" s="1509">
        <f t="shared" si="101"/>
        <v>0</v>
      </c>
      <c r="H806" s="1509">
        <f t="shared" si="102"/>
        <v>0</v>
      </c>
      <c r="I806" s="1509">
        <v>12.96</v>
      </c>
      <c r="J806" s="1509">
        <v>12.96</v>
      </c>
      <c r="K806" s="1509"/>
      <c r="L806" s="1509"/>
      <c r="M806" s="1509">
        <f t="shared" si="103"/>
        <v>12.96</v>
      </c>
      <c r="N806" s="1509">
        <f t="shared" si="104"/>
        <v>0</v>
      </c>
      <c r="O806" s="1510">
        <f t="shared" si="108"/>
        <v>0</v>
      </c>
      <c r="P806" s="1453">
        <f t="shared" si="109"/>
        <v>12.96</v>
      </c>
    </row>
    <row r="807" spans="1:16" ht="43.5" outlineLevel="1" x14ac:dyDescent="0.25">
      <c r="A807" s="1511">
        <f t="shared" si="107"/>
        <v>23.2</v>
      </c>
      <c r="B807" s="1515" t="str">
        <f t="shared" si="107"/>
        <v>Scheme-2: Supply, Installation, Erection &amp; Commissioning of medium velocity water spray dust suppression system at CHP U-6/7 coal yard Crusher house &amp; Link Conveyor at Parli TPS.</v>
      </c>
      <c r="C807" s="1511" t="str">
        <f t="shared" si="107"/>
        <v>Yet to be approve</v>
      </c>
      <c r="D807" s="1378" t="str">
        <f t="shared" si="107"/>
        <v>-</v>
      </c>
      <c r="E807" s="1513">
        <f t="shared" si="107"/>
        <v>0</v>
      </c>
      <c r="F807" s="1509">
        <f t="shared" si="100"/>
        <v>0</v>
      </c>
      <c r="G807" s="1509">
        <f t="shared" si="101"/>
        <v>0</v>
      </c>
      <c r="H807" s="1509">
        <f t="shared" si="102"/>
        <v>0</v>
      </c>
      <c r="I807" s="1509">
        <v>3.52</v>
      </c>
      <c r="J807" s="1509">
        <v>3.52</v>
      </c>
      <c r="K807" s="1509"/>
      <c r="L807" s="1509"/>
      <c r="M807" s="1509">
        <f t="shared" si="103"/>
        <v>3.52</v>
      </c>
      <c r="N807" s="1509">
        <f t="shared" si="104"/>
        <v>0</v>
      </c>
      <c r="O807" s="1510">
        <f t="shared" si="108"/>
        <v>0</v>
      </c>
      <c r="P807" s="1453">
        <f t="shared" si="109"/>
        <v>3.52</v>
      </c>
    </row>
    <row r="808" spans="1:16" ht="58" outlineLevel="1" x14ac:dyDescent="0.25">
      <c r="A808" s="1511">
        <f t="shared" si="107"/>
        <v>23.3</v>
      </c>
      <c r="B808" s="1515" t="str">
        <f t="shared" si="107"/>
        <v>Scheme-3: Supply, Installation, Commissioning of Fire Hydrant &amp; Spray line above ground around  stacker yard and crusher house, wagon tippler through conveyor belt with DV &amp; DV Shed at CHP U-6/7.</v>
      </c>
      <c r="C808" s="1506" t="str">
        <f t="shared" si="107"/>
        <v>Yet to be approve</v>
      </c>
      <c r="D808" s="1378" t="str">
        <f t="shared" si="107"/>
        <v>-</v>
      </c>
      <c r="E808" s="1513">
        <f t="shared" si="107"/>
        <v>0</v>
      </c>
      <c r="F808" s="1509">
        <f t="shared" si="100"/>
        <v>0</v>
      </c>
      <c r="G808" s="1509">
        <f t="shared" si="101"/>
        <v>0</v>
      </c>
      <c r="H808" s="1509">
        <f t="shared" si="102"/>
        <v>0</v>
      </c>
      <c r="I808" s="1509">
        <v>3.54</v>
      </c>
      <c r="J808" s="1509">
        <v>3.54</v>
      </c>
      <c r="K808" s="1509"/>
      <c r="L808" s="1509"/>
      <c r="M808" s="1509">
        <f t="shared" si="103"/>
        <v>3.54</v>
      </c>
      <c r="N808" s="1509">
        <f t="shared" si="104"/>
        <v>0</v>
      </c>
      <c r="O808" s="1510">
        <f t="shared" si="108"/>
        <v>0</v>
      </c>
      <c r="P808" s="1453">
        <f t="shared" si="109"/>
        <v>3.54</v>
      </c>
    </row>
    <row r="809" spans="1:16" ht="43.5" outlineLevel="1" x14ac:dyDescent="0.25">
      <c r="A809" s="1511">
        <f t="shared" si="107"/>
        <v>23.4</v>
      </c>
      <c r="B809" s="1515" t="str">
        <f t="shared" si="107"/>
        <v>Scheme-4: Design, Manufacturing, Supply, Erection and Commissioning of DRY FOG Dust Suppression system at Wagon Tippler, Conveyor Belt Transfer point at U-6/7 CHP Parli TPS.</v>
      </c>
      <c r="C809" s="1511" t="str">
        <f t="shared" si="107"/>
        <v>Yet to be approve</v>
      </c>
      <c r="D809" s="1378" t="str">
        <f t="shared" si="107"/>
        <v>-</v>
      </c>
      <c r="E809" s="1513">
        <f t="shared" si="107"/>
        <v>0</v>
      </c>
      <c r="F809" s="1509">
        <f t="shared" si="100"/>
        <v>0</v>
      </c>
      <c r="G809" s="1509">
        <f t="shared" si="101"/>
        <v>0</v>
      </c>
      <c r="H809" s="1509">
        <f t="shared" si="102"/>
        <v>0</v>
      </c>
      <c r="I809" s="1509">
        <v>7</v>
      </c>
      <c r="J809" s="1509">
        <v>7</v>
      </c>
      <c r="K809" s="1509"/>
      <c r="L809" s="1509"/>
      <c r="M809" s="1509">
        <f t="shared" si="103"/>
        <v>7</v>
      </c>
      <c r="N809" s="1509">
        <f t="shared" si="104"/>
        <v>0</v>
      </c>
      <c r="O809" s="1510">
        <f t="shared" si="108"/>
        <v>0</v>
      </c>
      <c r="P809" s="1453">
        <f t="shared" si="109"/>
        <v>7</v>
      </c>
    </row>
    <row r="810" spans="1:16" outlineLevel="1" x14ac:dyDescent="0.25">
      <c r="A810" s="1511">
        <f t="shared" si="107"/>
        <v>0</v>
      </c>
      <c r="B810" s="1515" t="str">
        <f t="shared" si="107"/>
        <v>IDC</v>
      </c>
      <c r="C810" s="1396" t="str">
        <f t="shared" si="107"/>
        <v>Yet to be approve</v>
      </c>
      <c r="D810" s="1378" t="str">
        <f t="shared" si="107"/>
        <v>-</v>
      </c>
      <c r="E810" s="1513">
        <f t="shared" si="107"/>
        <v>0</v>
      </c>
      <c r="F810" s="1509">
        <f t="shared" si="100"/>
        <v>0</v>
      </c>
      <c r="G810" s="1509">
        <f t="shared" si="101"/>
        <v>0</v>
      </c>
      <c r="H810" s="1509">
        <f t="shared" si="102"/>
        <v>0</v>
      </c>
      <c r="I810" s="1509">
        <v>0</v>
      </c>
      <c r="J810" s="1509">
        <v>0</v>
      </c>
      <c r="K810" s="1509"/>
      <c r="L810" s="1509"/>
      <c r="M810" s="1509">
        <f t="shared" si="103"/>
        <v>0</v>
      </c>
      <c r="N810" s="1509">
        <f t="shared" si="104"/>
        <v>0</v>
      </c>
      <c r="O810" s="1510">
        <f t="shared" si="108"/>
        <v>0</v>
      </c>
      <c r="P810" s="1453">
        <f t="shared" si="109"/>
        <v>0</v>
      </c>
    </row>
    <row r="811" spans="1:16" ht="29" outlineLevel="1" x14ac:dyDescent="0.25">
      <c r="A811" s="1506">
        <f t="shared" si="107"/>
        <v>24</v>
      </c>
      <c r="B811" s="1507" t="str">
        <f t="shared" si="107"/>
        <v>Coal Mill Performance Improvement Schemes at U-6 &amp; 7 (2 x 250 MW) Parli TPS</v>
      </c>
      <c r="C811" s="1506" t="str">
        <f t="shared" si="107"/>
        <v>Yet to be approve</v>
      </c>
      <c r="D811" s="1378" t="str">
        <f t="shared" si="107"/>
        <v>-</v>
      </c>
      <c r="E811" s="1513">
        <f t="shared" si="107"/>
        <v>0</v>
      </c>
      <c r="F811" s="1509">
        <f t="shared" si="100"/>
        <v>0</v>
      </c>
      <c r="G811" s="1509">
        <f t="shared" si="101"/>
        <v>0</v>
      </c>
      <c r="H811" s="1509">
        <f t="shared" si="102"/>
        <v>0</v>
      </c>
      <c r="I811" s="1509">
        <v>0</v>
      </c>
      <c r="J811" s="1509">
        <v>0</v>
      </c>
      <c r="K811" s="1509"/>
      <c r="L811" s="1509"/>
      <c r="M811" s="1509">
        <f t="shared" si="103"/>
        <v>0</v>
      </c>
      <c r="N811" s="1509">
        <f t="shared" si="104"/>
        <v>0</v>
      </c>
      <c r="O811" s="1510">
        <f t="shared" si="108"/>
        <v>0</v>
      </c>
      <c r="P811" s="1453">
        <f t="shared" si="109"/>
        <v>0</v>
      </c>
    </row>
    <row r="812" spans="1:16" ht="43.5" outlineLevel="1" x14ac:dyDescent="0.25">
      <c r="A812" s="1511">
        <f t="shared" si="107"/>
        <v>24.1</v>
      </c>
      <c r="B812" s="1515" t="str">
        <f t="shared" si="107"/>
        <v xml:space="preserve">Scheme-1: Procurement And Replacement Of Internals For Reducer Gear Box Szn-630 &amp; Sbn-630 for Bbd-4772 Coal Mills Of 250mw At Unit 6,7  Parli </v>
      </c>
      <c r="C812" s="1396" t="str">
        <f t="shared" si="107"/>
        <v>Yet to be approve</v>
      </c>
      <c r="D812" s="1378" t="str">
        <f t="shared" si="107"/>
        <v>-</v>
      </c>
      <c r="E812" s="1513">
        <f t="shared" si="107"/>
        <v>0</v>
      </c>
      <c r="F812" s="1509">
        <f t="shared" si="100"/>
        <v>0</v>
      </c>
      <c r="G812" s="1509">
        <f t="shared" si="101"/>
        <v>0</v>
      </c>
      <c r="H812" s="1509">
        <f t="shared" si="102"/>
        <v>0</v>
      </c>
      <c r="I812" s="1509">
        <v>0</v>
      </c>
      <c r="J812" s="1509">
        <v>0</v>
      </c>
      <c r="K812" s="1509"/>
      <c r="L812" s="1509"/>
      <c r="M812" s="1509">
        <f t="shared" si="103"/>
        <v>0</v>
      </c>
      <c r="N812" s="1509">
        <f t="shared" si="104"/>
        <v>0</v>
      </c>
      <c r="O812" s="1510">
        <f t="shared" si="108"/>
        <v>0</v>
      </c>
      <c r="P812" s="1453">
        <f t="shared" si="109"/>
        <v>0</v>
      </c>
    </row>
    <row r="813" spans="1:16" ht="43.5" outlineLevel="1" x14ac:dyDescent="0.25">
      <c r="A813" s="1511">
        <f t="shared" si="107"/>
        <v>24.2</v>
      </c>
      <c r="B813" s="1515" t="str">
        <f t="shared" si="107"/>
        <v>Scheme-2: Supply, Replacement, Erection And Installation Of Foundation Deck Springs Assembly (Vibration Isolation System) For Bbd-4772 Coal Mill Of For 250mw Unit-6&amp;7 At Parli Tps..</v>
      </c>
      <c r="C813" s="1396" t="str">
        <f t="shared" si="107"/>
        <v>Yet to be approve</v>
      </c>
      <c r="D813" s="1378" t="str">
        <f t="shared" si="107"/>
        <v>-</v>
      </c>
      <c r="E813" s="1513">
        <f t="shared" si="107"/>
        <v>0</v>
      </c>
      <c r="F813" s="1509">
        <f t="shared" si="100"/>
        <v>0</v>
      </c>
      <c r="G813" s="1509">
        <f t="shared" si="101"/>
        <v>0</v>
      </c>
      <c r="H813" s="1509">
        <f t="shared" si="102"/>
        <v>0</v>
      </c>
      <c r="I813" s="1509">
        <v>0</v>
      </c>
      <c r="J813" s="1509">
        <v>0</v>
      </c>
      <c r="K813" s="1509"/>
      <c r="L813" s="1509"/>
      <c r="M813" s="1509">
        <f t="shared" si="103"/>
        <v>0</v>
      </c>
      <c r="N813" s="1509">
        <f t="shared" si="104"/>
        <v>0</v>
      </c>
      <c r="O813" s="1510">
        <f t="shared" si="108"/>
        <v>0</v>
      </c>
      <c r="P813" s="1453">
        <f t="shared" si="109"/>
        <v>0</v>
      </c>
    </row>
    <row r="814" spans="1:16" ht="29" outlineLevel="1" x14ac:dyDescent="0.25">
      <c r="A814" s="1511">
        <f t="shared" si="107"/>
        <v>24.3</v>
      </c>
      <c r="B814" s="1515" t="str">
        <f t="shared" si="107"/>
        <v>Scheme-3: Procurement And Installation of Girth Gear And Pinion Of Coal Mill Bbd-4772 For Unit-6,7 At Parli TPS.</v>
      </c>
      <c r="C814" s="1396" t="str">
        <f t="shared" si="107"/>
        <v>Yet to be approve</v>
      </c>
      <c r="D814" s="1378" t="str">
        <f t="shared" si="107"/>
        <v>-</v>
      </c>
      <c r="E814" s="1513">
        <f t="shared" si="107"/>
        <v>0</v>
      </c>
      <c r="F814" s="1509">
        <f t="shared" si="100"/>
        <v>0</v>
      </c>
      <c r="G814" s="1509">
        <f t="shared" si="101"/>
        <v>0</v>
      </c>
      <c r="H814" s="1509">
        <f t="shared" si="102"/>
        <v>0</v>
      </c>
      <c r="I814" s="1509">
        <v>0</v>
      </c>
      <c r="J814" s="1509">
        <v>0</v>
      </c>
      <c r="K814" s="1509"/>
      <c r="L814" s="1509"/>
      <c r="M814" s="1509">
        <f t="shared" si="103"/>
        <v>0</v>
      </c>
      <c r="N814" s="1509">
        <f t="shared" si="104"/>
        <v>0</v>
      </c>
    </row>
    <row r="815" spans="1:16" ht="29" outlineLevel="1" x14ac:dyDescent="0.25">
      <c r="A815" s="1511">
        <f t="shared" si="107"/>
        <v>24.4</v>
      </c>
      <c r="B815" s="1515" t="str">
        <f t="shared" si="107"/>
        <v xml:space="preserve">Scheme-4: Procurement And Installation of Drive Shaft Assembly Of Coal Mill BBD-4772 For Unit-6 ,7 At Parli TPS. </v>
      </c>
      <c r="C815" s="1396" t="str">
        <f t="shared" si="107"/>
        <v>Yet to be approve</v>
      </c>
      <c r="D815" s="1378" t="str">
        <f t="shared" si="107"/>
        <v>-</v>
      </c>
      <c r="E815" s="1513">
        <f t="shared" si="107"/>
        <v>0</v>
      </c>
      <c r="F815" s="1509">
        <f t="shared" si="100"/>
        <v>0</v>
      </c>
      <c r="G815" s="1509">
        <f t="shared" si="101"/>
        <v>0</v>
      </c>
      <c r="H815" s="1509">
        <f t="shared" si="102"/>
        <v>0</v>
      </c>
      <c r="I815" s="1509">
        <v>0</v>
      </c>
      <c r="J815" s="1509">
        <v>0</v>
      </c>
      <c r="K815" s="1509"/>
      <c r="L815" s="1509"/>
      <c r="M815" s="1509">
        <f t="shared" si="103"/>
        <v>0</v>
      </c>
      <c r="N815" s="1509">
        <f t="shared" si="104"/>
        <v>0</v>
      </c>
    </row>
    <row r="816" spans="1:16" ht="29" outlineLevel="1" x14ac:dyDescent="0.25">
      <c r="A816" s="1511">
        <f t="shared" si="107"/>
        <v>24.5</v>
      </c>
      <c r="B816" s="1515" t="str">
        <f t="shared" si="107"/>
        <v>Scheme-5: Procurement And Replacement of  Bearing Shell Liner For Bbd-4772 Coal Mills Of 250mw At Unit 6,7  Parli TPS.</v>
      </c>
      <c r="C816" s="1396" t="str">
        <f t="shared" si="107"/>
        <v>Yet to be approve</v>
      </c>
      <c r="D816" s="1378" t="str">
        <f t="shared" si="107"/>
        <v>-</v>
      </c>
      <c r="E816" s="1513">
        <f t="shared" si="107"/>
        <v>0</v>
      </c>
      <c r="F816" s="1509">
        <f t="shared" si="100"/>
        <v>0</v>
      </c>
      <c r="G816" s="1509">
        <f t="shared" si="101"/>
        <v>0</v>
      </c>
      <c r="H816" s="1509">
        <f t="shared" si="102"/>
        <v>0</v>
      </c>
      <c r="I816" s="1509">
        <v>0</v>
      </c>
      <c r="J816" s="1509">
        <v>0</v>
      </c>
      <c r="K816" s="1509"/>
      <c r="L816" s="1509"/>
      <c r="M816" s="1509">
        <f t="shared" si="103"/>
        <v>0</v>
      </c>
      <c r="N816" s="1509">
        <f t="shared" si="104"/>
        <v>0</v>
      </c>
    </row>
    <row r="817" spans="1:16" outlineLevel="1" x14ac:dyDescent="0.25">
      <c r="A817" s="1511">
        <f t="shared" si="107"/>
        <v>0</v>
      </c>
      <c r="B817" s="1515" t="str">
        <f t="shared" si="107"/>
        <v>IDC</v>
      </c>
      <c r="C817" s="1396" t="str">
        <f t="shared" si="107"/>
        <v>Yet to be approve</v>
      </c>
      <c r="D817" s="1378" t="str">
        <f t="shared" si="107"/>
        <v>-</v>
      </c>
      <c r="E817" s="1513">
        <f t="shared" si="107"/>
        <v>0</v>
      </c>
      <c r="F817" s="1509">
        <f t="shared" si="100"/>
        <v>0</v>
      </c>
      <c r="G817" s="1509">
        <f t="shared" si="101"/>
        <v>0</v>
      </c>
      <c r="H817" s="1509">
        <f t="shared" si="102"/>
        <v>0</v>
      </c>
      <c r="I817" s="1509">
        <v>0</v>
      </c>
      <c r="J817" s="1509">
        <v>0</v>
      </c>
      <c r="K817" s="1509"/>
      <c r="L817" s="1509"/>
      <c r="M817" s="1509">
        <f t="shared" si="103"/>
        <v>0</v>
      </c>
      <c r="N817" s="1509">
        <f t="shared" si="104"/>
        <v>0</v>
      </c>
    </row>
    <row r="818" spans="1:16" outlineLevel="1" x14ac:dyDescent="0.25">
      <c r="A818" s="1506">
        <f t="shared" si="107"/>
        <v>25</v>
      </c>
      <c r="B818" s="1507" t="str">
        <f t="shared" si="107"/>
        <v>Administrative building</v>
      </c>
      <c r="C818" s="1506" t="str">
        <f t="shared" si="107"/>
        <v>Yet to be approved</v>
      </c>
      <c r="D818" s="1378" t="str">
        <f t="shared" si="107"/>
        <v>-</v>
      </c>
      <c r="E818" s="1513">
        <f t="shared" si="107"/>
        <v>0</v>
      </c>
      <c r="F818" s="1509">
        <f t="shared" si="100"/>
        <v>0</v>
      </c>
      <c r="G818" s="1509">
        <f t="shared" si="101"/>
        <v>0</v>
      </c>
      <c r="H818" s="1509">
        <f t="shared" si="102"/>
        <v>0</v>
      </c>
      <c r="I818" s="1509">
        <v>0</v>
      </c>
      <c r="J818" s="1509">
        <v>0</v>
      </c>
      <c r="K818" s="1509"/>
      <c r="L818" s="1509"/>
      <c r="M818" s="1509">
        <f t="shared" si="103"/>
        <v>0</v>
      </c>
      <c r="N818" s="1509">
        <f t="shared" si="104"/>
        <v>0</v>
      </c>
      <c r="O818" s="1510"/>
      <c r="P818" s="1453"/>
    </row>
    <row r="819" spans="1:16" outlineLevel="1" x14ac:dyDescent="0.25">
      <c r="A819" s="1511">
        <f t="shared" si="107"/>
        <v>25.1</v>
      </c>
      <c r="B819" s="1515" t="str">
        <f t="shared" si="107"/>
        <v>Administrative building</v>
      </c>
      <c r="C819" s="1396" t="str">
        <f t="shared" si="107"/>
        <v>Yet to be approved</v>
      </c>
      <c r="D819" s="1378" t="str">
        <f t="shared" si="107"/>
        <v>-</v>
      </c>
      <c r="E819" s="1513">
        <f t="shared" si="107"/>
        <v>0</v>
      </c>
      <c r="F819" s="1509">
        <f t="shared" si="100"/>
        <v>0</v>
      </c>
      <c r="G819" s="1509">
        <f t="shared" si="101"/>
        <v>0</v>
      </c>
      <c r="H819" s="1509">
        <f t="shared" si="102"/>
        <v>0</v>
      </c>
      <c r="I819" s="1509">
        <v>0</v>
      </c>
      <c r="J819" s="1509">
        <v>0</v>
      </c>
      <c r="K819" s="1509"/>
      <c r="L819" s="1509"/>
      <c r="M819" s="1509">
        <f t="shared" si="103"/>
        <v>0</v>
      </c>
      <c r="N819" s="1509">
        <f t="shared" si="104"/>
        <v>0</v>
      </c>
    </row>
    <row r="820" spans="1:16" ht="72.5" outlineLevel="1" x14ac:dyDescent="0.25">
      <c r="A820" s="1511">
        <f t="shared" ref="A820:E835" si="110">A463</f>
        <v>26</v>
      </c>
      <c r="B820" s="1515" t="str">
        <f t="shared" si="110"/>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820" s="1396" t="str">
        <f t="shared" si="110"/>
        <v>Yet to be approved</v>
      </c>
      <c r="D820" s="1378" t="str">
        <f t="shared" si="110"/>
        <v>-</v>
      </c>
      <c r="E820" s="1513">
        <f t="shared" si="110"/>
        <v>0</v>
      </c>
      <c r="F820" s="1509">
        <f t="shared" si="100"/>
        <v>0</v>
      </c>
      <c r="G820" s="1509">
        <f t="shared" si="101"/>
        <v>0</v>
      </c>
      <c r="H820" s="1509">
        <f t="shared" si="102"/>
        <v>0</v>
      </c>
      <c r="I820" s="1509">
        <v>0</v>
      </c>
      <c r="J820" s="1509">
        <v>0</v>
      </c>
      <c r="K820" s="1509"/>
      <c r="L820" s="1509"/>
      <c r="M820" s="1509">
        <f t="shared" si="103"/>
        <v>0</v>
      </c>
      <c r="N820" s="1509">
        <f t="shared" si="104"/>
        <v>0</v>
      </c>
    </row>
    <row r="821" spans="1:16" ht="29" outlineLevel="1" x14ac:dyDescent="0.25">
      <c r="A821" s="1511">
        <f t="shared" si="110"/>
        <v>26.1</v>
      </c>
      <c r="B821" s="1515" t="str">
        <f t="shared" si="110"/>
        <v>Refurbishment of spare HPT module (Common pool item) at TM U#6,7 Parli TPS</v>
      </c>
      <c r="C821" s="1396" t="str">
        <f t="shared" si="110"/>
        <v>Yet to be approved</v>
      </c>
      <c r="D821" s="1378" t="str">
        <f t="shared" si="110"/>
        <v>-</v>
      </c>
      <c r="E821" s="1513">
        <f t="shared" si="110"/>
        <v>0</v>
      </c>
      <c r="F821" s="1509">
        <f t="shared" si="100"/>
        <v>0</v>
      </c>
      <c r="G821" s="1509">
        <f t="shared" si="101"/>
        <v>0</v>
      </c>
      <c r="H821" s="1509">
        <f t="shared" si="102"/>
        <v>0</v>
      </c>
      <c r="I821" s="1509">
        <v>0.9</v>
      </c>
      <c r="J821" s="1509">
        <v>0</v>
      </c>
      <c r="K821" s="1509"/>
      <c r="L821" s="1509"/>
      <c r="M821" s="1509">
        <f t="shared" si="103"/>
        <v>0</v>
      </c>
      <c r="N821" s="1509">
        <f t="shared" si="104"/>
        <v>0.9</v>
      </c>
    </row>
    <row r="822" spans="1:16" ht="29" outlineLevel="1" x14ac:dyDescent="0.25">
      <c r="A822" s="1511">
        <f t="shared" si="110"/>
        <v>26.2</v>
      </c>
      <c r="B822" s="1515" t="str">
        <f t="shared" si="110"/>
        <v xml:space="preserve"> Design, Erection, Testing &amp; Commissioning of Energy Efficient Air Washer (cooling) System  at Unit 6&amp;7 NPTPS, Parli-V.</v>
      </c>
      <c r="C822" s="1396" t="str">
        <f t="shared" si="110"/>
        <v>Yet to be approved</v>
      </c>
      <c r="D822" s="1378" t="str">
        <f t="shared" si="110"/>
        <v>-</v>
      </c>
      <c r="E822" s="1513">
        <f t="shared" si="110"/>
        <v>0</v>
      </c>
      <c r="F822" s="1509">
        <f t="shared" si="100"/>
        <v>0</v>
      </c>
      <c r="G822" s="1509">
        <f t="shared" si="101"/>
        <v>0</v>
      </c>
      <c r="H822" s="1509">
        <f t="shared" si="102"/>
        <v>0</v>
      </c>
      <c r="I822" s="1509">
        <v>0</v>
      </c>
      <c r="J822" s="1509">
        <v>0</v>
      </c>
      <c r="K822" s="1509"/>
      <c r="L822" s="1509"/>
      <c r="M822" s="1509">
        <f t="shared" si="103"/>
        <v>0</v>
      </c>
      <c r="N822" s="1509">
        <f t="shared" si="104"/>
        <v>0</v>
      </c>
    </row>
    <row r="823" spans="1:16" ht="29" outlineLevel="1" x14ac:dyDescent="0.25">
      <c r="A823" s="1511">
        <f t="shared" si="110"/>
        <v>26.3</v>
      </c>
      <c r="B823" s="1515" t="str">
        <f t="shared" si="110"/>
        <v>Upgradation of reciprocating compressor into screw compressor  at U#6</v>
      </c>
      <c r="C823" s="1396" t="str">
        <f t="shared" si="110"/>
        <v>Yet to be approved</v>
      </c>
      <c r="D823" s="1378" t="str">
        <f t="shared" si="110"/>
        <v>-</v>
      </c>
      <c r="E823" s="1513">
        <f t="shared" si="110"/>
        <v>0</v>
      </c>
      <c r="F823" s="1509">
        <f t="shared" si="100"/>
        <v>0</v>
      </c>
      <c r="G823" s="1509">
        <f t="shared" si="101"/>
        <v>0</v>
      </c>
      <c r="H823" s="1509">
        <f t="shared" si="102"/>
        <v>0</v>
      </c>
      <c r="I823" s="1509">
        <v>0</v>
      </c>
      <c r="J823" s="1509">
        <v>0</v>
      </c>
      <c r="K823" s="1509"/>
      <c r="L823" s="1509"/>
      <c r="M823" s="1509">
        <f t="shared" si="103"/>
        <v>0</v>
      </c>
      <c r="N823" s="1509">
        <f t="shared" si="104"/>
        <v>0</v>
      </c>
    </row>
    <row r="824" spans="1:16" ht="29" outlineLevel="1" x14ac:dyDescent="0.25">
      <c r="A824" s="1511">
        <f t="shared" si="110"/>
        <v>26.4</v>
      </c>
      <c r="B824" s="1515" t="str">
        <f t="shared" si="110"/>
        <v>Upgradation of existing chiller AC plant for PCR,Service Building,VFD area at NPTPS Parli -V</v>
      </c>
      <c r="C824" s="1396" t="str">
        <f t="shared" si="110"/>
        <v>Yet to be approved</v>
      </c>
      <c r="D824" s="1378" t="str">
        <f t="shared" si="110"/>
        <v>-</v>
      </c>
      <c r="E824" s="1513">
        <f t="shared" si="110"/>
        <v>0</v>
      </c>
      <c r="F824" s="1509">
        <f t="shared" si="100"/>
        <v>0</v>
      </c>
      <c r="G824" s="1509">
        <f t="shared" si="101"/>
        <v>0</v>
      </c>
      <c r="H824" s="1509">
        <f t="shared" si="102"/>
        <v>0</v>
      </c>
      <c r="I824" s="1509">
        <v>0</v>
      </c>
      <c r="J824" s="1509">
        <v>0</v>
      </c>
      <c r="K824" s="1509"/>
      <c r="L824" s="1509"/>
      <c r="M824" s="1509">
        <f t="shared" si="103"/>
        <v>0</v>
      </c>
      <c r="N824" s="1509">
        <f t="shared" si="104"/>
        <v>0</v>
      </c>
    </row>
    <row r="825" spans="1:16" outlineLevel="1" x14ac:dyDescent="0.25">
      <c r="A825" s="1511">
        <f t="shared" si="110"/>
        <v>0</v>
      </c>
      <c r="B825" s="1515" t="str">
        <f t="shared" si="110"/>
        <v>IDC</v>
      </c>
      <c r="C825" s="1396">
        <f t="shared" si="110"/>
        <v>0</v>
      </c>
      <c r="D825" s="1378" t="str">
        <f t="shared" si="110"/>
        <v>-</v>
      </c>
      <c r="E825" s="1513">
        <f t="shared" si="110"/>
        <v>0</v>
      </c>
      <c r="F825" s="1509">
        <f t="shared" si="100"/>
        <v>0</v>
      </c>
      <c r="G825" s="1509">
        <f t="shared" si="101"/>
        <v>0</v>
      </c>
      <c r="H825" s="1509">
        <f t="shared" si="102"/>
        <v>0</v>
      </c>
      <c r="I825" s="1509">
        <v>0</v>
      </c>
      <c r="J825" s="1509">
        <v>0</v>
      </c>
      <c r="K825" s="1509"/>
      <c r="L825" s="1509"/>
      <c r="M825" s="1509">
        <f t="shared" si="103"/>
        <v>0</v>
      </c>
      <c r="N825" s="1509">
        <f t="shared" si="104"/>
        <v>0</v>
      </c>
    </row>
    <row r="826" spans="1:16" ht="58" outlineLevel="1" x14ac:dyDescent="0.25">
      <c r="A826" s="1506" t="str">
        <f t="shared" si="110"/>
        <v>Covid Related Work</v>
      </c>
      <c r="B826" s="1507" t="str">
        <f t="shared" si="110"/>
        <v>U#6,7 Medical02 Oxygen Gr&amp;Cyl Ozonization Plant501</v>
      </c>
      <c r="C826" s="1506" t="str">
        <f t="shared" si="110"/>
        <v>N.A.</v>
      </c>
      <c r="D826" s="1508" t="str">
        <f t="shared" si="110"/>
        <v>-</v>
      </c>
      <c r="E826" s="1509">
        <f t="shared" si="110"/>
        <v>0</v>
      </c>
      <c r="F826" s="1509">
        <f t="shared" si="100"/>
        <v>3.8414035910000002</v>
      </c>
      <c r="G826" s="1509">
        <f t="shared" si="101"/>
        <v>3.8414035910000002</v>
      </c>
      <c r="H826" s="1509">
        <f t="shared" si="102"/>
        <v>0</v>
      </c>
      <c r="I826" s="1509">
        <v>0</v>
      </c>
      <c r="J826" s="1509">
        <v>0</v>
      </c>
      <c r="K826" s="1509"/>
      <c r="L826" s="1509"/>
      <c r="M826" s="1509">
        <f t="shared" si="103"/>
        <v>0</v>
      </c>
      <c r="N826" s="1509">
        <f t="shared" si="104"/>
        <v>0</v>
      </c>
      <c r="O826" s="1510"/>
      <c r="P826" s="1453"/>
    </row>
    <row r="827" spans="1:16" outlineLevel="1" x14ac:dyDescent="0.25">
      <c r="A827" s="1511">
        <f t="shared" si="110"/>
        <v>0</v>
      </c>
      <c r="B827" s="1515">
        <f t="shared" si="110"/>
        <v>0</v>
      </c>
      <c r="C827" s="1396">
        <f t="shared" si="110"/>
        <v>0</v>
      </c>
      <c r="D827" s="1378" t="str">
        <f t="shared" si="110"/>
        <v>-</v>
      </c>
      <c r="E827" s="1505">
        <f t="shared" si="110"/>
        <v>0</v>
      </c>
      <c r="F827" s="1509">
        <f t="shared" si="100"/>
        <v>0</v>
      </c>
      <c r="G827" s="1509">
        <f t="shared" si="101"/>
        <v>0</v>
      </c>
      <c r="H827" s="1509">
        <f t="shared" si="102"/>
        <v>0</v>
      </c>
      <c r="I827" s="1509">
        <v>0</v>
      </c>
      <c r="J827" s="1509">
        <v>0</v>
      </c>
      <c r="K827" s="1509"/>
      <c r="L827" s="1509"/>
      <c r="M827" s="1509">
        <f t="shared" si="103"/>
        <v>0</v>
      </c>
      <c r="N827" s="1509">
        <f t="shared" si="104"/>
        <v>0</v>
      </c>
    </row>
    <row r="828" spans="1:16" ht="18.5" outlineLevel="1" x14ac:dyDescent="0.25">
      <c r="A828" s="1339" t="str">
        <f t="shared" si="110"/>
        <v>B</v>
      </c>
      <c r="B828" s="1339" t="str">
        <f t="shared" si="110"/>
        <v>Asset received from Project of 6-7</v>
      </c>
      <c r="C828" s="1396">
        <f t="shared" si="110"/>
        <v>0</v>
      </c>
      <c r="D828" s="1378" t="str">
        <f t="shared" si="110"/>
        <v>-</v>
      </c>
      <c r="E828" s="1505">
        <f t="shared" si="110"/>
        <v>0</v>
      </c>
      <c r="F828" s="1509">
        <f t="shared" si="100"/>
        <v>0</v>
      </c>
      <c r="G828" s="1509">
        <f t="shared" si="101"/>
        <v>0</v>
      </c>
      <c r="H828" s="1509">
        <f t="shared" si="102"/>
        <v>0</v>
      </c>
      <c r="I828" s="1509">
        <v>0</v>
      </c>
      <c r="J828" s="1509">
        <v>0</v>
      </c>
      <c r="K828" s="1509"/>
      <c r="L828" s="1509"/>
      <c r="M828" s="1509">
        <f t="shared" si="103"/>
        <v>0</v>
      </c>
      <c r="N828" s="1509">
        <f t="shared" si="104"/>
        <v>0</v>
      </c>
    </row>
    <row r="829" spans="1:16" outlineLevel="1" x14ac:dyDescent="0.25">
      <c r="A829" s="1511">
        <f t="shared" si="110"/>
        <v>1</v>
      </c>
      <c r="B829" s="1515" t="str">
        <f t="shared" si="110"/>
        <v>Enhanced Land Compensation LAR No-127/2003</v>
      </c>
      <c r="C829" s="1396" t="str">
        <f t="shared" si="110"/>
        <v>N.A.</v>
      </c>
      <c r="D829" s="1378" t="str">
        <f t="shared" si="110"/>
        <v>-</v>
      </c>
      <c r="E829" s="1505">
        <f t="shared" si="110"/>
        <v>0</v>
      </c>
      <c r="F829" s="1509">
        <f t="shared" si="100"/>
        <v>0.72651449999999995</v>
      </c>
      <c r="G829" s="1509">
        <f t="shared" si="101"/>
        <v>0.72651449999999995</v>
      </c>
      <c r="H829" s="1509">
        <f t="shared" si="102"/>
        <v>0</v>
      </c>
      <c r="I829" s="1509">
        <v>0</v>
      </c>
      <c r="J829" s="1509">
        <v>0</v>
      </c>
      <c r="K829" s="1509"/>
      <c r="L829" s="1509"/>
      <c r="M829" s="1509">
        <f t="shared" si="103"/>
        <v>0</v>
      </c>
      <c r="N829" s="1509">
        <f t="shared" si="104"/>
        <v>0</v>
      </c>
    </row>
    <row r="830" spans="1:16" outlineLevel="1" x14ac:dyDescent="0.25">
      <c r="A830" s="1511">
        <f t="shared" si="110"/>
        <v>2</v>
      </c>
      <c r="B830" s="1515" t="str">
        <f t="shared" si="110"/>
        <v>Assets rec. from Project Boiler Plant and Equipments</v>
      </c>
      <c r="C830" s="1396" t="str">
        <f t="shared" si="110"/>
        <v>N.A.</v>
      </c>
      <c r="D830" s="1378" t="str">
        <f t="shared" si="110"/>
        <v>-</v>
      </c>
      <c r="E830" s="1505">
        <f t="shared" si="110"/>
        <v>0</v>
      </c>
      <c r="F830" s="1509">
        <f t="shared" si="100"/>
        <v>14.2796416</v>
      </c>
      <c r="G830" s="1509">
        <f t="shared" si="101"/>
        <v>14.2796416</v>
      </c>
      <c r="H830" s="1509">
        <f t="shared" si="102"/>
        <v>0</v>
      </c>
      <c r="I830" s="1509">
        <v>0</v>
      </c>
      <c r="J830" s="1509">
        <v>0</v>
      </c>
      <c r="K830" s="1509"/>
      <c r="L830" s="1509"/>
      <c r="M830" s="1509">
        <f t="shared" si="103"/>
        <v>0</v>
      </c>
      <c r="N830" s="1509">
        <f t="shared" si="104"/>
        <v>0</v>
      </c>
    </row>
    <row r="831" spans="1:16" outlineLevel="1" x14ac:dyDescent="0.25">
      <c r="A831" s="1511">
        <f t="shared" si="110"/>
        <v>3</v>
      </c>
      <c r="B831" s="1515" t="str">
        <f t="shared" si="110"/>
        <v>Assets rec. from Project &amp; CivilBoiler Plant and Equipments</v>
      </c>
      <c r="C831" s="1396" t="str">
        <f t="shared" si="110"/>
        <v>N.A.</v>
      </c>
      <c r="D831" s="1378" t="str">
        <f t="shared" si="110"/>
        <v>-</v>
      </c>
      <c r="E831" s="1505">
        <f t="shared" si="110"/>
        <v>0</v>
      </c>
      <c r="F831" s="1509">
        <f t="shared" si="100"/>
        <v>0.118890178</v>
      </c>
      <c r="G831" s="1509">
        <f t="shared" si="101"/>
        <v>0.118890178</v>
      </c>
      <c r="H831" s="1509">
        <f t="shared" si="102"/>
        <v>0</v>
      </c>
      <c r="I831" s="1509">
        <v>0</v>
      </c>
      <c r="J831" s="1509">
        <v>0</v>
      </c>
      <c r="K831" s="1509"/>
      <c r="L831" s="1509"/>
      <c r="M831" s="1509">
        <f t="shared" si="103"/>
        <v>0</v>
      </c>
      <c r="N831" s="1509">
        <f t="shared" si="104"/>
        <v>0</v>
      </c>
    </row>
    <row r="832" spans="1:16" ht="29" outlineLevel="1" x14ac:dyDescent="0.25">
      <c r="A832" s="1511">
        <f t="shared" si="110"/>
        <v>4</v>
      </c>
      <c r="B832" s="1515" t="str">
        <f t="shared" si="110"/>
        <v>Received from project 2010-11 - mechanical works o f Boiler Plant and Equipments</v>
      </c>
      <c r="C832" s="1396" t="str">
        <f t="shared" si="110"/>
        <v>N.A.</v>
      </c>
      <c r="D832" s="1378" t="str">
        <f t="shared" si="110"/>
        <v>-</v>
      </c>
      <c r="E832" s="1505">
        <f t="shared" si="110"/>
        <v>0</v>
      </c>
      <c r="F832" s="1509">
        <f t="shared" si="100"/>
        <v>0.118890178</v>
      </c>
      <c r="G832" s="1509">
        <f t="shared" si="101"/>
        <v>0.118890178</v>
      </c>
      <c r="H832" s="1509">
        <f t="shared" si="102"/>
        <v>0</v>
      </c>
      <c r="I832" s="1509">
        <v>0</v>
      </c>
      <c r="J832" s="1509">
        <v>0</v>
      </c>
      <c r="K832" s="1509"/>
      <c r="L832" s="1509"/>
      <c r="M832" s="1509">
        <f t="shared" si="103"/>
        <v>0</v>
      </c>
      <c r="N832" s="1509">
        <f t="shared" si="104"/>
        <v>0</v>
      </c>
    </row>
    <row r="833" spans="1:14" outlineLevel="1" x14ac:dyDescent="0.25">
      <c r="A833" s="1511">
        <f t="shared" si="110"/>
        <v>5</v>
      </c>
      <c r="B833" s="1515" t="str">
        <f t="shared" si="110"/>
        <v>Assets Received from project 2010-11 - Ash handling plant</v>
      </c>
      <c r="C833" s="1396" t="str">
        <f t="shared" si="110"/>
        <v>N.A.</v>
      </c>
      <c r="D833" s="1378" t="str">
        <f t="shared" si="110"/>
        <v>-</v>
      </c>
      <c r="E833" s="1505">
        <f t="shared" si="110"/>
        <v>0</v>
      </c>
      <c r="F833" s="1509">
        <f t="shared" si="100"/>
        <v>7.6350699999999994E-2</v>
      </c>
      <c r="G833" s="1509">
        <f t="shared" si="101"/>
        <v>7.6350699999999994E-2</v>
      </c>
      <c r="H833" s="1509">
        <f t="shared" si="102"/>
        <v>0</v>
      </c>
      <c r="I833" s="1509">
        <v>0</v>
      </c>
      <c r="J833" s="1509">
        <v>0</v>
      </c>
      <c r="K833" s="1509"/>
      <c r="L833" s="1509"/>
      <c r="M833" s="1509">
        <f t="shared" si="103"/>
        <v>0</v>
      </c>
      <c r="N833" s="1509">
        <f t="shared" si="104"/>
        <v>0</v>
      </c>
    </row>
    <row r="834" spans="1:14" outlineLevel="1" x14ac:dyDescent="0.25">
      <c r="A834" s="1511">
        <f t="shared" si="110"/>
        <v>6</v>
      </c>
      <c r="B834" s="1515" t="str">
        <f t="shared" si="110"/>
        <v>Bolero Jeep MH 19 AE 6941</v>
      </c>
      <c r="C834" s="1396" t="str">
        <f t="shared" si="110"/>
        <v>N.A.</v>
      </c>
      <c r="D834" s="1378" t="str">
        <f t="shared" si="110"/>
        <v>-</v>
      </c>
      <c r="E834" s="1505">
        <f t="shared" si="110"/>
        <v>0</v>
      </c>
      <c r="F834" s="1509">
        <f t="shared" si="100"/>
        <v>4.2359800000000003E-2</v>
      </c>
      <c r="G834" s="1509">
        <f t="shared" si="101"/>
        <v>4.2359800000000003E-2</v>
      </c>
      <c r="H834" s="1509">
        <f t="shared" si="102"/>
        <v>0</v>
      </c>
      <c r="I834" s="1509">
        <v>0</v>
      </c>
      <c r="J834" s="1509">
        <v>0</v>
      </c>
      <c r="K834" s="1509"/>
      <c r="L834" s="1509"/>
      <c r="M834" s="1509">
        <f t="shared" si="103"/>
        <v>0</v>
      </c>
      <c r="N834" s="1509">
        <f t="shared" si="104"/>
        <v>0</v>
      </c>
    </row>
    <row r="835" spans="1:14" customFormat="1" outlineLevel="1" x14ac:dyDescent="0.25">
      <c r="A835" s="1511">
        <f t="shared" si="110"/>
        <v>7</v>
      </c>
      <c r="B835" s="1515" t="str">
        <f t="shared" si="110"/>
        <v>Land owned under full title</v>
      </c>
      <c r="C835" s="1396" t="str">
        <f t="shared" si="110"/>
        <v>N.A.</v>
      </c>
      <c r="D835" s="1378" t="str">
        <f t="shared" si="110"/>
        <v>-</v>
      </c>
      <c r="E835" s="1505">
        <f t="shared" si="110"/>
        <v>0</v>
      </c>
      <c r="F835" s="1509">
        <f t="shared" si="100"/>
        <v>0.60786030000000002</v>
      </c>
      <c r="G835" s="1509">
        <f t="shared" si="101"/>
        <v>0.60786030000000002</v>
      </c>
      <c r="H835" s="1509">
        <f t="shared" si="102"/>
        <v>0</v>
      </c>
      <c r="I835" s="1509">
        <v>0</v>
      </c>
      <c r="J835" s="1509">
        <v>0</v>
      </c>
      <c r="K835" s="1509"/>
      <c r="L835" s="1509"/>
      <c r="M835" s="1509">
        <f t="shared" si="103"/>
        <v>0</v>
      </c>
      <c r="N835" s="1509">
        <f t="shared" si="104"/>
        <v>0</v>
      </c>
    </row>
    <row r="836" spans="1:14" customFormat="1" outlineLevel="1" x14ac:dyDescent="0.25">
      <c r="A836" s="1511">
        <f t="shared" ref="A836:E851" si="111">A479</f>
        <v>8</v>
      </c>
      <c r="B836" s="1515" t="str">
        <f t="shared" si="111"/>
        <v>Assets rec. from Project &amp; CivilBoiler Plant and Equipments</v>
      </c>
      <c r="C836" s="1396" t="str">
        <f t="shared" si="111"/>
        <v>N.A.</v>
      </c>
      <c r="D836" s="1378" t="str">
        <f t="shared" si="111"/>
        <v>-</v>
      </c>
      <c r="E836" s="1505">
        <f t="shared" si="111"/>
        <v>0</v>
      </c>
      <c r="F836" s="1509">
        <f t="shared" si="100"/>
        <v>2.6342887240000001</v>
      </c>
      <c r="G836" s="1509">
        <f t="shared" si="101"/>
        <v>2.6342887240000001</v>
      </c>
      <c r="H836" s="1509">
        <f t="shared" si="102"/>
        <v>0</v>
      </c>
      <c r="I836" s="1509">
        <v>0</v>
      </c>
      <c r="J836" s="1509">
        <v>0</v>
      </c>
      <c r="K836" s="1509"/>
      <c r="L836" s="1509"/>
      <c r="M836" s="1509">
        <f t="shared" si="103"/>
        <v>0</v>
      </c>
      <c r="N836" s="1509">
        <f t="shared" si="104"/>
        <v>0</v>
      </c>
    </row>
    <row r="837" spans="1:14" customFormat="1" ht="29" outlineLevel="1" x14ac:dyDescent="0.25">
      <c r="A837" s="1511">
        <f t="shared" si="111"/>
        <v>9</v>
      </c>
      <c r="B837" s="1515" t="str">
        <f t="shared" si="111"/>
        <v>Received from project 2010-11 - mechanical works o f Boiler Plant and Equipments</v>
      </c>
      <c r="C837" s="1396" t="str">
        <f t="shared" si="111"/>
        <v>N.A.</v>
      </c>
      <c r="D837" s="1378" t="str">
        <f t="shared" si="111"/>
        <v>-</v>
      </c>
      <c r="E837" s="1505">
        <f t="shared" si="111"/>
        <v>0</v>
      </c>
      <c r="F837" s="1509">
        <f t="shared" si="100"/>
        <v>2.6342887240000001</v>
      </c>
      <c r="G837" s="1509">
        <f t="shared" si="101"/>
        <v>2.6342887240000001</v>
      </c>
      <c r="H837" s="1509">
        <f t="shared" si="102"/>
        <v>0</v>
      </c>
      <c r="I837" s="1509">
        <v>0</v>
      </c>
      <c r="J837" s="1509">
        <v>0</v>
      </c>
      <c r="K837" s="1509"/>
      <c r="L837" s="1509"/>
      <c r="M837" s="1509">
        <f t="shared" si="103"/>
        <v>0</v>
      </c>
      <c r="N837" s="1509">
        <f t="shared" si="104"/>
        <v>0</v>
      </c>
    </row>
    <row r="838" spans="1:14" customFormat="1" outlineLevel="1" x14ac:dyDescent="0.25">
      <c r="A838" s="1511">
        <f t="shared" si="111"/>
        <v>10</v>
      </c>
      <c r="B838" s="1515" t="str">
        <f t="shared" si="111"/>
        <v>Received from Project 2010-11 - Crane   Hoising Equipment</v>
      </c>
      <c r="C838" s="1396" t="str">
        <f t="shared" si="111"/>
        <v>N.A.</v>
      </c>
      <c r="D838" s="1378" t="str">
        <f t="shared" si="111"/>
        <v>-</v>
      </c>
      <c r="E838" s="1505">
        <f t="shared" si="111"/>
        <v>0</v>
      </c>
      <c r="F838" s="1509">
        <f t="shared" si="100"/>
        <v>1.20114E-2</v>
      </c>
      <c r="G838" s="1509">
        <f t="shared" si="101"/>
        <v>1.20114E-2</v>
      </c>
      <c r="H838" s="1509">
        <f t="shared" si="102"/>
        <v>0</v>
      </c>
      <c r="I838" s="1509">
        <v>0</v>
      </c>
      <c r="J838" s="1509">
        <v>0</v>
      </c>
      <c r="K838" s="1509"/>
      <c r="L838" s="1509"/>
      <c r="M838" s="1509">
        <f t="shared" si="103"/>
        <v>0</v>
      </c>
      <c r="N838" s="1509">
        <f t="shared" si="104"/>
        <v>0</v>
      </c>
    </row>
    <row r="839" spans="1:14" customFormat="1" outlineLevel="1" x14ac:dyDescent="0.25">
      <c r="A839" s="1511">
        <f t="shared" si="111"/>
        <v>11</v>
      </c>
      <c r="B839" s="1515" t="str">
        <f t="shared" si="111"/>
        <v>Enhancd Land CompnstnLarNo134/2003 Srvy No3Jlalp</v>
      </c>
      <c r="C839" s="1396">
        <f t="shared" si="111"/>
        <v>0</v>
      </c>
      <c r="D839" s="1378" t="str">
        <f t="shared" si="111"/>
        <v>-</v>
      </c>
      <c r="E839" s="1505">
        <f t="shared" si="111"/>
        <v>0</v>
      </c>
      <c r="F839" s="1509">
        <f t="shared" si="100"/>
        <v>0.4706939</v>
      </c>
      <c r="G839" s="1509">
        <f t="shared" si="101"/>
        <v>0.4706939</v>
      </c>
      <c r="H839" s="1509">
        <f t="shared" si="102"/>
        <v>0</v>
      </c>
      <c r="I839" s="1509">
        <v>0</v>
      </c>
      <c r="J839" s="1509">
        <v>0</v>
      </c>
      <c r="K839" s="1509"/>
      <c r="L839" s="1509"/>
      <c r="M839" s="1509">
        <f t="shared" si="103"/>
        <v>0</v>
      </c>
      <c r="N839" s="1509">
        <f t="shared" si="104"/>
        <v>0</v>
      </c>
    </row>
    <row r="840" spans="1:14" customFormat="1" outlineLevel="1" x14ac:dyDescent="0.25">
      <c r="A840" s="1511">
        <f t="shared" si="111"/>
        <v>12</v>
      </c>
      <c r="B840" s="1515" t="str">
        <f t="shared" si="111"/>
        <v>Enhancd Land CompnstnLarNo273/2010Sangam Gat24,54,</v>
      </c>
      <c r="C840" s="1396">
        <f t="shared" si="111"/>
        <v>0</v>
      </c>
      <c r="D840" s="1378" t="str">
        <f t="shared" si="111"/>
        <v>-</v>
      </c>
      <c r="E840" s="1505">
        <f t="shared" si="111"/>
        <v>0</v>
      </c>
      <c r="F840" s="1509">
        <f t="shared" si="100"/>
        <v>0.32731569999999999</v>
      </c>
      <c r="G840" s="1509">
        <f t="shared" si="101"/>
        <v>0.32731569999999999</v>
      </c>
      <c r="H840" s="1509">
        <f t="shared" si="102"/>
        <v>0</v>
      </c>
      <c r="I840" s="1509">
        <v>0</v>
      </c>
      <c r="J840" s="1509">
        <v>0</v>
      </c>
      <c r="K840" s="1509"/>
      <c r="L840" s="1509"/>
      <c r="M840" s="1509">
        <f t="shared" si="103"/>
        <v>0</v>
      </c>
      <c r="N840" s="1509">
        <f t="shared" si="104"/>
        <v>0</v>
      </c>
    </row>
    <row r="841" spans="1:14" customFormat="1" outlineLevel="1" x14ac:dyDescent="0.25">
      <c r="A841" s="1511">
        <f t="shared" si="111"/>
        <v>13</v>
      </c>
      <c r="B841" s="1515" t="str">
        <f t="shared" si="111"/>
        <v>Enhancd Land CompnstnLarNo273/2010Sangam Gat24,54,</v>
      </c>
      <c r="C841" s="1396">
        <f t="shared" si="111"/>
        <v>0</v>
      </c>
      <c r="D841" s="1378" t="str">
        <f t="shared" si="111"/>
        <v>-</v>
      </c>
      <c r="E841" s="1505">
        <f t="shared" si="111"/>
        <v>0</v>
      </c>
      <c r="F841" s="1509">
        <f t="shared" si="100"/>
        <v>8.7899000000000005E-2</v>
      </c>
      <c r="G841" s="1509">
        <f t="shared" si="101"/>
        <v>8.7899000000000005E-2</v>
      </c>
      <c r="H841" s="1509">
        <f t="shared" si="102"/>
        <v>0</v>
      </c>
      <c r="I841" s="1509">
        <v>0</v>
      </c>
      <c r="J841" s="1509">
        <v>0</v>
      </c>
      <c r="K841" s="1509"/>
      <c r="L841" s="1509"/>
      <c r="M841" s="1509">
        <f t="shared" si="103"/>
        <v>0</v>
      </c>
      <c r="N841" s="1509">
        <f t="shared" si="104"/>
        <v>0</v>
      </c>
    </row>
    <row r="842" spans="1:14" customFormat="1" ht="29" outlineLevel="1" x14ac:dyDescent="0.25">
      <c r="A842" s="1511">
        <f t="shared" si="111"/>
        <v>14</v>
      </c>
      <c r="B842" s="1515" t="str">
        <f t="shared" si="111"/>
        <v>Received from project 2010-11 - mechanical works of Boiler Plant and Equipments</v>
      </c>
      <c r="C842" s="1396">
        <f t="shared" si="111"/>
        <v>0</v>
      </c>
      <c r="D842" s="1378" t="str">
        <f t="shared" si="111"/>
        <v>-</v>
      </c>
      <c r="E842" s="1505">
        <f t="shared" si="111"/>
        <v>0</v>
      </c>
      <c r="F842" s="1509">
        <f t="shared" si="100"/>
        <v>6.8807868000000001</v>
      </c>
      <c r="G842" s="1509">
        <f t="shared" si="101"/>
        <v>6.8807868000000001</v>
      </c>
      <c r="H842" s="1509">
        <f t="shared" si="102"/>
        <v>0</v>
      </c>
      <c r="I842" s="1509">
        <v>0</v>
      </c>
      <c r="J842" s="1509">
        <v>0</v>
      </c>
      <c r="K842" s="1509"/>
      <c r="L842" s="1509"/>
      <c r="M842" s="1509">
        <f t="shared" si="103"/>
        <v>0</v>
      </c>
      <c r="N842" s="1509">
        <f t="shared" si="104"/>
        <v>0</v>
      </c>
    </row>
    <row r="843" spans="1:14" customFormat="1" outlineLevel="1" x14ac:dyDescent="0.25">
      <c r="A843" s="1511">
        <f t="shared" si="111"/>
        <v>15</v>
      </c>
      <c r="B843" s="1515" t="str">
        <f t="shared" si="111"/>
        <v>Compnsn payment agst land acquired</v>
      </c>
      <c r="C843" s="1396">
        <f t="shared" si="111"/>
        <v>0</v>
      </c>
      <c r="D843" s="1378" t="str">
        <f t="shared" si="111"/>
        <v>-</v>
      </c>
      <c r="E843" s="1505">
        <f t="shared" si="111"/>
        <v>0</v>
      </c>
      <c r="F843" s="1509">
        <f t="shared" si="100"/>
        <v>0</v>
      </c>
      <c r="G843" s="1509">
        <f t="shared" si="101"/>
        <v>0</v>
      </c>
      <c r="H843" s="1509">
        <f t="shared" si="102"/>
        <v>0</v>
      </c>
      <c r="I843" s="1509">
        <v>1.1658021999999999</v>
      </c>
      <c r="J843" s="1509">
        <v>1.1658021999999999</v>
      </c>
      <c r="K843" s="1509"/>
      <c r="L843" s="1509"/>
      <c r="M843" s="1509">
        <f t="shared" si="103"/>
        <v>1.1658021999999999</v>
      </c>
      <c r="N843" s="1509">
        <f t="shared" si="104"/>
        <v>0</v>
      </c>
    </row>
    <row r="844" spans="1:14" customFormat="1" ht="18.5" outlineLevel="1" x14ac:dyDescent="0.25">
      <c r="A844" s="1339" t="str">
        <f t="shared" si="111"/>
        <v>C</v>
      </c>
      <c r="B844" s="1339" t="str">
        <f t="shared" si="111"/>
        <v>Yet to be submitted to MERC</v>
      </c>
      <c r="C844" s="1339">
        <f t="shared" si="111"/>
        <v>0</v>
      </c>
      <c r="D844" s="1378" t="str">
        <f t="shared" si="111"/>
        <v>-</v>
      </c>
      <c r="E844" s="1505">
        <f t="shared" si="111"/>
        <v>0</v>
      </c>
      <c r="F844" s="1509">
        <f t="shared" si="100"/>
        <v>0</v>
      </c>
      <c r="G844" s="1509">
        <f t="shared" si="101"/>
        <v>0</v>
      </c>
      <c r="H844" s="1509">
        <f t="shared" si="102"/>
        <v>0</v>
      </c>
      <c r="I844" s="1509">
        <v>0</v>
      </c>
      <c r="J844" s="1509">
        <v>0</v>
      </c>
      <c r="K844" s="1509"/>
      <c r="L844" s="1509"/>
      <c r="M844" s="1509">
        <f t="shared" si="103"/>
        <v>0</v>
      </c>
      <c r="N844" s="1509">
        <f t="shared" si="104"/>
        <v>0</v>
      </c>
    </row>
    <row r="845" spans="1:14" customFormat="1" ht="58" outlineLevel="1" x14ac:dyDescent="0.25">
      <c r="A845" s="1506">
        <f t="shared" si="111"/>
        <v>2</v>
      </c>
      <c r="B845" s="1507" t="str">
        <f t="shared" si="111"/>
        <v>Upgradation of PCAL to PADO upgradation Charger, UPS &amp; upgradation of fast bus transfer scheme, Installation, Erection and Commissioning of Mill Fire Detection System at U#6,7, HT motors procurement &amp; PLC upgradation.</v>
      </c>
      <c r="C845" s="1506" t="str">
        <f t="shared" si="111"/>
        <v>Yet to be approved</v>
      </c>
      <c r="D845" s="1507" t="str">
        <f t="shared" si="111"/>
        <v>-</v>
      </c>
      <c r="E845" s="1506">
        <f t="shared" si="111"/>
        <v>0</v>
      </c>
      <c r="F845" s="1509">
        <f t="shared" si="100"/>
        <v>0</v>
      </c>
      <c r="G845" s="1509">
        <f t="shared" si="101"/>
        <v>0</v>
      </c>
      <c r="H845" s="1509">
        <f t="shared" si="102"/>
        <v>0</v>
      </c>
      <c r="I845" s="1509">
        <v>0</v>
      </c>
      <c r="J845" s="1509">
        <v>0</v>
      </c>
      <c r="K845" s="1509"/>
      <c r="L845" s="1509"/>
      <c r="M845" s="1509">
        <f t="shared" si="103"/>
        <v>0</v>
      </c>
      <c r="N845" s="1509">
        <f t="shared" si="104"/>
        <v>0</v>
      </c>
    </row>
    <row r="846" spans="1:14" customFormat="1" ht="43.5" outlineLevel="1" x14ac:dyDescent="0.25">
      <c r="A846" s="1511">
        <f t="shared" si="111"/>
        <v>2.1</v>
      </c>
      <c r="B846" s="1515" t="str">
        <f t="shared" si="111"/>
        <v xml:space="preserve">Supply, Erection &amp; Commissioning of 24 V,4500 AH Battery Charger at Unit 6&amp;7,220 V,2500 AH Battery Charger at U-6&amp;7, And110 V,400 AH Battery Charger at Khadka, Naikota Pump House, Parli Vaijnath. </v>
      </c>
      <c r="C846" s="1396" t="str">
        <f t="shared" si="111"/>
        <v>Yet to be approved</v>
      </c>
      <c r="D846" s="1378" t="str">
        <f t="shared" si="111"/>
        <v>-</v>
      </c>
      <c r="E846" s="1505">
        <f t="shared" si="111"/>
        <v>0</v>
      </c>
      <c r="F846" s="1509">
        <f t="shared" si="100"/>
        <v>0</v>
      </c>
      <c r="G846" s="1509">
        <f t="shared" si="101"/>
        <v>0</v>
      </c>
      <c r="H846" s="1509">
        <f t="shared" si="102"/>
        <v>0</v>
      </c>
      <c r="I846" s="1509">
        <v>0</v>
      </c>
      <c r="J846" s="1509">
        <v>0</v>
      </c>
      <c r="K846" s="1509"/>
      <c r="L846" s="1509"/>
      <c r="M846" s="1509">
        <f t="shared" si="103"/>
        <v>0</v>
      </c>
      <c r="N846" s="1509">
        <f t="shared" si="104"/>
        <v>0</v>
      </c>
    </row>
    <row r="847" spans="1:14" customFormat="1" ht="29" outlineLevel="1" x14ac:dyDescent="0.25">
      <c r="A847" s="1511">
        <f t="shared" si="111"/>
        <v>2.2000000000000002</v>
      </c>
      <c r="B847" s="1515" t="str">
        <f t="shared" si="111"/>
        <v xml:space="preserve">Supply, Erection &amp; Commissioning of 80 KVA UPS at U-6&amp;7, Parli Vaijnath. </v>
      </c>
      <c r="C847" s="1396" t="str">
        <f t="shared" si="111"/>
        <v>Yet to be approved</v>
      </c>
      <c r="D847" s="1378" t="str">
        <f t="shared" si="111"/>
        <v>-</v>
      </c>
      <c r="E847" s="1505">
        <f t="shared" si="111"/>
        <v>0</v>
      </c>
      <c r="F847" s="1509">
        <f t="shared" si="100"/>
        <v>0</v>
      </c>
      <c r="G847" s="1509">
        <f t="shared" si="101"/>
        <v>0</v>
      </c>
      <c r="H847" s="1509">
        <f t="shared" si="102"/>
        <v>0</v>
      </c>
      <c r="I847" s="1509">
        <v>0</v>
      </c>
      <c r="J847" s="1509">
        <v>0</v>
      </c>
      <c r="K847" s="1509"/>
      <c r="L847" s="1509"/>
      <c r="M847" s="1509">
        <f t="shared" si="103"/>
        <v>0</v>
      </c>
      <c r="N847" s="1509">
        <f t="shared" si="104"/>
        <v>0</v>
      </c>
    </row>
    <row r="848" spans="1:14" customFormat="1" outlineLevel="1" x14ac:dyDescent="0.25">
      <c r="A848" s="1511">
        <f t="shared" si="111"/>
        <v>2.2999999999999998</v>
      </c>
      <c r="B848" s="1515" t="str">
        <f t="shared" si="111"/>
        <v>Up-gradation of BTS system at Unit 6 &amp; 7 , Parli-Vaijnath.</v>
      </c>
      <c r="C848" s="1396" t="str">
        <f t="shared" si="111"/>
        <v>Yet to be approved</v>
      </c>
      <c r="D848" s="1378" t="str">
        <f t="shared" si="111"/>
        <v>-</v>
      </c>
      <c r="E848" s="1505">
        <f t="shared" si="111"/>
        <v>0</v>
      </c>
      <c r="F848" s="1509">
        <f t="shared" si="100"/>
        <v>0</v>
      </c>
      <c r="G848" s="1509">
        <f t="shared" si="101"/>
        <v>0</v>
      </c>
      <c r="H848" s="1509">
        <f t="shared" si="102"/>
        <v>0</v>
      </c>
      <c r="I848" s="1509">
        <v>0</v>
      </c>
      <c r="J848" s="1509">
        <v>0</v>
      </c>
      <c r="K848" s="1509"/>
      <c r="L848" s="1509"/>
      <c r="M848" s="1509">
        <f t="shared" si="103"/>
        <v>0</v>
      </c>
      <c r="N848" s="1509">
        <f t="shared" si="104"/>
        <v>0</v>
      </c>
    </row>
    <row r="849" spans="1:14" customFormat="1" ht="29" outlineLevel="1" x14ac:dyDescent="0.25">
      <c r="A849" s="1511">
        <f t="shared" si="111"/>
        <v>2.4</v>
      </c>
      <c r="B849" s="1515" t="str">
        <f t="shared" si="111"/>
        <v>Supply Installation, erection, and commissioning of Mill fire detection system at U# 6,7 NPTPS, Parli- V</v>
      </c>
      <c r="C849" s="1396" t="str">
        <f t="shared" si="111"/>
        <v>Yet to be approved</v>
      </c>
      <c r="D849" s="1378" t="str">
        <f t="shared" si="111"/>
        <v>-</v>
      </c>
      <c r="E849" s="1505">
        <f t="shared" si="111"/>
        <v>0</v>
      </c>
      <c r="F849" s="1509">
        <f t="shared" si="100"/>
        <v>0</v>
      </c>
      <c r="G849" s="1509">
        <f t="shared" si="101"/>
        <v>0</v>
      </c>
      <c r="H849" s="1509">
        <f t="shared" si="102"/>
        <v>0</v>
      </c>
      <c r="I849" s="1509">
        <v>0</v>
      </c>
      <c r="J849" s="1509">
        <v>0</v>
      </c>
      <c r="K849" s="1509"/>
      <c r="L849" s="1509"/>
      <c r="M849" s="1509">
        <f t="shared" si="103"/>
        <v>0</v>
      </c>
      <c r="N849" s="1509">
        <f t="shared" si="104"/>
        <v>0</v>
      </c>
    </row>
    <row r="850" spans="1:14" customFormat="1" ht="43.5" outlineLevel="1" x14ac:dyDescent="0.25">
      <c r="A850" s="1511">
        <f t="shared" si="111"/>
        <v>2.5</v>
      </c>
      <c r="B850" s="1515" t="str">
        <f t="shared" si="111"/>
        <v>Upgradation of Existing PCal System with Plant Performance Analysis Diagnostic and   Optimization System (PADO) at Unit - 6,7 New Parli TPS, Parli-V.</v>
      </c>
      <c r="C850" s="1396" t="str">
        <f t="shared" si="111"/>
        <v>Yet to be approved</v>
      </c>
      <c r="D850" s="1378" t="str">
        <f t="shared" si="111"/>
        <v>-</v>
      </c>
      <c r="E850" s="1505">
        <f t="shared" si="111"/>
        <v>0</v>
      </c>
      <c r="F850" s="1509">
        <f t="shared" si="100"/>
        <v>0</v>
      </c>
      <c r="G850" s="1509">
        <f t="shared" si="101"/>
        <v>0</v>
      </c>
      <c r="H850" s="1509">
        <f t="shared" si="102"/>
        <v>0</v>
      </c>
      <c r="I850" s="1509">
        <v>0</v>
      </c>
      <c r="J850" s="1509">
        <v>0</v>
      </c>
      <c r="K850" s="1509"/>
      <c r="L850" s="1509"/>
      <c r="M850" s="1509">
        <f t="shared" si="103"/>
        <v>0</v>
      </c>
      <c r="N850" s="1509">
        <f t="shared" si="104"/>
        <v>0</v>
      </c>
    </row>
    <row r="851" spans="1:14" customFormat="1" ht="58" outlineLevel="1" x14ac:dyDescent="0.25">
      <c r="A851" s="1511">
        <f t="shared" si="111"/>
        <v>2.6</v>
      </c>
      <c r="B851" s="1515" t="str">
        <f t="shared" si="111"/>
        <v>Upgradation of expired and vulnerable SCADA, Operating System, and Hardware to improve life and communication system of DM Plant and Condenser Polishing Plant Unit 6&amp;7 250 MW at NPTPS Parli V".</v>
      </c>
      <c r="C851" s="1396" t="str">
        <f t="shared" si="111"/>
        <v>Yet to be approved</v>
      </c>
      <c r="D851" s="1378" t="str">
        <f t="shared" si="111"/>
        <v>-</v>
      </c>
      <c r="E851" s="1505">
        <f t="shared" si="111"/>
        <v>0</v>
      </c>
      <c r="F851" s="1509">
        <f t="shared" si="100"/>
        <v>0</v>
      </c>
      <c r="G851" s="1509">
        <f t="shared" si="101"/>
        <v>0</v>
      </c>
      <c r="H851" s="1509">
        <f t="shared" si="102"/>
        <v>0</v>
      </c>
      <c r="I851" s="1509">
        <v>0</v>
      </c>
      <c r="J851" s="1509">
        <v>0</v>
      </c>
      <c r="K851" s="1509"/>
      <c r="L851" s="1509"/>
      <c r="M851" s="1509">
        <f t="shared" si="103"/>
        <v>0</v>
      </c>
      <c r="N851" s="1509">
        <f t="shared" si="104"/>
        <v>0</v>
      </c>
    </row>
    <row r="852" spans="1:14" customFormat="1" outlineLevel="1" x14ac:dyDescent="0.25">
      <c r="A852" s="1511">
        <f t="shared" ref="A852:E867" si="112">A495</f>
        <v>2.7</v>
      </c>
      <c r="B852" s="1515" t="str">
        <f t="shared" si="112"/>
        <v>Procurement of Energy efficient HT motors at U#6,7, TPS Parli-V</v>
      </c>
      <c r="C852" s="1396" t="str">
        <f t="shared" si="112"/>
        <v>Yet to be approved</v>
      </c>
      <c r="D852" s="1378" t="str">
        <f t="shared" si="112"/>
        <v>-</v>
      </c>
      <c r="E852" s="1505">
        <f t="shared" si="112"/>
        <v>0</v>
      </c>
      <c r="F852" s="1509">
        <f t="shared" ref="F852:F915" si="113">F495+I495</f>
        <v>0</v>
      </c>
      <c r="G852" s="1509">
        <f t="shared" ref="G852:G915" si="114">G495+M495</f>
        <v>0</v>
      </c>
      <c r="H852" s="1509">
        <f t="shared" si="102"/>
        <v>0</v>
      </c>
      <c r="I852" s="1509">
        <v>0</v>
      </c>
      <c r="J852" s="1509">
        <v>0</v>
      </c>
      <c r="K852" s="1509"/>
      <c r="L852" s="1509"/>
      <c r="M852" s="1509">
        <f t="shared" si="103"/>
        <v>0</v>
      </c>
      <c r="N852" s="1509">
        <f t="shared" si="104"/>
        <v>0</v>
      </c>
    </row>
    <row r="853" spans="1:14" customFormat="1" outlineLevel="1" x14ac:dyDescent="0.25">
      <c r="A853" s="1515">
        <f t="shared" si="112"/>
        <v>0</v>
      </c>
      <c r="B853" s="1515" t="str">
        <f t="shared" si="112"/>
        <v>IDC</v>
      </c>
      <c r="C853" s="1396">
        <f t="shared" si="112"/>
        <v>0</v>
      </c>
      <c r="D853" s="1378" t="str">
        <f t="shared" si="112"/>
        <v>-</v>
      </c>
      <c r="E853" s="1505">
        <f t="shared" si="112"/>
        <v>0</v>
      </c>
      <c r="F853" s="1509">
        <f t="shared" si="113"/>
        <v>0</v>
      </c>
      <c r="G853" s="1509">
        <f t="shared" si="114"/>
        <v>0</v>
      </c>
      <c r="H853" s="1509">
        <f t="shared" ref="H853:H916" si="115">F853-G853</f>
        <v>0</v>
      </c>
      <c r="I853" s="1509">
        <v>0</v>
      </c>
      <c r="J853" s="1509">
        <v>0</v>
      </c>
      <c r="K853" s="1509"/>
      <c r="L853" s="1509"/>
      <c r="M853" s="1509">
        <f t="shared" ref="M853:M916" si="116">SUM(J853:L853)</f>
        <v>0</v>
      </c>
      <c r="N853" s="1509">
        <f t="shared" ref="N853:N916" si="117">H853+I853-M853</f>
        <v>0</v>
      </c>
    </row>
    <row r="854" spans="1:14" customFormat="1" ht="43.5" outlineLevel="1" x14ac:dyDescent="0.25">
      <c r="A854" s="1506">
        <f t="shared" si="112"/>
        <v>3</v>
      </c>
      <c r="B854" s="1507" t="str">
        <f t="shared" si="112"/>
        <v>DPR on Supply, Installation, and commissioning of complete Governing rack assembly at Unit -06 &amp; 07 TPS Parli-V &amp; Procurement of LPT inner-inner casing at Unit 07 TPS Parli-V.</v>
      </c>
      <c r="C854" s="1506" t="str">
        <f t="shared" si="112"/>
        <v>Yet to be approved</v>
      </c>
      <c r="D854" s="1507" t="str">
        <f t="shared" si="112"/>
        <v>-</v>
      </c>
      <c r="E854" s="1506">
        <f t="shared" si="112"/>
        <v>0</v>
      </c>
      <c r="F854" s="1509">
        <f t="shared" si="113"/>
        <v>0</v>
      </c>
      <c r="G854" s="1509">
        <f t="shared" si="114"/>
        <v>0</v>
      </c>
      <c r="H854" s="1509">
        <f t="shared" si="115"/>
        <v>0</v>
      </c>
      <c r="I854" s="1509">
        <v>0</v>
      </c>
      <c r="J854" s="1509">
        <v>0</v>
      </c>
      <c r="K854" s="1509"/>
      <c r="L854" s="1509"/>
      <c r="M854" s="1509">
        <f t="shared" si="116"/>
        <v>0</v>
      </c>
      <c r="N854" s="1509">
        <f t="shared" si="117"/>
        <v>0</v>
      </c>
    </row>
    <row r="855" spans="1:14" customFormat="1" ht="29" outlineLevel="1" x14ac:dyDescent="0.25">
      <c r="A855" s="1511">
        <f t="shared" si="112"/>
        <v>3.1</v>
      </c>
      <c r="B855" s="1515" t="str">
        <f t="shared" si="112"/>
        <v>Supply, Installation and Commissioning of complete governing rack assembly at Unit-06 TPS ,PARLI-V</v>
      </c>
      <c r="C855" s="1396" t="str">
        <f t="shared" si="112"/>
        <v>Yet to be approved</v>
      </c>
      <c r="D855" s="1378" t="str">
        <f t="shared" si="112"/>
        <v>-</v>
      </c>
      <c r="E855" s="1505">
        <f t="shared" si="112"/>
        <v>0</v>
      </c>
      <c r="F855" s="1509">
        <f t="shared" si="113"/>
        <v>0</v>
      </c>
      <c r="G855" s="1509">
        <f t="shared" si="114"/>
        <v>0</v>
      </c>
      <c r="H855" s="1509">
        <f t="shared" si="115"/>
        <v>0</v>
      </c>
      <c r="I855" s="1509">
        <v>0</v>
      </c>
      <c r="J855" s="1509">
        <v>0</v>
      </c>
      <c r="K855" s="1509"/>
      <c r="L855" s="1509"/>
      <c r="M855" s="1509">
        <f t="shared" si="116"/>
        <v>0</v>
      </c>
      <c r="N855" s="1509">
        <f t="shared" si="117"/>
        <v>0</v>
      </c>
    </row>
    <row r="856" spans="1:14" customFormat="1" outlineLevel="1" x14ac:dyDescent="0.25">
      <c r="A856" s="1511">
        <f t="shared" si="112"/>
        <v>3.2</v>
      </c>
      <c r="B856" s="1515" t="str">
        <f t="shared" si="112"/>
        <v>Procurement of LPT inner-inner casing at Unit- 7 TPS, Parli-V</v>
      </c>
      <c r="C856" s="1396" t="str">
        <f t="shared" si="112"/>
        <v>Yet to be approved</v>
      </c>
      <c r="D856" s="1378" t="str">
        <f t="shared" si="112"/>
        <v>-</v>
      </c>
      <c r="E856" s="1505">
        <f t="shared" si="112"/>
        <v>0</v>
      </c>
      <c r="F856" s="1509">
        <f t="shared" si="113"/>
        <v>0</v>
      </c>
      <c r="G856" s="1509">
        <f t="shared" si="114"/>
        <v>0</v>
      </c>
      <c r="H856" s="1509">
        <f t="shared" si="115"/>
        <v>0</v>
      </c>
      <c r="I856" s="1509">
        <v>0</v>
      </c>
      <c r="J856" s="1509">
        <v>0</v>
      </c>
      <c r="K856" s="1509"/>
      <c r="L856" s="1509"/>
      <c r="M856" s="1509">
        <f t="shared" si="116"/>
        <v>0</v>
      </c>
      <c r="N856" s="1509">
        <f t="shared" si="117"/>
        <v>0</v>
      </c>
    </row>
    <row r="857" spans="1:14" customFormat="1" outlineLevel="1" x14ac:dyDescent="0.25">
      <c r="A857" s="1511">
        <f t="shared" si="112"/>
        <v>0</v>
      </c>
      <c r="B857" s="1515" t="str">
        <f t="shared" si="112"/>
        <v>IDC</v>
      </c>
      <c r="C857" s="1396" t="str">
        <f t="shared" si="112"/>
        <v>Yet to be approved</v>
      </c>
      <c r="D857" s="1378" t="str">
        <f t="shared" si="112"/>
        <v>-</v>
      </c>
      <c r="E857" s="1505">
        <f t="shared" si="112"/>
        <v>0</v>
      </c>
      <c r="F857" s="1509">
        <f t="shared" si="113"/>
        <v>0</v>
      </c>
      <c r="G857" s="1509">
        <f t="shared" si="114"/>
        <v>0</v>
      </c>
      <c r="H857" s="1509">
        <f t="shared" si="115"/>
        <v>0</v>
      </c>
      <c r="I857" s="1509">
        <v>0</v>
      </c>
      <c r="J857" s="1509">
        <v>0</v>
      </c>
      <c r="K857" s="1509"/>
      <c r="L857" s="1509"/>
      <c r="M857" s="1509">
        <f t="shared" si="116"/>
        <v>0</v>
      </c>
      <c r="N857" s="1509">
        <f t="shared" si="117"/>
        <v>0</v>
      </c>
    </row>
    <row r="858" spans="1:14" customFormat="1" ht="101.5" outlineLevel="1" x14ac:dyDescent="0.25">
      <c r="A858" s="1506">
        <f t="shared" si="112"/>
        <v>4</v>
      </c>
      <c r="B858" s="1507" t="str">
        <f t="shared" si="112"/>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858" s="1506" t="str">
        <f t="shared" si="112"/>
        <v>Yet to be approved</v>
      </c>
      <c r="D858" s="1507" t="str">
        <f t="shared" si="112"/>
        <v>-</v>
      </c>
      <c r="E858" s="1506">
        <f t="shared" si="112"/>
        <v>0</v>
      </c>
      <c r="F858" s="1509">
        <f t="shared" si="113"/>
        <v>0</v>
      </c>
      <c r="G858" s="1509">
        <f t="shared" si="114"/>
        <v>0</v>
      </c>
      <c r="H858" s="1509">
        <f t="shared" si="115"/>
        <v>0</v>
      </c>
      <c r="I858" s="1509">
        <v>0</v>
      </c>
      <c r="J858" s="1509">
        <v>0</v>
      </c>
      <c r="K858" s="1509"/>
      <c r="L858" s="1509"/>
      <c r="M858" s="1509">
        <f t="shared" si="116"/>
        <v>0</v>
      </c>
      <c r="N858" s="1509">
        <f t="shared" si="117"/>
        <v>0</v>
      </c>
    </row>
    <row r="859" spans="1:14" customFormat="1" ht="29" outlineLevel="1" x14ac:dyDescent="0.25">
      <c r="A859" s="1511">
        <f t="shared" si="112"/>
        <v>4.0999999999999996</v>
      </c>
      <c r="B859" s="1515" t="str">
        <f t="shared" si="112"/>
        <v>Procurement of Energy Efficient Cartridges of Boiler Feed Pumps at Unit #6&amp;7 Parli TPS and BFP booster pumps at Unit 6,7 Parli Vaijnath.</v>
      </c>
      <c r="C859" s="1396" t="str">
        <f t="shared" si="112"/>
        <v>Yet to be approved</v>
      </c>
      <c r="D859" s="1378" t="str">
        <f t="shared" si="112"/>
        <v>-</v>
      </c>
      <c r="E859" s="1505">
        <f t="shared" si="112"/>
        <v>0</v>
      </c>
      <c r="F859" s="1509">
        <f t="shared" si="113"/>
        <v>0</v>
      </c>
      <c r="G859" s="1509">
        <f t="shared" si="114"/>
        <v>0</v>
      </c>
      <c r="H859" s="1509">
        <f t="shared" si="115"/>
        <v>0</v>
      </c>
      <c r="I859" s="1509">
        <v>0</v>
      </c>
      <c r="J859" s="1509">
        <v>0</v>
      </c>
      <c r="K859" s="1509"/>
      <c r="L859" s="1509"/>
      <c r="M859" s="1509">
        <f t="shared" si="116"/>
        <v>0</v>
      </c>
      <c r="N859" s="1509">
        <f t="shared" si="117"/>
        <v>0</v>
      </c>
    </row>
    <row r="860" spans="1:14" customFormat="1" ht="29" outlineLevel="1" x14ac:dyDescent="0.25">
      <c r="A860" s="1511">
        <f t="shared" si="112"/>
        <v>4.2</v>
      </c>
      <c r="B860" s="1515" t="str">
        <f t="shared" si="112"/>
        <v>Refurbishment of existing M/s Jindal make H2 gas Dryer at Unit #6&amp;7 Parli TPS</v>
      </c>
      <c r="C860" s="1396" t="str">
        <f t="shared" si="112"/>
        <v>Yet to be approved</v>
      </c>
      <c r="D860" s="1378" t="str">
        <f t="shared" si="112"/>
        <v>-</v>
      </c>
      <c r="E860" s="1505">
        <f t="shared" si="112"/>
        <v>0</v>
      </c>
      <c r="F860" s="1509">
        <f t="shared" si="113"/>
        <v>0</v>
      </c>
      <c r="G860" s="1509">
        <f t="shared" si="114"/>
        <v>0</v>
      </c>
      <c r="H860" s="1509">
        <f t="shared" si="115"/>
        <v>0</v>
      </c>
      <c r="I860" s="1509">
        <v>0</v>
      </c>
      <c r="J860" s="1509">
        <v>0</v>
      </c>
      <c r="K860" s="1509"/>
      <c r="L860" s="1509"/>
      <c r="M860" s="1509">
        <f t="shared" si="116"/>
        <v>0</v>
      </c>
      <c r="N860" s="1509">
        <f t="shared" si="117"/>
        <v>0</v>
      </c>
    </row>
    <row r="861" spans="1:14" customFormat="1" ht="29" outlineLevel="1" x14ac:dyDescent="0.25">
      <c r="A861" s="1511">
        <f t="shared" si="112"/>
        <v>4.3</v>
      </c>
      <c r="B861" s="1515" t="str">
        <f t="shared" si="112"/>
        <v>Refurbishment of existing M/s Donaldson make Instrument Air Dryer at Unit#6 Parli TPS</v>
      </c>
      <c r="C861" s="1396" t="str">
        <f t="shared" si="112"/>
        <v>Yet to be approved</v>
      </c>
      <c r="D861" s="1378" t="str">
        <f t="shared" si="112"/>
        <v>-</v>
      </c>
      <c r="E861" s="1505">
        <f t="shared" si="112"/>
        <v>0</v>
      </c>
      <c r="F861" s="1509">
        <f t="shared" si="113"/>
        <v>0</v>
      </c>
      <c r="G861" s="1509">
        <f t="shared" si="114"/>
        <v>0</v>
      </c>
      <c r="H861" s="1509">
        <f t="shared" si="115"/>
        <v>0</v>
      </c>
      <c r="I861" s="1509">
        <v>0</v>
      </c>
      <c r="J861" s="1509">
        <v>0</v>
      </c>
      <c r="K861" s="1509"/>
      <c r="L861" s="1509"/>
      <c r="M861" s="1509">
        <f t="shared" si="116"/>
        <v>0</v>
      </c>
      <c r="N861" s="1509">
        <f t="shared" si="117"/>
        <v>0</v>
      </c>
    </row>
    <row r="862" spans="1:14" customFormat="1" ht="58" outlineLevel="1" x14ac:dyDescent="0.25">
      <c r="A862" s="1511">
        <f t="shared" si="112"/>
        <v>4.4000000000000004</v>
      </c>
      <c r="B862" s="1515" t="str">
        <f t="shared" si="112"/>
        <v xml:space="preserve"> Repair and refurbishment of flowmore make ACW pump v.t model 24h/2 stage drawing no. csd/96502082k5(A)&amp; HSC booster pump model fig 5821 size 350 x 300 drawing no. csd/96502082k5(b) at unit#6,7.</v>
      </c>
      <c r="C862" s="1396" t="str">
        <f t="shared" si="112"/>
        <v>Yet to be approved</v>
      </c>
      <c r="D862" s="1378" t="str">
        <f t="shared" si="112"/>
        <v>-</v>
      </c>
      <c r="E862" s="1505">
        <f t="shared" si="112"/>
        <v>0</v>
      </c>
      <c r="F862" s="1509">
        <f t="shared" si="113"/>
        <v>0</v>
      </c>
      <c r="G862" s="1509">
        <f t="shared" si="114"/>
        <v>0</v>
      </c>
      <c r="H862" s="1509">
        <f t="shared" si="115"/>
        <v>0</v>
      </c>
      <c r="I862" s="1509">
        <v>0</v>
      </c>
      <c r="J862" s="1509">
        <v>0</v>
      </c>
      <c r="K862" s="1509"/>
      <c r="L862" s="1509"/>
      <c r="M862" s="1509">
        <f t="shared" si="116"/>
        <v>0</v>
      </c>
      <c r="N862" s="1509">
        <f t="shared" si="117"/>
        <v>0</v>
      </c>
    </row>
    <row r="863" spans="1:14" customFormat="1" outlineLevel="1" x14ac:dyDescent="0.25">
      <c r="A863" s="1511">
        <f t="shared" si="112"/>
        <v>0</v>
      </c>
      <c r="B863" s="1515" t="str">
        <f t="shared" si="112"/>
        <v>IDC</v>
      </c>
      <c r="C863" s="1396" t="str">
        <f t="shared" si="112"/>
        <v>Yet to be approved</v>
      </c>
      <c r="D863" s="1378" t="str">
        <f t="shared" si="112"/>
        <v>-</v>
      </c>
      <c r="E863" s="1505">
        <f t="shared" si="112"/>
        <v>0</v>
      </c>
      <c r="F863" s="1509">
        <f t="shared" si="113"/>
        <v>0</v>
      </c>
      <c r="G863" s="1509">
        <f t="shared" si="114"/>
        <v>0</v>
      </c>
      <c r="H863" s="1509">
        <f t="shared" si="115"/>
        <v>0</v>
      </c>
      <c r="I863" s="1509">
        <v>0</v>
      </c>
      <c r="J863" s="1509">
        <v>0</v>
      </c>
      <c r="K863" s="1509"/>
      <c r="L863" s="1509"/>
      <c r="M863" s="1509">
        <f t="shared" si="116"/>
        <v>0</v>
      </c>
      <c r="N863" s="1509">
        <f t="shared" si="117"/>
        <v>0</v>
      </c>
    </row>
    <row r="864" spans="1:14" customFormat="1" outlineLevel="1" x14ac:dyDescent="0.25">
      <c r="A864" s="1506">
        <f t="shared" si="112"/>
        <v>5</v>
      </c>
      <c r="B864" s="1507" t="str">
        <f t="shared" si="112"/>
        <v>Bolier Improvement schemes at  U#6,7 Parli TPS</v>
      </c>
      <c r="C864" s="1506" t="str">
        <f t="shared" si="112"/>
        <v>Yet to be approved</v>
      </c>
      <c r="D864" s="1507" t="str">
        <f t="shared" si="112"/>
        <v>-</v>
      </c>
      <c r="E864" s="1506">
        <f t="shared" si="112"/>
        <v>0</v>
      </c>
      <c r="F864" s="1509">
        <f t="shared" si="113"/>
        <v>0</v>
      </c>
      <c r="G864" s="1509">
        <f t="shared" si="114"/>
        <v>0</v>
      </c>
      <c r="H864" s="1509">
        <f t="shared" si="115"/>
        <v>0</v>
      </c>
      <c r="I864" s="1509">
        <v>0</v>
      </c>
      <c r="J864" s="1509">
        <v>0</v>
      </c>
      <c r="K864" s="1509"/>
      <c r="L864" s="1509"/>
      <c r="M864" s="1509">
        <f t="shared" si="116"/>
        <v>0</v>
      </c>
      <c r="N864" s="1509">
        <f t="shared" si="117"/>
        <v>0</v>
      </c>
    </row>
    <row r="865" spans="1:14" customFormat="1" ht="29" outlineLevel="1" x14ac:dyDescent="0.25">
      <c r="A865" s="1511">
        <f t="shared" si="112"/>
        <v>5.0999999999999996</v>
      </c>
      <c r="B865" s="1515" t="str">
        <f t="shared" si="112"/>
        <v>Procurment &amp; replacement of Four complete set of APH basket ay U#6 &amp; 7</v>
      </c>
      <c r="C865" s="1396" t="str">
        <f t="shared" si="112"/>
        <v>Yet to be approved</v>
      </c>
      <c r="D865" s="1378" t="str">
        <f t="shared" si="112"/>
        <v>-</v>
      </c>
      <c r="E865" s="1505">
        <f t="shared" si="112"/>
        <v>0</v>
      </c>
      <c r="F865" s="1509">
        <f t="shared" si="113"/>
        <v>0</v>
      </c>
      <c r="G865" s="1509">
        <f t="shared" si="114"/>
        <v>0</v>
      </c>
      <c r="H865" s="1509">
        <f t="shared" si="115"/>
        <v>0</v>
      </c>
      <c r="I865" s="1509">
        <v>0</v>
      </c>
      <c r="J865" s="1509">
        <v>0</v>
      </c>
      <c r="K865" s="1509"/>
      <c r="L865" s="1509"/>
      <c r="M865" s="1509">
        <f t="shared" si="116"/>
        <v>0</v>
      </c>
      <c r="N865" s="1509">
        <f t="shared" si="117"/>
        <v>0</v>
      </c>
    </row>
    <row r="866" spans="1:14" customFormat="1" ht="29" outlineLevel="1" x14ac:dyDescent="0.25">
      <c r="A866" s="1511">
        <f t="shared" si="112"/>
        <v>5.2</v>
      </c>
      <c r="B866" s="1515" t="str">
        <f t="shared" si="112"/>
        <v>PROCUREMENT &amp; REPLACEMENT OF COAL COMPARATMENT ASSEMBLIES FOR 250 MW UNIT-6 &amp; 7 AT PARLI TPS</v>
      </c>
      <c r="C866" s="1396" t="str">
        <f t="shared" si="112"/>
        <v>Yet to be approved</v>
      </c>
      <c r="D866" s="1378" t="str">
        <f t="shared" si="112"/>
        <v>-</v>
      </c>
      <c r="E866" s="1505">
        <f t="shared" si="112"/>
        <v>0</v>
      </c>
      <c r="F866" s="1509">
        <f t="shared" si="113"/>
        <v>0</v>
      </c>
      <c r="G866" s="1509">
        <f t="shared" si="114"/>
        <v>0</v>
      </c>
      <c r="H866" s="1509">
        <f t="shared" si="115"/>
        <v>0</v>
      </c>
      <c r="I866" s="1509">
        <v>0</v>
      </c>
      <c r="J866" s="1509">
        <v>0</v>
      </c>
      <c r="K866" s="1509"/>
      <c r="L866" s="1509"/>
      <c r="M866" s="1509">
        <f t="shared" si="116"/>
        <v>0</v>
      </c>
      <c r="N866" s="1509">
        <f t="shared" si="117"/>
        <v>0</v>
      </c>
    </row>
    <row r="867" spans="1:14" customFormat="1" ht="29" outlineLevel="1" x14ac:dyDescent="0.25">
      <c r="A867" s="1511">
        <f t="shared" si="112"/>
        <v>5.3</v>
      </c>
      <c r="B867" s="1515" t="str">
        <f t="shared" si="112"/>
        <v>Procurement &amp; replacement  of complete set of Reheater coils for U- 6 &amp; 7</v>
      </c>
      <c r="C867" s="1396" t="str">
        <f t="shared" si="112"/>
        <v>Yet to be approved</v>
      </c>
      <c r="D867" s="1378" t="str">
        <f t="shared" si="112"/>
        <v>-</v>
      </c>
      <c r="E867" s="1505">
        <f t="shared" si="112"/>
        <v>0</v>
      </c>
      <c r="F867" s="1509">
        <f t="shared" si="113"/>
        <v>0</v>
      </c>
      <c r="G867" s="1509">
        <f t="shared" si="114"/>
        <v>0</v>
      </c>
      <c r="H867" s="1509">
        <f t="shared" si="115"/>
        <v>0</v>
      </c>
      <c r="I867" s="1509">
        <v>0</v>
      </c>
      <c r="J867" s="1509">
        <v>0</v>
      </c>
      <c r="K867" s="1509"/>
      <c r="L867" s="1509"/>
      <c r="M867" s="1509">
        <f t="shared" si="116"/>
        <v>0</v>
      </c>
      <c r="N867" s="1509">
        <f t="shared" si="117"/>
        <v>0</v>
      </c>
    </row>
    <row r="868" spans="1:14" customFormat="1" ht="29" outlineLevel="1" x14ac:dyDescent="0.25">
      <c r="A868" s="1511">
        <f t="shared" ref="A868:E883" si="118">A511</f>
        <v>5.4</v>
      </c>
      <c r="B868" s="1515" t="str">
        <f t="shared" si="118"/>
        <v>Procurement &amp; replacement  of complete set of Platen SH coil for U- 6 &amp; 7</v>
      </c>
      <c r="C868" s="1396" t="str">
        <f t="shared" si="118"/>
        <v>Yet to be approved</v>
      </c>
      <c r="D868" s="1378" t="str">
        <f t="shared" si="118"/>
        <v>-</v>
      </c>
      <c r="E868" s="1505">
        <f t="shared" si="118"/>
        <v>0</v>
      </c>
      <c r="F868" s="1509">
        <f t="shared" si="113"/>
        <v>0</v>
      </c>
      <c r="G868" s="1509">
        <f t="shared" si="114"/>
        <v>0</v>
      </c>
      <c r="H868" s="1509">
        <f t="shared" si="115"/>
        <v>0</v>
      </c>
      <c r="I868" s="1509">
        <v>0</v>
      </c>
      <c r="J868" s="1509">
        <v>0</v>
      </c>
      <c r="K868" s="1509"/>
      <c r="L868" s="1509"/>
      <c r="M868" s="1509">
        <f t="shared" si="116"/>
        <v>0</v>
      </c>
      <c r="N868" s="1509">
        <f t="shared" si="117"/>
        <v>0</v>
      </c>
    </row>
    <row r="869" spans="1:14" customFormat="1" outlineLevel="1" x14ac:dyDescent="0.25">
      <c r="A869" s="1511">
        <f t="shared" si="118"/>
        <v>5.5</v>
      </c>
      <c r="B869" s="1515" t="str">
        <f t="shared" si="118"/>
        <v>Procurement &amp; replacement of  shell liner for U-6&amp;7</v>
      </c>
      <c r="C869" s="1396" t="str">
        <f t="shared" si="118"/>
        <v>Yet to be approved</v>
      </c>
      <c r="D869" s="1378" t="str">
        <f t="shared" si="118"/>
        <v>-</v>
      </c>
      <c r="E869" s="1505">
        <f t="shared" si="118"/>
        <v>0</v>
      </c>
      <c r="F869" s="1509">
        <f t="shared" si="113"/>
        <v>0</v>
      </c>
      <c r="G869" s="1509">
        <f t="shared" si="114"/>
        <v>0</v>
      </c>
      <c r="H869" s="1509">
        <f t="shared" si="115"/>
        <v>0</v>
      </c>
      <c r="I869" s="1509">
        <v>0</v>
      </c>
      <c r="J869" s="1509">
        <v>0</v>
      </c>
      <c r="K869" s="1509"/>
      <c r="L869" s="1509"/>
      <c r="M869" s="1509">
        <f t="shared" si="116"/>
        <v>0</v>
      </c>
      <c r="N869" s="1509">
        <f t="shared" si="117"/>
        <v>0</v>
      </c>
    </row>
    <row r="870" spans="1:14" customFormat="1" ht="29" outlineLevel="1" x14ac:dyDescent="0.25">
      <c r="A870" s="1511">
        <f t="shared" si="118"/>
        <v>5.6</v>
      </c>
      <c r="B870" s="1515" t="str">
        <f t="shared" si="118"/>
        <v>Procurement &amp; replacement of  FD fan assembly with blade set at U#6,7</v>
      </c>
      <c r="C870" s="1396" t="str">
        <f t="shared" si="118"/>
        <v>Yet to be approved</v>
      </c>
      <c r="D870" s="1378" t="str">
        <f t="shared" si="118"/>
        <v>-</v>
      </c>
      <c r="E870" s="1505">
        <f t="shared" si="118"/>
        <v>0</v>
      </c>
      <c r="F870" s="1509">
        <f t="shared" si="113"/>
        <v>0</v>
      </c>
      <c r="G870" s="1509">
        <f t="shared" si="114"/>
        <v>0</v>
      </c>
      <c r="H870" s="1509">
        <f t="shared" si="115"/>
        <v>0</v>
      </c>
      <c r="I870" s="1509">
        <v>0</v>
      </c>
      <c r="J870" s="1509">
        <v>0</v>
      </c>
      <c r="K870" s="1509"/>
      <c r="L870" s="1509"/>
      <c r="M870" s="1509">
        <f t="shared" si="116"/>
        <v>0</v>
      </c>
      <c r="N870" s="1509">
        <f t="shared" si="117"/>
        <v>0</v>
      </c>
    </row>
    <row r="871" spans="1:14" customFormat="1" outlineLevel="1" x14ac:dyDescent="0.25">
      <c r="A871" s="1511">
        <f t="shared" si="118"/>
        <v>0</v>
      </c>
      <c r="B871" s="1515" t="str">
        <f t="shared" si="118"/>
        <v>IDC</v>
      </c>
      <c r="C871" s="1396" t="str">
        <f t="shared" si="118"/>
        <v>Yet to be approved</v>
      </c>
      <c r="D871" s="1378" t="str">
        <f t="shared" si="118"/>
        <v>-</v>
      </c>
      <c r="E871" s="1505">
        <f t="shared" si="118"/>
        <v>0</v>
      </c>
      <c r="F871" s="1509">
        <f t="shared" si="113"/>
        <v>0</v>
      </c>
      <c r="G871" s="1509">
        <f t="shared" si="114"/>
        <v>0</v>
      </c>
      <c r="H871" s="1509">
        <f t="shared" si="115"/>
        <v>0</v>
      </c>
      <c r="I871" s="1509">
        <v>0</v>
      </c>
      <c r="J871" s="1509">
        <v>0</v>
      </c>
      <c r="K871" s="1509"/>
      <c r="L871" s="1509"/>
      <c r="M871" s="1509">
        <f t="shared" si="116"/>
        <v>0</v>
      </c>
      <c r="N871" s="1509">
        <f t="shared" si="117"/>
        <v>0</v>
      </c>
    </row>
    <row r="872" spans="1:14" customFormat="1" outlineLevel="1" x14ac:dyDescent="0.25">
      <c r="A872" s="1506">
        <f t="shared" si="118"/>
        <v>6</v>
      </c>
      <c r="B872" s="1507" t="str">
        <f t="shared" si="118"/>
        <v>Bolier plant performance Improvement schemes at  U#6,7 Parli TPS</v>
      </c>
      <c r="C872" s="1506" t="str">
        <f t="shared" si="118"/>
        <v>Yet to be approved</v>
      </c>
      <c r="D872" s="1507" t="str">
        <f t="shared" si="118"/>
        <v>-</v>
      </c>
      <c r="E872" s="1506">
        <f t="shared" si="118"/>
        <v>0</v>
      </c>
      <c r="F872" s="1509">
        <f t="shared" si="113"/>
        <v>0</v>
      </c>
      <c r="G872" s="1509">
        <f t="shared" si="114"/>
        <v>0</v>
      </c>
      <c r="H872" s="1509">
        <f t="shared" si="115"/>
        <v>0</v>
      </c>
      <c r="I872" s="1509">
        <v>0</v>
      </c>
      <c r="J872" s="1509">
        <v>0</v>
      </c>
      <c r="K872" s="1509"/>
      <c r="L872" s="1509"/>
      <c r="M872" s="1509">
        <f t="shared" si="116"/>
        <v>0</v>
      </c>
      <c r="N872" s="1509">
        <f t="shared" si="117"/>
        <v>0</v>
      </c>
    </row>
    <row r="873" spans="1:14" customFormat="1" ht="29" outlineLevel="1" x14ac:dyDescent="0.25">
      <c r="A873" s="1511">
        <f t="shared" si="118"/>
        <v>6.1</v>
      </c>
      <c r="B873" s="1515" t="str">
        <f t="shared" si="118"/>
        <v xml:space="preserve"> PROCUREMENT &amp; REPLACEMENT OF COAL COMPARATMENT ASSEMBLIES FOR 250 MW UNIT-6 &amp; 7 AT PARLI TPS</v>
      </c>
      <c r="C873" s="1396" t="str">
        <f t="shared" si="118"/>
        <v>Yet to be approved</v>
      </c>
      <c r="D873" s="1378" t="str">
        <f t="shared" si="118"/>
        <v>-</v>
      </c>
      <c r="E873" s="1505">
        <f t="shared" si="118"/>
        <v>0</v>
      </c>
      <c r="F873" s="1509">
        <f t="shared" si="113"/>
        <v>0</v>
      </c>
      <c r="G873" s="1509">
        <f t="shared" si="114"/>
        <v>0</v>
      </c>
      <c r="H873" s="1509">
        <f t="shared" si="115"/>
        <v>0</v>
      </c>
      <c r="I873" s="1509">
        <v>0</v>
      </c>
      <c r="J873" s="1509">
        <v>0</v>
      </c>
      <c r="K873" s="1509"/>
      <c r="L873" s="1509"/>
      <c r="M873" s="1509">
        <f t="shared" si="116"/>
        <v>0</v>
      </c>
      <c r="N873" s="1509">
        <f t="shared" si="117"/>
        <v>0</v>
      </c>
    </row>
    <row r="874" spans="1:14" customFormat="1" outlineLevel="1" x14ac:dyDescent="0.25">
      <c r="A874" s="1511">
        <f t="shared" si="118"/>
        <v>6.2</v>
      </c>
      <c r="B874" s="1515" t="str">
        <f t="shared" si="118"/>
        <v>Procurement &amp; replacement of  shell liner for U-6&amp;7</v>
      </c>
      <c r="C874" s="1396" t="str">
        <f t="shared" si="118"/>
        <v>Yet to be approved</v>
      </c>
      <c r="D874" s="1378" t="str">
        <f t="shared" si="118"/>
        <v>-</v>
      </c>
      <c r="E874" s="1505">
        <f t="shared" si="118"/>
        <v>0</v>
      </c>
      <c r="F874" s="1509">
        <f t="shared" si="113"/>
        <v>0</v>
      </c>
      <c r="G874" s="1509">
        <f t="shared" si="114"/>
        <v>0</v>
      </c>
      <c r="H874" s="1509">
        <f t="shared" si="115"/>
        <v>0</v>
      </c>
      <c r="I874" s="1509">
        <v>0</v>
      </c>
      <c r="J874" s="1509">
        <v>0</v>
      </c>
      <c r="K874" s="1509"/>
      <c r="L874" s="1509"/>
      <c r="M874" s="1509">
        <f t="shared" si="116"/>
        <v>0</v>
      </c>
      <c r="N874" s="1509">
        <f t="shared" si="117"/>
        <v>0</v>
      </c>
    </row>
    <row r="875" spans="1:14" customFormat="1" ht="29" outlineLevel="1" x14ac:dyDescent="0.25">
      <c r="A875" s="1511">
        <f t="shared" si="118"/>
        <v>6.3</v>
      </c>
      <c r="B875" s="1515" t="str">
        <f t="shared" si="118"/>
        <v>Procurement &amp; replacement of water wall Z panel &amp; water wall soot blower panel at U#6,7</v>
      </c>
      <c r="C875" s="1396" t="str">
        <f t="shared" si="118"/>
        <v>Yet to be approved</v>
      </c>
      <c r="D875" s="1378" t="str">
        <f t="shared" si="118"/>
        <v>-</v>
      </c>
      <c r="E875" s="1505">
        <f t="shared" si="118"/>
        <v>0</v>
      </c>
      <c r="F875" s="1509">
        <f t="shared" si="113"/>
        <v>0</v>
      </c>
      <c r="G875" s="1509">
        <f t="shared" si="114"/>
        <v>0</v>
      </c>
      <c r="H875" s="1509">
        <f t="shared" si="115"/>
        <v>0</v>
      </c>
      <c r="I875" s="1509">
        <v>0</v>
      </c>
      <c r="J875" s="1509">
        <v>0</v>
      </c>
      <c r="K875" s="1509"/>
      <c r="L875" s="1509"/>
      <c r="M875" s="1509">
        <f t="shared" si="116"/>
        <v>0</v>
      </c>
      <c r="N875" s="1509">
        <f t="shared" si="117"/>
        <v>0</v>
      </c>
    </row>
    <row r="876" spans="1:14" customFormat="1" ht="29" outlineLevel="1" x14ac:dyDescent="0.25">
      <c r="A876" s="1511">
        <f t="shared" si="118"/>
        <v>6.4</v>
      </c>
      <c r="B876" s="1515" t="str">
        <f t="shared" si="118"/>
        <v>Procurement &amp; Replacement of Two complete set of APH Baskets at 250 MW Unit-7, Parli TPS.</v>
      </c>
      <c r="C876" s="1396" t="str">
        <f t="shared" si="118"/>
        <v>Yet to be approved</v>
      </c>
      <c r="D876" s="1378" t="str">
        <f t="shared" si="118"/>
        <v>-</v>
      </c>
      <c r="E876" s="1505">
        <f t="shared" si="118"/>
        <v>0</v>
      </c>
      <c r="F876" s="1509">
        <f t="shared" si="113"/>
        <v>0</v>
      </c>
      <c r="G876" s="1509">
        <f t="shared" si="114"/>
        <v>0</v>
      </c>
      <c r="H876" s="1509">
        <f t="shared" si="115"/>
        <v>0</v>
      </c>
      <c r="I876" s="1509">
        <v>0</v>
      </c>
      <c r="J876" s="1509">
        <v>0</v>
      </c>
      <c r="K876" s="1509"/>
      <c r="L876" s="1509"/>
      <c r="M876" s="1509">
        <f t="shared" si="116"/>
        <v>0</v>
      </c>
      <c r="N876" s="1509">
        <f t="shared" si="117"/>
        <v>0</v>
      </c>
    </row>
    <row r="877" spans="1:14" customFormat="1" outlineLevel="1" x14ac:dyDescent="0.25">
      <c r="A877" s="1511">
        <f t="shared" si="118"/>
        <v>0</v>
      </c>
      <c r="B877" s="1515" t="str">
        <f t="shared" si="118"/>
        <v>IDC</v>
      </c>
      <c r="C877" s="1396" t="str">
        <f t="shared" si="118"/>
        <v>Yet to be approved</v>
      </c>
      <c r="D877" s="1378" t="str">
        <f t="shared" si="118"/>
        <v>-</v>
      </c>
      <c r="E877" s="1505">
        <f t="shared" si="118"/>
        <v>0</v>
      </c>
      <c r="F877" s="1509">
        <f t="shared" si="113"/>
        <v>0</v>
      </c>
      <c r="G877" s="1509">
        <f t="shared" si="114"/>
        <v>0</v>
      </c>
      <c r="H877" s="1509">
        <f t="shared" si="115"/>
        <v>0</v>
      </c>
      <c r="I877" s="1509">
        <v>0</v>
      </c>
      <c r="J877" s="1509">
        <v>0</v>
      </c>
      <c r="K877" s="1509"/>
      <c r="L877" s="1509"/>
      <c r="M877" s="1509">
        <f t="shared" si="116"/>
        <v>0</v>
      </c>
      <c r="N877" s="1509">
        <f t="shared" si="117"/>
        <v>0</v>
      </c>
    </row>
    <row r="878" spans="1:14" customFormat="1" outlineLevel="1" x14ac:dyDescent="0.25">
      <c r="A878" s="1506">
        <f t="shared" si="118"/>
        <v>7</v>
      </c>
      <c r="B878" s="1507" t="str">
        <f t="shared" si="118"/>
        <v>ESP Upgradation at U#6,7</v>
      </c>
      <c r="C878" s="1506" t="str">
        <f t="shared" si="118"/>
        <v>Yet to be approved</v>
      </c>
      <c r="D878" s="1507" t="str">
        <f t="shared" si="118"/>
        <v>-</v>
      </c>
      <c r="E878" s="1506">
        <f t="shared" si="118"/>
        <v>0</v>
      </c>
      <c r="F878" s="1509">
        <f t="shared" si="113"/>
        <v>0</v>
      </c>
      <c r="G878" s="1509">
        <f t="shared" si="114"/>
        <v>0</v>
      </c>
      <c r="H878" s="1509">
        <f t="shared" si="115"/>
        <v>0</v>
      </c>
      <c r="I878" s="1509">
        <v>0</v>
      </c>
      <c r="J878" s="1509">
        <v>0</v>
      </c>
      <c r="K878" s="1509"/>
      <c r="L878" s="1509"/>
      <c r="M878" s="1509">
        <f t="shared" si="116"/>
        <v>0</v>
      </c>
      <c r="N878" s="1509">
        <f t="shared" si="117"/>
        <v>0</v>
      </c>
    </row>
    <row r="879" spans="1:14" customFormat="1" ht="58" outlineLevel="1" x14ac:dyDescent="0.25">
      <c r="A879" s="1511">
        <f t="shared" si="118"/>
        <v>7.1</v>
      </c>
      <c r="B879" s="1515" t="str">
        <f t="shared" si="118"/>
        <v xml:space="preserve"> Procurement &amp; replacement of all emitting coils &amp; collecting plates of ESP &amp; Procurement &amp; replacement of ESP internals at U#6,7 Parli TPS &amp; Replacement of thermal insulation of boiler, ducts &amp; steam piping along with supply</v>
      </c>
      <c r="C879" s="1396" t="str">
        <f t="shared" si="118"/>
        <v>Yet to be approved</v>
      </c>
      <c r="D879" s="1378" t="str">
        <f t="shared" si="118"/>
        <v>-</v>
      </c>
      <c r="E879" s="1505">
        <f t="shared" si="118"/>
        <v>0</v>
      </c>
      <c r="F879" s="1509">
        <f t="shared" si="113"/>
        <v>0</v>
      </c>
      <c r="G879" s="1509">
        <f t="shared" si="114"/>
        <v>0</v>
      </c>
      <c r="H879" s="1509">
        <f t="shared" si="115"/>
        <v>0</v>
      </c>
      <c r="I879" s="1509">
        <v>0</v>
      </c>
      <c r="J879" s="1509">
        <v>0</v>
      </c>
      <c r="K879" s="1509"/>
      <c r="L879" s="1509"/>
      <c r="M879" s="1509">
        <f t="shared" si="116"/>
        <v>0</v>
      </c>
      <c r="N879" s="1509">
        <f t="shared" si="117"/>
        <v>0</v>
      </c>
    </row>
    <row r="880" spans="1:14" customFormat="1" ht="29" outlineLevel="1" x14ac:dyDescent="0.25">
      <c r="A880" s="1511">
        <f t="shared" si="118"/>
        <v>7.2</v>
      </c>
      <c r="B880" s="1515" t="str">
        <f t="shared" si="118"/>
        <v xml:space="preserve"> Replacement of thermal insulation of boiler, ducts &amp; steam piping along with supply</v>
      </c>
      <c r="C880" s="1396" t="str">
        <f t="shared" si="118"/>
        <v>Yet to be approved</v>
      </c>
      <c r="D880" s="1378" t="str">
        <f t="shared" si="118"/>
        <v>-</v>
      </c>
      <c r="E880" s="1505">
        <f t="shared" si="118"/>
        <v>0</v>
      </c>
      <c r="F880" s="1509">
        <f t="shared" si="113"/>
        <v>0</v>
      </c>
      <c r="G880" s="1509">
        <f t="shared" si="114"/>
        <v>0</v>
      </c>
      <c r="H880" s="1509">
        <f t="shared" si="115"/>
        <v>0</v>
      </c>
      <c r="I880" s="1509">
        <v>0</v>
      </c>
      <c r="J880" s="1509">
        <v>0</v>
      </c>
      <c r="K880" s="1509"/>
      <c r="L880" s="1509"/>
      <c r="M880" s="1509">
        <f t="shared" si="116"/>
        <v>0</v>
      </c>
      <c r="N880" s="1509">
        <f t="shared" si="117"/>
        <v>0</v>
      </c>
    </row>
    <row r="881" spans="1:14" customFormat="1" outlineLevel="1" x14ac:dyDescent="0.25">
      <c r="A881" s="1511">
        <f t="shared" si="118"/>
        <v>0</v>
      </c>
      <c r="B881" s="1515" t="str">
        <f t="shared" si="118"/>
        <v>IDC</v>
      </c>
      <c r="C881" s="1396" t="str">
        <f t="shared" si="118"/>
        <v>Yet to be approved</v>
      </c>
      <c r="D881" s="1378" t="str">
        <f t="shared" si="118"/>
        <v>-</v>
      </c>
      <c r="E881" s="1505">
        <f t="shared" si="118"/>
        <v>0</v>
      </c>
      <c r="F881" s="1509">
        <f t="shared" si="113"/>
        <v>0</v>
      </c>
      <c r="G881" s="1509">
        <f t="shared" si="114"/>
        <v>0</v>
      </c>
      <c r="H881" s="1509">
        <f t="shared" si="115"/>
        <v>0</v>
      </c>
      <c r="I881" s="1509">
        <v>0</v>
      </c>
      <c r="J881" s="1509">
        <v>0</v>
      </c>
      <c r="K881" s="1509"/>
      <c r="L881" s="1509"/>
      <c r="M881" s="1509">
        <f t="shared" si="116"/>
        <v>0</v>
      </c>
      <c r="N881" s="1509">
        <f t="shared" si="117"/>
        <v>0</v>
      </c>
    </row>
    <row r="882" spans="1:14" customFormat="1" outlineLevel="1" x14ac:dyDescent="0.25">
      <c r="A882" s="1506">
        <f t="shared" si="118"/>
        <v>8</v>
      </c>
      <c r="B882" s="1507" t="str">
        <f t="shared" si="118"/>
        <v>Augmentation of Dautpur &amp; Sandawa premises water recovery system</v>
      </c>
      <c r="C882" s="1506" t="str">
        <f t="shared" si="118"/>
        <v>Yet to be approved</v>
      </c>
      <c r="D882" s="1507" t="str">
        <f t="shared" si="118"/>
        <v>-</v>
      </c>
      <c r="E882" s="1506">
        <f t="shared" si="118"/>
        <v>0</v>
      </c>
      <c r="F882" s="1509">
        <f t="shared" si="113"/>
        <v>0</v>
      </c>
      <c r="G882" s="1509">
        <f t="shared" si="114"/>
        <v>0</v>
      </c>
      <c r="H882" s="1509">
        <f t="shared" si="115"/>
        <v>0</v>
      </c>
      <c r="I882" s="1509">
        <v>0</v>
      </c>
      <c r="J882" s="1509">
        <v>0</v>
      </c>
      <c r="K882" s="1509"/>
      <c r="L882" s="1509"/>
      <c r="M882" s="1509">
        <f t="shared" si="116"/>
        <v>0</v>
      </c>
      <c r="N882" s="1509">
        <f t="shared" si="117"/>
        <v>0</v>
      </c>
    </row>
    <row r="883" spans="1:14" customFormat="1" ht="29" outlineLevel="1" x14ac:dyDescent="0.25">
      <c r="A883" s="1511">
        <f t="shared" si="118"/>
        <v>8.1</v>
      </c>
      <c r="B883" s="1515" t="str">
        <f t="shared" si="118"/>
        <v>Supply, erection &amp; commissioning of VT pumps for waste water recovery at TM-NPTPS, Parli-V</v>
      </c>
      <c r="C883" s="1396" t="str">
        <f t="shared" si="118"/>
        <v>Yet to be approved</v>
      </c>
      <c r="D883" s="1378" t="str">
        <f t="shared" si="118"/>
        <v>-</v>
      </c>
      <c r="E883" s="1505">
        <f t="shared" si="118"/>
        <v>0</v>
      </c>
      <c r="F883" s="1509">
        <f t="shared" si="113"/>
        <v>0</v>
      </c>
      <c r="G883" s="1509">
        <f t="shared" si="114"/>
        <v>0</v>
      </c>
      <c r="H883" s="1509">
        <f t="shared" si="115"/>
        <v>0</v>
      </c>
      <c r="I883" s="1509">
        <v>0</v>
      </c>
      <c r="J883" s="1509">
        <v>0</v>
      </c>
      <c r="K883" s="1509"/>
      <c r="L883" s="1509"/>
      <c r="M883" s="1509">
        <f t="shared" si="116"/>
        <v>0</v>
      </c>
      <c r="N883" s="1509">
        <f t="shared" si="117"/>
        <v>0</v>
      </c>
    </row>
    <row r="884" spans="1:14" customFormat="1" ht="43.5" outlineLevel="1" x14ac:dyDescent="0.25">
      <c r="A884" s="1511">
        <f t="shared" ref="A884:E899" si="119">A527</f>
        <v>8.1999999999999993</v>
      </c>
      <c r="B884" s="1515" t="str">
        <f t="shared" si="119"/>
        <v>RENOVATION OF ASH WATER RECOVERY SUPPLY SYSTEM INCLUDING ERECTION &amp; COMMISSIONING LT BOARD 11KV/415V SUBSTATION WITH 11KV OH LINE AT SANDWA &amp; DAUTPUR PUMP HOUSE</v>
      </c>
      <c r="C884" s="1396" t="str">
        <f t="shared" si="119"/>
        <v>Yet to be approved</v>
      </c>
      <c r="D884" s="1378" t="str">
        <f t="shared" si="119"/>
        <v>-</v>
      </c>
      <c r="E884" s="1505">
        <f t="shared" si="119"/>
        <v>0</v>
      </c>
      <c r="F884" s="1509">
        <f t="shared" si="113"/>
        <v>0</v>
      </c>
      <c r="G884" s="1509">
        <f t="shared" si="114"/>
        <v>0</v>
      </c>
      <c r="H884" s="1509">
        <f t="shared" si="115"/>
        <v>0</v>
      </c>
      <c r="I884" s="1509">
        <v>0</v>
      </c>
      <c r="J884" s="1509">
        <v>0</v>
      </c>
      <c r="K884" s="1509"/>
      <c r="L884" s="1509"/>
      <c r="M884" s="1509">
        <f t="shared" si="116"/>
        <v>0</v>
      </c>
      <c r="N884" s="1509">
        <f t="shared" si="117"/>
        <v>0</v>
      </c>
    </row>
    <row r="885" spans="1:14" customFormat="1" ht="29" outlineLevel="1" x14ac:dyDescent="0.25">
      <c r="A885" s="1511">
        <f t="shared" si="119"/>
        <v>8.3000000000000007</v>
      </c>
      <c r="B885" s="1515" t="str">
        <f t="shared" si="119"/>
        <v>Construction of New Sandwa recovery pump house at NPTPS Parli Vaijnath.</v>
      </c>
      <c r="C885" s="1396" t="str">
        <f t="shared" si="119"/>
        <v>Yet to be approved</v>
      </c>
      <c r="D885" s="1378" t="str">
        <f t="shared" si="119"/>
        <v>-</v>
      </c>
      <c r="E885" s="1505">
        <f t="shared" si="119"/>
        <v>0</v>
      </c>
      <c r="F885" s="1509">
        <f t="shared" si="113"/>
        <v>0</v>
      </c>
      <c r="G885" s="1509">
        <f t="shared" si="114"/>
        <v>0</v>
      </c>
      <c r="H885" s="1509">
        <f t="shared" si="115"/>
        <v>0</v>
      </c>
      <c r="I885" s="1509">
        <v>0</v>
      </c>
      <c r="J885" s="1509">
        <v>0</v>
      </c>
      <c r="K885" s="1509"/>
      <c r="L885" s="1509"/>
      <c r="M885" s="1509">
        <f t="shared" si="116"/>
        <v>0</v>
      </c>
      <c r="N885" s="1509">
        <f t="shared" si="117"/>
        <v>0</v>
      </c>
    </row>
    <row r="886" spans="1:14" customFormat="1" outlineLevel="1" x14ac:dyDescent="0.25">
      <c r="A886" s="1511">
        <f t="shared" si="119"/>
        <v>0</v>
      </c>
      <c r="B886" s="1515" t="str">
        <f t="shared" si="119"/>
        <v>IDC</v>
      </c>
      <c r="C886" s="1396" t="str">
        <f t="shared" si="119"/>
        <v>Yet to be approved</v>
      </c>
      <c r="D886" s="1378" t="str">
        <f t="shared" si="119"/>
        <v>-</v>
      </c>
      <c r="E886" s="1505">
        <f t="shared" si="119"/>
        <v>0</v>
      </c>
      <c r="F886" s="1509">
        <f t="shared" si="113"/>
        <v>0</v>
      </c>
      <c r="G886" s="1509">
        <f t="shared" si="114"/>
        <v>0</v>
      </c>
      <c r="H886" s="1509">
        <f t="shared" si="115"/>
        <v>0</v>
      </c>
      <c r="I886" s="1509">
        <v>0</v>
      </c>
      <c r="J886" s="1509">
        <v>0</v>
      </c>
      <c r="K886" s="1509"/>
      <c r="L886" s="1509"/>
      <c r="M886" s="1509">
        <f t="shared" si="116"/>
        <v>0</v>
      </c>
      <c r="N886" s="1509">
        <f t="shared" si="117"/>
        <v>0</v>
      </c>
    </row>
    <row r="887" spans="1:14" customFormat="1" ht="43.5" outlineLevel="1" x14ac:dyDescent="0.25">
      <c r="A887" s="1506">
        <f t="shared" si="119"/>
        <v>9</v>
      </c>
      <c r="B887" s="1507" t="str">
        <f t="shared" si="119"/>
        <v>DPR on Modification of governing system from low pressure to high pressure at Unit-06 TPS, PARLI-V and Procurement of  CW pumps at Unit 6,7 Parli Vaijnath.</v>
      </c>
      <c r="C887" s="1506" t="str">
        <f t="shared" si="119"/>
        <v>Yet to be approved</v>
      </c>
      <c r="D887" s="1507" t="str">
        <f t="shared" si="119"/>
        <v>-</v>
      </c>
      <c r="E887" s="1506">
        <f t="shared" si="119"/>
        <v>0</v>
      </c>
      <c r="F887" s="1509">
        <f t="shared" si="113"/>
        <v>0</v>
      </c>
      <c r="G887" s="1509">
        <f t="shared" si="114"/>
        <v>0</v>
      </c>
      <c r="H887" s="1509">
        <f t="shared" si="115"/>
        <v>0</v>
      </c>
      <c r="I887" s="1509">
        <v>0</v>
      </c>
      <c r="J887" s="1509">
        <v>0</v>
      </c>
      <c r="K887" s="1509"/>
      <c r="L887" s="1509"/>
      <c r="M887" s="1509">
        <f t="shared" si="116"/>
        <v>0</v>
      </c>
      <c r="N887" s="1509">
        <f t="shared" si="117"/>
        <v>0</v>
      </c>
    </row>
    <row r="888" spans="1:14" customFormat="1" ht="29" outlineLevel="1" x14ac:dyDescent="0.25">
      <c r="A888" s="1511">
        <f t="shared" si="119"/>
        <v>9.1</v>
      </c>
      <c r="B888" s="1515" t="str">
        <f t="shared" si="119"/>
        <v>Modification of governing system from low pressure to high pressure at Unit-06 TPS, PARLI-V</v>
      </c>
      <c r="C888" s="1396">
        <f t="shared" si="119"/>
        <v>0</v>
      </c>
      <c r="D888" s="1378" t="str">
        <f t="shared" si="119"/>
        <v>-</v>
      </c>
      <c r="E888" s="1505">
        <f t="shared" si="119"/>
        <v>0</v>
      </c>
      <c r="F888" s="1509">
        <f t="shared" si="113"/>
        <v>0</v>
      </c>
      <c r="G888" s="1509">
        <f t="shared" si="114"/>
        <v>0</v>
      </c>
      <c r="H888" s="1509">
        <f t="shared" si="115"/>
        <v>0</v>
      </c>
      <c r="I888" s="1509">
        <v>0</v>
      </c>
      <c r="J888" s="1509">
        <v>0</v>
      </c>
      <c r="K888" s="1509"/>
      <c r="L888" s="1509"/>
      <c r="M888" s="1509">
        <f t="shared" si="116"/>
        <v>0</v>
      </c>
      <c r="N888" s="1509">
        <f t="shared" si="117"/>
        <v>0</v>
      </c>
    </row>
    <row r="889" spans="1:14" customFormat="1" outlineLevel="1" x14ac:dyDescent="0.25">
      <c r="A889" s="1511">
        <f t="shared" si="119"/>
        <v>9.1999999999999993</v>
      </c>
      <c r="B889" s="1515" t="str">
        <f t="shared" si="119"/>
        <v>Procurement of  CW pumps at Unit 6,7 Parli Vaijnath</v>
      </c>
      <c r="C889" s="1396" t="str">
        <f t="shared" si="119"/>
        <v>Yet to be approved</v>
      </c>
      <c r="D889" s="1378" t="str">
        <f t="shared" si="119"/>
        <v>-</v>
      </c>
      <c r="E889" s="1505">
        <f t="shared" si="119"/>
        <v>0</v>
      </c>
      <c r="F889" s="1509">
        <f t="shared" si="113"/>
        <v>0</v>
      </c>
      <c r="G889" s="1509">
        <f t="shared" si="114"/>
        <v>0</v>
      </c>
      <c r="H889" s="1509">
        <f t="shared" si="115"/>
        <v>0</v>
      </c>
      <c r="I889" s="1509">
        <v>0</v>
      </c>
      <c r="J889" s="1509">
        <v>0</v>
      </c>
      <c r="K889" s="1509"/>
      <c r="L889" s="1509"/>
      <c r="M889" s="1509">
        <f t="shared" si="116"/>
        <v>0</v>
      </c>
      <c r="N889" s="1509">
        <f t="shared" si="117"/>
        <v>0</v>
      </c>
    </row>
    <row r="890" spans="1:14" customFormat="1" outlineLevel="1" x14ac:dyDescent="0.25">
      <c r="A890" s="1511">
        <f t="shared" si="119"/>
        <v>0</v>
      </c>
      <c r="B890" s="1515" t="str">
        <f t="shared" si="119"/>
        <v>IDC</v>
      </c>
      <c r="C890" s="1396" t="str">
        <f t="shared" si="119"/>
        <v>Yet to be approved</v>
      </c>
      <c r="D890" s="1378" t="str">
        <f t="shared" si="119"/>
        <v>-</v>
      </c>
      <c r="E890" s="1505">
        <f t="shared" si="119"/>
        <v>0</v>
      </c>
      <c r="F890" s="1509">
        <f t="shared" si="113"/>
        <v>0</v>
      </c>
      <c r="G890" s="1509">
        <f t="shared" si="114"/>
        <v>0</v>
      </c>
      <c r="H890" s="1509">
        <f t="shared" si="115"/>
        <v>0</v>
      </c>
      <c r="I890" s="1509">
        <v>0</v>
      </c>
      <c r="J890" s="1509">
        <v>0</v>
      </c>
      <c r="K890" s="1509"/>
      <c r="L890" s="1509"/>
      <c r="M890" s="1509">
        <f t="shared" si="116"/>
        <v>0</v>
      </c>
      <c r="N890" s="1509">
        <f t="shared" si="117"/>
        <v>0</v>
      </c>
    </row>
    <row r="891" spans="1:14" customFormat="1" ht="29" outlineLevel="1" x14ac:dyDescent="0.25">
      <c r="A891" s="1506">
        <f t="shared" si="119"/>
        <v>10</v>
      </c>
      <c r="B891" s="1507" t="str">
        <f t="shared" si="119"/>
        <v>DPR on Procurement of  HP, IP and LP Turbine  bladesat Unit 6,7 Parli Vaijnath.</v>
      </c>
      <c r="C891" s="1506" t="str">
        <f t="shared" si="119"/>
        <v>Yet to be approved</v>
      </c>
      <c r="D891" s="1507" t="str">
        <f t="shared" si="119"/>
        <v>-</v>
      </c>
      <c r="E891" s="1506">
        <f t="shared" si="119"/>
        <v>0</v>
      </c>
      <c r="F891" s="1509">
        <f t="shared" si="113"/>
        <v>0</v>
      </c>
      <c r="G891" s="1509">
        <f t="shared" si="114"/>
        <v>0</v>
      </c>
      <c r="H891" s="1509">
        <f t="shared" si="115"/>
        <v>0</v>
      </c>
      <c r="I891" s="1509">
        <v>0</v>
      </c>
      <c r="J891" s="1509">
        <v>0</v>
      </c>
      <c r="K891" s="1509"/>
      <c r="L891" s="1509"/>
      <c r="M891" s="1509">
        <f t="shared" si="116"/>
        <v>0</v>
      </c>
      <c r="N891" s="1509">
        <f t="shared" si="117"/>
        <v>0</v>
      </c>
    </row>
    <row r="892" spans="1:14" customFormat="1" ht="29" outlineLevel="1" x14ac:dyDescent="0.25">
      <c r="A892" s="1511">
        <f t="shared" si="119"/>
        <v>10.1</v>
      </c>
      <c r="B892" s="1515" t="str">
        <f t="shared" si="119"/>
        <v>Procurement of  HP, IP and LP Turbine  blade set Unit 6,7 Parli Vaijnath.</v>
      </c>
      <c r="C892" s="1396" t="str">
        <f t="shared" si="119"/>
        <v>Yet to be approved</v>
      </c>
      <c r="D892" s="1378" t="str">
        <f t="shared" si="119"/>
        <v>-</v>
      </c>
      <c r="E892" s="1505">
        <f t="shared" si="119"/>
        <v>0</v>
      </c>
      <c r="F892" s="1509">
        <f t="shared" si="113"/>
        <v>0</v>
      </c>
      <c r="G892" s="1509">
        <f t="shared" si="114"/>
        <v>0</v>
      </c>
      <c r="H892" s="1509">
        <f t="shared" si="115"/>
        <v>0</v>
      </c>
      <c r="I892" s="1509">
        <v>0</v>
      </c>
      <c r="J892" s="1509">
        <v>0</v>
      </c>
      <c r="K892" s="1509"/>
      <c r="L892" s="1509"/>
      <c r="M892" s="1509">
        <f t="shared" si="116"/>
        <v>0</v>
      </c>
      <c r="N892" s="1509">
        <f t="shared" si="117"/>
        <v>0</v>
      </c>
    </row>
    <row r="893" spans="1:14" customFormat="1" outlineLevel="1" x14ac:dyDescent="0.25">
      <c r="A893" s="1511">
        <f t="shared" si="119"/>
        <v>0</v>
      </c>
      <c r="B893" s="1515" t="str">
        <f t="shared" si="119"/>
        <v>IDC</v>
      </c>
      <c r="C893" s="1396" t="str">
        <f t="shared" si="119"/>
        <v>Yet to be approved</v>
      </c>
      <c r="D893" s="1378" t="str">
        <f t="shared" si="119"/>
        <v>-</v>
      </c>
      <c r="E893" s="1505">
        <f t="shared" si="119"/>
        <v>0</v>
      </c>
      <c r="F893" s="1509">
        <f t="shared" si="113"/>
        <v>0</v>
      </c>
      <c r="G893" s="1509">
        <f t="shared" si="114"/>
        <v>0</v>
      </c>
      <c r="H893" s="1509">
        <f t="shared" si="115"/>
        <v>0</v>
      </c>
      <c r="I893" s="1509">
        <v>0</v>
      </c>
      <c r="J893" s="1509">
        <v>0</v>
      </c>
      <c r="K893" s="1509"/>
      <c r="L893" s="1509"/>
      <c r="M893" s="1509">
        <f t="shared" si="116"/>
        <v>0</v>
      </c>
      <c r="N893" s="1509">
        <f t="shared" si="117"/>
        <v>0</v>
      </c>
    </row>
    <row r="894" spans="1:14" customFormat="1" outlineLevel="1" x14ac:dyDescent="0.25">
      <c r="A894" s="1506">
        <f t="shared" si="119"/>
        <v>11</v>
      </c>
      <c r="B894" s="1507" t="str">
        <f t="shared" si="119"/>
        <v>DPR on Procurement of  CEP pumps</v>
      </c>
      <c r="C894" s="1506" t="str">
        <f t="shared" si="119"/>
        <v>Yet to be approved</v>
      </c>
      <c r="D894" s="1507" t="str">
        <f t="shared" si="119"/>
        <v>-</v>
      </c>
      <c r="E894" s="1506">
        <f t="shared" si="119"/>
        <v>0</v>
      </c>
      <c r="F894" s="1509">
        <f t="shared" si="113"/>
        <v>0</v>
      </c>
      <c r="G894" s="1509">
        <f t="shared" si="114"/>
        <v>0</v>
      </c>
      <c r="H894" s="1509">
        <f t="shared" si="115"/>
        <v>0</v>
      </c>
      <c r="I894" s="1509">
        <v>0</v>
      </c>
      <c r="J894" s="1509">
        <v>0</v>
      </c>
      <c r="K894" s="1509"/>
      <c r="L894" s="1509"/>
      <c r="M894" s="1509">
        <f t="shared" si="116"/>
        <v>0</v>
      </c>
      <c r="N894" s="1509">
        <f t="shared" si="117"/>
        <v>0</v>
      </c>
    </row>
    <row r="895" spans="1:14" customFormat="1" outlineLevel="1" x14ac:dyDescent="0.25">
      <c r="A895" s="1511">
        <f t="shared" si="119"/>
        <v>11.1</v>
      </c>
      <c r="B895" s="1515" t="str">
        <f t="shared" si="119"/>
        <v>Procurement of  CEP pumps</v>
      </c>
      <c r="C895" s="1396" t="str">
        <f t="shared" si="119"/>
        <v>Yet to be approved</v>
      </c>
      <c r="D895" s="1378" t="str">
        <f t="shared" si="119"/>
        <v>-</v>
      </c>
      <c r="E895" s="1505">
        <f t="shared" si="119"/>
        <v>0</v>
      </c>
      <c r="F895" s="1509">
        <f t="shared" si="113"/>
        <v>0</v>
      </c>
      <c r="G895" s="1509">
        <f t="shared" si="114"/>
        <v>0</v>
      </c>
      <c r="H895" s="1509">
        <f t="shared" si="115"/>
        <v>0</v>
      </c>
      <c r="I895" s="1509">
        <v>0</v>
      </c>
      <c r="J895" s="1509">
        <v>0</v>
      </c>
      <c r="K895" s="1509"/>
      <c r="L895" s="1509"/>
      <c r="M895" s="1509">
        <f t="shared" si="116"/>
        <v>0</v>
      </c>
      <c r="N895" s="1509">
        <f t="shared" si="117"/>
        <v>0</v>
      </c>
    </row>
    <row r="896" spans="1:14" customFormat="1" outlineLevel="1" x14ac:dyDescent="0.25">
      <c r="A896" s="1511">
        <f t="shared" si="119"/>
        <v>0</v>
      </c>
      <c r="B896" s="1515" t="str">
        <f t="shared" si="119"/>
        <v>IDC</v>
      </c>
      <c r="C896" s="1396" t="str">
        <f t="shared" si="119"/>
        <v>Yet to be approved</v>
      </c>
      <c r="D896" s="1378" t="str">
        <f t="shared" si="119"/>
        <v>-</v>
      </c>
      <c r="E896" s="1505">
        <f t="shared" si="119"/>
        <v>0</v>
      </c>
      <c r="F896" s="1509">
        <f t="shared" si="113"/>
        <v>0</v>
      </c>
      <c r="G896" s="1509">
        <f t="shared" si="114"/>
        <v>0</v>
      </c>
      <c r="H896" s="1509">
        <f t="shared" si="115"/>
        <v>0</v>
      </c>
      <c r="I896" s="1509">
        <v>0</v>
      </c>
      <c r="J896" s="1509">
        <v>0</v>
      </c>
      <c r="K896" s="1509"/>
      <c r="L896" s="1509"/>
      <c r="M896" s="1509">
        <f t="shared" si="116"/>
        <v>0</v>
      </c>
      <c r="N896" s="1509">
        <f t="shared" si="117"/>
        <v>0</v>
      </c>
    </row>
    <row r="897" spans="1:14" customFormat="1" ht="29" outlineLevel="1" x14ac:dyDescent="0.25">
      <c r="A897" s="1506">
        <f t="shared" si="119"/>
        <v>12</v>
      </c>
      <c r="B897" s="1507" t="str">
        <f t="shared" si="119"/>
        <v xml:space="preserve">DPR on Retrofitting of NDCT at Unit 6,7 Parli Vaijnath. and Upgradation of existing chiller AC plant for at Unit 7 Parli Vaijnath. </v>
      </c>
      <c r="C897" s="1506" t="str">
        <f t="shared" si="119"/>
        <v>Yet to be approved</v>
      </c>
      <c r="D897" s="1507" t="str">
        <f t="shared" si="119"/>
        <v>-</v>
      </c>
      <c r="E897" s="1506">
        <f t="shared" si="119"/>
        <v>0</v>
      </c>
      <c r="F897" s="1509">
        <f t="shared" si="113"/>
        <v>0</v>
      </c>
      <c r="G897" s="1509">
        <f t="shared" si="114"/>
        <v>0</v>
      </c>
      <c r="H897" s="1509">
        <f t="shared" si="115"/>
        <v>0</v>
      </c>
      <c r="I897" s="1509">
        <v>0</v>
      </c>
      <c r="J897" s="1509">
        <v>0</v>
      </c>
      <c r="K897" s="1509"/>
      <c r="L897" s="1509"/>
      <c r="M897" s="1509">
        <f t="shared" si="116"/>
        <v>0</v>
      </c>
      <c r="N897" s="1509">
        <f t="shared" si="117"/>
        <v>0</v>
      </c>
    </row>
    <row r="898" spans="1:14" customFormat="1" outlineLevel="1" x14ac:dyDescent="0.25">
      <c r="A898" s="1511">
        <f t="shared" si="119"/>
        <v>12.1</v>
      </c>
      <c r="B898" s="1515" t="str">
        <f t="shared" si="119"/>
        <v>Retrofitting of NDCT at Unit 6,7 Parli Vaijnath.</v>
      </c>
      <c r="C898" s="1396" t="str">
        <f t="shared" si="119"/>
        <v>Yet to be approved</v>
      </c>
      <c r="D898" s="1378" t="str">
        <f t="shared" si="119"/>
        <v>-</v>
      </c>
      <c r="E898" s="1505">
        <f t="shared" si="119"/>
        <v>0</v>
      </c>
      <c r="F898" s="1509">
        <f t="shared" si="113"/>
        <v>0</v>
      </c>
      <c r="G898" s="1509">
        <f t="shared" si="114"/>
        <v>0</v>
      </c>
      <c r="H898" s="1509">
        <f t="shared" si="115"/>
        <v>0</v>
      </c>
      <c r="I898" s="1509">
        <v>0</v>
      </c>
      <c r="J898" s="1509">
        <v>0</v>
      </c>
      <c r="K898" s="1509"/>
      <c r="L898" s="1509"/>
      <c r="M898" s="1509">
        <f t="shared" si="116"/>
        <v>0</v>
      </c>
      <c r="N898" s="1509">
        <f t="shared" si="117"/>
        <v>0</v>
      </c>
    </row>
    <row r="899" spans="1:14" customFormat="1" outlineLevel="1" x14ac:dyDescent="0.25">
      <c r="A899" s="1511">
        <f t="shared" si="119"/>
        <v>12.2</v>
      </c>
      <c r="B899" s="1515" t="str">
        <f t="shared" si="119"/>
        <v>Upgradation of existing chiller AC plant for at Unit 7 Parli Vaijnath.</v>
      </c>
      <c r="C899" s="1396" t="str">
        <f t="shared" si="119"/>
        <v>Yet to be approved</v>
      </c>
      <c r="D899" s="1378" t="str">
        <f t="shared" si="119"/>
        <v>-</v>
      </c>
      <c r="E899" s="1505">
        <f t="shared" si="119"/>
        <v>0</v>
      </c>
      <c r="F899" s="1509">
        <f t="shared" si="113"/>
        <v>0</v>
      </c>
      <c r="G899" s="1509">
        <f t="shared" si="114"/>
        <v>0</v>
      </c>
      <c r="H899" s="1509">
        <f t="shared" si="115"/>
        <v>0</v>
      </c>
      <c r="I899" s="1509">
        <v>0</v>
      </c>
      <c r="J899" s="1509">
        <v>0</v>
      </c>
      <c r="K899" s="1509"/>
      <c r="L899" s="1509"/>
      <c r="M899" s="1509">
        <f t="shared" si="116"/>
        <v>0</v>
      </c>
      <c r="N899" s="1509">
        <f t="shared" si="117"/>
        <v>0</v>
      </c>
    </row>
    <row r="900" spans="1:14" customFormat="1" outlineLevel="1" x14ac:dyDescent="0.25">
      <c r="A900" s="1511">
        <f t="shared" ref="A900:E915" si="120">A543</f>
        <v>0</v>
      </c>
      <c r="B900" s="1515" t="str">
        <f t="shared" si="120"/>
        <v>IDC</v>
      </c>
      <c r="C900" s="1396" t="str">
        <f t="shared" si="120"/>
        <v>Yet to be approved</v>
      </c>
      <c r="D900" s="1378" t="str">
        <f t="shared" si="120"/>
        <v>-</v>
      </c>
      <c r="E900" s="1505">
        <f t="shared" si="120"/>
        <v>0</v>
      </c>
      <c r="F900" s="1509">
        <f t="shared" si="113"/>
        <v>0</v>
      </c>
      <c r="G900" s="1509">
        <f t="shared" si="114"/>
        <v>0</v>
      </c>
      <c r="H900" s="1509">
        <f t="shared" si="115"/>
        <v>0</v>
      </c>
      <c r="I900" s="1509">
        <v>0</v>
      </c>
      <c r="J900" s="1509">
        <v>0</v>
      </c>
      <c r="K900" s="1509"/>
      <c r="L900" s="1509"/>
      <c r="M900" s="1509">
        <f t="shared" si="116"/>
        <v>0</v>
      </c>
      <c r="N900" s="1509">
        <f t="shared" si="117"/>
        <v>0</v>
      </c>
    </row>
    <row r="901" spans="1:14" customFormat="1" outlineLevel="1" x14ac:dyDescent="0.25">
      <c r="A901" s="1506">
        <f t="shared" si="120"/>
        <v>13</v>
      </c>
      <c r="B901" s="1507" t="str">
        <f t="shared" si="120"/>
        <v>DPR on various types of coolers at TPS Parli-Vaijnath</v>
      </c>
      <c r="C901" s="1506" t="str">
        <f t="shared" si="120"/>
        <v>Yet to be approved</v>
      </c>
      <c r="D901" s="1507" t="str">
        <f t="shared" si="120"/>
        <v>-</v>
      </c>
      <c r="E901" s="1506">
        <f t="shared" si="120"/>
        <v>0</v>
      </c>
      <c r="F901" s="1509">
        <f t="shared" si="113"/>
        <v>0</v>
      </c>
      <c r="G901" s="1509">
        <f t="shared" si="114"/>
        <v>0</v>
      </c>
      <c r="H901" s="1509">
        <f t="shared" si="115"/>
        <v>0</v>
      </c>
      <c r="I901" s="1509">
        <v>0</v>
      </c>
      <c r="J901" s="1509">
        <v>0</v>
      </c>
      <c r="K901" s="1509"/>
      <c r="L901" s="1509"/>
      <c r="M901" s="1509">
        <f t="shared" si="116"/>
        <v>0</v>
      </c>
      <c r="N901" s="1509">
        <f t="shared" si="117"/>
        <v>0</v>
      </c>
    </row>
    <row r="902" spans="1:14" customFormat="1" ht="29" outlineLevel="1" x14ac:dyDescent="0.25">
      <c r="A902" s="1511">
        <f t="shared" si="120"/>
        <v>13.1</v>
      </c>
      <c r="B902" s="1515" t="str">
        <f t="shared" si="120"/>
        <v>Procurement of H2 cooler, BFP coolers, generator exciter cooler, seal oil coolers at Unit 6,7 Parli Vaijnath.</v>
      </c>
      <c r="C902" s="1396" t="str">
        <f t="shared" si="120"/>
        <v>Yet to be approved</v>
      </c>
      <c r="D902" s="1378" t="str">
        <f t="shared" si="120"/>
        <v>-</v>
      </c>
      <c r="E902" s="1505">
        <f t="shared" si="120"/>
        <v>0</v>
      </c>
      <c r="F902" s="1509">
        <f t="shared" si="113"/>
        <v>0</v>
      </c>
      <c r="G902" s="1509">
        <f t="shared" si="114"/>
        <v>0</v>
      </c>
      <c r="H902" s="1509">
        <f t="shared" si="115"/>
        <v>0</v>
      </c>
      <c r="I902" s="1509">
        <v>0</v>
      </c>
      <c r="J902" s="1509">
        <v>0</v>
      </c>
      <c r="K902" s="1509"/>
      <c r="L902" s="1509"/>
      <c r="M902" s="1509">
        <f t="shared" si="116"/>
        <v>0</v>
      </c>
      <c r="N902" s="1509">
        <f t="shared" si="117"/>
        <v>0</v>
      </c>
    </row>
    <row r="903" spans="1:14" customFormat="1" outlineLevel="1" x14ac:dyDescent="0.25">
      <c r="A903" s="1511">
        <f t="shared" si="120"/>
        <v>0</v>
      </c>
      <c r="B903" s="1515" t="str">
        <f t="shared" si="120"/>
        <v>IDC</v>
      </c>
      <c r="C903" s="1396" t="str">
        <f t="shared" si="120"/>
        <v>Yet to be approved</v>
      </c>
      <c r="D903" s="1378" t="str">
        <f t="shared" si="120"/>
        <v>-</v>
      </c>
      <c r="E903" s="1505">
        <f t="shared" si="120"/>
        <v>0</v>
      </c>
      <c r="F903" s="1509">
        <f t="shared" si="113"/>
        <v>0</v>
      </c>
      <c r="G903" s="1509">
        <f t="shared" si="114"/>
        <v>0</v>
      </c>
      <c r="H903" s="1509">
        <f t="shared" si="115"/>
        <v>0</v>
      </c>
      <c r="I903" s="1509">
        <v>0</v>
      </c>
      <c r="J903" s="1509">
        <v>0</v>
      </c>
      <c r="K903" s="1509"/>
      <c r="L903" s="1509"/>
      <c r="M903" s="1509">
        <f t="shared" si="116"/>
        <v>0</v>
      </c>
      <c r="N903" s="1509">
        <f t="shared" si="117"/>
        <v>0</v>
      </c>
    </row>
    <row r="904" spans="1:14" customFormat="1" ht="72.5" outlineLevel="1" x14ac:dyDescent="0.25">
      <c r="A904" s="1506">
        <f t="shared" si="120"/>
        <v>14</v>
      </c>
      <c r="B904" s="1507" t="str">
        <f t="shared" si="120"/>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904" s="1506" t="str">
        <f t="shared" si="120"/>
        <v>Yet to be approved</v>
      </c>
      <c r="D904" s="1507" t="str">
        <f t="shared" si="120"/>
        <v>-</v>
      </c>
      <c r="E904" s="1506">
        <f t="shared" si="120"/>
        <v>0</v>
      </c>
      <c r="F904" s="1509">
        <f t="shared" si="113"/>
        <v>0</v>
      </c>
      <c r="G904" s="1509">
        <f t="shared" si="114"/>
        <v>0</v>
      </c>
      <c r="H904" s="1509">
        <f t="shared" si="115"/>
        <v>0</v>
      </c>
      <c r="I904" s="1509">
        <v>0</v>
      </c>
      <c r="J904" s="1509">
        <v>0</v>
      </c>
      <c r="K904" s="1509"/>
      <c r="L904" s="1509"/>
      <c r="M904" s="1509">
        <f t="shared" si="116"/>
        <v>0</v>
      </c>
      <c r="N904" s="1509">
        <f t="shared" si="117"/>
        <v>0</v>
      </c>
    </row>
    <row r="905" spans="1:14" customFormat="1" outlineLevel="1" x14ac:dyDescent="0.25">
      <c r="A905" s="1511">
        <f t="shared" si="120"/>
        <v>14.1</v>
      </c>
      <c r="B905" s="1515" t="str">
        <f t="shared" si="120"/>
        <v>Upgradation of screw type compressor at U#7 Parli Vaijnath.</v>
      </c>
      <c r="C905" s="1396" t="str">
        <f t="shared" si="120"/>
        <v>Yet to be approved</v>
      </c>
      <c r="D905" s="1378" t="str">
        <f t="shared" si="120"/>
        <v>-</v>
      </c>
      <c r="E905" s="1505">
        <f t="shared" si="120"/>
        <v>0</v>
      </c>
      <c r="F905" s="1509">
        <f t="shared" si="113"/>
        <v>0</v>
      </c>
      <c r="G905" s="1509">
        <f t="shared" si="114"/>
        <v>0</v>
      </c>
      <c r="H905" s="1509">
        <f t="shared" si="115"/>
        <v>0</v>
      </c>
      <c r="I905" s="1509">
        <v>0</v>
      </c>
      <c r="J905" s="1509">
        <v>0</v>
      </c>
      <c r="K905" s="1509"/>
      <c r="L905" s="1509"/>
      <c r="M905" s="1509">
        <f t="shared" si="116"/>
        <v>0</v>
      </c>
      <c r="N905" s="1509">
        <f t="shared" si="117"/>
        <v>0</v>
      </c>
    </row>
    <row r="906" spans="1:14" customFormat="1" ht="29" outlineLevel="1" x14ac:dyDescent="0.25">
      <c r="A906" s="1511">
        <f t="shared" si="120"/>
        <v>14.2</v>
      </c>
      <c r="B906" s="1515" t="str">
        <f t="shared" si="120"/>
        <v>Supply, erection &amp; commissioning of Fire Fighting pressure system (pneumatic) at unit 6,7 and 8 at PTPS, Parli-V</v>
      </c>
      <c r="C906" s="1396" t="str">
        <f t="shared" si="120"/>
        <v>Yet to be approved</v>
      </c>
      <c r="D906" s="1378" t="str">
        <f t="shared" si="120"/>
        <v>-</v>
      </c>
      <c r="E906" s="1505">
        <f t="shared" si="120"/>
        <v>0</v>
      </c>
      <c r="F906" s="1509">
        <f t="shared" si="113"/>
        <v>0</v>
      </c>
      <c r="G906" s="1509">
        <f t="shared" si="114"/>
        <v>0</v>
      </c>
      <c r="H906" s="1509">
        <f t="shared" si="115"/>
        <v>0</v>
      </c>
      <c r="I906" s="1509">
        <v>0</v>
      </c>
      <c r="J906" s="1509">
        <v>0</v>
      </c>
      <c r="K906" s="1509"/>
      <c r="L906" s="1509"/>
      <c r="M906" s="1509">
        <f t="shared" si="116"/>
        <v>0</v>
      </c>
      <c r="N906" s="1509">
        <f t="shared" si="117"/>
        <v>0</v>
      </c>
    </row>
    <row r="907" spans="1:14" customFormat="1" ht="29" outlineLevel="1" x14ac:dyDescent="0.25">
      <c r="A907" s="1511">
        <f t="shared" si="120"/>
        <v>14.3</v>
      </c>
      <c r="B907" s="1515" t="str">
        <f t="shared" si="120"/>
        <v>Procurement of BFP discharge valve, BFP recirculation valve and gland steam inlet / outlet valves at Unit 6,7 Parli Vaijnath.</v>
      </c>
      <c r="C907" s="1396" t="str">
        <f t="shared" si="120"/>
        <v>Yet to be approved</v>
      </c>
      <c r="D907" s="1378" t="str">
        <f t="shared" si="120"/>
        <v>-</v>
      </c>
      <c r="E907" s="1505">
        <f t="shared" si="120"/>
        <v>0</v>
      </c>
      <c r="F907" s="1509">
        <f t="shared" si="113"/>
        <v>0</v>
      </c>
      <c r="G907" s="1509">
        <f t="shared" si="114"/>
        <v>0</v>
      </c>
      <c r="H907" s="1509">
        <f t="shared" si="115"/>
        <v>0</v>
      </c>
      <c r="I907" s="1509">
        <v>0</v>
      </c>
      <c r="J907" s="1509">
        <v>0</v>
      </c>
      <c r="K907" s="1509"/>
      <c r="L907" s="1509"/>
      <c r="M907" s="1509">
        <f t="shared" si="116"/>
        <v>0</v>
      </c>
      <c r="N907" s="1509">
        <f t="shared" si="117"/>
        <v>0</v>
      </c>
    </row>
    <row r="908" spans="1:14" customFormat="1" outlineLevel="1" x14ac:dyDescent="0.25">
      <c r="A908" s="1511">
        <f t="shared" si="120"/>
        <v>0</v>
      </c>
      <c r="B908" s="1515" t="str">
        <f t="shared" si="120"/>
        <v>IDC</v>
      </c>
      <c r="C908" s="1396" t="str">
        <f t="shared" si="120"/>
        <v>Yet to be approved</v>
      </c>
      <c r="D908" s="1378" t="str">
        <f t="shared" si="120"/>
        <v>-</v>
      </c>
      <c r="E908" s="1505">
        <f t="shared" si="120"/>
        <v>0</v>
      </c>
      <c r="F908" s="1509">
        <f t="shared" si="113"/>
        <v>0</v>
      </c>
      <c r="G908" s="1509">
        <f t="shared" si="114"/>
        <v>0</v>
      </c>
      <c r="H908" s="1509">
        <f t="shared" si="115"/>
        <v>0</v>
      </c>
      <c r="I908" s="1509">
        <v>0</v>
      </c>
      <c r="J908" s="1509">
        <v>0</v>
      </c>
      <c r="K908" s="1509"/>
      <c r="L908" s="1509"/>
      <c r="M908" s="1509">
        <f t="shared" si="116"/>
        <v>0</v>
      </c>
      <c r="N908" s="1509">
        <f t="shared" si="117"/>
        <v>0</v>
      </c>
    </row>
    <row r="909" spans="1:14" customFormat="1" ht="29" outlineLevel="1" x14ac:dyDescent="0.25">
      <c r="A909" s="1506">
        <f t="shared" si="120"/>
        <v>15</v>
      </c>
      <c r="B909" s="1507" t="str">
        <f t="shared" si="120"/>
        <v>COAL HANDLING PLANT PERFORMANCE IMPROVEMENT BY SYSTEM UPGRADATION  AT Unit 6 ,7 CHP ( 2X 250MW), Parli TPS.</v>
      </c>
      <c r="C909" s="1506" t="str">
        <f t="shared" si="120"/>
        <v>Yet to be approved</v>
      </c>
      <c r="D909" s="1507" t="str">
        <f t="shared" si="120"/>
        <v>-</v>
      </c>
      <c r="E909" s="1506">
        <f t="shared" si="120"/>
        <v>0</v>
      </c>
      <c r="F909" s="1509">
        <f t="shared" si="113"/>
        <v>0</v>
      </c>
      <c r="G909" s="1509">
        <f t="shared" si="114"/>
        <v>0</v>
      </c>
      <c r="H909" s="1509">
        <f t="shared" si="115"/>
        <v>0</v>
      </c>
      <c r="I909" s="1509">
        <v>0</v>
      </c>
      <c r="J909" s="1509">
        <v>0</v>
      </c>
      <c r="K909" s="1509"/>
      <c r="L909" s="1509"/>
      <c r="M909" s="1509">
        <f t="shared" si="116"/>
        <v>0</v>
      </c>
      <c r="N909" s="1509">
        <f t="shared" si="117"/>
        <v>0</v>
      </c>
    </row>
    <row r="910" spans="1:14" customFormat="1" ht="43.5" outlineLevel="1" x14ac:dyDescent="0.25">
      <c r="A910" s="1511">
        <f t="shared" si="120"/>
        <v>15.1</v>
      </c>
      <c r="B910" s="1515" t="str">
        <f t="shared" si="120"/>
        <v>Refurbishment of single stream conveyor drives : Procurement of Various types of Gearbox for single stream conveyor drives of 2X 250 MW CHP U6&amp;7 Parli TPS.</v>
      </c>
      <c r="C910" s="1396" t="str">
        <f t="shared" si="120"/>
        <v>Yet to be approved</v>
      </c>
      <c r="D910" s="1378" t="str">
        <f t="shared" si="120"/>
        <v>-</v>
      </c>
      <c r="E910" s="1505">
        <f t="shared" si="120"/>
        <v>0</v>
      </c>
      <c r="F910" s="1509">
        <f t="shared" si="113"/>
        <v>0</v>
      </c>
      <c r="G910" s="1509">
        <f t="shared" si="114"/>
        <v>0</v>
      </c>
      <c r="H910" s="1509">
        <f t="shared" si="115"/>
        <v>0</v>
      </c>
      <c r="I910" s="1509">
        <v>0</v>
      </c>
      <c r="J910" s="1509">
        <v>0</v>
      </c>
      <c r="K910" s="1509"/>
      <c r="L910" s="1509"/>
      <c r="M910" s="1509">
        <f t="shared" si="116"/>
        <v>0</v>
      </c>
      <c r="N910" s="1509">
        <f t="shared" si="117"/>
        <v>0</v>
      </c>
    </row>
    <row r="911" spans="1:14" customFormat="1" ht="43.5" outlineLevel="1" x14ac:dyDescent="0.25">
      <c r="A911" s="1511">
        <f t="shared" si="120"/>
        <v>15.2</v>
      </c>
      <c r="B911" s="1515" t="str">
        <f t="shared" si="120"/>
        <v>Refurbishment of single stream conveyor drives : Procurement of Various types of fluid couplings for single stream conveyor drives of 2X 250 MW CHP U6&amp;7 Parli TPS.</v>
      </c>
      <c r="C911" s="1396" t="str">
        <f t="shared" si="120"/>
        <v>Yet to be approved</v>
      </c>
      <c r="D911" s="1378" t="str">
        <f t="shared" si="120"/>
        <v>-</v>
      </c>
      <c r="E911" s="1505">
        <f t="shared" si="120"/>
        <v>0</v>
      </c>
      <c r="F911" s="1509">
        <f t="shared" si="113"/>
        <v>0</v>
      </c>
      <c r="G911" s="1509">
        <f t="shared" si="114"/>
        <v>0</v>
      </c>
      <c r="H911" s="1509">
        <f t="shared" si="115"/>
        <v>0</v>
      </c>
      <c r="I911" s="1509">
        <v>0</v>
      </c>
      <c r="J911" s="1509">
        <v>0</v>
      </c>
      <c r="K911" s="1509"/>
      <c r="L911" s="1509"/>
      <c r="M911" s="1509">
        <f t="shared" si="116"/>
        <v>0</v>
      </c>
      <c r="N911" s="1509">
        <f t="shared" si="117"/>
        <v>0</v>
      </c>
    </row>
    <row r="912" spans="1:14" customFormat="1" ht="43.5" outlineLevel="1" x14ac:dyDescent="0.25">
      <c r="A912" s="1511">
        <f t="shared" si="120"/>
        <v>15.3</v>
      </c>
      <c r="B912" s="1515" t="str">
        <f t="shared" si="120"/>
        <v xml:space="preserve">Refurbishment of single stream conveyor drives : Procurement of ENERGY EFFICIENT HT MOTORS for single stream conveyor drives of 2X 250 MW CHP U6&amp;7 Parli TPS.      </v>
      </c>
      <c r="C912" s="1396" t="str">
        <f t="shared" si="120"/>
        <v>Yet to be approved</v>
      </c>
      <c r="D912" s="1378" t="str">
        <f t="shared" si="120"/>
        <v>-</v>
      </c>
      <c r="E912" s="1505">
        <f t="shared" si="120"/>
        <v>0</v>
      </c>
      <c r="F912" s="1509">
        <f t="shared" si="113"/>
        <v>0</v>
      </c>
      <c r="G912" s="1509">
        <f t="shared" si="114"/>
        <v>0</v>
      </c>
      <c r="H912" s="1509">
        <f t="shared" si="115"/>
        <v>0</v>
      </c>
      <c r="I912" s="1509">
        <v>0</v>
      </c>
      <c r="J912" s="1509">
        <v>0</v>
      </c>
      <c r="K912" s="1509"/>
      <c r="L912" s="1509"/>
      <c r="M912" s="1509">
        <f t="shared" si="116"/>
        <v>0</v>
      </c>
      <c r="N912" s="1509">
        <f t="shared" si="117"/>
        <v>0</v>
      </c>
    </row>
    <row r="913" spans="1:14" customFormat="1" ht="43.5" outlineLevel="1" x14ac:dyDescent="0.25">
      <c r="A913" s="1511">
        <f t="shared" si="120"/>
        <v>15.4</v>
      </c>
      <c r="B913" s="1515" t="str">
        <f t="shared" si="120"/>
        <v>Refurbishment of single stream conveyor drives :  Procurement of HT vacuum circuit breakers for single stream conveyor drives of 2X 250 MW CHP U6&amp;7 Parli TPS.</v>
      </c>
      <c r="C913" s="1396" t="str">
        <f t="shared" si="120"/>
        <v>Yet to be approved</v>
      </c>
      <c r="D913" s="1378" t="str">
        <f t="shared" si="120"/>
        <v>-</v>
      </c>
      <c r="E913" s="1505">
        <f t="shared" si="120"/>
        <v>0</v>
      </c>
      <c r="F913" s="1509">
        <f t="shared" si="113"/>
        <v>0</v>
      </c>
      <c r="G913" s="1509">
        <f t="shared" si="114"/>
        <v>0</v>
      </c>
      <c r="H913" s="1509">
        <f t="shared" si="115"/>
        <v>0</v>
      </c>
      <c r="I913" s="1509">
        <v>0</v>
      </c>
      <c r="J913" s="1509">
        <v>0</v>
      </c>
      <c r="K913" s="1509"/>
      <c r="L913" s="1509"/>
      <c r="M913" s="1509">
        <f t="shared" si="116"/>
        <v>0</v>
      </c>
      <c r="N913" s="1509">
        <f t="shared" si="117"/>
        <v>0</v>
      </c>
    </row>
    <row r="914" spans="1:14" customFormat="1" ht="29" outlineLevel="1" x14ac:dyDescent="0.25">
      <c r="A914" s="1511">
        <f t="shared" si="120"/>
        <v>15.5</v>
      </c>
      <c r="B914" s="1515" t="str">
        <f t="shared" si="120"/>
        <v xml:space="preserve">Supply, Erection &amp; Commissioning of street light from U6/7 railway gate to loco shed of CHP U6/7 NPTPS Parli-V </v>
      </c>
      <c r="C914" s="1396" t="str">
        <f t="shared" si="120"/>
        <v>Yet to be approved</v>
      </c>
      <c r="D914" s="1378" t="str">
        <f t="shared" si="120"/>
        <v>-</v>
      </c>
      <c r="E914" s="1505">
        <f t="shared" si="120"/>
        <v>0</v>
      </c>
      <c r="F914" s="1509">
        <f t="shared" si="113"/>
        <v>0</v>
      </c>
      <c r="G914" s="1509">
        <f t="shared" si="114"/>
        <v>0</v>
      </c>
      <c r="H914" s="1509">
        <f t="shared" si="115"/>
        <v>0</v>
      </c>
      <c r="I914" s="1509">
        <v>0</v>
      </c>
      <c r="J914" s="1509">
        <v>0</v>
      </c>
      <c r="K914" s="1509"/>
      <c r="L914" s="1509"/>
      <c r="M914" s="1509">
        <f t="shared" si="116"/>
        <v>0</v>
      </c>
      <c r="N914" s="1509">
        <f t="shared" si="117"/>
        <v>0</v>
      </c>
    </row>
    <row r="915" spans="1:14" customFormat="1" outlineLevel="1" x14ac:dyDescent="0.25">
      <c r="A915" s="1511">
        <f t="shared" si="120"/>
        <v>15.6</v>
      </c>
      <c r="B915" s="1515" t="str">
        <f t="shared" si="120"/>
        <v>Strengthening of U-6 Bunkers at CHP NPTPS</v>
      </c>
      <c r="C915" s="1396" t="str">
        <f t="shared" si="120"/>
        <v>Yet to be approved</v>
      </c>
      <c r="D915" s="1378" t="str">
        <f t="shared" si="120"/>
        <v>-</v>
      </c>
      <c r="E915" s="1505">
        <f t="shared" si="120"/>
        <v>0</v>
      </c>
      <c r="F915" s="1509">
        <f t="shared" si="113"/>
        <v>0</v>
      </c>
      <c r="G915" s="1509">
        <f t="shared" si="114"/>
        <v>0</v>
      </c>
      <c r="H915" s="1509">
        <f t="shared" si="115"/>
        <v>0</v>
      </c>
      <c r="I915" s="1509">
        <v>0</v>
      </c>
      <c r="J915" s="1509">
        <v>0</v>
      </c>
      <c r="K915" s="1509"/>
      <c r="L915" s="1509"/>
      <c r="M915" s="1509">
        <f t="shared" si="116"/>
        <v>0</v>
      </c>
      <c r="N915" s="1509">
        <f t="shared" si="117"/>
        <v>0</v>
      </c>
    </row>
    <row r="916" spans="1:14" customFormat="1" ht="29" outlineLevel="1" x14ac:dyDescent="0.25">
      <c r="A916" s="1511">
        <f t="shared" ref="A916:E931" si="121">A559</f>
        <v>15.7</v>
      </c>
      <c r="B916" s="1515" t="str">
        <f t="shared" si="121"/>
        <v>Supply and commissioning of Suspended Magnets for U-6,7 CHP NPTPS</v>
      </c>
      <c r="C916" s="1396" t="str">
        <f t="shared" si="121"/>
        <v>Yet to be approved</v>
      </c>
      <c r="D916" s="1378" t="str">
        <f t="shared" si="121"/>
        <v>-</v>
      </c>
      <c r="E916" s="1505">
        <f t="shared" si="121"/>
        <v>0</v>
      </c>
      <c r="F916" s="1509">
        <f t="shared" ref="F916:F979" si="122">F559+I559</f>
        <v>0</v>
      </c>
      <c r="G916" s="1509">
        <f t="shared" ref="G916:G979" si="123">G559+M559</f>
        <v>0</v>
      </c>
      <c r="H916" s="1509">
        <f t="shared" si="115"/>
        <v>0</v>
      </c>
      <c r="I916" s="1509">
        <v>0</v>
      </c>
      <c r="J916" s="1509">
        <v>0</v>
      </c>
      <c r="K916" s="1509"/>
      <c r="L916" s="1509"/>
      <c r="M916" s="1509">
        <f t="shared" si="116"/>
        <v>0</v>
      </c>
      <c r="N916" s="1509">
        <f t="shared" si="117"/>
        <v>0</v>
      </c>
    </row>
    <row r="917" spans="1:14" customFormat="1" ht="29" outlineLevel="1" x14ac:dyDescent="0.25">
      <c r="A917" s="1511">
        <f t="shared" si="121"/>
        <v>15.8</v>
      </c>
      <c r="B917" s="1515" t="str">
        <f t="shared" si="121"/>
        <v>Modification of 60 KG rail track with laying crossover turnout at NMVP sliding CHP NPTPS</v>
      </c>
      <c r="C917" s="1396" t="str">
        <f t="shared" si="121"/>
        <v>Yet to be approved</v>
      </c>
      <c r="D917" s="1378" t="str">
        <f t="shared" si="121"/>
        <v>-</v>
      </c>
      <c r="E917" s="1505">
        <f t="shared" si="121"/>
        <v>0</v>
      </c>
      <c r="F917" s="1509">
        <f t="shared" si="122"/>
        <v>0</v>
      </c>
      <c r="G917" s="1509">
        <f t="shared" si="123"/>
        <v>0</v>
      </c>
      <c r="H917" s="1509">
        <f t="shared" ref="H917:H980" si="124">F917-G917</f>
        <v>0</v>
      </c>
      <c r="I917" s="1509">
        <v>0</v>
      </c>
      <c r="J917" s="1509">
        <v>0</v>
      </c>
      <c r="K917" s="1509"/>
      <c r="L917" s="1509"/>
      <c r="M917" s="1509">
        <f t="shared" ref="M917:M980" si="125">SUM(J917:L917)</f>
        <v>0</v>
      </c>
      <c r="N917" s="1509">
        <f t="shared" ref="N917:N980" si="126">H917+I917-M917</f>
        <v>0</v>
      </c>
    </row>
    <row r="918" spans="1:14" customFormat="1" outlineLevel="1" x14ac:dyDescent="0.25">
      <c r="A918" s="1511">
        <f t="shared" si="121"/>
        <v>0</v>
      </c>
      <c r="B918" s="1515" t="str">
        <f t="shared" si="121"/>
        <v>IDC</v>
      </c>
      <c r="C918" s="1396" t="str">
        <f t="shared" si="121"/>
        <v>Yet to be approved</v>
      </c>
      <c r="D918" s="1378" t="str">
        <f t="shared" si="121"/>
        <v>-</v>
      </c>
      <c r="E918" s="1505">
        <f t="shared" si="121"/>
        <v>0</v>
      </c>
      <c r="F918" s="1509">
        <f t="shared" si="122"/>
        <v>0</v>
      </c>
      <c r="G918" s="1509">
        <f t="shared" si="123"/>
        <v>0</v>
      </c>
      <c r="H918" s="1509">
        <f t="shared" si="124"/>
        <v>0</v>
      </c>
      <c r="I918" s="1509">
        <v>0</v>
      </c>
      <c r="J918" s="1509">
        <v>0</v>
      </c>
      <c r="K918" s="1509"/>
      <c r="L918" s="1509"/>
      <c r="M918" s="1509">
        <f t="shared" si="125"/>
        <v>0</v>
      </c>
      <c r="N918" s="1509">
        <f t="shared" si="126"/>
        <v>0</v>
      </c>
    </row>
    <row r="919" spans="1:14" customFormat="1" ht="29" outlineLevel="1" x14ac:dyDescent="0.25">
      <c r="A919" s="1506">
        <f t="shared" si="121"/>
        <v>16</v>
      </c>
      <c r="B919" s="1507" t="str">
        <f t="shared" si="121"/>
        <v>DPR for normalization and stabilization of coal handling plant performance at Parli TPS</v>
      </c>
      <c r="C919" s="1506">
        <f t="shared" si="121"/>
        <v>0</v>
      </c>
      <c r="D919" s="1507" t="str">
        <f t="shared" si="121"/>
        <v>-</v>
      </c>
      <c r="E919" s="1506">
        <f t="shared" si="121"/>
        <v>0</v>
      </c>
      <c r="F919" s="1509">
        <f t="shared" si="122"/>
        <v>0</v>
      </c>
      <c r="G919" s="1509">
        <f t="shared" si="123"/>
        <v>0</v>
      </c>
      <c r="H919" s="1509">
        <f t="shared" si="124"/>
        <v>0</v>
      </c>
      <c r="I919" s="1509">
        <v>0</v>
      </c>
      <c r="J919" s="1509">
        <v>0</v>
      </c>
      <c r="K919" s="1509"/>
      <c r="L919" s="1509"/>
      <c r="M919" s="1509">
        <f t="shared" si="125"/>
        <v>0</v>
      </c>
      <c r="N919" s="1509">
        <f t="shared" si="126"/>
        <v>0</v>
      </c>
    </row>
    <row r="920" spans="1:14" customFormat="1" outlineLevel="1" x14ac:dyDescent="0.25">
      <c r="A920" s="1511">
        <f t="shared" si="121"/>
        <v>16.100000000000001</v>
      </c>
      <c r="B920" s="1515" t="str">
        <f t="shared" si="121"/>
        <v>Procurement of U-6,7 W/T Major spares</v>
      </c>
      <c r="C920" s="1396" t="str">
        <f t="shared" si="121"/>
        <v>Yet to be approved</v>
      </c>
      <c r="D920" s="1378" t="str">
        <f t="shared" si="121"/>
        <v>-</v>
      </c>
      <c r="E920" s="1505">
        <f t="shared" si="121"/>
        <v>0</v>
      </c>
      <c r="F920" s="1509">
        <f t="shared" si="122"/>
        <v>0</v>
      </c>
      <c r="G920" s="1509">
        <f t="shared" si="123"/>
        <v>0</v>
      </c>
      <c r="H920" s="1509">
        <f t="shared" si="124"/>
        <v>0</v>
      </c>
      <c r="I920" s="1509">
        <v>0</v>
      </c>
      <c r="J920" s="1509">
        <v>0</v>
      </c>
      <c r="K920" s="1509"/>
      <c r="L920" s="1509"/>
      <c r="M920" s="1509">
        <f t="shared" si="125"/>
        <v>0</v>
      </c>
      <c r="N920" s="1509">
        <f t="shared" si="126"/>
        <v>0</v>
      </c>
    </row>
    <row r="921" spans="1:14" customFormat="1" outlineLevel="1" x14ac:dyDescent="0.25">
      <c r="A921" s="1511">
        <f t="shared" si="121"/>
        <v>16.2</v>
      </c>
      <c r="B921" s="1515" t="str">
        <f t="shared" si="121"/>
        <v>Supply of impact crusher major spares for CHP U-6/7</v>
      </c>
      <c r="C921" s="1396" t="str">
        <f t="shared" si="121"/>
        <v>Yet to be approved</v>
      </c>
      <c r="D921" s="1378" t="str">
        <f t="shared" si="121"/>
        <v>-</v>
      </c>
      <c r="E921" s="1505">
        <f t="shared" si="121"/>
        <v>0</v>
      </c>
      <c r="F921" s="1509">
        <f t="shared" si="122"/>
        <v>0</v>
      </c>
      <c r="G921" s="1509">
        <f t="shared" si="123"/>
        <v>0</v>
      </c>
      <c r="H921" s="1509">
        <f t="shared" si="124"/>
        <v>0</v>
      </c>
      <c r="I921" s="1509">
        <v>0</v>
      </c>
      <c r="J921" s="1509">
        <v>0</v>
      </c>
      <c r="K921" s="1509"/>
      <c r="L921" s="1509"/>
      <c r="M921" s="1509">
        <f t="shared" si="125"/>
        <v>0</v>
      </c>
      <c r="N921" s="1509">
        <f t="shared" si="126"/>
        <v>0</v>
      </c>
    </row>
    <row r="922" spans="1:14" customFormat="1" outlineLevel="1" x14ac:dyDescent="0.25">
      <c r="A922" s="1511">
        <f t="shared" si="121"/>
        <v>16.3</v>
      </c>
      <c r="B922" s="1515" t="str">
        <f t="shared" si="121"/>
        <v>Provision of Soft starter / VFD for Various conveyor</v>
      </c>
      <c r="C922" s="1396" t="str">
        <f t="shared" si="121"/>
        <v>Yet to be approved</v>
      </c>
      <c r="D922" s="1378" t="str">
        <f t="shared" si="121"/>
        <v>-</v>
      </c>
      <c r="E922" s="1505">
        <f t="shared" si="121"/>
        <v>0</v>
      </c>
      <c r="F922" s="1509">
        <f t="shared" si="122"/>
        <v>0</v>
      </c>
      <c r="G922" s="1509">
        <f t="shared" si="123"/>
        <v>0</v>
      </c>
      <c r="H922" s="1509">
        <f t="shared" si="124"/>
        <v>0</v>
      </c>
      <c r="I922" s="1509">
        <v>0</v>
      </c>
      <c r="J922" s="1509">
        <v>0</v>
      </c>
      <c r="K922" s="1509"/>
      <c r="L922" s="1509"/>
      <c r="M922" s="1509">
        <f t="shared" si="125"/>
        <v>0</v>
      </c>
      <c r="N922" s="1509">
        <f t="shared" si="126"/>
        <v>0</v>
      </c>
    </row>
    <row r="923" spans="1:14" customFormat="1" outlineLevel="1" x14ac:dyDescent="0.25">
      <c r="A923" s="1511">
        <f t="shared" si="121"/>
        <v>16.399999999999999</v>
      </c>
      <c r="B923" s="1515" t="str">
        <f t="shared" si="121"/>
        <v>Upgradation of siemens make PLC at U-6/7.</v>
      </c>
      <c r="C923" s="1396" t="str">
        <f t="shared" si="121"/>
        <v>Yet to be approved</v>
      </c>
      <c r="D923" s="1378" t="str">
        <f t="shared" si="121"/>
        <v>-</v>
      </c>
      <c r="E923" s="1505">
        <f t="shared" si="121"/>
        <v>0</v>
      </c>
      <c r="F923" s="1509">
        <f t="shared" si="122"/>
        <v>0</v>
      </c>
      <c r="G923" s="1509">
        <f t="shared" si="123"/>
        <v>0</v>
      </c>
      <c r="H923" s="1509">
        <f t="shared" si="124"/>
        <v>0</v>
      </c>
      <c r="I923" s="1509">
        <v>0</v>
      </c>
      <c r="J923" s="1509">
        <v>0</v>
      </c>
      <c r="K923" s="1509"/>
      <c r="L923" s="1509"/>
      <c r="M923" s="1509">
        <f t="shared" si="125"/>
        <v>0</v>
      </c>
      <c r="N923" s="1509">
        <f t="shared" si="126"/>
        <v>0</v>
      </c>
    </row>
    <row r="924" spans="1:14" customFormat="1" outlineLevel="1" x14ac:dyDescent="0.25">
      <c r="A924" s="1511">
        <f t="shared" si="121"/>
        <v>16.5</v>
      </c>
      <c r="B924" s="1515" t="str">
        <f t="shared" si="121"/>
        <v>Procurement of U-6/7 Stacker reclaimer major spares</v>
      </c>
      <c r="C924" s="1396" t="str">
        <f t="shared" si="121"/>
        <v>Yet to be approved</v>
      </c>
      <c r="D924" s="1378" t="str">
        <f t="shared" si="121"/>
        <v>-</v>
      </c>
      <c r="E924" s="1505">
        <f t="shared" si="121"/>
        <v>0</v>
      </c>
      <c r="F924" s="1509">
        <f t="shared" si="122"/>
        <v>0</v>
      </c>
      <c r="G924" s="1509">
        <f t="shared" si="123"/>
        <v>0</v>
      </c>
      <c r="H924" s="1509">
        <f t="shared" si="124"/>
        <v>0</v>
      </c>
      <c r="I924" s="1509">
        <v>0</v>
      </c>
      <c r="J924" s="1509">
        <v>0</v>
      </c>
      <c r="K924" s="1509"/>
      <c r="L924" s="1509"/>
      <c r="M924" s="1509">
        <f t="shared" si="125"/>
        <v>0</v>
      </c>
      <c r="N924" s="1509">
        <f t="shared" si="126"/>
        <v>0</v>
      </c>
    </row>
    <row r="925" spans="1:14" customFormat="1" ht="29" outlineLevel="1" x14ac:dyDescent="0.25">
      <c r="A925" s="1511">
        <f t="shared" si="121"/>
        <v>16.600000000000001</v>
      </c>
      <c r="B925" s="1515" t="str">
        <f t="shared" si="121"/>
        <v>Design, supply and commissioning of solar operated lighting system in CHP  U-6,7</v>
      </c>
      <c r="C925" s="1396" t="str">
        <f t="shared" si="121"/>
        <v>Yet to be approved</v>
      </c>
      <c r="D925" s="1378" t="str">
        <f t="shared" si="121"/>
        <v>-</v>
      </c>
      <c r="E925" s="1505">
        <f t="shared" si="121"/>
        <v>0</v>
      </c>
      <c r="F925" s="1509">
        <f t="shared" si="122"/>
        <v>0</v>
      </c>
      <c r="G925" s="1509">
        <f t="shared" si="123"/>
        <v>0</v>
      </c>
      <c r="H925" s="1509">
        <f t="shared" si="124"/>
        <v>0</v>
      </c>
      <c r="I925" s="1509">
        <v>0</v>
      </c>
      <c r="J925" s="1509">
        <v>0</v>
      </c>
      <c r="K925" s="1509"/>
      <c r="L925" s="1509"/>
      <c r="M925" s="1509">
        <f t="shared" si="125"/>
        <v>0</v>
      </c>
      <c r="N925" s="1509">
        <f t="shared" si="126"/>
        <v>0</v>
      </c>
    </row>
    <row r="926" spans="1:14" customFormat="1" outlineLevel="1" x14ac:dyDescent="0.25">
      <c r="A926" s="1511">
        <f t="shared" si="121"/>
        <v>16.7</v>
      </c>
      <c r="B926" s="1515" t="str">
        <f t="shared" si="121"/>
        <v>Installation of CCTV survillance system alongwith all conveyors.</v>
      </c>
      <c r="C926" s="1396" t="str">
        <f t="shared" si="121"/>
        <v>Yet to be approved</v>
      </c>
      <c r="D926" s="1378" t="str">
        <f t="shared" si="121"/>
        <v>-</v>
      </c>
      <c r="E926" s="1505">
        <f t="shared" si="121"/>
        <v>0</v>
      </c>
      <c r="F926" s="1509">
        <f t="shared" si="122"/>
        <v>0</v>
      </c>
      <c r="G926" s="1509">
        <f t="shared" si="123"/>
        <v>0</v>
      </c>
      <c r="H926" s="1509">
        <f t="shared" si="124"/>
        <v>0</v>
      </c>
      <c r="I926" s="1509">
        <v>0</v>
      </c>
      <c r="J926" s="1509">
        <v>0</v>
      </c>
      <c r="K926" s="1509"/>
      <c r="L926" s="1509"/>
      <c r="M926" s="1509">
        <f t="shared" si="125"/>
        <v>0</v>
      </c>
      <c r="N926" s="1509">
        <f t="shared" si="126"/>
        <v>0</v>
      </c>
    </row>
    <row r="927" spans="1:14" customFormat="1" ht="29" outlineLevel="1" x14ac:dyDescent="0.25">
      <c r="A927" s="1511">
        <f t="shared" si="121"/>
        <v>16.8</v>
      </c>
      <c r="B927" s="1515" t="str">
        <f t="shared" si="121"/>
        <v xml:space="preserve"> Upgradation / Retrofication of Bunker Lifts of Unit-6 &amp; Unit-7 at CHP TPS Parli-V.</v>
      </c>
      <c r="C927" s="1396" t="str">
        <f t="shared" si="121"/>
        <v>Yet to be approved</v>
      </c>
      <c r="D927" s="1378" t="str">
        <f t="shared" si="121"/>
        <v>-</v>
      </c>
      <c r="E927" s="1505">
        <f t="shared" si="121"/>
        <v>0</v>
      </c>
      <c r="F927" s="1509">
        <f t="shared" si="122"/>
        <v>0</v>
      </c>
      <c r="G927" s="1509">
        <f t="shared" si="123"/>
        <v>0</v>
      </c>
      <c r="H927" s="1509">
        <f t="shared" si="124"/>
        <v>0</v>
      </c>
      <c r="I927" s="1509">
        <v>0</v>
      </c>
      <c r="J927" s="1509">
        <v>0</v>
      </c>
      <c r="K927" s="1509"/>
      <c r="L927" s="1509"/>
      <c r="M927" s="1509">
        <f t="shared" si="125"/>
        <v>0</v>
      </c>
      <c r="N927" s="1509">
        <f t="shared" si="126"/>
        <v>0</v>
      </c>
    </row>
    <row r="928" spans="1:14" customFormat="1" outlineLevel="1" x14ac:dyDescent="0.25">
      <c r="A928" s="1511">
        <f t="shared" si="121"/>
        <v>0</v>
      </c>
      <c r="B928" s="1515" t="str">
        <f t="shared" si="121"/>
        <v>IDC</v>
      </c>
      <c r="C928" s="1396" t="str">
        <f t="shared" si="121"/>
        <v>Yet to be approved</v>
      </c>
      <c r="D928" s="1378" t="str">
        <f t="shared" si="121"/>
        <v>-</v>
      </c>
      <c r="E928" s="1505">
        <f t="shared" si="121"/>
        <v>0</v>
      </c>
      <c r="F928" s="1509">
        <f t="shared" si="122"/>
        <v>0</v>
      </c>
      <c r="G928" s="1509">
        <f t="shared" si="123"/>
        <v>0</v>
      </c>
      <c r="H928" s="1509">
        <f t="shared" si="124"/>
        <v>0</v>
      </c>
      <c r="I928" s="1509">
        <v>0</v>
      </c>
      <c r="J928" s="1509">
        <v>0</v>
      </c>
      <c r="K928" s="1509"/>
      <c r="L928" s="1509"/>
      <c r="M928" s="1509">
        <f t="shared" si="125"/>
        <v>0</v>
      </c>
      <c r="N928" s="1509">
        <f t="shared" si="126"/>
        <v>0</v>
      </c>
    </row>
    <row r="929" spans="1:14" customFormat="1" outlineLevel="1" x14ac:dyDescent="0.25">
      <c r="A929" s="1506">
        <f t="shared" si="121"/>
        <v>17</v>
      </c>
      <c r="B929" s="1507" t="str">
        <f t="shared" si="121"/>
        <v>DPR for maximiation of Coal Handling Plant efficiency.</v>
      </c>
      <c r="C929" s="1506" t="str">
        <f t="shared" si="121"/>
        <v>Yet to be approved</v>
      </c>
      <c r="D929" s="1507" t="str">
        <f t="shared" si="121"/>
        <v>-</v>
      </c>
      <c r="E929" s="1506">
        <f t="shared" si="121"/>
        <v>0</v>
      </c>
      <c r="F929" s="1509">
        <f t="shared" si="122"/>
        <v>0</v>
      </c>
      <c r="G929" s="1509">
        <f t="shared" si="123"/>
        <v>0</v>
      </c>
      <c r="H929" s="1509">
        <f t="shared" si="124"/>
        <v>0</v>
      </c>
      <c r="I929" s="1509">
        <v>0</v>
      </c>
      <c r="J929" s="1509">
        <v>0</v>
      </c>
      <c r="K929" s="1509"/>
      <c r="L929" s="1509"/>
      <c r="M929" s="1509">
        <f t="shared" si="125"/>
        <v>0</v>
      </c>
      <c r="N929" s="1509">
        <f t="shared" si="126"/>
        <v>0</v>
      </c>
    </row>
    <row r="930" spans="1:14" customFormat="1" outlineLevel="1" x14ac:dyDescent="0.25">
      <c r="A930" s="1511">
        <f t="shared" si="121"/>
        <v>17.100000000000001</v>
      </c>
      <c r="B930" s="1515" t="str">
        <f t="shared" si="121"/>
        <v>W/T control room &amp; bunker house battery &amp; UPS upgradation</v>
      </c>
      <c r="C930" s="1396" t="str">
        <f t="shared" si="121"/>
        <v>Yet to be approved</v>
      </c>
      <c r="D930" s="1378" t="str">
        <f t="shared" si="121"/>
        <v>-</v>
      </c>
      <c r="E930" s="1505">
        <f t="shared" si="121"/>
        <v>0</v>
      </c>
      <c r="F930" s="1509">
        <f t="shared" si="122"/>
        <v>0</v>
      </c>
      <c r="G930" s="1509">
        <f t="shared" si="123"/>
        <v>0</v>
      </c>
      <c r="H930" s="1509">
        <f t="shared" si="124"/>
        <v>0</v>
      </c>
      <c r="I930" s="1509">
        <v>0</v>
      </c>
      <c r="J930" s="1509">
        <v>0</v>
      </c>
      <c r="K930" s="1509"/>
      <c r="L930" s="1509"/>
      <c r="M930" s="1509">
        <f t="shared" si="125"/>
        <v>0</v>
      </c>
      <c r="N930" s="1509">
        <f t="shared" si="126"/>
        <v>0</v>
      </c>
    </row>
    <row r="931" spans="1:14" customFormat="1" outlineLevel="1" x14ac:dyDescent="0.25">
      <c r="A931" s="1511">
        <f t="shared" si="121"/>
        <v>17.2</v>
      </c>
      <c r="B931" s="1515" t="str">
        <f t="shared" si="121"/>
        <v>Provision of Soft starter / VFD for Various conveyor</v>
      </c>
      <c r="C931" s="1396" t="str">
        <f t="shared" si="121"/>
        <v>Yet to be approved</v>
      </c>
      <c r="D931" s="1378" t="str">
        <f t="shared" si="121"/>
        <v>-</v>
      </c>
      <c r="E931" s="1505">
        <f t="shared" si="121"/>
        <v>0</v>
      </c>
      <c r="F931" s="1509">
        <f t="shared" si="122"/>
        <v>0</v>
      </c>
      <c r="G931" s="1509">
        <f t="shared" si="123"/>
        <v>0</v>
      </c>
      <c r="H931" s="1509">
        <f t="shared" si="124"/>
        <v>0</v>
      </c>
      <c r="I931" s="1509">
        <v>0</v>
      </c>
      <c r="J931" s="1509">
        <v>0</v>
      </c>
      <c r="K931" s="1509"/>
      <c r="L931" s="1509"/>
      <c r="M931" s="1509">
        <f t="shared" si="125"/>
        <v>0</v>
      </c>
      <c r="N931" s="1509">
        <f t="shared" si="126"/>
        <v>0</v>
      </c>
    </row>
    <row r="932" spans="1:14" customFormat="1" ht="29" outlineLevel="1" x14ac:dyDescent="0.25">
      <c r="A932" s="1511">
        <f t="shared" ref="A932:E947" si="127">A575</f>
        <v>17.3</v>
      </c>
      <c r="B932" s="1515" t="str">
        <f t="shared" si="127"/>
        <v>Structure Strengthening of Conveyor NO. 3 and Stacker Reclaimer Rail at U-6/7 CHP</v>
      </c>
      <c r="C932" s="1396" t="str">
        <f t="shared" si="127"/>
        <v>Yet to be approved</v>
      </c>
      <c r="D932" s="1378" t="str">
        <f t="shared" si="127"/>
        <v>-</v>
      </c>
      <c r="E932" s="1505">
        <f t="shared" si="127"/>
        <v>0</v>
      </c>
      <c r="F932" s="1509">
        <f t="shared" si="122"/>
        <v>0</v>
      </c>
      <c r="G932" s="1509">
        <f t="shared" si="123"/>
        <v>0</v>
      </c>
      <c r="H932" s="1509">
        <f t="shared" si="124"/>
        <v>0</v>
      </c>
      <c r="I932" s="1509">
        <v>0</v>
      </c>
      <c r="J932" s="1509">
        <v>0</v>
      </c>
      <c r="K932" s="1509"/>
      <c r="L932" s="1509"/>
      <c r="M932" s="1509">
        <f t="shared" si="125"/>
        <v>0</v>
      </c>
      <c r="N932" s="1509">
        <f t="shared" si="126"/>
        <v>0</v>
      </c>
    </row>
    <row r="933" spans="1:14" customFormat="1" outlineLevel="1" x14ac:dyDescent="0.25">
      <c r="A933" s="1511">
        <f t="shared" si="127"/>
        <v>17.399999999999999</v>
      </c>
      <c r="B933" s="1515" t="str">
        <f t="shared" si="127"/>
        <v>Modernization/modification of Conveyor HT/LT cables at U-6/7 CHP.</v>
      </c>
      <c r="C933" s="1396" t="str">
        <f t="shared" si="127"/>
        <v>Yet to be approved</v>
      </c>
      <c r="D933" s="1378" t="str">
        <f t="shared" si="127"/>
        <v>-</v>
      </c>
      <c r="E933" s="1505">
        <f t="shared" si="127"/>
        <v>0</v>
      </c>
      <c r="F933" s="1509">
        <f t="shared" si="122"/>
        <v>0</v>
      </c>
      <c r="G933" s="1509">
        <f t="shared" si="123"/>
        <v>0</v>
      </c>
      <c r="H933" s="1509">
        <f t="shared" si="124"/>
        <v>0</v>
      </c>
      <c r="I933" s="1509">
        <v>0</v>
      </c>
      <c r="J933" s="1509">
        <v>0</v>
      </c>
      <c r="K933" s="1509"/>
      <c r="L933" s="1509"/>
      <c r="M933" s="1509">
        <f t="shared" si="125"/>
        <v>0</v>
      </c>
      <c r="N933" s="1509">
        <f t="shared" si="126"/>
        <v>0</v>
      </c>
    </row>
    <row r="934" spans="1:14" customFormat="1" ht="29" outlineLevel="1" x14ac:dyDescent="0.25">
      <c r="A934" s="1511">
        <f t="shared" si="127"/>
        <v>17.5</v>
      </c>
      <c r="B934" s="1515" t="str">
        <f t="shared" si="127"/>
        <v>Modernization of EOT cranes and Hoist at various junction tower and various location of CHP U-6/7</v>
      </c>
      <c r="C934" s="1396" t="str">
        <f t="shared" si="127"/>
        <v>Yet to be approved</v>
      </c>
      <c r="D934" s="1378" t="str">
        <f t="shared" si="127"/>
        <v>-</v>
      </c>
      <c r="E934" s="1505">
        <f t="shared" si="127"/>
        <v>0</v>
      </c>
      <c r="F934" s="1509">
        <f t="shared" si="122"/>
        <v>0</v>
      </c>
      <c r="G934" s="1509">
        <f t="shared" si="123"/>
        <v>0</v>
      </c>
      <c r="H934" s="1509">
        <f t="shared" si="124"/>
        <v>0</v>
      </c>
      <c r="I934" s="1509">
        <v>0</v>
      </c>
      <c r="J934" s="1509">
        <v>0</v>
      </c>
      <c r="K934" s="1509"/>
      <c r="L934" s="1509"/>
      <c r="M934" s="1509">
        <f t="shared" si="125"/>
        <v>0</v>
      </c>
      <c r="N934" s="1509">
        <f t="shared" si="126"/>
        <v>0</v>
      </c>
    </row>
    <row r="935" spans="1:14" customFormat="1" outlineLevel="1" x14ac:dyDescent="0.25">
      <c r="A935" s="1511">
        <f t="shared" si="127"/>
        <v>17.600000000000001</v>
      </c>
      <c r="B935" s="1515" t="str">
        <f t="shared" si="127"/>
        <v>Renovation / retrofitting of shuttle conveyor at CHP U-6/7.</v>
      </c>
      <c r="C935" s="1396" t="str">
        <f t="shared" si="127"/>
        <v>Yet to be approved</v>
      </c>
      <c r="D935" s="1378" t="str">
        <f t="shared" si="127"/>
        <v>-</v>
      </c>
      <c r="E935" s="1505">
        <f t="shared" si="127"/>
        <v>0</v>
      </c>
      <c r="F935" s="1509">
        <f t="shared" si="122"/>
        <v>0</v>
      </c>
      <c r="G935" s="1509">
        <f t="shared" si="123"/>
        <v>0</v>
      </c>
      <c r="H935" s="1509">
        <f t="shared" si="124"/>
        <v>0</v>
      </c>
      <c r="I935" s="1509">
        <v>0</v>
      </c>
      <c r="J935" s="1509">
        <v>0</v>
      </c>
      <c r="K935" s="1509"/>
      <c r="L935" s="1509"/>
      <c r="M935" s="1509">
        <f t="shared" si="125"/>
        <v>0</v>
      </c>
      <c r="N935" s="1509">
        <f t="shared" si="126"/>
        <v>0</v>
      </c>
    </row>
    <row r="936" spans="1:14" customFormat="1" outlineLevel="1" x14ac:dyDescent="0.25">
      <c r="A936" s="1511">
        <f t="shared" si="127"/>
        <v>17.7</v>
      </c>
      <c r="B936" s="1515" t="str">
        <f t="shared" si="127"/>
        <v>Upgradation/renovation of bunker lift at RSC-6 &amp; 7 of CHP U-6/7</v>
      </c>
      <c r="C936" s="1396" t="str">
        <f t="shared" si="127"/>
        <v>Yet to be approved</v>
      </c>
      <c r="D936" s="1378" t="str">
        <f t="shared" si="127"/>
        <v>-</v>
      </c>
      <c r="E936" s="1505">
        <f t="shared" si="127"/>
        <v>0</v>
      </c>
      <c r="F936" s="1509">
        <f t="shared" si="122"/>
        <v>0</v>
      </c>
      <c r="G936" s="1509">
        <f t="shared" si="123"/>
        <v>0</v>
      </c>
      <c r="H936" s="1509">
        <f t="shared" si="124"/>
        <v>0</v>
      </c>
      <c r="I936" s="1509">
        <v>0</v>
      </c>
      <c r="J936" s="1509">
        <v>0</v>
      </c>
      <c r="K936" s="1509"/>
      <c r="L936" s="1509"/>
      <c r="M936" s="1509">
        <f t="shared" si="125"/>
        <v>0</v>
      </c>
      <c r="N936" s="1509">
        <f t="shared" si="126"/>
        <v>0</v>
      </c>
    </row>
    <row r="937" spans="1:14" customFormat="1" outlineLevel="1" x14ac:dyDescent="0.25">
      <c r="A937" s="1511">
        <f t="shared" si="127"/>
        <v>0</v>
      </c>
      <c r="B937" s="1515" t="str">
        <f t="shared" si="127"/>
        <v>IDC</v>
      </c>
      <c r="C937" s="1396" t="str">
        <f t="shared" si="127"/>
        <v>Yet to be approved</v>
      </c>
      <c r="D937" s="1378" t="str">
        <f t="shared" si="127"/>
        <v>-</v>
      </c>
      <c r="E937" s="1505">
        <f t="shared" si="127"/>
        <v>0</v>
      </c>
      <c r="F937" s="1509">
        <f t="shared" si="122"/>
        <v>0</v>
      </c>
      <c r="G937" s="1509">
        <f t="shared" si="123"/>
        <v>0</v>
      </c>
      <c r="H937" s="1509">
        <f t="shared" si="124"/>
        <v>0</v>
      </c>
      <c r="I937" s="1509">
        <v>0</v>
      </c>
      <c r="J937" s="1509">
        <v>0</v>
      </c>
      <c r="K937" s="1509"/>
      <c r="L937" s="1509"/>
      <c r="M937" s="1509">
        <f t="shared" si="125"/>
        <v>0</v>
      </c>
      <c r="N937" s="1509">
        <f t="shared" si="126"/>
        <v>0</v>
      </c>
    </row>
    <row r="938" spans="1:14" customFormat="1" outlineLevel="1" x14ac:dyDescent="0.25">
      <c r="A938" s="1506">
        <f t="shared" si="127"/>
        <v>18</v>
      </c>
      <c r="B938" s="1507" t="str">
        <f t="shared" si="127"/>
        <v>DPR on life enhancement of Coal Handling Plant</v>
      </c>
      <c r="C938" s="1506" t="str">
        <f t="shared" si="127"/>
        <v>Yet to be approved</v>
      </c>
      <c r="D938" s="1507" t="str">
        <f t="shared" si="127"/>
        <v>-</v>
      </c>
      <c r="E938" s="1506">
        <f t="shared" si="127"/>
        <v>0</v>
      </c>
      <c r="F938" s="1509">
        <f t="shared" si="122"/>
        <v>0</v>
      </c>
      <c r="G938" s="1509">
        <f t="shared" si="123"/>
        <v>0</v>
      </c>
      <c r="H938" s="1509">
        <f t="shared" si="124"/>
        <v>0</v>
      </c>
      <c r="I938" s="1509">
        <v>0</v>
      </c>
      <c r="J938" s="1509">
        <v>0</v>
      </c>
      <c r="K938" s="1509"/>
      <c r="L938" s="1509"/>
      <c r="M938" s="1509">
        <f t="shared" si="125"/>
        <v>0</v>
      </c>
      <c r="N938" s="1509">
        <f t="shared" si="126"/>
        <v>0</v>
      </c>
    </row>
    <row r="939" spans="1:14" customFormat="1" ht="29" outlineLevel="1" x14ac:dyDescent="0.25">
      <c r="A939" s="1511">
        <f t="shared" si="127"/>
        <v>18.100000000000001</v>
      </c>
      <c r="B939" s="1515" t="str">
        <f t="shared" si="127"/>
        <v>Renovation, upgradation  &amp; capacity enhancement of LT switch gear panels at W/T, S/R and CHP control Switch board at CHP U-6/7.</v>
      </c>
      <c r="C939" s="1396" t="str">
        <f t="shared" si="127"/>
        <v>Yet to be approved</v>
      </c>
      <c r="D939" s="1378" t="str">
        <f t="shared" si="127"/>
        <v>-</v>
      </c>
      <c r="E939" s="1505">
        <f t="shared" si="127"/>
        <v>0</v>
      </c>
      <c r="F939" s="1509">
        <f t="shared" si="122"/>
        <v>0</v>
      </c>
      <c r="G939" s="1509">
        <f t="shared" si="123"/>
        <v>0</v>
      </c>
      <c r="H939" s="1509">
        <f t="shared" si="124"/>
        <v>0</v>
      </c>
      <c r="I939" s="1509">
        <v>0</v>
      </c>
      <c r="J939" s="1509">
        <v>0</v>
      </c>
      <c r="K939" s="1509"/>
      <c r="L939" s="1509"/>
      <c r="M939" s="1509">
        <f t="shared" si="125"/>
        <v>0</v>
      </c>
      <c r="N939" s="1509">
        <f t="shared" si="126"/>
        <v>0</v>
      </c>
    </row>
    <row r="940" spans="1:14" customFormat="1" outlineLevel="1" x14ac:dyDescent="0.25">
      <c r="A940" s="1511">
        <f t="shared" si="127"/>
        <v>18.2</v>
      </c>
      <c r="B940" s="1515" t="str">
        <f t="shared" si="127"/>
        <v>Procurement &amp; installation of Belt tear detection system</v>
      </c>
      <c r="C940" s="1396" t="str">
        <f t="shared" si="127"/>
        <v>Yet to be approved</v>
      </c>
      <c r="D940" s="1378" t="str">
        <f t="shared" si="127"/>
        <v>-</v>
      </c>
      <c r="E940" s="1505">
        <f t="shared" si="127"/>
        <v>0</v>
      </c>
      <c r="F940" s="1509">
        <f t="shared" si="122"/>
        <v>0</v>
      </c>
      <c r="G940" s="1509">
        <f t="shared" si="123"/>
        <v>0</v>
      </c>
      <c r="H940" s="1509">
        <f t="shared" si="124"/>
        <v>0</v>
      </c>
      <c r="I940" s="1509">
        <v>0</v>
      </c>
      <c r="J940" s="1509">
        <v>0</v>
      </c>
      <c r="K940" s="1509"/>
      <c r="L940" s="1509"/>
      <c r="M940" s="1509">
        <f t="shared" si="125"/>
        <v>0</v>
      </c>
      <c r="N940" s="1509">
        <f t="shared" si="126"/>
        <v>0</v>
      </c>
    </row>
    <row r="941" spans="1:14" customFormat="1" outlineLevel="1" x14ac:dyDescent="0.25">
      <c r="A941" s="1511">
        <f t="shared" si="127"/>
        <v>18.3</v>
      </c>
      <c r="B941" s="1515" t="str">
        <f t="shared" si="127"/>
        <v>Conveyor gravity takeup infrastructure strengthening work</v>
      </c>
      <c r="C941" s="1396" t="str">
        <f t="shared" si="127"/>
        <v>Yet to be approved</v>
      </c>
      <c r="D941" s="1378" t="str">
        <f t="shared" si="127"/>
        <v>-</v>
      </c>
      <c r="E941" s="1505">
        <f t="shared" si="127"/>
        <v>0</v>
      </c>
      <c r="F941" s="1509">
        <f t="shared" si="122"/>
        <v>0</v>
      </c>
      <c r="G941" s="1509">
        <f t="shared" si="123"/>
        <v>0</v>
      </c>
      <c r="H941" s="1509">
        <f t="shared" si="124"/>
        <v>0</v>
      </c>
      <c r="I941" s="1509">
        <v>0</v>
      </c>
      <c r="J941" s="1509">
        <v>0</v>
      </c>
      <c r="K941" s="1509"/>
      <c r="L941" s="1509"/>
      <c r="M941" s="1509">
        <f t="shared" si="125"/>
        <v>0</v>
      </c>
      <c r="N941" s="1509">
        <f t="shared" si="126"/>
        <v>0</v>
      </c>
    </row>
    <row r="942" spans="1:14" customFormat="1" outlineLevel="1" x14ac:dyDescent="0.25">
      <c r="A942" s="1511">
        <f t="shared" si="127"/>
        <v>18.399999999999999</v>
      </c>
      <c r="B942" s="1515" t="str">
        <f t="shared" si="127"/>
        <v>Replacement of vibrating feeder-I with Apron Feeder at CHP U-6/7.</v>
      </c>
      <c r="C942" s="1396" t="str">
        <f t="shared" si="127"/>
        <v>Yet to be approved</v>
      </c>
      <c r="D942" s="1378" t="str">
        <f t="shared" si="127"/>
        <v>-</v>
      </c>
      <c r="E942" s="1505">
        <f t="shared" si="127"/>
        <v>0</v>
      </c>
      <c r="F942" s="1509">
        <f t="shared" si="122"/>
        <v>0</v>
      </c>
      <c r="G942" s="1509">
        <f t="shared" si="123"/>
        <v>0</v>
      </c>
      <c r="H942" s="1509">
        <f t="shared" si="124"/>
        <v>0</v>
      </c>
      <c r="I942" s="1509">
        <v>0</v>
      </c>
      <c r="J942" s="1509">
        <v>0</v>
      </c>
      <c r="K942" s="1509"/>
      <c r="L942" s="1509"/>
      <c r="M942" s="1509">
        <f t="shared" si="125"/>
        <v>0</v>
      </c>
      <c r="N942" s="1509">
        <f t="shared" si="126"/>
        <v>0</v>
      </c>
    </row>
    <row r="943" spans="1:14" customFormat="1" outlineLevel="1" x14ac:dyDescent="0.25">
      <c r="A943" s="1511">
        <f t="shared" si="127"/>
        <v>0</v>
      </c>
      <c r="B943" s="1515" t="str">
        <f t="shared" si="127"/>
        <v>IDC</v>
      </c>
      <c r="C943" s="1396" t="str">
        <f t="shared" si="127"/>
        <v>Yet to be approved</v>
      </c>
      <c r="D943" s="1378" t="str">
        <f t="shared" si="127"/>
        <v>-</v>
      </c>
      <c r="E943" s="1505">
        <f t="shared" si="127"/>
        <v>0</v>
      </c>
      <c r="F943" s="1509">
        <f t="shared" si="122"/>
        <v>0</v>
      </c>
      <c r="G943" s="1509">
        <f t="shared" si="123"/>
        <v>0</v>
      </c>
      <c r="H943" s="1509">
        <f t="shared" si="124"/>
        <v>0</v>
      </c>
      <c r="I943" s="1509">
        <v>0</v>
      </c>
      <c r="J943" s="1509">
        <v>0</v>
      </c>
      <c r="K943" s="1509"/>
      <c r="L943" s="1509"/>
      <c r="M943" s="1509">
        <f t="shared" si="125"/>
        <v>0</v>
      </c>
      <c r="N943" s="1509">
        <f t="shared" si="126"/>
        <v>0</v>
      </c>
    </row>
    <row r="944" spans="1:14" customFormat="1" outlineLevel="1" x14ac:dyDescent="0.25">
      <c r="A944" s="1506">
        <f t="shared" si="127"/>
        <v>19</v>
      </c>
      <c r="B944" s="1507" t="str">
        <f t="shared" si="127"/>
        <v>DPR for stabiliazation of Coal Handling Performance.</v>
      </c>
      <c r="C944" s="1506" t="str">
        <f t="shared" si="127"/>
        <v>Yet to be approved</v>
      </c>
      <c r="D944" s="1507" t="str">
        <f t="shared" si="127"/>
        <v>-</v>
      </c>
      <c r="E944" s="1506">
        <f t="shared" si="127"/>
        <v>0</v>
      </c>
      <c r="F944" s="1509">
        <f t="shared" si="122"/>
        <v>0</v>
      </c>
      <c r="G944" s="1509">
        <f t="shared" si="123"/>
        <v>0</v>
      </c>
      <c r="H944" s="1509">
        <f t="shared" si="124"/>
        <v>0</v>
      </c>
      <c r="I944" s="1509">
        <v>0</v>
      </c>
      <c r="J944" s="1509">
        <v>0</v>
      </c>
      <c r="K944" s="1509"/>
      <c r="L944" s="1509"/>
      <c r="M944" s="1509">
        <f t="shared" si="125"/>
        <v>0</v>
      </c>
      <c r="N944" s="1509">
        <f t="shared" si="126"/>
        <v>0</v>
      </c>
    </row>
    <row r="945" spans="1:14" customFormat="1" outlineLevel="1" x14ac:dyDescent="0.25">
      <c r="A945" s="1511">
        <f t="shared" si="127"/>
        <v>19.100000000000001</v>
      </c>
      <c r="B945" s="1515" t="str">
        <f t="shared" si="127"/>
        <v>Drive modification of Stacker Reclaimer slewing system.</v>
      </c>
      <c r="C945" s="1396" t="str">
        <f t="shared" si="127"/>
        <v>Yet to be approved</v>
      </c>
      <c r="D945" s="1378" t="str">
        <f t="shared" si="127"/>
        <v>-</v>
      </c>
      <c r="E945" s="1505">
        <f t="shared" si="127"/>
        <v>0</v>
      </c>
      <c r="F945" s="1509">
        <f t="shared" si="122"/>
        <v>0</v>
      </c>
      <c r="G945" s="1509">
        <f t="shared" si="123"/>
        <v>0</v>
      </c>
      <c r="H945" s="1509">
        <f t="shared" si="124"/>
        <v>0</v>
      </c>
      <c r="I945" s="1509">
        <v>0</v>
      </c>
      <c r="J945" s="1509">
        <v>0</v>
      </c>
      <c r="K945" s="1509"/>
      <c r="L945" s="1509"/>
      <c r="M945" s="1509">
        <f t="shared" si="125"/>
        <v>0</v>
      </c>
      <c r="N945" s="1509">
        <f t="shared" si="126"/>
        <v>0</v>
      </c>
    </row>
    <row r="946" spans="1:14" customFormat="1" outlineLevel="1" x14ac:dyDescent="0.25">
      <c r="A946" s="1511">
        <f t="shared" si="127"/>
        <v>19.2</v>
      </c>
      <c r="B946" s="1515" t="str">
        <f t="shared" si="127"/>
        <v>Retrofitting of Side Arm Charger-I &amp; II at CHP U-6,7</v>
      </c>
      <c r="C946" s="1396" t="str">
        <f t="shared" si="127"/>
        <v>Yet to be approved</v>
      </c>
      <c r="D946" s="1378" t="str">
        <f t="shared" si="127"/>
        <v>-</v>
      </c>
      <c r="E946" s="1505">
        <f t="shared" si="127"/>
        <v>0</v>
      </c>
      <c r="F946" s="1509">
        <f t="shared" si="122"/>
        <v>0</v>
      </c>
      <c r="G946" s="1509">
        <f t="shared" si="123"/>
        <v>0</v>
      </c>
      <c r="H946" s="1509">
        <f t="shared" si="124"/>
        <v>0</v>
      </c>
      <c r="I946" s="1509">
        <v>0</v>
      </c>
      <c r="J946" s="1509">
        <v>0</v>
      </c>
      <c r="K946" s="1509"/>
      <c r="L946" s="1509"/>
      <c r="M946" s="1509">
        <f t="shared" si="125"/>
        <v>0</v>
      </c>
      <c r="N946" s="1509">
        <f t="shared" si="126"/>
        <v>0</v>
      </c>
    </row>
    <row r="947" spans="1:14" customFormat="1" outlineLevel="1" x14ac:dyDescent="0.25">
      <c r="A947" s="1511">
        <f t="shared" si="127"/>
        <v>19.3</v>
      </c>
      <c r="B947" s="1515" t="str">
        <f t="shared" si="127"/>
        <v>Provision of open Wagon Tippler at CHP U-6/7</v>
      </c>
      <c r="C947" s="1396" t="str">
        <f t="shared" si="127"/>
        <v>Yet to be approved</v>
      </c>
      <c r="D947" s="1378" t="str">
        <f t="shared" si="127"/>
        <v>-</v>
      </c>
      <c r="E947" s="1505">
        <f t="shared" si="127"/>
        <v>0</v>
      </c>
      <c r="F947" s="1509">
        <f t="shared" si="122"/>
        <v>0</v>
      </c>
      <c r="G947" s="1509">
        <f t="shared" si="123"/>
        <v>0</v>
      </c>
      <c r="H947" s="1509">
        <f t="shared" si="124"/>
        <v>0</v>
      </c>
      <c r="I947" s="1509">
        <v>0</v>
      </c>
      <c r="J947" s="1509">
        <v>0</v>
      </c>
      <c r="K947" s="1509"/>
      <c r="L947" s="1509"/>
      <c r="M947" s="1509">
        <f t="shared" si="125"/>
        <v>0</v>
      </c>
      <c r="N947" s="1509">
        <f t="shared" si="126"/>
        <v>0</v>
      </c>
    </row>
    <row r="948" spans="1:14" customFormat="1" outlineLevel="1" x14ac:dyDescent="0.25">
      <c r="A948" s="1511">
        <f t="shared" ref="A948:E963" si="128">A591</f>
        <v>19.399999999999999</v>
      </c>
      <c r="B948" s="1515" t="str">
        <f t="shared" si="128"/>
        <v>Refurbishment of Apron Feeder at CHP U-6,7</v>
      </c>
      <c r="C948" s="1396" t="str">
        <f t="shared" si="128"/>
        <v>Yet to be approved</v>
      </c>
      <c r="D948" s="1378" t="str">
        <f t="shared" si="128"/>
        <v>-</v>
      </c>
      <c r="E948" s="1505">
        <f t="shared" si="128"/>
        <v>0</v>
      </c>
      <c r="F948" s="1509">
        <f t="shared" si="122"/>
        <v>0</v>
      </c>
      <c r="G948" s="1509">
        <f t="shared" si="123"/>
        <v>0</v>
      </c>
      <c r="H948" s="1509">
        <f t="shared" si="124"/>
        <v>0</v>
      </c>
      <c r="I948" s="1509">
        <v>0</v>
      </c>
      <c r="J948" s="1509">
        <v>0</v>
      </c>
      <c r="K948" s="1509"/>
      <c r="L948" s="1509"/>
      <c r="M948" s="1509">
        <f t="shared" si="125"/>
        <v>0</v>
      </c>
      <c r="N948" s="1509">
        <f t="shared" si="126"/>
        <v>0</v>
      </c>
    </row>
    <row r="949" spans="1:14" customFormat="1" outlineLevel="1" x14ac:dyDescent="0.25">
      <c r="A949" s="1511">
        <f t="shared" si="128"/>
        <v>0</v>
      </c>
      <c r="B949" s="1515" t="str">
        <f t="shared" si="128"/>
        <v>IDC</v>
      </c>
      <c r="C949" s="1396" t="str">
        <f t="shared" si="128"/>
        <v>Yet to be approved</v>
      </c>
      <c r="D949" s="1378" t="str">
        <f t="shared" si="128"/>
        <v>-</v>
      </c>
      <c r="E949" s="1505">
        <f t="shared" si="128"/>
        <v>0</v>
      </c>
      <c r="F949" s="1509">
        <f t="shared" si="122"/>
        <v>0</v>
      </c>
      <c r="G949" s="1509">
        <f t="shared" si="123"/>
        <v>0</v>
      </c>
      <c r="H949" s="1509">
        <f t="shared" si="124"/>
        <v>0</v>
      </c>
      <c r="I949" s="1509">
        <v>0</v>
      </c>
      <c r="J949" s="1509">
        <v>0</v>
      </c>
      <c r="K949" s="1509"/>
      <c r="L949" s="1509"/>
      <c r="M949" s="1509">
        <f t="shared" si="125"/>
        <v>0</v>
      </c>
      <c r="N949" s="1509">
        <f t="shared" si="126"/>
        <v>0</v>
      </c>
    </row>
    <row r="950" spans="1:14" customFormat="1" ht="29" outlineLevel="1" x14ac:dyDescent="0.25">
      <c r="A950" s="1506">
        <f t="shared" si="128"/>
        <v>20</v>
      </c>
      <c r="B950" s="1507" t="str">
        <f t="shared" si="128"/>
        <v>Procurement &amp; Replacement of 220V station batteries, 360V UPS batteries, 24V DCS batteries , 360V UPS AHP batteries at U6 &amp; U7 NPTPS</v>
      </c>
      <c r="C950" s="1506" t="str">
        <f t="shared" si="128"/>
        <v>Yet to be approved</v>
      </c>
      <c r="D950" s="1507" t="str">
        <f t="shared" si="128"/>
        <v>-</v>
      </c>
      <c r="E950" s="1506">
        <f t="shared" si="128"/>
        <v>0</v>
      </c>
      <c r="F950" s="1509">
        <f t="shared" si="122"/>
        <v>0</v>
      </c>
      <c r="G950" s="1509">
        <f t="shared" si="123"/>
        <v>0</v>
      </c>
      <c r="H950" s="1509">
        <f t="shared" si="124"/>
        <v>0</v>
      </c>
      <c r="I950" s="1509">
        <v>0</v>
      </c>
      <c r="J950" s="1509">
        <v>0</v>
      </c>
      <c r="K950" s="1509"/>
      <c r="L950" s="1509"/>
      <c r="M950" s="1509">
        <f t="shared" si="125"/>
        <v>0</v>
      </c>
      <c r="N950" s="1509">
        <f t="shared" si="126"/>
        <v>0</v>
      </c>
    </row>
    <row r="951" spans="1:14" customFormat="1" ht="43.5" outlineLevel="1" x14ac:dyDescent="0.25">
      <c r="A951" s="1511">
        <f t="shared" si="128"/>
        <v>20.100000000000001</v>
      </c>
      <c r="B951" s="1515" t="str">
        <f t="shared" si="128"/>
        <v>Procurement &amp; Replacement of 220V station batteries, 360V UPS batteries, 24V DCS batteries , 360V UPS AHP batteries at U6 &amp; U7 NPTPS</v>
      </c>
      <c r="C951" s="1396" t="str">
        <f t="shared" si="128"/>
        <v>Yet to be approved</v>
      </c>
      <c r="D951" s="1378" t="str">
        <f t="shared" si="128"/>
        <v>-</v>
      </c>
      <c r="E951" s="1505">
        <f t="shared" si="128"/>
        <v>0</v>
      </c>
      <c r="F951" s="1509">
        <f t="shared" si="122"/>
        <v>0</v>
      </c>
      <c r="G951" s="1509">
        <f t="shared" si="123"/>
        <v>0</v>
      </c>
      <c r="H951" s="1509">
        <f t="shared" si="124"/>
        <v>0</v>
      </c>
      <c r="I951" s="1509">
        <v>0</v>
      </c>
      <c r="J951" s="1509">
        <v>0</v>
      </c>
      <c r="K951" s="1509"/>
      <c r="L951" s="1509"/>
      <c r="M951" s="1509">
        <f t="shared" si="125"/>
        <v>0</v>
      </c>
      <c r="N951" s="1509">
        <f t="shared" si="126"/>
        <v>0</v>
      </c>
    </row>
    <row r="952" spans="1:14" customFormat="1" outlineLevel="1" x14ac:dyDescent="0.25">
      <c r="A952" s="1511">
        <f t="shared" si="128"/>
        <v>0</v>
      </c>
      <c r="B952" s="1515" t="str">
        <f t="shared" si="128"/>
        <v>IDC</v>
      </c>
      <c r="C952" s="1396" t="str">
        <f t="shared" si="128"/>
        <v>Yet to be approved</v>
      </c>
      <c r="D952" s="1378" t="str">
        <f t="shared" si="128"/>
        <v>-</v>
      </c>
      <c r="E952" s="1505">
        <f t="shared" si="128"/>
        <v>0</v>
      </c>
      <c r="F952" s="1509">
        <f t="shared" si="122"/>
        <v>0</v>
      </c>
      <c r="G952" s="1509">
        <f t="shared" si="123"/>
        <v>0</v>
      </c>
      <c r="H952" s="1509">
        <f t="shared" si="124"/>
        <v>0</v>
      </c>
      <c r="I952" s="1509">
        <v>0</v>
      </c>
      <c r="J952" s="1509">
        <v>0</v>
      </c>
      <c r="K952" s="1509"/>
      <c r="L952" s="1509"/>
      <c r="M952" s="1509">
        <f t="shared" si="125"/>
        <v>0</v>
      </c>
      <c r="N952" s="1509">
        <f t="shared" si="126"/>
        <v>0</v>
      </c>
    </row>
    <row r="953" spans="1:14" customFormat="1" ht="29" outlineLevel="1" x14ac:dyDescent="0.25">
      <c r="A953" s="1506">
        <f t="shared" si="128"/>
        <v>21</v>
      </c>
      <c r="B953" s="1507" t="str">
        <f t="shared" si="128"/>
        <v>DPR on Various electricle maintenance schemes at Unit 6,7 NPTPS Parli-V</v>
      </c>
      <c r="C953" s="1506" t="str">
        <f t="shared" si="128"/>
        <v>Yet to be approved</v>
      </c>
      <c r="D953" s="1507" t="str">
        <f t="shared" si="128"/>
        <v>-</v>
      </c>
      <c r="E953" s="1506">
        <f t="shared" si="128"/>
        <v>0</v>
      </c>
      <c r="F953" s="1509">
        <f t="shared" si="122"/>
        <v>0</v>
      </c>
      <c r="G953" s="1509">
        <f t="shared" si="123"/>
        <v>0</v>
      </c>
      <c r="H953" s="1509">
        <f t="shared" si="124"/>
        <v>0</v>
      </c>
      <c r="I953" s="1509">
        <v>0</v>
      </c>
      <c r="J953" s="1509">
        <v>0</v>
      </c>
      <c r="K953" s="1509"/>
      <c r="L953" s="1509"/>
      <c r="M953" s="1509">
        <f t="shared" si="125"/>
        <v>0</v>
      </c>
      <c r="N953" s="1509">
        <f t="shared" si="126"/>
        <v>0</v>
      </c>
    </row>
    <row r="954" spans="1:14" customFormat="1" ht="29" outlineLevel="1" x14ac:dyDescent="0.25">
      <c r="A954" s="1511">
        <f t="shared" si="128"/>
        <v>21.1</v>
      </c>
      <c r="B954" s="1515" t="str">
        <f t="shared" si="128"/>
        <v>Rennovation of Khadka &amp; Naikota switchyard including replacement of Transformer and 33 KV outdoor type VCBs</v>
      </c>
      <c r="C954" s="1396" t="str">
        <f t="shared" si="128"/>
        <v>Yet to be approved</v>
      </c>
      <c r="D954" s="1378" t="str">
        <f t="shared" si="128"/>
        <v>-</v>
      </c>
      <c r="E954" s="1505">
        <f t="shared" si="128"/>
        <v>0</v>
      </c>
      <c r="F954" s="1509">
        <f t="shared" si="122"/>
        <v>0</v>
      </c>
      <c r="G954" s="1509">
        <f t="shared" si="123"/>
        <v>0</v>
      </c>
      <c r="H954" s="1509">
        <f t="shared" si="124"/>
        <v>0</v>
      </c>
      <c r="I954" s="1509">
        <v>0</v>
      </c>
      <c r="J954" s="1509">
        <v>0</v>
      </c>
      <c r="K954" s="1509"/>
      <c r="L954" s="1509"/>
      <c r="M954" s="1509">
        <f t="shared" si="125"/>
        <v>0</v>
      </c>
      <c r="N954" s="1509">
        <f t="shared" si="126"/>
        <v>0</v>
      </c>
    </row>
    <row r="955" spans="1:14" customFormat="1" ht="29" outlineLevel="1" x14ac:dyDescent="0.25">
      <c r="A955" s="1511">
        <f t="shared" si="128"/>
        <v>21.2</v>
      </c>
      <c r="B955" s="1515" t="str">
        <f t="shared" si="128"/>
        <v>Replacement of Khadka ,naikota 6.6 KV HT Breaker Panel , breaker trolleys and control cabinet</v>
      </c>
      <c r="C955" s="1396" t="str">
        <f t="shared" si="128"/>
        <v>Yet to be approved</v>
      </c>
      <c r="D955" s="1378" t="str">
        <f t="shared" si="128"/>
        <v>-</v>
      </c>
      <c r="E955" s="1505">
        <f t="shared" si="128"/>
        <v>0</v>
      </c>
      <c r="F955" s="1509">
        <f t="shared" si="122"/>
        <v>0</v>
      </c>
      <c r="G955" s="1509">
        <f t="shared" si="123"/>
        <v>0</v>
      </c>
      <c r="H955" s="1509">
        <f t="shared" si="124"/>
        <v>0</v>
      </c>
      <c r="I955" s="1509">
        <v>0</v>
      </c>
      <c r="J955" s="1509">
        <v>0</v>
      </c>
      <c r="K955" s="1509"/>
      <c r="L955" s="1509"/>
      <c r="M955" s="1509">
        <f t="shared" si="125"/>
        <v>0</v>
      </c>
      <c r="N955" s="1509">
        <f t="shared" si="126"/>
        <v>0</v>
      </c>
    </row>
    <row r="956" spans="1:14" customFormat="1" outlineLevel="1" x14ac:dyDescent="0.25">
      <c r="A956" s="1511">
        <f t="shared" si="128"/>
        <v>21.3</v>
      </c>
      <c r="B956" s="1515" t="str">
        <f t="shared" si="128"/>
        <v>Replacement of LT breakers &amp; modules at Unit 7</v>
      </c>
      <c r="C956" s="1396" t="str">
        <f t="shared" si="128"/>
        <v>Yet to be approved</v>
      </c>
      <c r="D956" s="1378" t="str">
        <f t="shared" si="128"/>
        <v>-</v>
      </c>
      <c r="E956" s="1505">
        <f t="shared" si="128"/>
        <v>0</v>
      </c>
      <c r="F956" s="1509">
        <f t="shared" si="122"/>
        <v>0</v>
      </c>
      <c r="G956" s="1509">
        <f t="shared" si="123"/>
        <v>0</v>
      </c>
      <c r="H956" s="1509">
        <f t="shared" si="124"/>
        <v>0</v>
      </c>
      <c r="I956" s="1509">
        <v>0</v>
      </c>
      <c r="J956" s="1509">
        <v>0</v>
      </c>
      <c r="K956" s="1509"/>
      <c r="L956" s="1509"/>
      <c r="M956" s="1509">
        <f t="shared" si="125"/>
        <v>0</v>
      </c>
      <c r="N956" s="1509">
        <f t="shared" si="126"/>
        <v>0</v>
      </c>
    </row>
    <row r="957" spans="1:14" customFormat="1" ht="29" outlineLevel="1" x14ac:dyDescent="0.25">
      <c r="A957" s="1511">
        <f t="shared" si="128"/>
        <v>21.4</v>
      </c>
      <c r="B957" s="1515" t="str">
        <f t="shared" si="128"/>
        <v>Rennovation/Replacement  of Boiler &amp; Turbine side lighting by energy efficient LED lighting at unit 6&amp;7, NPTPS, Parli vaijnath</v>
      </c>
      <c r="C957" s="1396" t="str">
        <f t="shared" si="128"/>
        <v>Yet to be approved</v>
      </c>
      <c r="D957" s="1378" t="str">
        <f t="shared" si="128"/>
        <v>-</v>
      </c>
      <c r="E957" s="1505">
        <f t="shared" si="128"/>
        <v>0</v>
      </c>
      <c r="F957" s="1509">
        <f t="shared" si="122"/>
        <v>0</v>
      </c>
      <c r="G957" s="1509">
        <f t="shared" si="123"/>
        <v>0</v>
      </c>
      <c r="H957" s="1509">
        <f t="shared" si="124"/>
        <v>0</v>
      </c>
      <c r="I957" s="1509">
        <v>0</v>
      </c>
      <c r="J957" s="1509">
        <v>0</v>
      </c>
      <c r="K957" s="1509"/>
      <c r="L957" s="1509"/>
      <c r="M957" s="1509">
        <f t="shared" si="125"/>
        <v>0</v>
      </c>
      <c r="N957" s="1509">
        <f t="shared" si="126"/>
        <v>0</v>
      </c>
    </row>
    <row r="958" spans="1:14" customFormat="1" ht="29" outlineLevel="1" x14ac:dyDescent="0.25">
      <c r="A958" s="1511">
        <f t="shared" si="128"/>
        <v>21.5</v>
      </c>
      <c r="B958" s="1515" t="str">
        <f t="shared" si="128"/>
        <v>nstallation of VFD for CEP, FD Fan, Seal Air Fan &amp; HFO pump motors at unit 6&amp;7, NPTPS, Parli Vaijnath</v>
      </c>
      <c r="C958" s="1396" t="str">
        <f t="shared" si="128"/>
        <v>Yet to be approved</v>
      </c>
      <c r="D958" s="1378" t="str">
        <f t="shared" si="128"/>
        <v>-</v>
      </c>
      <c r="E958" s="1505">
        <f t="shared" si="128"/>
        <v>0</v>
      </c>
      <c r="F958" s="1509">
        <f t="shared" si="122"/>
        <v>0</v>
      </c>
      <c r="G958" s="1509">
        <f t="shared" si="123"/>
        <v>0</v>
      </c>
      <c r="H958" s="1509">
        <f t="shared" si="124"/>
        <v>0</v>
      </c>
      <c r="I958" s="1509">
        <v>0</v>
      </c>
      <c r="J958" s="1509">
        <v>0</v>
      </c>
      <c r="K958" s="1509"/>
      <c r="L958" s="1509"/>
      <c r="M958" s="1509">
        <f t="shared" si="125"/>
        <v>0</v>
      </c>
      <c r="N958" s="1509">
        <f t="shared" si="126"/>
        <v>0</v>
      </c>
    </row>
    <row r="959" spans="1:14" customFormat="1" outlineLevel="1" x14ac:dyDescent="0.25">
      <c r="A959" s="1511">
        <f t="shared" si="128"/>
        <v>0</v>
      </c>
      <c r="B959" s="1515" t="str">
        <f t="shared" si="128"/>
        <v>IDC</v>
      </c>
      <c r="C959" s="1396" t="str">
        <f t="shared" si="128"/>
        <v>Yet to be approved</v>
      </c>
      <c r="D959" s="1378" t="str">
        <f t="shared" si="128"/>
        <v>-</v>
      </c>
      <c r="E959" s="1505">
        <f t="shared" si="128"/>
        <v>0</v>
      </c>
      <c r="F959" s="1509">
        <f t="shared" si="122"/>
        <v>0</v>
      </c>
      <c r="G959" s="1509">
        <f t="shared" si="123"/>
        <v>0</v>
      </c>
      <c r="H959" s="1509">
        <f t="shared" si="124"/>
        <v>0</v>
      </c>
      <c r="I959" s="1509">
        <v>0</v>
      </c>
      <c r="J959" s="1509">
        <v>0</v>
      </c>
      <c r="K959" s="1509"/>
      <c r="L959" s="1509"/>
      <c r="M959" s="1509">
        <f t="shared" si="125"/>
        <v>0</v>
      </c>
      <c r="N959" s="1509">
        <f t="shared" si="126"/>
        <v>0</v>
      </c>
    </row>
    <row r="960" spans="1:14" customFormat="1" ht="29" outlineLevel="1" x14ac:dyDescent="0.25">
      <c r="A960" s="1506">
        <f t="shared" si="128"/>
        <v>22</v>
      </c>
      <c r="B960" s="1507" t="str">
        <f t="shared" si="128"/>
        <v>Renovation of Colony Electrical supply system &amp; also replacement of wiring of all Types of buildings ,street light,highmast etc</v>
      </c>
      <c r="C960" s="1506" t="str">
        <f t="shared" si="128"/>
        <v>Yet to be approved</v>
      </c>
      <c r="D960" s="1507" t="str">
        <f t="shared" si="128"/>
        <v>-</v>
      </c>
      <c r="E960" s="1506">
        <f t="shared" si="128"/>
        <v>0</v>
      </c>
      <c r="F960" s="1509">
        <f t="shared" si="122"/>
        <v>0</v>
      </c>
      <c r="G960" s="1509">
        <f t="shared" si="123"/>
        <v>0</v>
      </c>
      <c r="H960" s="1509">
        <f t="shared" si="124"/>
        <v>0</v>
      </c>
      <c r="I960" s="1509">
        <v>0</v>
      </c>
      <c r="J960" s="1509">
        <v>0</v>
      </c>
      <c r="K960" s="1509"/>
      <c r="L960" s="1509"/>
      <c r="M960" s="1509">
        <f t="shared" si="125"/>
        <v>0</v>
      </c>
      <c r="N960" s="1509">
        <f t="shared" si="126"/>
        <v>0</v>
      </c>
    </row>
    <row r="961" spans="1:14" customFormat="1" ht="29" outlineLevel="1" x14ac:dyDescent="0.25">
      <c r="A961" s="1511">
        <f t="shared" si="128"/>
        <v>22.1</v>
      </c>
      <c r="B961" s="1515" t="str">
        <f t="shared" si="128"/>
        <v>Renovation of Colony Electrical supply system &amp; also replacement of wiring of all Types of buildings ,street light,highmast etc</v>
      </c>
      <c r="C961" s="1396" t="str">
        <f t="shared" si="128"/>
        <v>Yet to be approved</v>
      </c>
      <c r="D961" s="1378" t="str">
        <f t="shared" si="128"/>
        <v>-</v>
      </c>
      <c r="E961" s="1505">
        <f t="shared" si="128"/>
        <v>0</v>
      </c>
      <c r="F961" s="1509">
        <f t="shared" si="122"/>
        <v>0</v>
      </c>
      <c r="G961" s="1509">
        <f t="shared" si="123"/>
        <v>0</v>
      </c>
      <c r="H961" s="1509">
        <f t="shared" si="124"/>
        <v>0</v>
      </c>
      <c r="I961" s="1509">
        <v>0</v>
      </c>
      <c r="J961" s="1509">
        <v>0</v>
      </c>
      <c r="K961" s="1509"/>
      <c r="L961" s="1509"/>
      <c r="M961" s="1509">
        <f t="shared" si="125"/>
        <v>0</v>
      </c>
      <c r="N961" s="1509">
        <f t="shared" si="126"/>
        <v>0</v>
      </c>
    </row>
    <row r="962" spans="1:14" customFormat="1" outlineLevel="1" x14ac:dyDescent="0.25">
      <c r="A962" s="1511">
        <f t="shared" si="128"/>
        <v>0</v>
      </c>
      <c r="B962" s="1515" t="str">
        <f t="shared" si="128"/>
        <v>IDC</v>
      </c>
      <c r="C962" s="1396" t="str">
        <f t="shared" si="128"/>
        <v>Yet to be approved</v>
      </c>
      <c r="D962" s="1378" t="str">
        <f t="shared" si="128"/>
        <v>-</v>
      </c>
      <c r="E962" s="1505">
        <f t="shared" si="128"/>
        <v>0</v>
      </c>
      <c r="F962" s="1509">
        <f t="shared" si="122"/>
        <v>0</v>
      </c>
      <c r="G962" s="1509">
        <f t="shared" si="123"/>
        <v>0</v>
      </c>
      <c r="H962" s="1509">
        <f t="shared" si="124"/>
        <v>0</v>
      </c>
      <c r="I962" s="1509">
        <v>0</v>
      </c>
      <c r="J962" s="1509">
        <v>0</v>
      </c>
      <c r="K962" s="1509"/>
      <c r="L962" s="1509"/>
      <c r="M962" s="1509">
        <f t="shared" si="125"/>
        <v>0</v>
      </c>
      <c r="N962" s="1509">
        <f t="shared" si="126"/>
        <v>0</v>
      </c>
    </row>
    <row r="963" spans="1:14" customFormat="1" ht="58" outlineLevel="1" x14ac:dyDescent="0.25">
      <c r="A963" s="1506">
        <f t="shared" si="128"/>
        <v>23</v>
      </c>
      <c r="B963" s="1507" t="str">
        <f t="shared" si="128"/>
        <v xml:space="preserve"> UPGRADATION OF EXPIRED AND VULNERABLE Scada, operating system and hardware to improve life and communication system of IAC,OHP &amp; PTP plant UNIT 6&amp;7 250MW at NPTPS PARLI V" &amp; Emission Monitoring &amp; Water Quality Analysers system Upgradation Schemes</v>
      </c>
      <c r="C963" s="1506" t="str">
        <f t="shared" si="128"/>
        <v>Yet to be approved</v>
      </c>
      <c r="D963" s="1507" t="str">
        <f t="shared" si="128"/>
        <v>-</v>
      </c>
      <c r="E963" s="1506">
        <f t="shared" si="128"/>
        <v>0</v>
      </c>
      <c r="F963" s="1509">
        <f t="shared" si="122"/>
        <v>0</v>
      </c>
      <c r="G963" s="1509">
        <f t="shared" si="123"/>
        <v>0</v>
      </c>
      <c r="H963" s="1509">
        <f t="shared" si="124"/>
        <v>0</v>
      </c>
      <c r="I963" s="1509">
        <v>0</v>
      </c>
      <c r="J963" s="1509">
        <v>0</v>
      </c>
      <c r="K963" s="1509"/>
      <c r="L963" s="1509"/>
      <c r="M963" s="1509">
        <f t="shared" si="125"/>
        <v>0</v>
      </c>
      <c r="N963" s="1509">
        <f t="shared" si="126"/>
        <v>0</v>
      </c>
    </row>
    <row r="964" spans="1:14" customFormat="1" ht="43.5" outlineLevel="1" x14ac:dyDescent="0.25">
      <c r="A964" s="1511">
        <f t="shared" ref="A964:E979" si="129">A607</f>
        <v>23.1</v>
      </c>
      <c r="B964" s="1515" t="str">
        <f t="shared" si="129"/>
        <v>UPGRADATION OF EXPIRED AND VULNERABLE Scada, operating system and hardware to improve life and communication system of IAC,OHP &amp; PTP plant UNIT 6&amp;7 250MW at NPTPS PARLI V".</v>
      </c>
      <c r="C964" s="1396" t="str">
        <f t="shared" si="129"/>
        <v>Yet to be approved</v>
      </c>
      <c r="D964" s="1378" t="str">
        <f t="shared" si="129"/>
        <v>-</v>
      </c>
      <c r="E964" s="1505">
        <f t="shared" si="129"/>
        <v>0</v>
      </c>
      <c r="F964" s="1509">
        <f t="shared" si="122"/>
        <v>0</v>
      </c>
      <c r="G964" s="1509">
        <f t="shared" si="123"/>
        <v>0</v>
      </c>
      <c r="H964" s="1509">
        <f t="shared" si="124"/>
        <v>0</v>
      </c>
      <c r="I964" s="1509">
        <v>0</v>
      </c>
      <c r="J964" s="1509">
        <v>0</v>
      </c>
      <c r="K964" s="1509"/>
      <c r="L964" s="1509"/>
      <c r="M964" s="1509">
        <f t="shared" si="125"/>
        <v>0</v>
      </c>
      <c r="N964" s="1509">
        <f t="shared" si="126"/>
        <v>0</v>
      </c>
    </row>
    <row r="965" spans="1:14" customFormat="1" outlineLevel="1" x14ac:dyDescent="0.25">
      <c r="A965" s="1511">
        <f t="shared" si="129"/>
        <v>23.2</v>
      </c>
      <c r="B965" s="1515" t="str">
        <f t="shared" si="129"/>
        <v>Up gradation of SWAS system at U 7,NPTPS</v>
      </c>
      <c r="C965" s="1396" t="str">
        <f t="shared" si="129"/>
        <v>Yet to be approved</v>
      </c>
      <c r="D965" s="1378" t="str">
        <f t="shared" si="129"/>
        <v>-</v>
      </c>
      <c r="E965" s="1505">
        <f t="shared" si="129"/>
        <v>0</v>
      </c>
      <c r="F965" s="1509">
        <f t="shared" si="122"/>
        <v>0</v>
      </c>
      <c r="G965" s="1509">
        <f t="shared" si="123"/>
        <v>0</v>
      </c>
      <c r="H965" s="1509">
        <f t="shared" si="124"/>
        <v>0</v>
      </c>
      <c r="I965" s="1509">
        <v>0</v>
      </c>
      <c r="J965" s="1509">
        <v>0</v>
      </c>
      <c r="K965" s="1509"/>
      <c r="L965" s="1509"/>
      <c r="M965" s="1509">
        <f t="shared" si="125"/>
        <v>0</v>
      </c>
      <c r="N965" s="1509">
        <f t="shared" si="126"/>
        <v>0</v>
      </c>
    </row>
    <row r="966" spans="1:14" customFormat="1" outlineLevel="1" x14ac:dyDescent="0.25">
      <c r="A966" s="1511">
        <f t="shared" si="129"/>
        <v>23.3</v>
      </c>
      <c r="B966" s="1515" t="str">
        <f t="shared" si="129"/>
        <v>Oxygen measurement  APH and at ID outlet</v>
      </c>
      <c r="C966" s="1396" t="str">
        <f t="shared" si="129"/>
        <v>Yet to be approved</v>
      </c>
      <c r="D966" s="1378" t="str">
        <f t="shared" si="129"/>
        <v>-</v>
      </c>
      <c r="E966" s="1505">
        <f t="shared" si="129"/>
        <v>0</v>
      </c>
      <c r="F966" s="1509">
        <f t="shared" si="122"/>
        <v>0</v>
      </c>
      <c r="G966" s="1509">
        <f t="shared" si="123"/>
        <v>0</v>
      </c>
      <c r="H966" s="1509">
        <f t="shared" si="124"/>
        <v>0</v>
      </c>
      <c r="I966" s="1509">
        <v>0</v>
      </c>
      <c r="J966" s="1509">
        <v>0</v>
      </c>
      <c r="K966" s="1509"/>
      <c r="L966" s="1509"/>
      <c r="M966" s="1509">
        <f t="shared" si="125"/>
        <v>0</v>
      </c>
      <c r="N966" s="1509">
        <f t="shared" si="126"/>
        <v>0</v>
      </c>
    </row>
    <row r="967" spans="1:14" customFormat="1" ht="29" outlineLevel="1" x14ac:dyDescent="0.25">
      <c r="A967" s="1511">
        <f t="shared" si="129"/>
        <v>23.4</v>
      </c>
      <c r="B967" s="1515" t="str">
        <f t="shared" si="129"/>
        <v>Up gradation of  Drum level measurement system at Unit – 6 &amp;7 New Parli TPS, Parli-V</v>
      </c>
      <c r="C967" s="1396" t="str">
        <f t="shared" si="129"/>
        <v>Yet to be approved</v>
      </c>
      <c r="D967" s="1378" t="str">
        <f t="shared" si="129"/>
        <v>-</v>
      </c>
      <c r="E967" s="1505">
        <f t="shared" si="129"/>
        <v>0</v>
      </c>
      <c r="F967" s="1509">
        <f t="shared" si="122"/>
        <v>0</v>
      </c>
      <c r="G967" s="1509">
        <f t="shared" si="123"/>
        <v>0</v>
      </c>
      <c r="H967" s="1509">
        <f t="shared" si="124"/>
        <v>0</v>
      </c>
      <c r="I967" s="1509">
        <v>0</v>
      </c>
      <c r="J967" s="1509">
        <v>0</v>
      </c>
      <c r="K967" s="1509"/>
      <c r="L967" s="1509"/>
      <c r="M967" s="1509">
        <f t="shared" si="125"/>
        <v>0</v>
      </c>
      <c r="N967" s="1509">
        <f t="shared" si="126"/>
        <v>0</v>
      </c>
    </row>
    <row r="968" spans="1:14" customFormat="1" outlineLevel="1" x14ac:dyDescent="0.25">
      <c r="A968" s="1511">
        <f t="shared" si="129"/>
        <v>23.5</v>
      </c>
      <c r="B968" s="1515" t="str">
        <f t="shared" si="129"/>
        <v>OLCC SYSTEM UPGRADATION U6 &amp; U7</v>
      </c>
      <c r="C968" s="1396" t="str">
        <f t="shared" si="129"/>
        <v>Yet to be approved</v>
      </c>
      <c r="D968" s="1378" t="str">
        <f t="shared" si="129"/>
        <v>-</v>
      </c>
      <c r="E968" s="1505">
        <f t="shared" si="129"/>
        <v>0</v>
      </c>
      <c r="F968" s="1509">
        <f t="shared" si="122"/>
        <v>0</v>
      </c>
      <c r="G968" s="1509">
        <f t="shared" si="123"/>
        <v>0</v>
      </c>
      <c r="H968" s="1509">
        <f t="shared" si="124"/>
        <v>0</v>
      </c>
      <c r="I968" s="1509">
        <v>0</v>
      </c>
      <c r="J968" s="1509">
        <v>0</v>
      </c>
      <c r="K968" s="1509"/>
      <c r="L968" s="1509"/>
      <c r="M968" s="1509">
        <f t="shared" si="125"/>
        <v>0</v>
      </c>
      <c r="N968" s="1509">
        <f t="shared" si="126"/>
        <v>0</v>
      </c>
    </row>
    <row r="969" spans="1:14" customFormat="1" ht="43.5" outlineLevel="1" x14ac:dyDescent="0.25">
      <c r="A969" s="1511">
        <f t="shared" si="129"/>
        <v>23.6</v>
      </c>
      <c r="B969" s="1515" t="str">
        <f t="shared" si="129"/>
        <v>Up gradation of  Boiler tubes leakage detection system &amp; Furnace flame mapping with video camera at Unit – 6 &amp;7 New Parli TPS, Parli-V</v>
      </c>
      <c r="C969" s="1396" t="str">
        <f t="shared" si="129"/>
        <v>Yet to be approved</v>
      </c>
      <c r="D969" s="1378" t="str">
        <f t="shared" si="129"/>
        <v>-</v>
      </c>
      <c r="E969" s="1505">
        <f t="shared" si="129"/>
        <v>0</v>
      </c>
      <c r="F969" s="1509">
        <f t="shared" si="122"/>
        <v>0</v>
      </c>
      <c r="G969" s="1509">
        <f t="shared" si="123"/>
        <v>0</v>
      </c>
      <c r="H969" s="1509">
        <f t="shared" si="124"/>
        <v>0</v>
      </c>
      <c r="I969" s="1509">
        <v>0</v>
      </c>
      <c r="J969" s="1509">
        <v>0</v>
      </c>
      <c r="K969" s="1509"/>
      <c r="L969" s="1509"/>
      <c r="M969" s="1509">
        <f t="shared" si="125"/>
        <v>0</v>
      </c>
      <c r="N969" s="1509">
        <f t="shared" si="126"/>
        <v>0</v>
      </c>
    </row>
    <row r="970" spans="1:14" customFormat="1" outlineLevel="1" x14ac:dyDescent="0.25">
      <c r="A970" s="1511">
        <f t="shared" si="129"/>
        <v>23.7</v>
      </c>
      <c r="B970" s="1515" t="str">
        <f t="shared" si="129"/>
        <v>Unit7 LVS system SCADA/HMI  upgradation</v>
      </c>
      <c r="C970" s="1396" t="str">
        <f t="shared" si="129"/>
        <v>Yet to be approved</v>
      </c>
      <c r="D970" s="1378" t="str">
        <f t="shared" si="129"/>
        <v>-</v>
      </c>
      <c r="E970" s="1505">
        <f t="shared" si="129"/>
        <v>0</v>
      </c>
      <c r="F970" s="1509">
        <f t="shared" si="122"/>
        <v>0</v>
      </c>
      <c r="G970" s="1509">
        <f t="shared" si="123"/>
        <v>0</v>
      </c>
      <c r="H970" s="1509">
        <f t="shared" si="124"/>
        <v>0</v>
      </c>
      <c r="I970" s="1509">
        <v>0</v>
      </c>
      <c r="J970" s="1509">
        <v>0</v>
      </c>
      <c r="K970" s="1509"/>
      <c r="L970" s="1509"/>
      <c r="M970" s="1509">
        <f t="shared" si="125"/>
        <v>0</v>
      </c>
      <c r="N970" s="1509">
        <f t="shared" si="126"/>
        <v>0</v>
      </c>
    </row>
    <row r="971" spans="1:14" customFormat="1" outlineLevel="1" x14ac:dyDescent="0.25">
      <c r="A971" s="1511">
        <f t="shared" si="129"/>
        <v>23.8</v>
      </c>
      <c r="B971" s="1515" t="str">
        <f t="shared" si="129"/>
        <v>Upgradation of Instrumentation &amp; control lab</v>
      </c>
      <c r="C971" s="1396" t="str">
        <f t="shared" si="129"/>
        <v>Yet to be approved</v>
      </c>
      <c r="D971" s="1378" t="str">
        <f t="shared" si="129"/>
        <v>-</v>
      </c>
      <c r="E971" s="1505">
        <f t="shared" si="129"/>
        <v>0</v>
      </c>
      <c r="F971" s="1509">
        <f t="shared" si="122"/>
        <v>0</v>
      </c>
      <c r="G971" s="1509">
        <f t="shared" si="123"/>
        <v>0</v>
      </c>
      <c r="H971" s="1509">
        <f t="shared" si="124"/>
        <v>0</v>
      </c>
      <c r="I971" s="1509">
        <v>0</v>
      </c>
      <c r="J971" s="1509">
        <v>0</v>
      </c>
      <c r="K971" s="1509"/>
      <c r="L971" s="1509"/>
      <c r="M971" s="1509">
        <f t="shared" si="125"/>
        <v>0</v>
      </c>
      <c r="N971" s="1509">
        <f t="shared" si="126"/>
        <v>0</v>
      </c>
    </row>
    <row r="972" spans="1:14" customFormat="1" outlineLevel="1" x14ac:dyDescent="0.25">
      <c r="A972" s="1511">
        <f t="shared" si="129"/>
        <v>0</v>
      </c>
      <c r="B972" s="1515" t="str">
        <f t="shared" si="129"/>
        <v>IDC</v>
      </c>
      <c r="C972" s="1396" t="str">
        <f t="shared" si="129"/>
        <v>Yet to be approved</v>
      </c>
      <c r="D972" s="1378" t="str">
        <f t="shared" si="129"/>
        <v>-</v>
      </c>
      <c r="E972" s="1505">
        <f t="shared" si="129"/>
        <v>0</v>
      </c>
      <c r="F972" s="1509">
        <f t="shared" si="122"/>
        <v>0</v>
      </c>
      <c r="G972" s="1509">
        <f t="shared" si="123"/>
        <v>0</v>
      </c>
      <c r="H972" s="1509">
        <f t="shared" si="124"/>
        <v>0</v>
      </c>
      <c r="I972" s="1509">
        <v>0</v>
      </c>
      <c r="J972" s="1509">
        <v>0</v>
      </c>
      <c r="K972" s="1509"/>
      <c r="L972" s="1509"/>
      <c r="M972" s="1509">
        <f t="shared" si="125"/>
        <v>0</v>
      </c>
      <c r="N972" s="1509">
        <f t="shared" si="126"/>
        <v>0</v>
      </c>
    </row>
    <row r="973" spans="1:14" customFormat="1" ht="29" outlineLevel="1" x14ac:dyDescent="0.25">
      <c r="A973" s="1506">
        <f t="shared" si="129"/>
        <v>24</v>
      </c>
      <c r="B973" s="1507" t="str">
        <f t="shared" si="129"/>
        <v>Control and monitoring system upgradation at U6&amp;7 NPTPS &amp; Various Instrumentation schemes at Unit 6,7, NPTPS Parli-V</v>
      </c>
      <c r="C973" s="1506" t="str">
        <f t="shared" si="129"/>
        <v>Yet to be approved</v>
      </c>
      <c r="D973" s="1507" t="str">
        <f t="shared" si="129"/>
        <v>-</v>
      </c>
      <c r="E973" s="1506">
        <f t="shared" si="129"/>
        <v>0</v>
      </c>
      <c r="F973" s="1509">
        <f t="shared" si="122"/>
        <v>0</v>
      </c>
      <c r="G973" s="1509">
        <f t="shared" si="123"/>
        <v>0</v>
      </c>
      <c r="H973" s="1509">
        <f t="shared" si="124"/>
        <v>0</v>
      </c>
      <c r="I973" s="1509">
        <v>0</v>
      </c>
      <c r="J973" s="1509">
        <v>0</v>
      </c>
      <c r="K973" s="1509"/>
      <c r="L973" s="1509"/>
      <c r="M973" s="1509">
        <f t="shared" si="125"/>
        <v>0</v>
      </c>
      <c r="N973" s="1509">
        <f t="shared" si="126"/>
        <v>0</v>
      </c>
    </row>
    <row r="974" spans="1:14" customFormat="1" outlineLevel="1" x14ac:dyDescent="0.25">
      <c r="A974" s="1511">
        <f t="shared" si="129"/>
        <v>24.1</v>
      </c>
      <c r="B974" s="1515" t="str">
        <f t="shared" si="129"/>
        <v>Upgradation of level, flow &amp; pressure measurement system</v>
      </c>
      <c r="C974" s="1396" t="str">
        <f t="shared" si="129"/>
        <v>Yet to be approved</v>
      </c>
      <c r="D974" s="1378" t="str">
        <f t="shared" si="129"/>
        <v>-</v>
      </c>
      <c r="E974" s="1505">
        <f t="shared" si="129"/>
        <v>0</v>
      </c>
      <c r="F974" s="1509">
        <f t="shared" si="122"/>
        <v>0</v>
      </c>
      <c r="G974" s="1509">
        <f t="shared" si="123"/>
        <v>0</v>
      </c>
      <c r="H974" s="1509">
        <f t="shared" si="124"/>
        <v>0</v>
      </c>
      <c r="I974" s="1509">
        <v>0</v>
      </c>
      <c r="J974" s="1509">
        <v>0</v>
      </c>
      <c r="K974" s="1509"/>
      <c r="L974" s="1509"/>
      <c r="M974" s="1509">
        <f t="shared" si="125"/>
        <v>0</v>
      </c>
      <c r="N974" s="1509">
        <f t="shared" si="126"/>
        <v>0</v>
      </c>
    </row>
    <row r="975" spans="1:14" customFormat="1" ht="29" outlineLevel="1" x14ac:dyDescent="0.25">
      <c r="A975" s="1511">
        <f t="shared" si="129"/>
        <v>24.2</v>
      </c>
      <c r="B975" s="1515" t="str">
        <f t="shared" si="129"/>
        <v>Up gradation of  Vibration Monitoring System(VMS) at Unit – 6 &amp;7 Parli TPS, Parli-V</v>
      </c>
      <c r="C975" s="1396" t="str">
        <f t="shared" si="129"/>
        <v>Yet to be approved</v>
      </c>
      <c r="D975" s="1378" t="str">
        <f t="shared" si="129"/>
        <v>-</v>
      </c>
      <c r="E975" s="1505">
        <f t="shared" si="129"/>
        <v>0</v>
      </c>
      <c r="F975" s="1509">
        <f t="shared" si="122"/>
        <v>0</v>
      </c>
      <c r="G975" s="1509">
        <f t="shared" si="123"/>
        <v>0</v>
      </c>
      <c r="H975" s="1509">
        <f t="shared" si="124"/>
        <v>0</v>
      </c>
      <c r="I975" s="1509">
        <v>0</v>
      </c>
      <c r="J975" s="1509">
        <v>0</v>
      </c>
      <c r="K975" s="1509"/>
      <c r="L975" s="1509"/>
      <c r="M975" s="1509">
        <f t="shared" si="125"/>
        <v>0</v>
      </c>
      <c r="N975" s="1509">
        <f t="shared" si="126"/>
        <v>0</v>
      </c>
    </row>
    <row r="976" spans="1:14" customFormat="1" outlineLevel="1" x14ac:dyDescent="0.25">
      <c r="A976" s="1511">
        <f t="shared" si="129"/>
        <v>24.3</v>
      </c>
      <c r="B976" s="1515" t="str">
        <f t="shared" si="129"/>
        <v>Upgradation of feedstation valve contol instruments.</v>
      </c>
      <c r="C976" s="1396" t="str">
        <f t="shared" si="129"/>
        <v>Yet to be approved</v>
      </c>
      <c r="D976" s="1378" t="str">
        <f t="shared" si="129"/>
        <v>-</v>
      </c>
      <c r="E976" s="1505">
        <f t="shared" si="129"/>
        <v>0</v>
      </c>
      <c r="F976" s="1509">
        <f t="shared" si="122"/>
        <v>0</v>
      </c>
      <c r="G976" s="1509">
        <f t="shared" si="123"/>
        <v>0</v>
      </c>
      <c r="H976" s="1509">
        <f t="shared" si="124"/>
        <v>0</v>
      </c>
      <c r="I976" s="1509">
        <v>0</v>
      </c>
      <c r="J976" s="1509">
        <v>0</v>
      </c>
      <c r="K976" s="1509"/>
      <c r="L976" s="1509"/>
      <c r="M976" s="1509">
        <f t="shared" si="125"/>
        <v>0</v>
      </c>
      <c r="N976" s="1509">
        <f t="shared" si="126"/>
        <v>0</v>
      </c>
    </row>
    <row r="977" spans="1:14" customFormat="1" ht="58" outlineLevel="1" x14ac:dyDescent="0.25">
      <c r="A977" s="1511">
        <f t="shared" si="129"/>
        <v>24.4</v>
      </c>
      <c r="B977" s="1515" t="str">
        <f t="shared" si="129"/>
        <v>Supply of various instuments like H2 Dew point measurement system spares, Hydrogen analyzer, H2 leak detection system spares etc.Critical/Non-Critical Spares sub-assembly for performance improvement</v>
      </c>
      <c r="C977" s="1396" t="str">
        <f t="shared" si="129"/>
        <v>Yet to be approved</v>
      </c>
      <c r="D977" s="1378" t="str">
        <f t="shared" si="129"/>
        <v>-</v>
      </c>
      <c r="E977" s="1505">
        <f t="shared" si="129"/>
        <v>0</v>
      </c>
      <c r="F977" s="1509">
        <f t="shared" si="122"/>
        <v>0</v>
      </c>
      <c r="G977" s="1509">
        <f t="shared" si="123"/>
        <v>0</v>
      </c>
      <c r="H977" s="1509">
        <f t="shared" si="124"/>
        <v>0</v>
      </c>
      <c r="I977" s="1509">
        <v>0</v>
      </c>
      <c r="J977" s="1509">
        <v>0</v>
      </c>
      <c r="K977" s="1509"/>
      <c r="L977" s="1509"/>
      <c r="M977" s="1509">
        <f t="shared" si="125"/>
        <v>0</v>
      </c>
      <c r="N977" s="1509">
        <f t="shared" si="126"/>
        <v>0</v>
      </c>
    </row>
    <row r="978" spans="1:14" customFormat="1" outlineLevel="1" x14ac:dyDescent="0.25">
      <c r="A978" s="1511">
        <f t="shared" si="129"/>
        <v>24.5</v>
      </c>
      <c r="B978" s="1515" t="str">
        <f t="shared" si="129"/>
        <v>Online Water flow Monitoring System at Khadka</v>
      </c>
      <c r="C978" s="1396" t="str">
        <f t="shared" si="129"/>
        <v>Yet to be approved</v>
      </c>
      <c r="D978" s="1378" t="str">
        <f t="shared" si="129"/>
        <v>-</v>
      </c>
      <c r="E978" s="1505">
        <f t="shared" si="129"/>
        <v>0</v>
      </c>
      <c r="F978" s="1509">
        <f t="shared" si="122"/>
        <v>0</v>
      </c>
      <c r="G978" s="1509">
        <f t="shared" si="123"/>
        <v>0</v>
      </c>
      <c r="H978" s="1509">
        <f t="shared" si="124"/>
        <v>0</v>
      </c>
      <c r="I978" s="1509">
        <v>0</v>
      </c>
      <c r="J978" s="1509">
        <v>0</v>
      </c>
      <c r="K978" s="1509"/>
      <c r="L978" s="1509"/>
      <c r="M978" s="1509">
        <f t="shared" si="125"/>
        <v>0</v>
      </c>
      <c r="N978" s="1509">
        <f t="shared" si="126"/>
        <v>0</v>
      </c>
    </row>
    <row r="979" spans="1:14" customFormat="1" ht="43.5" outlineLevel="1" x14ac:dyDescent="0.25">
      <c r="A979" s="1511">
        <f t="shared" si="129"/>
        <v>24.6</v>
      </c>
      <c r="B979" s="1515" t="str">
        <f t="shared" si="129"/>
        <v xml:space="preserve"> Upgradation of CO analyser at APH  inlete and SOX NOX gas analyser installed at ID discharge along with remote calibration facility and connectivity to CPCB and MPCB as per latest CPCB Guidelines </v>
      </c>
      <c r="C979" s="1396" t="str">
        <f t="shared" si="129"/>
        <v>Yet to be approved</v>
      </c>
      <c r="D979" s="1378" t="str">
        <f t="shared" si="129"/>
        <v>-</v>
      </c>
      <c r="E979" s="1505">
        <f t="shared" si="129"/>
        <v>0</v>
      </c>
      <c r="F979" s="1509">
        <f t="shared" si="122"/>
        <v>0</v>
      </c>
      <c r="G979" s="1509">
        <f t="shared" si="123"/>
        <v>0</v>
      </c>
      <c r="H979" s="1509">
        <f t="shared" si="124"/>
        <v>0</v>
      </c>
      <c r="I979" s="1509">
        <v>0</v>
      </c>
      <c r="J979" s="1509">
        <v>0</v>
      </c>
      <c r="K979" s="1509"/>
      <c r="L979" s="1509"/>
      <c r="M979" s="1509">
        <f t="shared" si="125"/>
        <v>0</v>
      </c>
      <c r="N979" s="1509">
        <f t="shared" si="126"/>
        <v>0</v>
      </c>
    </row>
    <row r="980" spans="1:14" customFormat="1" ht="43.5" outlineLevel="1" x14ac:dyDescent="0.25">
      <c r="A980" s="1511">
        <f t="shared" ref="A980:E995" si="130">A623</f>
        <v>24.7</v>
      </c>
      <c r="B980" s="1515" t="str">
        <f t="shared" si="130"/>
        <v>Supply, Erection and Commissioning of Effluent Analyser for the parameters like COD, BOD, TSS &amp; PH installed at ETP &amp; STP outlet of the NPTPS, Parli.       complying CPCB / MPCB Guidelines.</v>
      </c>
      <c r="C980" s="1396" t="str">
        <f t="shared" si="130"/>
        <v>Yet to be approved</v>
      </c>
      <c r="D980" s="1378" t="str">
        <f t="shared" si="130"/>
        <v>-</v>
      </c>
      <c r="E980" s="1505">
        <f t="shared" si="130"/>
        <v>0</v>
      </c>
      <c r="F980" s="1509">
        <f t="shared" ref="F980:F1043" si="131">F623+I623</f>
        <v>0</v>
      </c>
      <c r="G980" s="1509">
        <f t="shared" ref="G980:G1043" si="132">G623+M623</f>
        <v>0</v>
      </c>
      <c r="H980" s="1509">
        <f t="shared" si="124"/>
        <v>0</v>
      </c>
      <c r="I980" s="1509">
        <v>0</v>
      </c>
      <c r="J980" s="1509">
        <v>0</v>
      </c>
      <c r="K980" s="1509"/>
      <c r="L980" s="1509"/>
      <c r="M980" s="1509">
        <f t="shared" si="125"/>
        <v>0</v>
      </c>
      <c r="N980" s="1509">
        <f t="shared" si="126"/>
        <v>0</v>
      </c>
    </row>
    <row r="981" spans="1:14" customFormat="1" outlineLevel="1" x14ac:dyDescent="0.25">
      <c r="A981" s="1511">
        <f t="shared" si="130"/>
        <v>0</v>
      </c>
      <c r="B981" s="1515" t="str">
        <f t="shared" si="130"/>
        <v>IDC</v>
      </c>
      <c r="C981" s="1396" t="str">
        <f t="shared" si="130"/>
        <v>Yet to be approved</v>
      </c>
      <c r="D981" s="1378" t="str">
        <f t="shared" si="130"/>
        <v>-</v>
      </c>
      <c r="E981" s="1505">
        <f t="shared" si="130"/>
        <v>0</v>
      </c>
      <c r="F981" s="1509">
        <f t="shared" si="131"/>
        <v>0</v>
      </c>
      <c r="G981" s="1509">
        <f t="shared" si="132"/>
        <v>0</v>
      </c>
      <c r="H981" s="1509">
        <f t="shared" ref="H981:H1044" si="133">F981-G981</f>
        <v>0</v>
      </c>
      <c r="I981" s="1509">
        <v>0</v>
      </c>
      <c r="J981" s="1509">
        <v>0</v>
      </c>
      <c r="K981" s="1509"/>
      <c r="L981" s="1509"/>
      <c r="M981" s="1509">
        <f t="shared" ref="M981:M1044" si="134">SUM(J981:L981)</f>
        <v>0</v>
      </c>
      <c r="N981" s="1509">
        <f t="shared" ref="N981:N1044" si="135">H981+I981-M981</f>
        <v>0</v>
      </c>
    </row>
    <row r="982" spans="1:14" customFormat="1" ht="87" outlineLevel="1" x14ac:dyDescent="0.25">
      <c r="A982" s="1506">
        <f t="shared" si="130"/>
        <v>25</v>
      </c>
      <c r="B982" s="1507" t="str">
        <f t="shared" si="130"/>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982" s="1506" t="str">
        <f t="shared" si="130"/>
        <v>Yet to be approved</v>
      </c>
      <c r="D982" s="1507" t="str">
        <f t="shared" si="130"/>
        <v>-</v>
      </c>
      <c r="E982" s="1506">
        <f t="shared" si="130"/>
        <v>0</v>
      </c>
      <c r="F982" s="1509">
        <f t="shared" si="131"/>
        <v>0</v>
      </c>
      <c r="G982" s="1509">
        <f t="shared" si="132"/>
        <v>0</v>
      </c>
      <c r="H982" s="1509">
        <f t="shared" si="133"/>
        <v>0</v>
      </c>
      <c r="I982" s="1509">
        <v>0</v>
      </c>
      <c r="J982" s="1509">
        <v>0</v>
      </c>
      <c r="K982" s="1509"/>
      <c r="L982" s="1509"/>
      <c r="M982" s="1509">
        <f t="shared" si="134"/>
        <v>0</v>
      </c>
      <c r="N982" s="1509">
        <f t="shared" si="135"/>
        <v>0</v>
      </c>
    </row>
    <row r="983" spans="1:14" customFormat="1" ht="58" outlineLevel="1" x14ac:dyDescent="0.25">
      <c r="A983" s="1511">
        <f t="shared" si="130"/>
        <v>25.1</v>
      </c>
      <c r="B983" s="1515" t="str">
        <f t="shared" si="130"/>
        <v>Work of replacement of damaged/leaky underground Fire Water Pipelines and Static Fire water Pumps at Plant (Unit-6, 7 &amp; 8) and ODP area of Parli TPS including required material viz. MSERW Pipes/Steel, etc.</v>
      </c>
      <c r="C983" s="1396" t="str">
        <f t="shared" si="130"/>
        <v>Yet to be approved</v>
      </c>
      <c r="D983" s="1378" t="str">
        <f t="shared" si="130"/>
        <v>-</v>
      </c>
      <c r="E983" s="1505">
        <f t="shared" si="130"/>
        <v>0</v>
      </c>
      <c r="F983" s="1509">
        <f t="shared" si="131"/>
        <v>0</v>
      </c>
      <c r="G983" s="1509">
        <f t="shared" si="132"/>
        <v>0</v>
      </c>
      <c r="H983" s="1509">
        <f t="shared" si="133"/>
        <v>0</v>
      </c>
      <c r="I983" s="1509">
        <v>0</v>
      </c>
      <c r="J983" s="1509">
        <v>0</v>
      </c>
      <c r="K983" s="1509"/>
      <c r="L983" s="1509"/>
      <c r="M983" s="1509">
        <f t="shared" si="134"/>
        <v>0</v>
      </c>
      <c r="N983" s="1509">
        <f t="shared" si="135"/>
        <v>0</v>
      </c>
    </row>
    <row r="984" spans="1:14" customFormat="1" ht="58" outlineLevel="1" x14ac:dyDescent="0.25">
      <c r="A984" s="1511">
        <f t="shared" si="130"/>
        <v>25.2</v>
      </c>
      <c r="B984" s="1515" t="str">
        <f t="shared" si="130"/>
        <v>Restoration of Deluge Valve system along with work of repairing/reconstruction (with relocation for safe operation) of damaged Deluge Valve Houses at Plant &amp; ODP area of Parli TPS Unit#6, 7 &amp; 8.</v>
      </c>
      <c r="C984" s="1396" t="str">
        <f t="shared" si="130"/>
        <v>Yet to be approved</v>
      </c>
      <c r="D984" s="1378" t="str">
        <f t="shared" si="130"/>
        <v>-</v>
      </c>
      <c r="E984" s="1505">
        <f t="shared" si="130"/>
        <v>0</v>
      </c>
      <c r="F984" s="1509">
        <f t="shared" si="131"/>
        <v>0</v>
      </c>
      <c r="G984" s="1509">
        <f t="shared" si="132"/>
        <v>0</v>
      </c>
      <c r="H984" s="1509">
        <f t="shared" si="133"/>
        <v>0</v>
      </c>
      <c r="I984" s="1509">
        <v>0</v>
      </c>
      <c r="J984" s="1509">
        <v>0</v>
      </c>
      <c r="K984" s="1509"/>
      <c r="L984" s="1509"/>
      <c r="M984" s="1509">
        <f t="shared" si="134"/>
        <v>0</v>
      </c>
      <c r="N984" s="1509">
        <f t="shared" si="135"/>
        <v>0</v>
      </c>
    </row>
    <row r="985" spans="1:14" customFormat="1" ht="29" outlineLevel="1" x14ac:dyDescent="0.25">
      <c r="A985" s="1511">
        <f t="shared" si="130"/>
        <v>25.3</v>
      </c>
      <c r="B985" s="1515" t="str">
        <f t="shared" si="130"/>
        <v>Supply, Rectification and Installation of addressable fire alarm system and Fire suppression system at unit 6 &amp; 7,Parli TPS.</v>
      </c>
      <c r="C985" s="1396" t="str">
        <f t="shared" si="130"/>
        <v>Yet to be approved</v>
      </c>
      <c r="D985" s="1378" t="str">
        <f t="shared" si="130"/>
        <v>-</v>
      </c>
      <c r="E985" s="1505">
        <f t="shared" si="130"/>
        <v>0</v>
      </c>
      <c r="F985" s="1509">
        <f t="shared" si="131"/>
        <v>0</v>
      </c>
      <c r="G985" s="1509">
        <f t="shared" si="132"/>
        <v>0</v>
      </c>
      <c r="H985" s="1509">
        <f t="shared" si="133"/>
        <v>0</v>
      </c>
      <c r="I985" s="1509">
        <v>0</v>
      </c>
      <c r="J985" s="1509">
        <v>0</v>
      </c>
      <c r="K985" s="1509"/>
      <c r="L985" s="1509"/>
      <c r="M985" s="1509">
        <f t="shared" si="134"/>
        <v>0</v>
      </c>
      <c r="N985" s="1509">
        <f t="shared" si="135"/>
        <v>0</v>
      </c>
    </row>
    <row r="986" spans="1:14" customFormat="1" outlineLevel="1" x14ac:dyDescent="0.25">
      <c r="A986" s="1511">
        <f t="shared" si="130"/>
        <v>0</v>
      </c>
      <c r="B986" s="1515" t="str">
        <f t="shared" si="130"/>
        <v>IDC</v>
      </c>
      <c r="C986" s="1396" t="str">
        <f t="shared" si="130"/>
        <v>Yet to be approved</v>
      </c>
      <c r="D986" s="1378" t="str">
        <f t="shared" si="130"/>
        <v>-</v>
      </c>
      <c r="E986" s="1505">
        <f t="shared" si="130"/>
        <v>0</v>
      </c>
      <c r="F986" s="1509">
        <f t="shared" si="131"/>
        <v>0</v>
      </c>
      <c r="G986" s="1509">
        <f t="shared" si="132"/>
        <v>0</v>
      </c>
      <c r="H986" s="1509">
        <f t="shared" si="133"/>
        <v>0</v>
      </c>
      <c r="I986" s="1509">
        <v>0</v>
      </c>
      <c r="J986" s="1509">
        <v>0</v>
      </c>
      <c r="K986" s="1509"/>
      <c r="L986" s="1509"/>
      <c r="M986" s="1509">
        <f t="shared" si="134"/>
        <v>0</v>
      </c>
      <c r="N986" s="1509">
        <f t="shared" si="135"/>
        <v>0</v>
      </c>
    </row>
    <row r="987" spans="1:14" customFormat="1" ht="29" outlineLevel="1" x14ac:dyDescent="0.25">
      <c r="A987" s="1506">
        <f t="shared" si="130"/>
        <v>26</v>
      </c>
      <c r="B987" s="1507" t="str">
        <f t="shared" si="130"/>
        <v>ASH  EVACUATION  IMPROVEMENT  AND  PERFORMANCE &amp; EFFICIENCY OF ASH HANDLING SYSTEM At NPTPS Parli-V AT TPS PARLI-V.</v>
      </c>
      <c r="C987" s="1506" t="str">
        <f t="shared" si="130"/>
        <v>Yet to be approved</v>
      </c>
      <c r="D987" s="1507" t="str">
        <f t="shared" si="130"/>
        <v>-</v>
      </c>
      <c r="E987" s="1506">
        <f t="shared" si="130"/>
        <v>0</v>
      </c>
      <c r="F987" s="1509">
        <f t="shared" si="131"/>
        <v>0</v>
      </c>
      <c r="G987" s="1509">
        <f t="shared" si="132"/>
        <v>0</v>
      </c>
      <c r="H987" s="1509">
        <f t="shared" si="133"/>
        <v>0</v>
      </c>
      <c r="I987" s="1509">
        <v>0</v>
      </c>
      <c r="J987" s="1509">
        <v>0</v>
      </c>
      <c r="K987" s="1509"/>
      <c r="L987" s="1509"/>
      <c r="M987" s="1509">
        <f t="shared" si="134"/>
        <v>0</v>
      </c>
      <c r="N987" s="1509">
        <f t="shared" si="135"/>
        <v>0</v>
      </c>
    </row>
    <row r="988" spans="1:14" customFormat="1" ht="29" outlineLevel="1" x14ac:dyDescent="0.25">
      <c r="A988" s="1511">
        <f t="shared" si="130"/>
        <v>26.1</v>
      </c>
      <c r="B988" s="1515" t="str">
        <f t="shared" si="130"/>
        <v>DESIGN , SUPPLY &amp; REPLCEMENT OF  ASH DISPOSAL SLURRY PUMP  COMPLTE ASSEMBLY ALONG WITH GEAR BOX, MOTORS U-6</v>
      </c>
      <c r="C988" s="1396" t="str">
        <f t="shared" si="130"/>
        <v>Yet to be approved</v>
      </c>
      <c r="D988" s="1378" t="str">
        <f t="shared" si="130"/>
        <v>-</v>
      </c>
      <c r="E988" s="1505">
        <f t="shared" si="130"/>
        <v>0</v>
      </c>
      <c r="F988" s="1509">
        <f t="shared" si="131"/>
        <v>0</v>
      </c>
      <c r="G988" s="1509">
        <f t="shared" si="132"/>
        <v>0</v>
      </c>
      <c r="H988" s="1509">
        <f t="shared" si="133"/>
        <v>0</v>
      </c>
      <c r="I988" s="1509">
        <v>0</v>
      </c>
      <c r="J988" s="1509">
        <v>0</v>
      </c>
      <c r="K988" s="1509"/>
      <c r="L988" s="1509"/>
      <c r="M988" s="1509">
        <f t="shared" si="134"/>
        <v>0</v>
      </c>
      <c r="N988" s="1509">
        <f t="shared" si="135"/>
        <v>0</v>
      </c>
    </row>
    <row r="989" spans="1:14" customFormat="1" ht="29" outlineLevel="1" x14ac:dyDescent="0.25">
      <c r="A989" s="1511">
        <f t="shared" si="130"/>
        <v>26.2</v>
      </c>
      <c r="B989" s="1515" t="str">
        <f t="shared" si="130"/>
        <v>DESIGN , SUPPLY &amp; REPLCEMENT OF  HP WATER PUMP COMPLTE ASSEMBLY ALONG WITH GEAR BOX, MOTORS U-6</v>
      </c>
      <c r="C989" s="1396" t="str">
        <f t="shared" si="130"/>
        <v>Yet to be approved</v>
      </c>
      <c r="D989" s="1378" t="str">
        <f t="shared" si="130"/>
        <v>-</v>
      </c>
      <c r="E989" s="1505">
        <f t="shared" si="130"/>
        <v>0</v>
      </c>
      <c r="F989" s="1509">
        <f t="shared" si="131"/>
        <v>0</v>
      </c>
      <c r="G989" s="1509">
        <f t="shared" si="132"/>
        <v>0</v>
      </c>
      <c r="H989" s="1509">
        <f t="shared" si="133"/>
        <v>0</v>
      </c>
      <c r="I989" s="1509">
        <v>0</v>
      </c>
      <c r="J989" s="1509">
        <v>0</v>
      </c>
      <c r="K989" s="1509"/>
      <c r="L989" s="1509"/>
      <c r="M989" s="1509">
        <f t="shared" si="134"/>
        <v>0</v>
      </c>
      <c r="N989" s="1509">
        <f t="shared" si="135"/>
        <v>0</v>
      </c>
    </row>
    <row r="990" spans="1:14" customFormat="1" ht="29" outlineLevel="1" x14ac:dyDescent="0.25">
      <c r="A990" s="1511">
        <f t="shared" si="130"/>
        <v>26.3</v>
      </c>
      <c r="B990" s="1515" t="str">
        <f t="shared" si="130"/>
        <v>Upgradation of reciprocating  Conveying Air compressor into screw compressor  at U#6</v>
      </c>
      <c r="C990" s="1396" t="str">
        <f t="shared" si="130"/>
        <v>Yet to be approved</v>
      </c>
      <c r="D990" s="1378" t="str">
        <f t="shared" si="130"/>
        <v>-</v>
      </c>
      <c r="E990" s="1505">
        <f t="shared" si="130"/>
        <v>0</v>
      </c>
      <c r="F990" s="1509">
        <f t="shared" si="131"/>
        <v>0</v>
      </c>
      <c r="G990" s="1509">
        <f t="shared" si="132"/>
        <v>0</v>
      </c>
      <c r="H990" s="1509">
        <f t="shared" si="133"/>
        <v>0</v>
      </c>
      <c r="I990" s="1509">
        <v>0</v>
      </c>
      <c r="J990" s="1509">
        <v>0</v>
      </c>
      <c r="K990" s="1509"/>
      <c r="L990" s="1509"/>
      <c r="M990" s="1509">
        <f t="shared" si="134"/>
        <v>0</v>
      </c>
      <c r="N990" s="1509">
        <f t="shared" si="135"/>
        <v>0</v>
      </c>
    </row>
    <row r="991" spans="1:14" customFormat="1" ht="29" outlineLevel="1" x14ac:dyDescent="0.25">
      <c r="A991" s="1511">
        <f t="shared" si="130"/>
        <v>26.4</v>
      </c>
      <c r="B991" s="1515" t="str">
        <f t="shared" si="130"/>
        <v>Upgradation of reciprocating  Instrument  Air compressor into screw compressor  at U#6</v>
      </c>
      <c r="C991" s="1396" t="str">
        <f t="shared" si="130"/>
        <v>Yet to be approved</v>
      </c>
      <c r="D991" s="1378" t="str">
        <f t="shared" si="130"/>
        <v>-</v>
      </c>
      <c r="E991" s="1505">
        <f t="shared" si="130"/>
        <v>0</v>
      </c>
      <c r="F991" s="1509">
        <f t="shared" si="131"/>
        <v>0</v>
      </c>
      <c r="G991" s="1509">
        <f t="shared" si="132"/>
        <v>0</v>
      </c>
      <c r="H991" s="1509">
        <f t="shared" si="133"/>
        <v>0</v>
      </c>
      <c r="I991" s="1509">
        <v>0</v>
      </c>
      <c r="J991" s="1509">
        <v>0</v>
      </c>
      <c r="K991" s="1509"/>
      <c r="L991" s="1509"/>
      <c r="M991" s="1509">
        <f t="shared" si="134"/>
        <v>0</v>
      </c>
      <c r="N991" s="1509">
        <f t="shared" si="135"/>
        <v>0</v>
      </c>
    </row>
    <row r="992" spans="1:14" customFormat="1" ht="43.5" outlineLevel="1" x14ac:dyDescent="0.25">
      <c r="A992" s="1511">
        <f t="shared" si="130"/>
        <v>26.5</v>
      </c>
      <c r="B992" s="1515" t="str">
        <f t="shared" si="130"/>
        <v>Procurement &amp; replacement of 300 NB,200NB Cash Basalt Pipelines with the existing MSERW pipe of ash disposal system of Unit #6&amp;  7 at Parli TPS, Parli V .</v>
      </c>
      <c r="C992" s="1396" t="str">
        <f t="shared" si="130"/>
        <v>Yet to be approved</v>
      </c>
      <c r="D992" s="1378" t="str">
        <f t="shared" si="130"/>
        <v>-</v>
      </c>
      <c r="E992" s="1505">
        <f t="shared" si="130"/>
        <v>0</v>
      </c>
      <c r="F992" s="1509">
        <f t="shared" si="131"/>
        <v>0</v>
      </c>
      <c r="G992" s="1509">
        <f t="shared" si="132"/>
        <v>0</v>
      </c>
      <c r="H992" s="1509">
        <f t="shared" si="133"/>
        <v>0</v>
      </c>
      <c r="I992" s="1509">
        <v>0</v>
      </c>
      <c r="J992" s="1509">
        <v>0</v>
      </c>
      <c r="K992" s="1509"/>
      <c r="L992" s="1509"/>
      <c r="M992" s="1509">
        <f t="shared" si="134"/>
        <v>0</v>
      </c>
      <c r="N992" s="1509">
        <f t="shared" si="135"/>
        <v>0</v>
      </c>
    </row>
    <row r="993" spans="1:14" customFormat="1" outlineLevel="1" x14ac:dyDescent="0.25">
      <c r="A993" s="1511">
        <f t="shared" si="130"/>
        <v>26.6</v>
      </c>
      <c r="B993" s="1515" t="str">
        <f t="shared" si="130"/>
        <v>DESIGN , SUPPLY &amp; REPLCEMENT  VACUUM PUMP U6</v>
      </c>
      <c r="C993" s="1396" t="str">
        <f t="shared" si="130"/>
        <v>Yet to be approved</v>
      </c>
      <c r="D993" s="1378" t="str">
        <f t="shared" si="130"/>
        <v>-</v>
      </c>
      <c r="E993" s="1505">
        <f t="shared" si="130"/>
        <v>0</v>
      </c>
      <c r="F993" s="1509">
        <f t="shared" si="131"/>
        <v>0</v>
      </c>
      <c r="G993" s="1509">
        <f t="shared" si="132"/>
        <v>0</v>
      </c>
      <c r="H993" s="1509">
        <f t="shared" si="133"/>
        <v>0</v>
      </c>
      <c r="I993" s="1509">
        <v>0</v>
      </c>
      <c r="J993" s="1509">
        <v>0</v>
      </c>
      <c r="K993" s="1509"/>
      <c r="L993" s="1509"/>
      <c r="M993" s="1509">
        <f t="shared" si="134"/>
        <v>0</v>
      </c>
      <c r="N993" s="1509">
        <f t="shared" si="135"/>
        <v>0</v>
      </c>
    </row>
    <row r="994" spans="1:14" customFormat="1" ht="43.5" outlineLevel="1" x14ac:dyDescent="0.25">
      <c r="A994" s="1511">
        <f t="shared" si="130"/>
        <v>26.7</v>
      </c>
      <c r="B994" s="1515" t="str">
        <f t="shared" si="130"/>
        <v>Work of Repairing &amp; Reconditioning of Single Roll Clinker Grinder assembly from OEM on as and when required basis at AHP(2X250),Unit-6&amp;7 Parli TPS,Parli-V.</v>
      </c>
      <c r="C994" s="1396" t="str">
        <f t="shared" si="130"/>
        <v>Yet to be approved</v>
      </c>
      <c r="D994" s="1378" t="str">
        <f t="shared" si="130"/>
        <v>-</v>
      </c>
      <c r="E994" s="1505">
        <f t="shared" si="130"/>
        <v>0</v>
      </c>
      <c r="F994" s="1509">
        <f t="shared" si="131"/>
        <v>0</v>
      </c>
      <c r="G994" s="1509">
        <f t="shared" si="132"/>
        <v>0</v>
      </c>
      <c r="H994" s="1509">
        <f t="shared" si="133"/>
        <v>0</v>
      </c>
      <c r="I994" s="1509">
        <v>0</v>
      </c>
      <c r="J994" s="1509">
        <v>0</v>
      </c>
      <c r="K994" s="1509"/>
      <c r="L994" s="1509"/>
      <c r="M994" s="1509">
        <f t="shared" si="134"/>
        <v>0</v>
      </c>
      <c r="N994" s="1509">
        <f t="shared" si="135"/>
        <v>0</v>
      </c>
    </row>
    <row r="995" spans="1:14" customFormat="1" ht="29" outlineLevel="1" x14ac:dyDescent="0.25">
      <c r="A995" s="1511">
        <f t="shared" si="130"/>
        <v>26.8</v>
      </c>
      <c r="B995" s="1515" t="str">
        <f t="shared" si="130"/>
        <v>Work of complete Reconditioning and refurbishment of various spares in Unit 6&amp;7, Parli TPS, Parli-V</v>
      </c>
      <c r="C995" s="1396" t="str">
        <f t="shared" si="130"/>
        <v>Yet to be approved</v>
      </c>
      <c r="D995" s="1378" t="str">
        <f t="shared" si="130"/>
        <v>-</v>
      </c>
      <c r="E995" s="1505">
        <f t="shared" si="130"/>
        <v>0</v>
      </c>
      <c r="F995" s="1509">
        <f t="shared" si="131"/>
        <v>0</v>
      </c>
      <c r="G995" s="1509">
        <f t="shared" si="132"/>
        <v>0</v>
      </c>
      <c r="H995" s="1509">
        <f t="shared" si="133"/>
        <v>0</v>
      </c>
      <c r="I995" s="1509">
        <v>0</v>
      </c>
      <c r="J995" s="1509">
        <v>0</v>
      </c>
      <c r="K995" s="1509"/>
      <c r="L995" s="1509"/>
      <c r="M995" s="1509">
        <f t="shared" si="134"/>
        <v>0</v>
      </c>
      <c r="N995" s="1509">
        <f t="shared" si="135"/>
        <v>0</v>
      </c>
    </row>
    <row r="996" spans="1:14" customFormat="1" outlineLevel="1" x14ac:dyDescent="0.25">
      <c r="A996" s="1511">
        <f t="shared" ref="A996:E1011" si="136">A639</f>
        <v>26.9</v>
      </c>
      <c r="B996" s="1515" t="str">
        <f t="shared" si="136"/>
        <v>Transmission drive system &amp; Fluid coupling replacements.</v>
      </c>
      <c r="C996" s="1396" t="str">
        <f t="shared" si="136"/>
        <v>Yet to be approved</v>
      </c>
      <c r="D996" s="1378" t="str">
        <f t="shared" si="136"/>
        <v>-</v>
      </c>
      <c r="E996" s="1505">
        <f t="shared" si="136"/>
        <v>0</v>
      </c>
      <c r="F996" s="1509">
        <f t="shared" si="131"/>
        <v>0</v>
      </c>
      <c r="G996" s="1509">
        <f t="shared" si="132"/>
        <v>0</v>
      </c>
      <c r="H996" s="1509">
        <f t="shared" si="133"/>
        <v>0</v>
      </c>
      <c r="I996" s="1509">
        <v>0</v>
      </c>
      <c r="J996" s="1509">
        <v>0</v>
      </c>
      <c r="K996" s="1509"/>
      <c r="L996" s="1509"/>
      <c r="M996" s="1509">
        <f t="shared" si="134"/>
        <v>0</v>
      </c>
      <c r="N996" s="1509">
        <f t="shared" si="135"/>
        <v>0</v>
      </c>
    </row>
    <row r="997" spans="1:14" customFormat="1" ht="29" outlineLevel="1" x14ac:dyDescent="0.25">
      <c r="A997" s="1511">
        <f t="shared" si="136"/>
        <v>26.1</v>
      </c>
      <c r="B997" s="1515" t="str">
        <f t="shared" si="136"/>
        <v>DESIGN , SUPPLY &amp; REPLCEMENT OF ASH INLET VALVE COMPLETE ASSEBLY U6</v>
      </c>
      <c r="C997" s="1396" t="str">
        <f t="shared" si="136"/>
        <v>Yet to be approved</v>
      </c>
      <c r="D997" s="1378" t="str">
        <f t="shared" si="136"/>
        <v>-</v>
      </c>
      <c r="E997" s="1505">
        <f t="shared" si="136"/>
        <v>0</v>
      </c>
      <c r="F997" s="1509">
        <f t="shared" si="131"/>
        <v>0</v>
      </c>
      <c r="G997" s="1509">
        <f t="shared" si="132"/>
        <v>0</v>
      </c>
      <c r="H997" s="1509">
        <f t="shared" si="133"/>
        <v>0</v>
      </c>
      <c r="I997" s="1509">
        <v>0</v>
      </c>
      <c r="J997" s="1509">
        <v>0</v>
      </c>
      <c r="K997" s="1509"/>
      <c r="L997" s="1509"/>
      <c r="M997" s="1509">
        <f t="shared" si="134"/>
        <v>0</v>
      </c>
      <c r="N997" s="1509">
        <f t="shared" si="135"/>
        <v>0</v>
      </c>
    </row>
    <row r="998" spans="1:14" customFormat="1" ht="43.5" outlineLevel="1" x14ac:dyDescent="0.25">
      <c r="A998" s="1511">
        <f t="shared" si="136"/>
        <v>26.11</v>
      </c>
      <c r="B998" s="1515" t="str">
        <f t="shared" si="136"/>
        <v>UPGRADATION OF EXPIRED AND VULNERABLE Scada, operating system and hardware to improve life and communication system of Ash handling plant UNIT 6&amp;7 250MW at NPTPS PARLI V".</v>
      </c>
      <c r="C998" s="1396" t="str">
        <f t="shared" si="136"/>
        <v>Yet to be approved</v>
      </c>
      <c r="D998" s="1378" t="str">
        <f t="shared" si="136"/>
        <v>-</v>
      </c>
      <c r="E998" s="1505">
        <f t="shared" si="136"/>
        <v>0</v>
      </c>
      <c r="F998" s="1509">
        <f t="shared" si="131"/>
        <v>0</v>
      </c>
      <c r="G998" s="1509">
        <f t="shared" si="132"/>
        <v>0</v>
      </c>
      <c r="H998" s="1509">
        <f t="shared" si="133"/>
        <v>0</v>
      </c>
      <c r="I998" s="1509">
        <v>0</v>
      </c>
      <c r="J998" s="1509">
        <v>0</v>
      </c>
      <c r="K998" s="1509"/>
      <c r="L998" s="1509"/>
      <c r="M998" s="1509">
        <f t="shared" si="134"/>
        <v>0</v>
      </c>
      <c r="N998" s="1509">
        <f t="shared" si="135"/>
        <v>0</v>
      </c>
    </row>
    <row r="999" spans="1:14" customFormat="1" outlineLevel="1" x14ac:dyDescent="0.25">
      <c r="A999" s="1511">
        <f t="shared" si="136"/>
        <v>0</v>
      </c>
      <c r="B999" s="1515" t="str">
        <f t="shared" si="136"/>
        <v>IDC</v>
      </c>
      <c r="C999" s="1396" t="str">
        <f t="shared" si="136"/>
        <v>Yet to be approved</v>
      </c>
      <c r="D999" s="1378" t="str">
        <f t="shared" si="136"/>
        <v>-</v>
      </c>
      <c r="E999" s="1505">
        <f t="shared" si="136"/>
        <v>0</v>
      </c>
      <c r="F999" s="1509">
        <f t="shared" si="131"/>
        <v>0</v>
      </c>
      <c r="G999" s="1509">
        <f t="shared" si="132"/>
        <v>0</v>
      </c>
      <c r="H999" s="1509">
        <f t="shared" si="133"/>
        <v>0</v>
      </c>
      <c r="I999" s="1509">
        <v>0</v>
      </c>
      <c r="J999" s="1509">
        <v>0</v>
      </c>
      <c r="K999" s="1509"/>
      <c r="L999" s="1509"/>
      <c r="M999" s="1509">
        <f t="shared" si="134"/>
        <v>0</v>
      </c>
      <c r="N999" s="1509">
        <f t="shared" si="135"/>
        <v>0</v>
      </c>
    </row>
    <row r="1000" spans="1:14" customFormat="1" ht="29" outlineLevel="1" x14ac:dyDescent="0.25">
      <c r="A1000" s="1506">
        <f t="shared" si="136"/>
        <v>27</v>
      </c>
      <c r="B1000" s="1507" t="str">
        <f t="shared" si="136"/>
        <v>ASH  EVACUATION  IMPROVEMENT  AND  PERFORMANCE &amp; EFFICIENCY OF ASH HANDLING SYSTEM At NPTPS Parli-V AT TPS PARLI-V.</v>
      </c>
      <c r="C1000" s="1506" t="str">
        <f t="shared" si="136"/>
        <v>Yet to be approved</v>
      </c>
      <c r="D1000" s="1507" t="str">
        <f t="shared" si="136"/>
        <v>-</v>
      </c>
      <c r="E1000" s="1506">
        <f t="shared" si="136"/>
        <v>0</v>
      </c>
      <c r="F1000" s="1509">
        <f t="shared" si="131"/>
        <v>0</v>
      </c>
      <c r="G1000" s="1509">
        <f t="shared" si="132"/>
        <v>0</v>
      </c>
      <c r="H1000" s="1509">
        <f t="shared" si="133"/>
        <v>0</v>
      </c>
      <c r="I1000" s="1509">
        <v>0</v>
      </c>
      <c r="J1000" s="1509">
        <v>0</v>
      </c>
      <c r="K1000" s="1509"/>
      <c r="L1000" s="1509"/>
      <c r="M1000" s="1509">
        <f t="shared" si="134"/>
        <v>0</v>
      </c>
      <c r="N1000" s="1509">
        <f t="shared" si="135"/>
        <v>0</v>
      </c>
    </row>
    <row r="1001" spans="1:14" customFormat="1" ht="29" outlineLevel="1" x14ac:dyDescent="0.25">
      <c r="A1001" s="1511">
        <f t="shared" si="136"/>
        <v>27.1</v>
      </c>
      <c r="B1001" s="1515" t="str">
        <f t="shared" si="136"/>
        <v>Upgradation of reciprocating  Conveying Air compressor into screw compressor  at U#7</v>
      </c>
      <c r="C1001" s="1396" t="str">
        <f t="shared" si="136"/>
        <v>Yet to be approved</v>
      </c>
      <c r="D1001" s="1378" t="str">
        <f t="shared" si="136"/>
        <v>-</v>
      </c>
      <c r="E1001" s="1505">
        <f t="shared" si="136"/>
        <v>0</v>
      </c>
      <c r="F1001" s="1509">
        <f t="shared" si="131"/>
        <v>0</v>
      </c>
      <c r="G1001" s="1509">
        <f t="shared" si="132"/>
        <v>0</v>
      </c>
      <c r="H1001" s="1509">
        <f t="shared" si="133"/>
        <v>0</v>
      </c>
      <c r="I1001" s="1509">
        <v>0</v>
      </c>
      <c r="J1001" s="1509">
        <v>0</v>
      </c>
      <c r="K1001" s="1509"/>
      <c r="L1001" s="1509"/>
      <c r="M1001" s="1509">
        <f t="shared" si="134"/>
        <v>0</v>
      </c>
      <c r="N1001" s="1509">
        <f t="shared" si="135"/>
        <v>0</v>
      </c>
    </row>
    <row r="1002" spans="1:14" customFormat="1" ht="29" outlineLevel="1" x14ac:dyDescent="0.25">
      <c r="A1002" s="1511">
        <f t="shared" si="136"/>
        <v>27.2</v>
      </c>
      <c r="B1002" s="1515" t="str">
        <f t="shared" si="136"/>
        <v>Upgradation of reciprocating  Instrument  Air compressor into screw compressor  at U#7</v>
      </c>
      <c r="C1002" s="1396" t="str">
        <f t="shared" si="136"/>
        <v>Yet to be approved</v>
      </c>
      <c r="D1002" s="1378" t="str">
        <f t="shared" si="136"/>
        <v>-</v>
      </c>
      <c r="E1002" s="1505">
        <f t="shared" si="136"/>
        <v>0</v>
      </c>
      <c r="F1002" s="1509">
        <f t="shared" si="131"/>
        <v>0</v>
      </c>
      <c r="G1002" s="1509">
        <f t="shared" si="132"/>
        <v>0</v>
      </c>
      <c r="H1002" s="1509">
        <f t="shared" si="133"/>
        <v>0</v>
      </c>
      <c r="I1002" s="1509">
        <v>0</v>
      </c>
      <c r="J1002" s="1509">
        <v>0</v>
      </c>
      <c r="K1002" s="1509"/>
      <c r="L1002" s="1509"/>
      <c r="M1002" s="1509">
        <f t="shared" si="134"/>
        <v>0</v>
      </c>
      <c r="N1002" s="1509">
        <f t="shared" si="135"/>
        <v>0</v>
      </c>
    </row>
    <row r="1003" spans="1:14" customFormat="1" ht="29" outlineLevel="1" x14ac:dyDescent="0.25">
      <c r="A1003" s="1511">
        <f t="shared" si="136"/>
        <v>27.3</v>
      </c>
      <c r="B1003" s="1515" t="str">
        <f t="shared" si="136"/>
        <v>DESIGN , SUPPLY &amp; REPLCEMENT OF  ASH DISPOSAL SLURRY PUMP  COMPLTE ASSEMBLY ALONG WITH GEAR BOX, MOTORS U-7</v>
      </c>
      <c r="C1003" s="1396" t="str">
        <f t="shared" si="136"/>
        <v>Yet to be approved</v>
      </c>
      <c r="D1003" s="1378" t="str">
        <f t="shared" si="136"/>
        <v>-</v>
      </c>
      <c r="E1003" s="1505">
        <f t="shared" si="136"/>
        <v>0</v>
      </c>
      <c r="F1003" s="1509">
        <f t="shared" si="131"/>
        <v>0</v>
      </c>
      <c r="G1003" s="1509">
        <f t="shared" si="132"/>
        <v>0</v>
      </c>
      <c r="H1003" s="1509">
        <f t="shared" si="133"/>
        <v>0</v>
      </c>
      <c r="I1003" s="1509">
        <v>0</v>
      </c>
      <c r="J1003" s="1509">
        <v>0</v>
      </c>
      <c r="K1003" s="1509"/>
      <c r="L1003" s="1509"/>
      <c r="M1003" s="1509">
        <f t="shared" si="134"/>
        <v>0</v>
      </c>
      <c r="N1003" s="1509">
        <f t="shared" si="135"/>
        <v>0</v>
      </c>
    </row>
    <row r="1004" spans="1:14" customFormat="1" ht="29" outlineLevel="1" x14ac:dyDescent="0.25">
      <c r="A1004" s="1511">
        <f t="shared" si="136"/>
        <v>27.4</v>
      </c>
      <c r="B1004" s="1515" t="str">
        <f t="shared" si="136"/>
        <v>DESIGN , SUPPLY &amp; REPLCEMENT OF  HP WATER PUMP COMPLTE ASSEMBLY ALONG WITH GEAR BOX, MOTORS U-7</v>
      </c>
      <c r="C1004" s="1396" t="str">
        <f t="shared" si="136"/>
        <v>Yet to be approved</v>
      </c>
      <c r="D1004" s="1378" t="str">
        <f t="shared" si="136"/>
        <v>-</v>
      </c>
      <c r="E1004" s="1505">
        <f t="shared" si="136"/>
        <v>0</v>
      </c>
      <c r="F1004" s="1509">
        <f t="shared" si="131"/>
        <v>0</v>
      </c>
      <c r="G1004" s="1509">
        <f t="shared" si="132"/>
        <v>0</v>
      </c>
      <c r="H1004" s="1509">
        <f t="shared" si="133"/>
        <v>0</v>
      </c>
      <c r="I1004" s="1509">
        <v>0</v>
      </c>
      <c r="J1004" s="1509">
        <v>0</v>
      </c>
      <c r="K1004" s="1509"/>
      <c r="L1004" s="1509"/>
      <c r="M1004" s="1509">
        <f t="shared" si="134"/>
        <v>0</v>
      </c>
      <c r="N1004" s="1509">
        <f t="shared" si="135"/>
        <v>0</v>
      </c>
    </row>
    <row r="1005" spans="1:14" customFormat="1" outlineLevel="1" x14ac:dyDescent="0.25">
      <c r="A1005" s="1511">
        <f t="shared" si="136"/>
        <v>27.5</v>
      </c>
      <c r="B1005" s="1515" t="str">
        <f t="shared" si="136"/>
        <v>DESIGN , SUPPLY &amp; REPLCEMENT  VACUUM PUMP U7.</v>
      </c>
      <c r="C1005" s="1396" t="str">
        <f t="shared" si="136"/>
        <v>Yet to be approved</v>
      </c>
      <c r="D1005" s="1378" t="str">
        <f t="shared" si="136"/>
        <v>-</v>
      </c>
      <c r="E1005" s="1505">
        <f t="shared" si="136"/>
        <v>0</v>
      </c>
      <c r="F1005" s="1509">
        <f t="shared" si="131"/>
        <v>0</v>
      </c>
      <c r="G1005" s="1509">
        <f t="shared" si="132"/>
        <v>0</v>
      </c>
      <c r="H1005" s="1509">
        <f t="shared" si="133"/>
        <v>0</v>
      </c>
      <c r="I1005" s="1509">
        <v>0</v>
      </c>
      <c r="J1005" s="1509">
        <v>0</v>
      </c>
      <c r="K1005" s="1509"/>
      <c r="L1005" s="1509"/>
      <c r="M1005" s="1509">
        <f t="shared" si="134"/>
        <v>0</v>
      </c>
      <c r="N1005" s="1509">
        <f t="shared" si="135"/>
        <v>0</v>
      </c>
    </row>
    <row r="1006" spans="1:14" customFormat="1" ht="29" outlineLevel="1" x14ac:dyDescent="0.25">
      <c r="A1006" s="1511">
        <f t="shared" si="136"/>
        <v>27.6</v>
      </c>
      <c r="B1006" s="1515" t="str">
        <f t="shared" si="136"/>
        <v>DESIGN , SUPPLY &amp; REPLCEMENT BRANCH SEGEGATION COMPLETE VALVE ASSEBLY U7</v>
      </c>
      <c r="C1006" s="1396" t="str">
        <f t="shared" si="136"/>
        <v>Yet to be approved</v>
      </c>
      <c r="D1006" s="1378" t="str">
        <f t="shared" si="136"/>
        <v>-</v>
      </c>
      <c r="E1006" s="1505">
        <f t="shared" si="136"/>
        <v>0</v>
      </c>
      <c r="F1006" s="1509">
        <f t="shared" si="131"/>
        <v>0</v>
      </c>
      <c r="G1006" s="1509">
        <f t="shared" si="132"/>
        <v>0</v>
      </c>
      <c r="H1006" s="1509">
        <f t="shared" si="133"/>
        <v>0</v>
      </c>
      <c r="I1006" s="1509">
        <v>0</v>
      </c>
      <c r="J1006" s="1509">
        <v>0</v>
      </c>
      <c r="K1006" s="1509"/>
      <c r="L1006" s="1509"/>
      <c r="M1006" s="1509">
        <f t="shared" si="134"/>
        <v>0</v>
      </c>
      <c r="N1006" s="1509">
        <f t="shared" si="135"/>
        <v>0</v>
      </c>
    </row>
    <row r="1007" spans="1:14" customFormat="1" ht="29" outlineLevel="1" x14ac:dyDescent="0.25">
      <c r="A1007" s="1511">
        <f t="shared" si="136"/>
        <v>27.7</v>
      </c>
      <c r="B1007" s="1515" t="str">
        <f t="shared" si="136"/>
        <v>DESIGN , SUPPLY &amp; REPLCEMENT BRANCH VALVE &amp; ASH INLET VALVE U7</v>
      </c>
      <c r="C1007" s="1396" t="str">
        <f t="shared" si="136"/>
        <v>Yet to be approved</v>
      </c>
      <c r="D1007" s="1378" t="str">
        <f t="shared" si="136"/>
        <v>-</v>
      </c>
      <c r="E1007" s="1505">
        <f t="shared" si="136"/>
        <v>0</v>
      </c>
      <c r="F1007" s="1509">
        <f t="shared" si="131"/>
        <v>0</v>
      </c>
      <c r="G1007" s="1509">
        <f t="shared" si="132"/>
        <v>0</v>
      </c>
      <c r="H1007" s="1509">
        <f t="shared" si="133"/>
        <v>0</v>
      </c>
      <c r="I1007" s="1509">
        <v>0</v>
      </c>
      <c r="J1007" s="1509">
        <v>0</v>
      </c>
      <c r="K1007" s="1509"/>
      <c r="L1007" s="1509"/>
      <c r="M1007" s="1509">
        <f t="shared" si="134"/>
        <v>0</v>
      </c>
      <c r="N1007" s="1509">
        <f t="shared" si="135"/>
        <v>0</v>
      </c>
    </row>
    <row r="1008" spans="1:14" customFormat="1" ht="43.5" outlineLevel="1" x14ac:dyDescent="0.25">
      <c r="A1008" s="1511">
        <f t="shared" si="136"/>
        <v>27.8</v>
      </c>
      <c r="B1008" s="1515" t="str">
        <f t="shared" si="136"/>
        <v>Procurement of MOTORS, RELAY ,BREAKERS &amp; RETROFITTING   for pumps , IAC/CAC to improve availability &amp; performance of Bottom ash,  Coarse Ash &amp;  fly ash system of AHP, unit -7</v>
      </c>
      <c r="C1008" s="1396" t="str">
        <f t="shared" si="136"/>
        <v>Yet to be approved</v>
      </c>
      <c r="D1008" s="1378" t="str">
        <f t="shared" si="136"/>
        <v>-</v>
      </c>
      <c r="E1008" s="1505">
        <f t="shared" si="136"/>
        <v>0</v>
      </c>
      <c r="F1008" s="1509">
        <f t="shared" si="131"/>
        <v>0</v>
      </c>
      <c r="G1008" s="1509">
        <f t="shared" si="132"/>
        <v>0</v>
      </c>
      <c r="H1008" s="1509">
        <f t="shared" si="133"/>
        <v>0</v>
      </c>
      <c r="I1008" s="1509">
        <v>0</v>
      </c>
      <c r="J1008" s="1509">
        <v>0</v>
      </c>
      <c r="K1008" s="1509"/>
      <c r="L1008" s="1509"/>
      <c r="M1008" s="1509">
        <f t="shared" si="134"/>
        <v>0</v>
      </c>
      <c r="N1008" s="1509">
        <f t="shared" si="135"/>
        <v>0</v>
      </c>
    </row>
    <row r="1009" spans="1:14" customFormat="1" outlineLevel="1" x14ac:dyDescent="0.25">
      <c r="A1009" s="1511">
        <f t="shared" si="136"/>
        <v>27.9</v>
      </c>
      <c r="B1009" s="1515" t="str">
        <f t="shared" si="136"/>
        <v>Procurement of Replcement Water valve, AUDCO valve</v>
      </c>
      <c r="C1009" s="1396" t="str">
        <f t="shared" si="136"/>
        <v>Yet to be approved</v>
      </c>
      <c r="D1009" s="1378" t="str">
        <f t="shared" si="136"/>
        <v>-</v>
      </c>
      <c r="E1009" s="1505">
        <f t="shared" si="136"/>
        <v>0</v>
      </c>
      <c r="F1009" s="1509">
        <f t="shared" si="131"/>
        <v>0</v>
      </c>
      <c r="G1009" s="1509">
        <f t="shared" si="132"/>
        <v>0</v>
      </c>
      <c r="H1009" s="1509">
        <f t="shared" si="133"/>
        <v>0</v>
      </c>
      <c r="I1009" s="1509">
        <v>0</v>
      </c>
      <c r="J1009" s="1509">
        <v>0</v>
      </c>
      <c r="K1009" s="1509"/>
      <c r="L1009" s="1509"/>
      <c r="M1009" s="1509">
        <f t="shared" si="134"/>
        <v>0</v>
      </c>
      <c r="N1009" s="1509">
        <f t="shared" si="135"/>
        <v>0</v>
      </c>
    </row>
    <row r="1010" spans="1:14" customFormat="1" outlineLevel="1" x14ac:dyDescent="0.25">
      <c r="A1010" s="1511">
        <f t="shared" si="136"/>
        <v>27.1</v>
      </c>
      <c r="B1010" s="1515" t="str">
        <f t="shared" si="136"/>
        <v>Procurement &amp; replacement of Bottom ash clinker grinder</v>
      </c>
      <c r="C1010" s="1396" t="str">
        <f t="shared" si="136"/>
        <v>Yet to be approved</v>
      </c>
      <c r="D1010" s="1378" t="str">
        <f t="shared" si="136"/>
        <v>-</v>
      </c>
      <c r="E1010" s="1505">
        <f t="shared" si="136"/>
        <v>0</v>
      </c>
      <c r="F1010" s="1509">
        <f t="shared" si="131"/>
        <v>0</v>
      </c>
      <c r="G1010" s="1509">
        <f t="shared" si="132"/>
        <v>0</v>
      </c>
      <c r="H1010" s="1509">
        <f t="shared" si="133"/>
        <v>0</v>
      </c>
      <c r="I1010" s="1509">
        <v>0</v>
      </c>
      <c r="J1010" s="1509">
        <v>0</v>
      </c>
      <c r="K1010" s="1509"/>
      <c r="L1010" s="1509"/>
      <c r="M1010" s="1509">
        <f t="shared" si="134"/>
        <v>0</v>
      </c>
      <c r="N1010" s="1509">
        <f t="shared" si="135"/>
        <v>0</v>
      </c>
    </row>
    <row r="1011" spans="1:14" customFormat="1" ht="43.5" outlineLevel="1" x14ac:dyDescent="0.25">
      <c r="A1011" s="1511">
        <f t="shared" si="136"/>
        <v>27.11</v>
      </c>
      <c r="B1011" s="1515" t="str">
        <f t="shared" si="136"/>
        <v>UPGRADATION OF EXPIRED AND VULNERABLE Scada, operating system and hardware to improve life and communication system of HCSD Ash handling plant UNIT 6&amp;7 250MW at NPTPS PARLI V"</v>
      </c>
      <c r="C1011" s="1396" t="str">
        <f t="shared" si="136"/>
        <v>Yet to be approved</v>
      </c>
      <c r="D1011" s="1378" t="str">
        <f t="shared" si="136"/>
        <v>-</v>
      </c>
      <c r="E1011" s="1505">
        <f t="shared" si="136"/>
        <v>0</v>
      </c>
      <c r="F1011" s="1509">
        <f t="shared" si="131"/>
        <v>0</v>
      </c>
      <c r="G1011" s="1509">
        <f t="shared" si="132"/>
        <v>0</v>
      </c>
      <c r="H1011" s="1509">
        <f t="shared" si="133"/>
        <v>0</v>
      </c>
      <c r="I1011" s="1509">
        <v>0</v>
      </c>
      <c r="J1011" s="1509">
        <v>0</v>
      </c>
      <c r="K1011" s="1509"/>
      <c r="L1011" s="1509"/>
      <c r="M1011" s="1509">
        <f t="shared" si="134"/>
        <v>0</v>
      </c>
      <c r="N1011" s="1509">
        <f t="shared" si="135"/>
        <v>0</v>
      </c>
    </row>
    <row r="1012" spans="1:14" customFormat="1" outlineLevel="1" x14ac:dyDescent="0.25">
      <c r="A1012" s="1511">
        <f t="shared" ref="A1012:E1027" si="137">A655</f>
        <v>0</v>
      </c>
      <c r="B1012" s="1515" t="str">
        <f t="shared" si="137"/>
        <v>IDC</v>
      </c>
      <c r="C1012" s="1396" t="str">
        <f t="shared" si="137"/>
        <v>Yet to be approved</v>
      </c>
      <c r="D1012" s="1378" t="str">
        <f t="shared" si="137"/>
        <v>-</v>
      </c>
      <c r="E1012" s="1505">
        <f t="shared" si="137"/>
        <v>0</v>
      </c>
      <c r="F1012" s="1509">
        <f t="shared" si="131"/>
        <v>0</v>
      </c>
      <c r="G1012" s="1509">
        <f t="shared" si="132"/>
        <v>0</v>
      </c>
      <c r="H1012" s="1509">
        <f t="shared" si="133"/>
        <v>0</v>
      </c>
      <c r="I1012" s="1509">
        <v>0</v>
      </c>
      <c r="J1012" s="1509">
        <v>0</v>
      </c>
      <c r="K1012" s="1509"/>
      <c r="L1012" s="1509"/>
      <c r="M1012" s="1509">
        <f t="shared" si="134"/>
        <v>0</v>
      </c>
      <c r="N1012" s="1509">
        <f t="shared" si="135"/>
        <v>0</v>
      </c>
    </row>
    <row r="1013" spans="1:14" customFormat="1" ht="29" outlineLevel="1" x14ac:dyDescent="0.25">
      <c r="A1013" s="1506">
        <f t="shared" si="137"/>
        <v>28</v>
      </c>
      <c r="B1013" s="1507" t="str">
        <f t="shared" si="137"/>
        <v>ASH  EVACUATION  IMPROVEMENT  AND  PERFORMANCE &amp; EFFICIENCY OF ASH HANDLING SYSTEM At NPTPS Parli-V AT TPS PARLI-V.</v>
      </c>
      <c r="C1013" s="1506" t="str">
        <f t="shared" si="137"/>
        <v>Yet to be approved</v>
      </c>
      <c r="D1013" s="1507" t="str">
        <f t="shared" si="137"/>
        <v>-</v>
      </c>
      <c r="E1013" s="1506">
        <f t="shared" si="137"/>
        <v>0</v>
      </c>
      <c r="F1013" s="1509">
        <f t="shared" si="131"/>
        <v>0</v>
      </c>
      <c r="G1013" s="1509">
        <f t="shared" si="132"/>
        <v>0</v>
      </c>
      <c r="H1013" s="1509">
        <f t="shared" si="133"/>
        <v>0</v>
      </c>
      <c r="I1013" s="1509">
        <v>0</v>
      </c>
      <c r="J1013" s="1509">
        <v>0</v>
      </c>
      <c r="K1013" s="1509"/>
      <c r="L1013" s="1509"/>
      <c r="M1013" s="1509">
        <f t="shared" si="134"/>
        <v>0</v>
      </c>
      <c r="N1013" s="1509">
        <f t="shared" si="135"/>
        <v>0</v>
      </c>
    </row>
    <row r="1014" spans="1:14" customFormat="1" outlineLevel="1" x14ac:dyDescent="0.25">
      <c r="A1014" s="1511">
        <f t="shared" si="137"/>
        <v>28.1</v>
      </c>
      <c r="B1014" s="1515" t="str">
        <f t="shared" si="137"/>
        <v>GEHO pump critical assemblies replacement.</v>
      </c>
      <c r="C1014" s="1396" t="str">
        <f t="shared" si="137"/>
        <v>Yet to be approved</v>
      </c>
      <c r="D1014" s="1378" t="str">
        <f t="shared" si="137"/>
        <v>-</v>
      </c>
      <c r="E1014" s="1505">
        <f t="shared" si="137"/>
        <v>0</v>
      </c>
      <c r="F1014" s="1509">
        <f t="shared" si="131"/>
        <v>0</v>
      </c>
      <c r="G1014" s="1509">
        <f t="shared" si="132"/>
        <v>0</v>
      </c>
      <c r="H1014" s="1509">
        <f t="shared" si="133"/>
        <v>0</v>
      </c>
      <c r="I1014" s="1509">
        <v>0</v>
      </c>
      <c r="J1014" s="1509">
        <v>0</v>
      </c>
      <c r="K1014" s="1509"/>
      <c r="L1014" s="1509"/>
      <c r="M1014" s="1509">
        <f t="shared" si="134"/>
        <v>0</v>
      </c>
      <c r="N1014" s="1509">
        <f t="shared" si="135"/>
        <v>0</v>
      </c>
    </row>
    <row r="1015" spans="1:14" customFormat="1" ht="29" outlineLevel="1" x14ac:dyDescent="0.25">
      <c r="A1015" s="1511">
        <f t="shared" si="137"/>
        <v>28.2</v>
      </c>
      <c r="B1015" s="1515" t="str">
        <f t="shared" si="137"/>
        <v xml:space="preserve">DESIGN , SUPPLY &amp; REPLCEMENT OF  HP WATER PUMP COMPLTE ASSEMBLY ALONG WITH GEAR BOX, MOTORS </v>
      </c>
      <c r="C1015" s="1396" t="str">
        <f t="shared" si="137"/>
        <v>Yet to be approved</v>
      </c>
      <c r="D1015" s="1378" t="str">
        <f t="shared" si="137"/>
        <v>-</v>
      </c>
      <c r="E1015" s="1505">
        <f t="shared" si="137"/>
        <v>0</v>
      </c>
      <c r="F1015" s="1509">
        <f t="shared" si="131"/>
        <v>0</v>
      </c>
      <c r="G1015" s="1509">
        <f t="shared" si="132"/>
        <v>0</v>
      </c>
      <c r="H1015" s="1509">
        <f t="shared" si="133"/>
        <v>0</v>
      </c>
      <c r="I1015" s="1509">
        <v>0</v>
      </c>
      <c r="J1015" s="1509">
        <v>0</v>
      </c>
      <c r="K1015" s="1509"/>
      <c r="L1015" s="1509"/>
      <c r="M1015" s="1509">
        <f t="shared" si="134"/>
        <v>0</v>
      </c>
      <c r="N1015" s="1509">
        <f t="shared" si="135"/>
        <v>0</v>
      </c>
    </row>
    <row r="1016" spans="1:14" customFormat="1" outlineLevel="1" x14ac:dyDescent="0.25">
      <c r="A1016" s="1511">
        <f t="shared" si="137"/>
        <v>28.3</v>
      </c>
      <c r="B1016" s="1515" t="str">
        <f t="shared" si="137"/>
        <v>Upgradation of BA clinker grinder  at U#6/7</v>
      </c>
      <c r="C1016" s="1396" t="str">
        <f t="shared" si="137"/>
        <v>Yet to be approved</v>
      </c>
      <c r="D1016" s="1378" t="str">
        <f t="shared" si="137"/>
        <v>-</v>
      </c>
      <c r="E1016" s="1505">
        <f t="shared" si="137"/>
        <v>0</v>
      </c>
      <c r="F1016" s="1509">
        <f t="shared" si="131"/>
        <v>0</v>
      </c>
      <c r="G1016" s="1509">
        <f t="shared" si="132"/>
        <v>0</v>
      </c>
      <c r="H1016" s="1509">
        <f t="shared" si="133"/>
        <v>0</v>
      </c>
      <c r="I1016" s="1509">
        <v>0</v>
      </c>
      <c r="J1016" s="1509">
        <v>0</v>
      </c>
      <c r="K1016" s="1509"/>
      <c r="L1016" s="1509"/>
      <c r="M1016" s="1509">
        <f t="shared" si="134"/>
        <v>0</v>
      </c>
      <c r="N1016" s="1509">
        <f t="shared" si="135"/>
        <v>0</v>
      </c>
    </row>
    <row r="1017" spans="1:14" customFormat="1" ht="29" outlineLevel="1" x14ac:dyDescent="0.25">
      <c r="A1017" s="1511">
        <f t="shared" si="137"/>
        <v>28.4</v>
      </c>
      <c r="B1017" s="1515" t="str">
        <f t="shared" si="137"/>
        <v>Scheme 4: Spares for premium make ash mixer gear box H1-160 5.06/1, P2 O No.160106, Sr No.2RF 12629 &amp; H1-180 1.35/1</v>
      </c>
      <c r="C1017" s="1396" t="str">
        <f t="shared" si="137"/>
        <v>Yet to be approved</v>
      </c>
      <c r="D1017" s="1378" t="str">
        <f t="shared" si="137"/>
        <v>-</v>
      </c>
      <c r="E1017" s="1505">
        <f t="shared" si="137"/>
        <v>0</v>
      </c>
      <c r="F1017" s="1509">
        <f t="shared" si="131"/>
        <v>0</v>
      </c>
      <c r="G1017" s="1509">
        <f t="shared" si="132"/>
        <v>0</v>
      </c>
      <c r="H1017" s="1509">
        <f t="shared" si="133"/>
        <v>0</v>
      </c>
      <c r="I1017" s="1509">
        <v>0</v>
      </c>
      <c r="J1017" s="1509">
        <v>0</v>
      </c>
      <c r="K1017" s="1509"/>
      <c r="L1017" s="1509"/>
      <c r="M1017" s="1509">
        <f t="shared" si="134"/>
        <v>0</v>
      </c>
      <c r="N1017" s="1509">
        <f t="shared" si="135"/>
        <v>0</v>
      </c>
    </row>
    <row r="1018" spans="1:14" customFormat="1" outlineLevel="1" x14ac:dyDescent="0.25">
      <c r="A1018" s="1511">
        <f t="shared" si="137"/>
        <v>28.5</v>
      </c>
      <c r="B1018" s="1515" t="str">
        <f t="shared" si="137"/>
        <v>Spares for premium make ash mixer gear box  VB2SA-225 17.1/1p1</v>
      </c>
      <c r="C1018" s="1396" t="str">
        <f t="shared" si="137"/>
        <v>Yet to be approved</v>
      </c>
      <c r="D1018" s="1378" t="str">
        <f t="shared" si="137"/>
        <v>-</v>
      </c>
      <c r="E1018" s="1505">
        <f t="shared" si="137"/>
        <v>0</v>
      </c>
      <c r="F1018" s="1509">
        <f t="shared" si="131"/>
        <v>0</v>
      </c>
      <c r="G1018" s="1509">
        <f t="shared" si="132"/>
        <v>0</v>
      </c>
      <c r="H1018" s="1509">
        <f t="shared" si="133"/>
        <v>0</v>
      </c>
      <c r="I1018" s="1509">
        <v>0</v>
      </c>
      <c r="J1018" s="1509">
        <v>0</v>
      </c>
      <c r="K1018" s="1509"/>
      <c r="L1018" s="1509"/>
      <c r="M1018" s="1509">
        <f t="shared" si="134"/>
        <v>0</v>
      </c>
      <c r="N1018" s="1509">
        <f t="shared" si="135"/>
        <v>0</v>
      </c>
    </row>
    <row r="1019" spans="1:14" customFormat="1" outlineLevel="1" x14ac:dyDescent="0.25">
      <c r="A1019" s="1511">
        <f t="shared" si="137"/>
        <v>28.6</v>
      </c>
      <c r="B1019" s="1515" t="str">
        <f t="shared" si="137"/>
        <v xml:space="preserve">DESIGN , SUPPLY &amp; REPLCEMENT  VACUUM PUMP  </v>
      </c>
      <c r="C1019" s="1396" t="str">
        <f t="shared" si="137"/>
        <v>Yet to be approved</v>
      </c>
      <c r="D1019" s="1378" t="str">
        <f t="shared" si="137"/>
        <v>-</v>
      </c>
      <c r="E1019" s="1505">
        <f t="shared" si="137"/>
        <v>0</v>
      </c>
      <c r="F1019" s="1509">
        <f t="shared" si="131"/>
        <v>0</v>
      </c>
      <c r="G1019" s="1509">
        <f t="shared" si="132"/>
        <v>0</v>
      </c>
      <c r="H1019" s="1509">
        <f t="shared" si="133"/>
        <v>0</v>
      </c>
      <c r="I1019" s="1509">
        <v>0</v>
      </c>
      <c r="J1019" s="1509">
        <v>0</v>
      </c>
      <c r="K1019" s="1509"/>
      <c r="L1019" s="1509"/>
      <c r="M1019" s="1509">
        <f t="shared" si="134"/>
        <v>0</v>
      </c>
      <c r="N1019" s="1509">
        <f t="shared" si="135"/>
        <v>0</v>
      </c>
    </row>
    <row r="1020" spans="1:14" customFormat="1" outlineLevel="1" x14ac:dyDescent="0.25">
      <c r="A1020" s="1511">
        <f t="shared" si="137"/>
        <v>0</v>
      </c>
      <c r="B1020" s="1515" t="str">
        <f t="shared" si="137"/>
        <v>IDC</v>
      </c>
      <c r="C1020" s="1396" t="str">
        <f t="shared" si="137"/>
        <v>Yet to be approved</v>
      </c>
      <c r="D1020" s="1378" t="str">
        <f t="shared" si="137"/>
        <v>-</v>
      </c>
      <c r="E1020" s="1505">
        <f t="shared" si="137"/>
        <v>0</v>
      </c>
      <c r="F1020" s="1509">
        <f t="shared" si="131"/>
        <v>0</v>
      </c>
      <c r="G1020" s="1509">
        <f t="shared" si="132"/>
        <v>0</v>
      </c>
      <c r="H1020" s="1509">
        <f t="shared" si="133"/>
        <v>0</v>
      </c>
      <c r="I1020" s="1509">
        <v>0</v>
      </c>
      <c r="J1020" s="1509">
        <v>0</v>
      </c>
      <c r="K1020" s="1509"/>
      <c r="L1020" s="1509"/>
      <c r="M1020" s="1509">
        <f t="shared" si="134"/>
        <v>0</v>
      </c>
      <c r="N1020" s="1509">
        <f t="shared" si="135"/>
        <v>0</v>
      </c>
    </row>
    <row r="1021" spans="1:14" customFormat="1" ht="29" outlineLevel="1" x14ac:dyDescent="0.25">
      <c r="A1021" s="1506">
        <f t="shared" si="137"/>
        <v>29</v>
      </c>
      <c r="B1021" s="1507" t="str">
        <f t="shared" si="137"/>
        <v>ASH  EVACUATION  IMPROVEMENT  AND  PERFORMANCE &amp; EFFICIENCY OF ASH HANDLING SYSTEM At NPTPS Parli-V AT TPS PARLI-V.</v>
      </c>
      <c r="C1021" s="1506" t="str">
        <f t="shared" si="137"/>
        <v>Yet to be approved</v>
      </c>
      <c r="D1021" s="1507" t="str">
        <f t="shared" si="137"/>
        <v>-</v>
      </c>
      <c r="E1021" s="1506">
        <f t="shared" si="137"/>
        <v>0</v>
      </c>
      <c r="F1021" s="1509">
        <f t="shared" si="131"/>
        <v>0</v>
      </c>
      <c r="G1021" s="1509">
        <f t="shared" si="132"/>
        <v>0</v>
      </c>
      <c r="H1021" s="1509">
        <f t="shared" si="133"/>
        <v>0</v>
      </c>
      <c r="I1021" s="1509">
        <v>0</v>
      </c>
      <c r="J1021" s="1509">
        <v>0</v>
      </c>
      <c r="K1021" s="1509"/>
      <c r="L1021" s="1509"/>
      <c r="M1021" s="1509">
        <f t="shared" si="134"/>
        <v>0</v>
      </c>
      <c r="N1021" s="1509">
        <f t="shared" si="135"/>
        <v>0</v>
      </c>
    </row>
    <row r="1022" spans="1:14" customFormat="1" ht="43.5" outlineLevel="1" x14ac:dyDescent="0.25">
      <c r="A1022" s="1511">
        <f t="shared" si="137"/>
        <v>29.1</v>
      </c>
      <c r="B1022" s="1515" t="str">
        <f t="shared" si="137"/>
        <v>Procurement &amp; replacement of 300 NB,200NB Cash Basalt Pipelines with the existing MSERW pipe of ash disposal system of Unit #6&amp;  7 at Parli TPS, Parli V .</v>
      </c>
      <c r="C1022" s="1396" t="str">
        <f t="shared" si="137"/>
        <v>Yet to be approved</v>
      </c>
      <c r="D1022" s="1378" t="str">
        <f t="shared" si="137"/>
        <v>-</v>
      </c>
      <c r="E1022" s="1505">
        <f t="shared" si="137"/>
        <v>0</v>
      </c>
      <c r="F1022" s="1509">
        <f t="shared" si="131"/>
        <v>0</v>
      </c>
      <c r="G1022" s="1509">
        <f t="shared" si="132"/>
        <v>0</v>
      </c>
      <c r="H1022" s="1509">
        <f t="shared" si="133"/>
        <v>0</v>
      </c>
      <c r="I1022" s="1509">
        <v>0</v>
      </c>
      <c r="J1022" s="1509">
        <v>0</v>
      </c>
      <c r="K1022" s="1509"/>
      <c r="L1022" s="1509"/>
      <c r="M1022" s="1509">
        <f t="shared" si="134"/>
        <v>0</v>
      </c>
      <c r="N1022" s="1509">
        <f t="shared" si="135"/>
        <v>0</v>
      </c>
    </row>
    <row r="1023" spans="1:14" customFormat="1" ht="43.5" outlineLevel="1" x14ac:dyDescent="0.25">
      <c r="A1023" s="1511">
        <f t="shared" si="137"/>
        <v>29.2</v>
      </c>
      <c r="B1023" s="1515" t="str">
        <f t="shared" si="137"/>
        <v>Procurement of MOTORS, RELAY ,BREAKERS &amp; RETROFITTING   for pumps , IAC/CAC to improve availability &amp; performance of Bottom ash,  Coarse Ash &amp;  fly ash system of AHP, unit 6</v>
      </c>
      <c r="C1023" s="1396" t="str">
        <f t="shared" si="137"/>
        <v>Yet to be approved</v>
      </c>
      <c r="D1023" s="1378" t="str">
        <f t="shared" si="137"/>
        <v>-</v>
      </c>
      <c r="E1023" s="1505">
        <f t="shared" si="137"/>
        <v>0</v>
      </c>
      <c r="F1023" s="1509">
        <f t="shared" si="131"/>
        <v>0</v>
      </c>
      <c r="G1023" s="1509">
        <f t="shared" si="132"/>
        <v>0</v>
      </c>
      <c r="H1023" s="1509">
        <f t="shared" si="133"/>
        <v>0</v>
      </c>
      <c r="I1023" s="1509">
        <v>0</v>
      </c>
      <c r="J1023" s="1509">
        <v>0</v>
      </c>
      <c r="K1023" s="1509"/>
      <c r="L1023" s="1509"/>
      <c r="M1023" s="1509">
        <f t="shared" si="134"/>
        <v>0</v>
      </c>
      <c r="N1023" s="1509">
        <f t="shared" si="135"/>
        <v>0</v>
      </c>
    </row>
    <row r="1024" spans="1:14" customFormat="1" outlineLevel="1" x14ac:dyDescent="0.25">
      <c r="A1024" s="1511">
        <f t="shared" si="137"/>
        <v>29.3</v>
      </c>
      <c r="B1024" s="1515" t="str">
        <f t="shared" si="137"/>
        <v>DESIGN , SUPPLY &amp; REPLCEMENT  VACUUM PUMP U#6</v>
      </c>
      <c r="C1024" s="1396" t="str">
        <f t="shared" si="137"/>
        <v>Yet to be approved</v>
      </c>
      <c r="D1024" s="1378" t="str">
        <f t="shared" si="137"/>
        <v>-</v>
      </c>
      <c r="E1024" s="1505">
        <f t="shared" si="137"/>
        <v>0</v>
      </c>
      <c r="F1024" s="1509">
        <f t="shared" si="131"/>
        <v>0</v>
      </c>
      <c r="G1024" s="1509">
        <f t="shared" si="132"/>
        <v>0</v>
      </c>
      <c r="H1024" s="1509">
        <f t="shared" si="133"/>
        <v>0</v>
      </c>
      <c r="I1024" s="1509">
        <v>0</v>
      </c>
      <c r="J1024" s="1509">
        <v>0</v>
      </c>
      <c r="K1024" s="1509"/>
      <c r="L1024" s="1509"/>
      <c r="M1024" s="1509">
        <f t="shared" si="134"/>
        <v>0</v>
      </c>
      <c r="N1024" s="1509">
        <f t="shared" si="135"/>
        <v>0</v>
      </c>
    </row>
    <row r="1025" spans="1:14" customFormat="1" outlineLevel="1" x14ac:dyDescent="0.25">
      <c r="A1025" s="1511">
        <f t="shared" si="137"/>
        <v>0</v>
      </c>
      <c r="B1025" s="1515" t="str">
        <f t="shared" si="137"/>
        <v>IDC</v>
      </c>
      <c r="C1025" s="1396" t="str">
        <f t="shared" si="137"/>
        <v>Yet to be approved</v>
      </c>
      <c r="D1025" s="1378" t="str">
        <f t="shared" si="137"/>
        <v>-</v>
      </c>
      <c r="E1025" s="1505">
        <f t="shared" si="137"/>
        <v>0</v>
      </c>
      <c r="F1025" s="1509">
        <f t="shared" si="131"/>
        <v>0</v>
      </c>
      <c r="G1025" s="1509">
        <f t="shared" si="132"/>
        <v>0</v>
      </c>
      <c r="H1025" s="1509">
        <f t="shared" si="133"/>
        <v>0</v>
      </c>
      <c r="I1025" s="1509">
        <v>0</v>
      </c>
      <c r="J1025" s="1509">
        <v>0</v>
      </c>
      <c r="K1025" s="1509"/>
      <c r="L1025" s="1509"/>
      <c r="M1025" s="1509">
        <f t="shared" si="134"/>
        <v>0</v>
      </c>
      <c r="N1025" s="1509">
        <f t="shared" si="135"/>
        <v>0</v>
      </c>
    </row>
    <row r="1026" spans="1:14" customFormat="1" ht="29" outlineLevel="1" x14ac:dyDescent="0.25">
      <c r="A1026" s="1506">
        <f t="shared" si="137"/>
        <v>30</v>
      </c>
      <c r="B1026" s="1507" t="str">
        <f t="shared" si="137"/>
        <v>ASH  EVACUATION  IMPROVEMENT  AND  PERFORMANCE &amp; EFFICIENCY OF ASH HANDLING SYSTEM At NPTPS Parli-V AT TPS PARLI-V.</v>
      </c>
      <c r="C1026" s="1506" t="str">
        <f t="shared" si="137"/>
        <v>Yet to be approved</v>
      </c>
      <c r="D1026" s="1507" t="str">
        <f t="shared" si="137"/>
        <v>-</v>
      </c>
      <c r="E1026" s="1506">
        <f t="shared" si="137"/>
        <v>0</v>
      </c>
      <c r="F1026" s="1509">
        <f t="shared" si="131"/>
        <v>0</v>
      </c>
      <c r="G1026" s="1509">
        <f t="shared" si="132"/>
        <v>0</v>
      </c>
      <c r="H1026" s="1509">
        <f t="shared" si="133"/>
        <v>0</v>
      </c>
      <c r="I1026" s="1509">
        <v>0</v>
      </c>
      <c r="J1026" s="1509">
        <v>0</v>
      </c>
      <c r="K1026" s="1509"/>
      <c r="L1026" s="1509"/>
      <c r="M1026" s="1509">
        <f t="shared" si="134"/>
        <v>0</v>
      </c>
      <c r="N1026" s="1509">
        <f t="shared" si="135"/>
        <v>0</v>
      </c>
    </row>
    <row r="1027" spans="1:14" customFormat="1" outlineLevel="1" x14ac:dyDescent="0.25">
      <c r="A1027" s="1511">
        <f t="shared" si="137"/>
        <v>30.1</v>
      </c>
      <c r="B1027" s="1515" t="str">
        <f t="shared" si="137"/>
        <v>DESIGN , SUPPLY &amp; REPLCEMENT  VACUUM PUMP</v>
      </c>
      <c r="C1027" s="1396" t="str">
        <f t="shared" si="137"/>
        <v>Yet to be approved</v>
      </c>
      <c r="D1027" s="1378" t="str">
        <f t="shared" si="137"/>
        <v>-</v>
      </c>
      <c r="E1027" s="1505">
        <f t="shared" si="137"/>
        <v>0</v>
      </c>
      <c r="F1027" s="1509">
        <f t="shared" si="131"/>
        <v>0</v>
      </c>
      <c r="G1027" s="1509">
        <f t="shared" si="132"/>
        <v>0</v>
      </c>
      <c r="H1027" s="1509">
        <f t="shared" si="133"/>
        <v>0</v>
      </c>
      <c r="I1027" s="1509">
        <v>0</v>
      </c>
      <c r="J1027" s="1509">
        <v>0</v>
      </c>
      <c r="K1027" s="1509"/>
      <c r="L1027" s="1509"/>
      <c r="M1027" s="1509">
        <f t="shared" si="134"/>
        <v>0</v>
      </c>
      <c r="N1027" s="1509">
        <f t="shared" si="135"/>
        <v>0</v>
      </c>
    </row>
    <row r="1028" spans="1:14" customFormat="1" ht="29" outlineLevel="1" x14ac:dyDescent="0.25">
      <c r="A1028" s="1511">
        <f t="shared" ref="A1028:E1043" si="138">A671</f>
        <v>30.2</v>
      </c>
      <c r="B1028" s="1515" t="str">
        <f t="shared" si="138"/>
        <v>DESIGN , SUPPLY &amp; REPLCEMENT OF  ASH DISPOSAL SLURRY PUMP  COMPLTE ASSEMBLY ALONG WITH GEAR BOX, MOTORS U-6&amp; 7</v>
      </c>
      <c r="C1028" s="1396" t="str">
        <f t="shared" si="138"/>
        <v>Yet to be approved</v>
      </c>
      <c r="D1028" s="1378" t="str">
        <f t="shared" si="138"/>
        <v>-</v>
      </c>
      <c r="E1028" s="1505">
        <f t="shared" si="138"/>
        <v>0</v>
      </c>
      <c r="F1028" s="1509">
        <f t="shared" si="131"/>
        <v>0</v>
      </c>
      <c r="G1028" s="1509">
        <f t="shared" si="132"/>
        <v>0</v>
      </c>
      <c r="H1028" s="1509">
        <f t="shared" si="133"/>
        <v>0</v>
      </c>
      <c r="I1028" s="1509">
        <v>0</v>
      </c>
      <c r="J1028" s="1509">
        <v>0</v>
      </c>
      <c r="K1028" s="1509"/>
      <c r="L1028" s="1509"/>
      <c r="M1028" s="1509">
        <f t="shared" si="134"/>
        <v>0</v>
      </c>
      <c r="N1028" s="1509">
        <f t="shared" si="135"/>
        <v>0</v>
      </c>
    </row>
    <row r="1029" spans="1:14" customFormat="1" ht="29" outlineLevel="1" x14ac:dyDescent="0.25">
      <c r="A1029" s="1511">
        <f t="shared" si="138"/>
        <v>30.3</v>
      </c>
      <c r="B1029" s="1515" t="str">
        <f t="shared" si="138"/>
        <v>DESIGN , SUPPLY &amp; REPLCEMENT OF  HP WATER PUMP COMPLTE ASSEMBLY ALONG WITH GEAR BOX, MOTORS U-6&amp; 7</v>
      </c>
      <c r="C1029" s="1396" t="str">
        <f t="shared" si="138"/>
        <v>Yet to be approved</v>
      </c>
      <c r="D1029" s="1378" t="str">
        <f t="shared" si="138"/>
        <v>-</v>
      </c>
      <c r="E1029" s="1505">
        <f t="shared" si="138"/>
        <v>0</v>
      </c>
      <c r="F1029" s="1509">
        <f t="shared" si="131"/>
        <v>0</v>
      </c>
      <c r="G1029" s="1509">
        <f t="shared" si="132"/>
        <v>0</v>
      </c>
      <c r="H1029" s="1509">
        <f t="shared" si="133"/>
        <v>0</v>
      </c>
      <c r="I1029" s="1509">
        <v>0</v>
      </c>
      <c r="J1029" s="1509">
        <v>0</v>
      </c>
      <c r="K1029" s="1509"/>
      <c r="L1029" s="1509"/>
      <c r="M1029" s="1509">
        <f t="shared" si="134"/>
        <v>0</v>
      </c>
      <c r="N1029" s="1509">
        <f t="shared" si="135"/>
        <v>0</v>
      </c>
    </row>
    <row r="1030" spans="1:14" customFormat="1" ht="43.5" outlineLevel="1" x14ac:dyDescent="0.25">
      <c r="A1030" s="1511">
        <f t="shared" si="138"/>
        <v>30.4</v>
      </c>
      <c r="B1030" s="1515" t="str">
        <f t="shared" si="138"/>
        <v xml:space="preserve"> Procurement of MOTORS, RELAY ,BREAKERS &amp; RETROFITTING   for HCSD  to improve availability &amp; performance of Bottom ash,  Coarse Ash &amp;  fly ash system of AHP, unit 6</v>
      </c>
      <c r="C1030" s="1396" t="str">
        <f t="shared" si="138"/>
        <v>Yet to be approved</v>
      </c>
      <c r="D1030" s="1378" t="str">
        <f t="shared" si="138"/>
        <v>-</v>
      </c>
      <c r="E1030" s="1505">
        <f t="shared" si="138"/>
        <v>0</v>
      </c>
      <c r="F1030" s="1509">
        <f t="shared" si="131"/>
        <v>0</v>
      </c>
      <c r="G1030" s="1509">
        <f t="shared" si="132"/>
        <v>0</v>
      </c>
      <c r="H1030" s="1509">
        <f t="shared" si="133"/>
        <v>0</v>
      </c>
      <c r="I1030" s="1509">
        <v>0</v>
      </c>
      <c r="J1030" s="1509">
        <v>0</v>
      </c>
      <c r="K1030" s="1509"/>
      <c r="L1030" s="1509"/>
      <c r="M1030" s="1509">
        <f t="shared" si="134"/>
        <v>0</v>
      </c>
      <c r="N1030" s="1509">
        <f t="shared" si="135"/>
        <v>0</v>
      </c>
    </row>
    <row r="1031" spans="1:14" customFormat="1" ht="29" outlineLevel="1" x14ac:dyDescent="0.25">
      <c r="A1031" s="1511">
        <f t="shared" si="138"/>
        <v>30.5</v>
      </c>
      <c r="B1031" s="1515" t="str">
        <f t="shared" si="138"/>
        <v>Upgradation of reciprocating  Conveying Air compressor into screw compressor  at U#6</v>
      </c>
      <c r="C1031" s="1396" t="str">
        <f t="shared" si="138"/>
        <v>Yet to be approved</v>
      </c>
      <c r="D1031" s="1378" t="str">
        <f t="shared" si="138"/>
        <v>-</v>
      </c>
      <c r="E1031" s="1505">
        <f t="shared" si="138"/>
        <v>0</v>
      </c>
      <c r="F1031" s="1509">
        <f t="shared" si="131"/>
        <v>0</v>
      </c>
      <c r="G1031" s="1509">
        <f t="shared" si="132"/>
        <v>0</v>
      </c>
      <c r="H1031" s="1509">
        <f t="shared" si="133"/>
        <v>0</v>
      </c>
      <c r="I1031" s="1509">
        <v>0</v>
      </c>
      <c r="J1031" s="1509">
        <v>0</v>
      </c>
      <c r="K1031" s="1509"/>
      <c r="L1031" s="1509"/>
      <c r="M1031" s="1509">
        <f t="shared" si="134"/>
        <v>0</v>
      </c>
      <c r="N1031" s="1509">
        <f t="shared" si="135"/>
        <v>0</v>
      </c>
    </row>
    <row r="1032" spans="1:14" customFormat="1" ht="29" outlineLevel="1" x14ac:dyDescent="0.25">
      <c r="A1032" s="1511">
        <f t="shared" si="138"/>
        <v>30.6</v>
      </c>
      <c r="B1032" s="1515" t="str">
        <f t="shared" si="138"/>
        <v xml:space="preserve">Upgradation of reciprocating  Instrument  Air compressor into screw compressor  at U#6  </v>
      </c>
      <c r="C1032" s="1396" t="str">
        <f t="shared" si="138"/>
        <v>Yet to be approved</v>
      </c>
      <c r="D1032" s="1378" t="str">
        <f t="shared" si="138"/>
        <v>-</v>
      </c>
      <c r="E1032" s="1505">
        <f t="shared" si="138"/>
        <v>0</v>
      </c>
      <c r="F1032" s="1509">
        <f t="shared" si="131"/>
        <v>0</v>
      </c>
      <c r="G1032" s="1509">
        <f t="shared" si="132"/>
        <v>0</v>
      </c>
      <c r="H1032" s="1509">
        <f t="shared" si="133"/>
        <v>0</v>
      </c>
      <c r="I1032" s="1509">
        <v>0</v>
      </c>
      <c r="J1032" s="1509">
        <v>0</v>
      </c>
      <c r="K1032" s="1509"/>
      <c r="L1032" s="1509"/>
      <c r="M1032" s="1509">
        <f t="shared" si="134"/>
        <v>0</v>
      </c>
      <c r="N1032" s="1509">
        <f t="shared" si="135"/>
        <v>0</v>
      </c>
    </row>
    <row r="1033" spans="1:14" customFormat="1" outlineLevel="1" x14ac:dyDescent="0.25">
      <c r="A1033" s="1511">
        <f t="shared" si="138"/>
        <v>0</v>
      </c>
      <c r="B1033" s="1515" t="str">
        <f t="shared" si="138"/>
        <v>IDC</v>
      </c>
      <c r="C1033" s="1396" t="str">
        <f t="shared" si="138"/>
        <v>Yet to be approved</v>
      </c>
      <c r="D1033" s="1378" t="str">
        <f t="shared" si="138"/>
        <v>-</v>
      </c>
      <c r="E1033" s="1505">
        <f t="shared" si="138"/>
        <v>0</v>
      </c>
      <c r="F1033" s="1509">
        <f t="shared" si="131"/>
        <v>0</v>
      </c>
      <c r="G1033" s="1509">
        <f t="shared" si="132"/>
        <v>0</v>
      </c>
      <c r="H1033" s="1509">
        <f t="shared" si="133"/>
        <v>0</v>
      </c>
      <c r="I1033" s="1509">
        <v>0</v>
      </c>
      <c r="J1033" s="1509">
        <v>0</v>
      </c>
      <c r="K1033" s="1509"/>
      <c r="L1033" s="1509"/>
      <c r="M1033" s="1509">
        <f t="shared" si="134"/>
        <v>0</v>
      </c>
      <c r="N1033" s="1509">
        <f t="shared" si="135"/>
        <v>0</v>
      </c>
    </row>
    <row r="1034" spans="1:14" customFormat="1" outlineLevel="1" x14ac:dyDescent="0.25">
      <c r="A1034" s="1506">
        <f t="shared" si="138"/>
        <v>31</v>
      </c>
      <c r="B1034" s="1507" t="str">
        <f t="shared" si="138"/>
        <v xml:space="preserve">Construction of VIP guest house building at TPS Parli Vaijnath  </v>
      </c>
      <c r="C1034" s="1506" t="str">
        <f t="shared" si="138"/>
        <v>Yet to be approved</v>
      </c>
      <c r="D1034" s="1507" t="str">
        <f t="shared" si="138"/>
        <v>-</v>
      </c>
      <c r="E1034" s="1506">
        <f t="shared" si="138"/>
        <v>0</v>
      </c>
      <c r="F1034" s="1509">
        <f t="shared" si="131"/>
        <v>0</v>
      </c>
      <c r="G1034" s="1509">
        <f t="shared" si="132"/>
        <v>0</v>
      </c>
      <c r="H1034" s="1509">
        <f t="shared" si="133"/>
        <v>0</v>
      </c>
      <c r="I1034" s="1509">
        <v>0</v>
      </c>
      <c r="J1034" s="1509">
        <v>0</v>
      </c>
      <c r="K1034" s="1509"/>
      <c r="L1034" s="1509"/>
      <c r="M1034" s="1509">
        <f t="shared" si="134"/>
        <v>0</v>
      </c>
      <c r="N1034" s="1509">
        <f t="shared" si="135"/>
        <v>0</v>
      </c>
    </row>
    <row r="1035" spans="1:14" customFormat="1" outlineLevel="1" x14ac:dyDescent="0.25">
      <c r="A1035" s="1511">
        <f t="shared" si="138"/>
        <v>31.1</v>
      </c>
      <c r="B1035" s="1515" t="str">
        <f t="shared" si="138"/>
        <v xml:space="preserve">Construction of VIP guest house building at TPS Parli Vaijnath  </v>
      </c>
      <c r="C1035" s="1396" t="str">
        <f t="shared" si="138"/>
        <v>Yet to be approved</v>
      </c>
      <c r="D1035" s="1378" t="str">
        <f t="shared" si="138"/>
        <v>-</v>
      </c>
      <c r="E1035" s="1505">
        <f t="shared" si="138"/>
        <v>0</v>
      </c>
      <c r="F1035" s="1509">
        <f t="shared" si="131"/>
        <v>0</v>
      </c>
      <c r="G1035" s="1509">
        <f t="shared" si="132"/>
        <v>0</v>
      </c>
      <c r="H1035" s="1509">
        <f t="shared" si="133"/>
        <v>0</v>
      </c>
      <c r="I1035" s="1509">
        <v>0</v>
      </c>
      <c r="J1035" s="1509">
        <v>0</v>
      </c>
      <c r="K1035" s="1509"/>
      <c r="L1035" s="1509"/>
      <c r="M1035" s="1509">
        <f t="shared" si="134"/>
        <v>0</v>
      </c>
      <c r="N1035" s="1509">
        <f t="shared" si="135"/>
        <v>0</v>
      </c>
    </row>
    <row r="1036" spans="1:14" customFormat="1" ht="43.5" outlineLevel="1" x14ac:dyDescent="0.25">
      <c r="A1036" s="1506">
        <f t="shared" si="138"/>
        <v>32</v>
      </c>
      <c r="B1036" s="1507" t="str">
        <f t="shared" si="138"/>
        <v xml:space="preserve"> Permanent water supply scheme for parli TPS by lifting water from Dead storage of Majalgaon dam and supplying through enclosed pipe line at New TPS Parli Vaijnath.</v>
      </c>
      <c r="C1036" s="1506" t="str">
        <f t="shared" si="138"/>
        <v>Yet to be approved</v>
      </c>
      <c r="D1036" s="1507" t="str">
        <f t="shared" si="138"/>
        <v>-</v>
      </c>
      <c r="E1036" s="1506">
        <f t="shared" si="138"/>
        <v>0</v>
      </c>
      <c r="F1036" s="1509">
        <f t="shared" si="131"/>
        <v>0</v>
      </c>
      <c r="G1036" s="1509">
        <f t="shared" si="132"/>
        <v>0</v>
      </c>
      <c r="H1036" s="1509">
        <f t="shared" si="133"/>
        <v>0</v>
      </c>
      <c r="I1036" s="1509">
        <v>0</v>
      </c>
      <c r="J1036" s="1509">
        <v>0</v>
      </c>
      <c r="K1036" s="1509"/>
      <c r="L1036" s="1509"/>
      <c r="M1036" s="1509">
        <f t="shared" si="134"/>
        <v>0</v>
      </c>
      <c r="N1036" s="1509">
        <f t="shared" si="135"/>
        <v>0</v>
      </c>
    </row>
    <row r="1037" spans="1:14" customFormat="1" ht="43.5" outlineLevel="1" x14ac:dyDescent="0.25">
      <c r="A1037" s="1511">
        <f t="shared" si="138"/>
        <v>32.1</v>
      </c>
      <c r="B1037" s="1515" t="str">
        <f t="shared" si="138"/>
        <v xml:space="preserve"> Permanent water supply scheme for parli TPS by lifting water from Dead storage of Majalgaon dam and supplying through enclosed pipe line at New TPS Parli Vaijnath.</v>
      </c>
      <c r="C1037" s="1396" t="str">
        <f t="shared" si="138"/>
        <v>Yet to be approved</v>
      </c>
      <c r="D1037" s="1378" t="str">
        <f t="shared" si="138"/>
        <v>-</v>
      </c>
      <c r="E1037" s="1505">
        <f t="shared" si="138"/>
        <v>0</v>
      </c>
      <c r="F1037" s="1509">
        <f t="shared" si="131"/>
        <v>0</v>
      </c>
      <c r="G1037" s="1509">
        <f t="shared" si="132"/>
        <v>0</v>
      </c>
      <c r="H1037" s="1509">
        <f t="shared" si="133"/>
        <v>0</v>
      </c>
      <c r="I1037" s="1509">
        <v>0</v>
      </c>
      <c r="J1037" s="1509">
        <v>0</v>
      </c>
      <c r="K1037" s="1509"/>
      <c r="L1037" s="1509"/>
      <c r="M1037" s="1509">
        <f t="shared" si="134"/>
        <v>0</v>
      </c>
      <c r="N1037" s="1509">
        <f t="shared" si="135"/>
        <v>0</v>
      </c>
    </row>
    <row r="1038" spans="1:14" customFormat="1" ht="29" outlineLevel="1" x14ac:dyDescent="0.25">
      <c r="A1038" s="1511">
        <f t="shared" si="138"/>
        <v>32.200000000000003</v>
      </c>
      <c r="B1038" s="1515" t="str">
        <f t="shared" si="138"/>
        <v>Providing drinking water supply to GSR Tank of Shaktikunj Vasahat from Unit 6,7 and 8 premises new TPS Parli Vaijnath</v>
      </c>
      <c r="C1038" s="1396" t="str">
        <f t="shared" si="138"/>
        <v>Yet to be approved</v>
      </c>
      <c r="D1038" s="1378" t="str">
        <f t="shared" si="138"/>
        <v>-</v>
      </c>
      <c r="E1038" s="1505">
        <f t="shared" si="138"/>
        <v>0</v>
      </c>
      <c r="F1038" s="1509">
        <f t="shared" si="131"/>
        <v>0</v>
      </c>
      <c r="G1038" s="1509">
        <f t="shared" si="132"/>
        <v>0</v>
      </c>
      <c r="H1038" s="1509">
        <f t="shared" si="133"/>
        <v>0</v>
      </c>
      <c r="I1038" s="1509">
        <v>0</v>
      </c>
      <c r="J1038" s="1509">
        <v>0</v>
      </c>
      <c r="K1038" s="1509"/>
      <c r="L1038" s="1509"/>
      <c r="M1038" s="1509">
        <f t="shared" si="134"/>
        <v>0</v>
      </c>
      <c r="N1038" s="1509">
        <f t="shared" si="135"/>
        <v>0</v>
      </c>
    </row>
    <row r="1039" spans="1:14" customFormat="1" outlineLevel="1" x14ac:dyDescent="0.25">
      <c r="A1039" s="1506">
        <f t="shared" si="138"/>
        <v>33</v>
      </c>
      <c r="B1039" s="1507" t="str">
        <f t="shared" si="138"/>
        <v>DPR on Raw water leackage arresting</v>
      </c>
      <c r="C1039" s="1506" t="str">
        <f t="shared" si="138"/>
        <v>Yet to be approved</v>
      </c>
      <c r="D1039" s="1507" t="str">
        <f t="shared" si="138"/>
        <v>-</v>
      </c>
      <c r="E1039" s="1506">
        <f t="shared" si="138"/>
        <v>0</v>
      </c>
      <c r="F1039" s="1509">
        <f t="shared" si="131"/>
        <v>0</v>
      </c>
      <c r="G1039" s="1509">
        <f t="shared" si="132"/>
        <v>0</v>
      </c>
      <c r="H1039" s="1509">
        <f t="shared" si="133"/>
        <v>0</v>
      </c>
      <c r="I1039" s="1509">
        <v>0</v>
      </c>
      <c r="J1039" s="1509">
        <v>0</v>
      </c>
      <c r="K1039" s="1509"/>
      <c r="L1039" s="1509"/>
      <c r="M1039" s="1509">
        <f t="shared" si="134"/>
        <v>0</v>
      </c>
      <c r="N1039" s="1509">
        <f t="shared" si="135"/>
        <v>0</v>
      </c>
    </row>
    <row r="1040" spans="1:14" customFormat="1" outlineLevel="1" x14ac:dyDescent="0.25">
      <c r="A1040" s="1511">
        <f t="shared" si="138"/>
        <v>33.1</v>
      </c>
      <c r="B1040" s="1515" t="str">
        <f t="shared" si="138"/>
        <v xml:space="preserve">Raw water leackage arresting </v>
      </c>
      <c r="C1040" s="1396" t="str">
        <f t="shared" si="138"/>
        <v>Yet to be approved</v>
      </c>
      <c r="D1040" s="1378" t="str">
        <f t="shared" si="138"/>
        <v>-</v>
      </c>
      <c r="E1040" s="1505">
        <f t="shared" si="138"/>
        <v>0</v>
      </c>
      <c r="F1040" s="1509">
        <f t="shared" si="131"/>
        <v>0</v>
      </c>
      <c r="G1040" s="1509">
        <f t="shared" si="132"/>
        <v>0</v>
      </c>
      <c r="H1040" s="1509">
        <f t="shared" si="133"/>
        <v>0</v>
      </c>
      <c r="I1040" s="1509">
        <v>0</v>
      </c>
      <c r="J1040" s="1509">
        <v>0</v>
      </c>
      <c r="K1040" s="1509"/>
      <c r="L1040" s="1509"/>
      <c r="M1040" s="1509">
        <f t="shared" si="134"/>
        <v>0</v>
      </c>
      <c r="N1040" s="1509">
        <f t="shared" si="135"/>
        <v>0</v>
      </c>
    </row>
    <row r="1041" spans="1:14" customFormat="1" ht="29" outlineLevel="1" x14ac:dyDescent="0.25">
      <c r="A1041" s="1506">
        <f t="shared" si="138"/>
        <v>34</v>
      </c>
      <c r="B1041" s="1507" t="str">
        <f t="shared" si="138"/>
        <v>NDCT structural strenthing and leackage arresting througth  basin and CW channel of Unit 6,7</v>
      </c>
      <c r="C1041" s="1506" t="str">
        <f t="shared" si="138"/>
        <v>Yet to be approved</v>
      </c>
      <c r="D1041" s="1507" t="str">
        <f t="shared" si="138"/>
        <v>-</v>
      </c>
      <c r="E1041" s="1506">
        <f t="shared" si="138"/>
        <v>0</v>
      </c>
      <c r="F1041" s="1509">
        <f t="shared" si="131"/>
        <v>0</v>
      </c>
      <c r="G1041" s="1509">
        <f t="shared" si="132"/>
        <v>0</v>
      </c>
      <c r="H1041" s="1509">
        <f t="shared" si="133"/>
        <v>0</v>
      </c>
      <c r="I1041" s="1509">
        <v>0</v>
      </c>
      <c r="J1041" s="1509">
        <v>0</v>
      </c>
      <c r="K1041" s="1509"/>
      <c r="L1041" s="1509"/>
      <c r="M1041" s="1509">
        <f t="shared" si="134"/>
        <v>0</v>
      </c>
      <c r="N1041" s="1509">
        <f t="shared" si="135"/>
        <v>0</v>
      </c>
    </row>
    <row r="1042" spans="1:14" customFormat="1" outlineLevel="1" x14ac:dyDescent="0.25">
      <c r="A1042" s="1511">
        <f t="shared" si="138"/>
        <v>34.1</v>
      </c>
      <c r="B1042" s="1515" t="str">
        <f t="shared" si="138"/>
        <v xml:space="preserve">NDCT basin of unit 6&amp; 7 leackage arresing work </v>
      </c>
      <c r="C1042" s="1396" t="str">
        <f t="shared" si="138"/>
        <v>Yet to be approved</v>
      </c>
      <c r="D1042" s="1378" t="str">
        <f t="shared" si="138"/>
        <v>-</v>
      </c>
      <c r="E1042" s="1505">
        <f t="shared" si="138"/>
        <v>0</v>
      </c>
      <c r="F1042" s="1509">
        <f t="shared" si="131"/>
        <v>0</v>
      </c>
      <c r="G1042" s="1509">
        <f t="shared" si="132"/>
        <v>0</v>
      </c>
      <c r="H1042" s="1509">
        <f t="shared" si="133"/>
        <v>0</v>
      </c>
      <c r="I1042" s="1509">
        <v>0</v>
      </c>
      <c r="J1042" s="1509">
        <v>0</v>
      </c>
      <c r="K1042" s="1509"/>
      <c r="L1042" s="1509"/>
      <c r="M1042" s="1509">
        <f t="shared" si="134"/>
        <v>0</v>
      </c>
      <c r="N1042" s="1509">
        <f t="shared" si="135"/>
        <v>0</v>
      </c>
    </row>
    <row r="1043" spans="1:14" customFormat="1" outlineLevel="1" x14ac:dyDescent="0.25">
      <c r="A1043" s="1511">
        <f t="shared" si="138"/>
        <v>34.200000000000003</v>
      </c>
      <c r="B1043" s="1515" t="str">
        <f t="shared" si="138"/>
        <v>CW channel leackage arresting of  Unit 6 &amp;7</v>
      </c>
      <c r="C1043" s="1396" t="str">
        <f t="shared" si="138"/>
        <v>Yet to be approved</v>
      </c>
      <c r="D1043" s="1378" t="str">
        <f t="shared" si="138"/>
        <v>-</v>
      </c>
      <c r="E1043" s="1505">
        <f t="shared" si="138"/>
        <v>0</v>
      </c>
      <c r="F1043" s="1509">
        <f t="shared" si="131"/>
        <v>0</v>
      </c>
      <c r="G1043" s="1509">
        <f t="shared" si="132"/>
        <v>0</v>
      </c>
      <c r="H1043" s="1509">
        <f t="shared" si="133"/>
        <v>0</v>
      </c>
      <c r="I1043" s="1509">
        <v>0</v>
      </c>
      <c r="J1043" s="1509">
        <v>0</v>
      </c>
      <c r="K1043" s="1509"/>
      <c r="L1043" s="1509"/>
      <c r="M1043" s="1509">
        <f t="shared" si="134"/>
        <v>0</v>
      </c>
      <c r="N1043" s="1509">
        <f t="shared" si="135"/>
        <v>0</v>
      </c>
    </row>
    <row r="1044" spans="1:14" customFormat="1" ht="29" outlineLevel="1" x14ac:dyDescent="0.25">
      <c r="A1044" s="1511">
        <f t="shared" ref="A1044:E1059" si="139">A687</f>
        <v>34.299999999999997</v>
      </c>
      <c r="B1044" s="1515" t="str">
        <f t="shared" si="139"/>
        <v>NDCT structural strenthing of intermadiate racker coloumn of Unit 6&amp;7</v>
      </c>
      <c r="C1044" s="1396" t="str">
        <f t="shared" si="139"/>
        <v>Yet to be approved</v>
      </c>
      <c r="D1044" s="1378" t="str">
        <f t="shared" si="139"/>
        <v>-</v>
      </c>
      <c r="E1044" s="1505">
        <f t="shared" si="139"/>
        <v>0</v>
      </c>
      <c r="F1044" s="1509">
        <f t="shared" ref="F1044:F1075" si="140">F687+I687</f>
        <v>0</v>
      </c>
      <c r="G1044" s="1509">
        <f t="shared" ref="G1044:G1075" si="141">G687+M687</f>
        <v>0</v>
      </c>
      <c r="H1044" s="1509">
        <f t="shared" si="133"/>
        <v>0</v>
      </c>
      <c r="I1044" s="1509">
        <v>0</v>
      </c>
      <c r="J1044" s="1509">
        <v>0</v>
      </c>
      <c r="K1044" s="1509"/>
      <c r="L1044" s="1509"/>
      <c r="M1044" s="1509">
        <f t="shared" si="134"/>
        <v>0</v>
      </c>
      <c r="N1044" s="1509">
        <f t="shared" si="135"/>
        <v>0</v>
      </c>
    </row>
    <row r="1045" spans="1:14" customFormat="1" ht="29" outlineLevel="1" x14ac:dyDescent="0.25">
      <c r="A1045" s="1511">
        <f t="shared" si="139"/>
        <v>34.4</v>
      </c>
      <c r="B1045" s="1515" t="str">
        <f t="shared" si="139"/>
        <v>Construction of Store shed's at Major store in Unit No.6,7 NPTPS Parli V</v>
      </c>
      <c r="C1045" s="1396" t="str">
        <f t="shared" si="139"/>
        <v>Yet to be approved</v>
      </c>
      <c r="D1045" s="1378" t="str">
        <f t="shared" si="139"/>
        <v>-</v>
      </c>
      <c r="E1045" s="1505">
        <f t="shared" si="139"/>
        <v>0</v>
      </c>
      <c r="F1045" s="1509">
        <f t="shared" si="140"/>
        <v>0</v>
      </c>
      <c r="G1045" s="1509">
        <f t="shared" si="141"/>
        <v>0</v>
      </c>
      <c r="H1045" s="1509">
        <f t="shared" ref="H1045:H1075" si="142">F1045-G1045</f>
        <v>0</v>
      </c>
      <c r="I1045" s="1509">
        <v>0</v>
      </c>
      <c r="J1045" s="1509">
        <v>0</v>
      </c>
      <c r="K1045" s="1509"/>
      <c r="L1045" s="1509"/>
      <c r="M1045" s="1509">
        <f t="shared" ref="M1045:M1075" si="143">SUM(J1045:L1045)</f>
        <v>0</v>
      </c>
      <c r="N1045" s="1509">
        <f t="shared" ref="N1045:N1075" si="144">H1045+I1045-M1045</f>
        <v>0</v>
      </c>
    </row>
    <row r="1046" spans="1:14" customFormat="1" ht="29" outlineLevel="1" x14ac:dyDescent="0.25">
      <c r="A1046" s="1506">
        <f t="shared" si="139"/>
        <v>35</v>
      </c>
      <c r="B1046" s="1507" t="str">
        <f t="shared" si="139"/>
        <v>DPR on road work &amp;   rennovation work of colony buildings Parli -V at TPS Parli -V</v>
      </c>
      <c r="C1046" s="1506" t="str">
        <f t="shared" si="139"/>
        <v>Yet to be approved</v>
      </c>
      <c r="D1046" s="1507" t="str">
        <f t="shared" si="139"/>
        <v>-</v>
      </c>
      <c r="E1046" s="1506">
        <f t="shared" si="139"/>
        <v>0</v>
      </c>
      <c r="F1046" s="1509">
        <f t="shared" si="140"/>
        <v>0</v>
      </c>
      <c r="G1046" s="1509">
        <f t="shared" si="141"/>
        <v>0</v>
      </c>
      <c r="H1046" s="1509">
        <f t="shared" si="142"/>
        <v>0</v>
      </c>
      <c r="I1046" s="1509">
        <v>0</v>
      </c>
      <c r="J1046" s="1509">
        <v>0</v>
      </c>
      <c r="K1046" s="1509"/>
      <c r="L1046" s="1509"/>
      <c r="M1046" s="1509">
        <f t="shared" si="143"/>
        <v>0</v>
      </c>
      <c r="N1046" s="1509">
        <f t="shared" si="144"/>
        <v>0</v>
      </c>
    </row>
    <row r="1047" spans="1:14" customFormat="1" ht="43.5" outlineLevel="1" x14ac:dyDescent="0.25">
      <c r="A1047" s="1511">
        <f t="shared" si="139"/>
        <v>35.1</v>
      </c>
      <c r="B1047" s="1515" t="str">
        <f t="shared" si="139"/>
        <v xml:space="preserve">contruction of roads of few roads in clusters and main road repairs ,carpet laying,seal coats, strips on road &amp; indicators on roads with rumbble strips at TPS colony Parli V </v>
      </c>
      <c r="C1047" s="1396" t="str">
        <f t="shared" si="139"/>
        <v>Yet to be approved</v>
      </c>
      <c r="D1047" s="1378" t="str">
        <f t="shared" si="139"/>
        <v>-</v>
      </c>
      <c r="E1047" s="1505">
        <f t="shared" si="139"/>
        <v>0</v>
      </c>
      <c r="F1047" s="1509">
        <f t="shared" si="140"/>
        <v>0</v>
      </c>
      <c r="G1047" s="1509">
        <f t="shared" si="141"/>
        <v>0</v>
      </c>
      <c r="H1047" s="1509">
        <f t="shared" si="142"/>
        <v>0</v>
      </c>
      <c r="I1047" s="1509">
        <v>0</v>
      </c>
      <c r="J1047" s="1509">
        <v>0</v>
      </c>
      <c r="K1047" s="1509"/>
      <c r="L1047" s="1509"/>
      <c r="M1047" s="1509">
        <f t="shared" si="143"/>
        <v>0</v>
      </c>
      <c r="N1047" s="1509">
        <f t="shared" si="144"/>
        <v>0</v>
      </c>
    </row>
    <row r="1048" spans="1:14" customFormat="1" ht="43.5" outlineLevel="1" x14ac:dyDescent="0.25">
      <c r="A1048" s="1511">
        <f t="shared" si="139"/>
        <v>35.200000000000003</v>
      </c>
      <c r="B1048" s="1515" t="str">
        <f t="shared" si="139"/>
        <v xml:space="preserve"> In ABC colony ( Putty work,plastic emulsion paint,oil paint plaster etc) ,In DEF &amp; New colony ( internal &amp; external paint  ,oil paint etc) at TPS colony Parli-V.</v>
      </c>
      <c r="C1048" s="1396" t="str">
        <f t="shared" si="139"/>
        <v>Yet to be approved</v>
      </c>
      <c r="D1048" s="1378" t="str">
        <f t="shared" si="139"/>
        <v>-</v>
      </c>
      <c r="E1048" s="1505">
        <f t="shared" si="139"/>
        <v>0</v>
      </c>
      <c r="F1048" s="1509">
        <f t="shared" si="140"/>
        <v>0</v>
      </c>
      <c r="G1048" s="1509">
        <f t="shared" si="141"/>
        <v>0</v>
      </c>
      <c r="H1048" s="1509">
        <f t="shared" si="142"/>
        <v>0</v>
      </c>
      <c r="I1048" s="1509">
        <v>0</v>
      </c>
      <c r="J1048" s="1509">
        <v>0</v>
      </c>
      <c r="K1048" s="1509"/>
      <c r="L1048" s="1509"/>
      <c r="M1048" s="1509">
        <f t="shared" si="143"/>
        <v>0</v>
      </c>
      <c r="N1048" s="1509">
        <f t="shared" si="144"/>
        <v>0</v>
      </c>
    </row>
    <row r="1049" spans="1:14" customFormat="1" ht="29" outlineLevel="1" x14ac:dyDescent="0.25">
      <c r="A1049" s="1511">
        <f t="shared" si="139"/>
        <v>35.299999999999997</v>
      </c>
      <c r="B1049" s="1515" t="str">
        <f t="shared" si="139"/>
        <v xml:space="preserve"> In ABC,DEF &amp; New colony ( chember ,300 m dia rcc pipe,150mm  rcc pipe etc)at tps colony Parli V </v>
      </c>
      <c r="C1049" s="1396" t="str">
        <f t="shared" si="139"/>
        <v>Yet to be approved</v>
      </c>
      <c r="D1049" s="1378" t="str">
        <f t="shared" si="139"/>
        <v>-</v>
      </c>
      <c r="E1049" s="1505">
        <f t="shared" si="139"/>
        <v>0</v>
      </c>
      <c r="F1049" s="1509">
        <f t="shared" si="140"/>
        <v>0</v>
      </c>
      <c r="G1049" s="1509">
        <f t="shared" si="141"/>
        <v>0</v>
      </c>
      <c r="H1049" s="1509">
        <f t="shared" si="142"/>
        <v>0</v>
      </c>
      <c r="I1049" s="1509">
        <v>0</v>
      </c>
      <c r="J1049" s="1509">
        <v>0</v>
      </c>
      <c r="K1049" s="1509"/>
      <c r="L1049" s="1509"/>
      <c r="M1049" s="1509">
        <f t="shared" si="143"/>
        <v>0</v>
      </c>
      <c r="N1049" s="1509">
        <f t="shared" si="144"/>
        <v>0</v>
      </c>
    </row>
    <row r="1050" spans="1:14" customFormat="1" ht="29" outlineLevel="1" x14ac:dyDescent="0.25">
      <c r="A1050" s="1511">
        <f t="shared" si="139"/>
        <v>35.4</v>
      </c>
      <c r="B1050" s="1515" t="str">
        <f t="shared" si="139"/>
        <v>Plinth protection along the building and providing and placing rcc bench infront of all buildings etc at tps colony Parli v</v>
      </c>
      <c r="C1050" s="1396" t="str">
        <f t="shared" si="139"/>
        <v>Yet to be approved</v>
      </c>
      <c r="D1050" s="1378" t="str">
        <f t="shared" si="139"/>
        <v>-</v>
      </c>
      <c r="E1050" s="1505">
        <f t="shared" si="139"/>
        <v>0</v>
      </c>
      <c r="F1050" s="1509">
        <f t="shared" si="140"/>
        <v>0</v>
      </c>
      <c r="G1050" s="1509">
        <f t="shared" si="141"/>
        <v>0</v>
      </c>
      <c r="H1050" s="1509">
        <f t="shared" si="142"/>
        <v>0</v>
      </c>
      <c r="I1050" s="1509">
        <v>0</v>
      </c>
      <c r="J1050" s="1509">
        <v>0</v>
      </c>
      <c r="K1050" s="1509"/>
      <c r="L1050" s="1509"/>
      <c r="M1050" s="1509">
        <f t="shared" si="143"/>
        <v>0</v>
      </c>
      <c r="N1050" s="1509">
        <f t="shared" si="144"/>
        <v>0</v>
      </c>
    </row>
    <row r="1051" spans="1:14" customFormat="1" ht="58" outlineLevel="1" x14ac:dyDescent="0.25">
      <c r="A1051" s="1511">
        <f t="shared" si="139"/>
        <v>35.5</v>
      </c>
      <c r="B1051" s="1515" t="str">
        <f t="shared" si="139"/>
        <v xml:space="preserve">changing all internal qtrs pipeline from gi pipeline to Upvc pipeline and replacing existing damaged gi pipe by new one and also providing water tank  over single qtrs and buildings at ABC, DEF, &amp; New colony TPS Parli v </v>
      </c>
      <c r="C1051" s="1396" t="str">
        <f t="shared" si="139"/>
        <v>Yet to be approved</v>
      </c>
      <c r="D1051" s="1378" t="str">
        <f t="shared" si="139"/>
        <v>-</v>
      </c>
      <c r="E1051" s="1505">
        <f t="shared" si="139"/>
        <v>0</v>
      </c>
      <c r="F1051" s="1509">
        <f t="shared" si="140"/>
        <v>0</v>
      </c>
      <c r="G1051" s="1509">
        <f t="shared" si="141"/>
        <v>0</v>
      </c>
      <c r="H1051" s="1509">
        <f t="shared" si="142"/>
        <v>0</v>
      </c>
      <c r="I1051" s="1509">
        <v>0</v>
      </c>
      <c r="J1051" s="1509">
        <v>0</v>
      </c>
      <c r="K1051" s="1509"/>
      <c r="L1051" s="1509"/>
      <c r="M1051" s="1509">
        <f t="shared" si="143"/>
        <v>0</v>
      </c>
      <c r="N1051" s="1509">
        <f t="shared" si="144"/>
        <v>0</v>
      </c>
    </row>
    <row r="1052" spans="1:14" customFormat="1" outlineLevel="1" x14ac:dyDescent="0.25">
      <c r="A1052" s="1511">
        <f t="shared" si="139"/>
        <v>35.6</v>
      </c>
      <c r="B1052" s="1515" t="str">
        <f t="shared" si="139"/>
        <v>Carpentary works  at ABC,DEF &amp; New colony TPS  , Parli -V</v>
      </c>
      <c r="C1052" s="1396" t="str">
        <f t="shared" si="139"/>
        <v>Yet to be approved</v>
      </c>
      <c r="D1052" s="1378" t="str">
        <f t="shared" si="139"/>
        <v>-</v>
      </c>
      <c r="E1052" s="1505">
        <f t="shared" si="139"/>
        <v>0</v>
      </c>
      <c r="F1052" s="1509">
        <f t="shared" si="140"/>
        <v>0</v>
      </c>
      <c r="G1052" s="1509">
        <f t="shared" si="141"/>
        <v>0</v>
      </c>
      <c r="H1052" s="1509">
        <f t="shared" si="142"/>
        <v>0</v>
      </c>
      <c r="I1052" s="1509">
        <v>0</v>
      </c>
      <c r="J1052" s="1509">
        <v>0</v>
      </c>
      <c r="K1052" s="1509"/>
      <c r="L1052" s="1509"/>
      <c r="M1052" s="1509">
        <f t="shared" si="143"/>
        <v>0</v>
      </c>
      <c r="N1052" s="1509">
        <f t="shared" si="144"/>
        <v>0</v>
      </c>
    </row>
    <row r="1053" spans="1:14" customFormat="1" outlineLevel="1" x14ac:dyDescent="0.25">
      <c r="A1053" s="1511">
        <f t="shared" si="139"/>
        <v>35.700000000000003</v>
      </c>
      <c r="B1053" s="1515" t="str">
        <f t="shared" si="139"/>
        <v>Flooring work  at ABC,DEF &amp; New colony TPS  , Parli -V</v>
      </c>
      <c r="C1053" s="1396" t="str">
        <f t="shared" si="139"/>
        <v>Yet to be approved</v>
      </c>
      <c r="D1053" s="1378" t="str">
        <f t="shared" si="139"/>
        <v>-</v>
      </c>
      <c r="E1053" s="1505">
        <f t="shared" si="139"/>
        <v>0</v>
      </c>
      <c r="F1053" s="1509">
        <f t="shared" si="140"/>
        <v>0</v>
      </c>
      <c r="G1053" s="1509">
        <f t="shared" si="141"/>
        <v>0</v>
      </c>
      <c r="H1053" s="1509">
        <f t="shared" si="142"/>
        <v>0</v>
      </c>
      <c r="I1053" s="1509">
        <v>0</v>
      </c>
      <c r="J1053" s="1509">
        <v>0</v>
      </c>
      <c r="K1053" s="1509"/>
      <c r="L1053" s="1509"/>
      <c r="M1053" s="1509">
        <f t="shared" si="143"/>
        <v>0</v>
      </c>
      <c r="N1053" s="1509">
        <f t="shared" si="144"/>
        <v>0</v>
      </c>
    </row>
    <row r="1054" spans="1:14" customFormat="1" ht="29" outlineLevel="1" x14ac:dyDescent="0.25">
      <c r="A1054" s="1511">
        <f t="shared" si="139"/>
        <v>35.799999999999997</v>
      </c>
      <c r="B1054" s="1515" t="str">
        <f t="shared" si="139"/>
        <v>construction of new ESR and GSR  at ABC,DEF &amp; New colony TPS  , Parli -V</v>
      </c>
      <c r="C1054" s="1396" t="str">
        <f t="shared" si="139"/>
        <v>Yet to be approved</v>
      </c>
      <c r="D1054" s="1378" t="str">
        <f t="shared" si="139"/>
        <v>-</v>
      </c>
      <c r="E1054" s="1505">
        <f t="shared" si="139"/>
        <v>0</v>
      </c>
      <c r="F1054" s="1509">
        <f t="shared" si="140"/>
        <v>0</v>
      </c>
      <c r="G1054" s="1509">
        <f t="shared" si="141"/>
        <v>0</v>
      </c>
      <c r="H1054" s="1509">
        <f t="shared" si="142"/>
        <v>0</v>
      </c>
      <c r="I1054" s="1509">
        <v>0</v>
      </c>
      <c r="J1054" s="1509">
        <v>0</v>
      </c>
      <c r="K1054" s="1509"/>
      <c r="L1054" s="1509"/>
      <c r="M1054" s="1509">
        <f t="shared" si="143"/>
        <v>0</v>
      </c>
      <c r="N1054" s="1509">
        <f t="shared" si="144"/>
        <v>0</v>
      </c>
    </row>
    <row r="1055" spans="1:14" customFormat="1" ht="29" outlineLevel="1" x14ac:dyDescent="0.25">
      <c r="A1055" s="1511">
        <f t="shared" si="139"/>
        <v>35.9</v>
      </c>
      <c r="B1055" s="1515" t="str">
        <f t="shared" si="139"/>
        <v>refurbishment of qtrs by strenthening structurein ABC ,DEF &amp; New colony tps parli v</v>
      </c>
      <c r="C1055" s="1396" t="str">
        <f t="shared" si="139"/>
        <v>Yet to be approved</v>
      </c>
      <c r="D1055" s="1378" t="str">
        <f t="shared" si="139"/>
        <v>-</v>
      </c>
      <c r="E1055" s="1505">
        <f t="shared" si="139"/>
        <v>0</v>
      </c>
      <c r="F1055" s="1509">
        <f t="shared" si="140"/>
        <v>0</v>
      </c>
      <c r="G1055" s="1509">
        <f t="shared" si="141"/>
        <v>0</v>
      </c>
      <c r="H1055" s="1509">
        <f t="shared" si="142"/>
        <v>0</v>
      </c>
      <c r="I1055" s="1509">
        <v>0</v>
      </c>
      <c r="J1055" s="1509">
        <v>0</v>
      </c>
      <c r="K1055" s="1509"/>
      <c r="L1055" s="1509"/>
      <c r="M1055" s="1509">
        <f t="shared" si="143"/>
        <v>0</v>
      </c>
      <c r="N1055" s="1509">
        <f t="shared" si="144"/>
        <v>0</v>
      </c>
    </row>
    <row r="1056" spans="1:14" customFormat="1" ht="29" outlineLevel="1" x14ac:dyDescent="0.25">
      <c r="A1056" s="1511">
        <f t="shared" si="139"/>
        <v>35.1</v>
      </c>
      <c r="B1056" s="1515" t="str">
        <f t="shared" si="139"/>
        <v>Devolpment of garden and providing child friendly equiment in ABC ,DEF &amp; New colony tps parli v</v>
      </c>
      <c r="C1056" s="1396" t="str">
        <f t="shared" si="139"/>
        <v>Yet to be approved</v>
      </c>
      <c r="D1056" s="1378" t="str">
        <f t="shared" si="139"/>
        <v>-</v>
      </c>
      <c r="E1056" s="1505">
        <f t="shared" si="139"/>
        <v>0</v>
      </c>
      <c r="F1056" s="1509">
        <f t="shared" si="140"/>
        <v>0</v>
      </c>
      <c r="G1056" s="1509">
        <f t="shared" si="141"/>
        <v>0</v>
      </c>
      <c r="H1056" s="1509">
        <f t="shared" si="142"/>
        <v>0</v>
      </c>
      <c r="I1056" s="1509">
        <v>0</v>
      </c>
      <c r="J1056" s="1509">
        <v>0</v>
      </c>
      <c r="K1056" s="1509"/>
      <c r="L1056" s="1509"/>
      <c r="M1056" s="1509">
        <f t="shared" si="143"/>
        <v>0</v>
      </c>
      <c r="N1056" s="1509">
        <f t="shared" si="144"/>
        <v>0</v>
      </c>
    </row>
    <row r="1057" spans="1:14" customFormat="1" outlineLevel="1" x14ac:dyDescent="0.25">
      <c r="A1057" s="1506">
        <f t="shared" si="139"/>
        <v>36</v>
      </c>
      <c r="B1057" s="1507" t="str">
        <f t="shared" si="139"/>
        <v xml:space="preserve">CHP improvement schemes at 2 x 250 MW Unit </v>
      </c>
      <c r="C1057" s="1506">
        <f t="shared" si="139"/>
        <v>0</v>
      </c>
      <c r="D1057" s="1507" t="str">
        <f t="shared" si="139"/>
        <v>-</v>
      </c>
      <c r="E1057" s="1506">
        <f t="shared" si="139"/>
        <v>0</v>
      </c>
      <c r="F1057" s="1509">
        <f t="shared" si="140"/>
        <v>0</v>
      </c>
      <c r="G1057" s="1509">
        <f t="shared" si="141"/>
        <v>0</v>
      </c>
      <c r="H1057" s="1509">
        <f t="shared" si="142"/>
        <v>0</v>
      </c>
      <c r="I1057" s="1509">
        <v>0</v>
      </c>
      <c r="J1057" s="1509">
        <v>0</v>
      </c>
      <c r="K1057" s="1509"/>
      <c r="L1057" s="1509"/>
      <c r="M1057" s="1509">
        <f t="shared" si="143"/>
        <v>0</v>
      </c>
      <c r="N1057" s="1509">
        <f t="shared" si="144"/>
        <v>0</v>
      </c>
    </row>
    <row r="1058" spans="1:14" customFormat="1" outlineLevel="1" x14ac:dyDescent="0.25">
      <c r="A1058" s="1511">
        <f t="shared" si="139"/>
        <v>36.1</v>
      </c>
      <c r="B1058" s="1515" t="str">
        <f t="shared" si="139"/>
        <v xml:space="preserve">CHP improvement schemes at 2 x 250 MW Unit </v>
      </c>
      <c r="C1058" s="1396">
        <f t="shared" si="139"/>
        <v>0</v>
      </c>
      <c r="D1058" s="1378" t="str">
        <f t="shared" si="139"/>
        <v>-</v>
      </c>
      <c r="E1058" s="1505">
        <f t="shared" si="139"/>
        <v>0</v>
      </c>
      <c r="F1058" s="1509">
        <f t="shared" si="140"/>
        <v>0</v>
      </c>
      <c r="G1058" s="1509">
        <f t="shared" si="141"/>
        <v>0</v>
      </c>
      <c r="H1058" s="1509">
        <f t="shared" si="142"/>
        <v>0</v>
      </c>
      <c r="I1058" s="1509">
        <v>0</v>
      </c>
      <c r="J1058" s="1509">
        <v>0</v>
      </c>
      <c r="K1058" s="1509"/>
      <c r="L1058" s="1509"/>
      <c r="M1058" s="1509">
        <f t="shared" si="143"/>
        <v>0</v>
      </c>
      <c r="N1058" s="1509">
        <f t="shared" si="144"/>
        <v>0</v>
      </c>
    </row>
    <row r="1059" spans="1:14" customFormat="1" outlineLevel="1" x14ac:dyDescent="0.25">
      <c r="A1059" s="1506">
        <f t="shared" si="139"/>
        <v>37</v>
      </c>
      <c r="B1059" s="1507" t="str">
        <f t="shared" si="139"/>
        <v>Flexible Operation work at U#6,7</v>
      </c>
      <c r="C1059" s="1506" t="str">
        <f t="shared" si="139"/>
        <v>Yet to be approved</v>
      </c>
      <c r="D1059" s="1507" t="str">
        <f t="shared" si="139"/>
        <v>-</v>
      </c>
      <c r="E1059" s="1506">
        <f t="shared" si="139"/>
        <v>0</v>
      </c>
      <c r="F1059" s="1509">
        <f t="shared" si="140"/>
        <v>0</v>
      </c>
      <c r="G1059" s="1509">
        <f t="shared" si="141"/>
        <v>0</v>
      </c>
      <c r="H1059" s="1509">
        <f t="shared" si="142"/>
        <v>0</v>
      </c>
      <c r="I1059" s="1509">
        <v>0</v>
      </c>
      <c r="J1059" s="1509">
        <v>0</v>
      </c>
      <c r="K1059" s="1509"/>
      <c r="L1059" s="1509"/>
      <c r="M1059" s="1509">
        <f t="shared" si="143"/>
        <v>0</v>
      </c>
      <c r="N1059" s="1509">
        <f t="shared" si="144"/>
        <v>0</v>
      </c>
    </row>
    <row r="1060" spans="1:14" customFormat="1" outlineLevel="1" x14ac:dyDescent="0.25">
      <c r="A1060" s="1511">
        <f t="shared" ref="A1060:E1075" si="145">A703</f>
        <v>37.1</v>
      </c>
      <c r="B1060" s="1515" t="str">
        <f t="shared" si="145"/>
        <v>Flexible Operation work at U#6,7</v>
      </c>
      <c r="C1060" s="1396" t="str">
        <f t="shared" si="145"/>
        <v>Yet to be approved</v>
      </c>
      <c r="D1060" s="1378" t="str">
        <f t="shared" si="145"/>
        <v>-</v>
      </c>
      <c r="E1060" s="1505">
        <f t="shared" si="145"/>
        <v>0</v>
      </c>
      <c r="F1060" s="1509">
        <f t="shared" si="140"/>
        <v>0</v>
      </c>
      <c r="G1060" s="1509">
        <f t="shared" si="141"/>
        <v>0</v>
      </c>
      <c r="H1060" s="1509">
        <f t="shared" si="142"/>
        <v>0</v>
      </c>
      <c r="I1060" s="1509">
        <v>0</v>
      </c>
      <c r="J1060" s="1509">
        <v>0</v>
      </c>
      <c r="K1060" s="1509"/>
      <c r="L1060" s="1509"/>
      <c r="M1060" s="1509">
        <f t="shared" si="143"/>
        <v>0</v>
      </c>
      <c r="N1060" s="1509">
        <f t="shared" si="144"/>
        <v>0</v>
      </c>
    </row>
    <row r="1061" spans="1:14" customFormat="1" outlineLevel="1" x14ac:dyDescent="0.25">
      <c r="A1061" s="1511">
        <f t="shared" si="145"/>
        <v>0</v>
      </c>
      <c r="B1061" s="1515">
        <f t="shared" si="145"/>
        <v>0</v>
      </c>
      <c r="C1061" s="1396">
        <f t="shared" si="145"/>
        <v>0</v>
      </c>
      <c r="D1061" s="1378" t="str">
        <f t="shared" si="145"/>
        <v>-</v>
      </c>
      <c r="E1061" s="1505">
        <f t="shared" si="145"/>
        <v>0</v>
      </c>
      <c r="F1061" s="1509">
        <f t="shared" si="140"/>
        <v>0</v>
      </c>
      <c r="G1061" s="1509">
        <f t="shared" si="141"/>
        <v>0</v>
      </c>
      <c r="H1061" s="1509">
        <f t="shared" si="142"/>
        <v>0</v>
      </c>
      <c r="I1061" s="1509">
        <v>0</v>
      </c>
      <c r="J1061" s="1509">
        <v>0</v>
      </c>
      <c r="K1061" s="1509"/>
      <c r="L1061" s="1509"/>
      <c r="M1061" s="1509">
        <f t="shared" si="143"/>
        <v>0</v>
      </c>
      <c r="N1061" s="1509">
        <f t="shared" si="144"/>
        <v>0</v>
      </c>
    </row>
    <row r="1062" spans="1:14" customFormat="1" outlineLevel="1" x14ac:dyDescent="0.25">
      <c r="A1062" s="1511">
        <f t="shared" si="145"/>
        <v>0</v>
      </c>
      <c r="B1062" s="1515">
        <f t="shared" si="145"/>
        <v>0</v>
      </c>
      <c r="C1062" s="1396">
        <f t="shared" si="145"/>
        <v>0</v>
      </c>
      <c r="D1062" s="1378" t="str">
        <f t="shared" si="145"/>
        <v>-</v>
      </c>
      <c r="E1062" s="1505">
        <f t="shared" si="145"/>
        <v>0</v>
      </c>
      <c r="F1062" s="1509">
        <f t="shared" si="140"/>
        <v>0</v>
      </c>
      <c r="G1062" s="1509">
        <f t="shared" si="141"/>
        <v>0</v>
      </c>
      <c r="H1062" s="1509">
        <f t="shared" si="142"/>
        <v>0</v>
      </c>
      <c r="I1062" s="1509">
        <v>0</v>
      </c>
      <c r="J1062" s="1509">
        <v>0</v>
      </c>
      <c r="K1062" s="1509"/>
      <c r="L1062" s="1509"/>
      <c r="M1062" s="1509">
        <f t="shared" si="143"/>
        <v>0</v>
      </c>
      <c r="N1062" s="1509">
        <f t="shared" si="144"/>
        <v>0</v>
      </c>
    </row>
    <row r="1063" spans="1:14" customFormat="1" ht="18.5" outlineLevel="1" x14ac:dyDescent="0.25">
      <c r="A1063" s="1339" t="str">
        <f t="shared" si="145"/>
        <v>D</v>
      </c>
      <c r="B1063" s="1339" t="str">
        <f t="shared" si="145"/>
        <v>Non-DPR Schemes</v>
      </c>
      <c r="C1063" s="1396">
        <f t="shared" si="145"/>
        <v>0</v>
      </c>
      <c r="D1063" s="1378" t="str">
        <f t="shared" si="145"/>
        <v>-</v>
      </c>
      <c r="E1063" s="1505">
        <f t="shared" si="145"/>
        <v>0</v>
      </c>
      <c r="F1063" s="1509">
        <f t="shared" si="140"/>
        <v>0</v>
      </c>
      <c r="G1063" s="1509">
        <f t="shared" si="141"/>
        <v>0</v>
      </c>
      <c r="H1063" s="1509">
        <f t="shared" si="142"/>
        <v>0</v>
      </c>
      <c r="I1063" s="1509">
        <v>0</v>
      </c>
      <c r="J1063" s="1509">
        <v>0</v>
      </c>
      <c r="K1063" s="1509"/>
      <c r="L1063" s="1509"/>
      <c r="M1063" s="1509">
        <f t="shared" si="143"/>
        <v>0</v>
      </c>
      <c r="N1063" s="1509">
        <f t="shared" si="144"/>
        <v>0</v>
      </c>
    </row>
    <row r="1064" spans="1:14" customFormat="1" outlineLevel="1" x14ac:dyDescent="0.25">
      <c r="A1064" s="1511">
        <f t="shared" si="145"/>
        <v>1</v>
      </c>
      <c r="B1064" s="1515" t="str">
        <f t="shared" si="145"/>
        <v>SWAS Upgradation at U#6 NPTPS Parli-V</v>
      </c>
      <c r="C1064" s="1396" t="str">
        <f t="shared" si="145"/>
        <v>N.A.</v>
      </c>
      <c r="D1064" s="1378" t="str">
        <f t="shared" si="145"/>
        <v>-</v>
      </c>
      <c r="E1064" s="1505">
        <f t="shared" si="145"/>
        <v>0</v>
      </c>
      <c r="F1064" s="1509">
        <f t="shared" si="140"/>
        <v>2.2390500000000002</v>
      </c>
      <c r="G1064" s="1509">
        <f t="shared" si="141"/>
        <v>2.2390500000000002</v>
      </c>
      <c r="H1064" s="1509">
        <f t="shared" si="142"/>
        <v>0</v>
      </c>
      <c r="I1064" s="1509">
        <v>0</v>
      </c>
      <c r="J1064" s="1509">
        <v>0</v>
      </c>
      <c r="K1064" s="1509"/>
      <c r="L1064" s="1509"/>
      <c r="M1064" s="1509">
        <f t="shared" si="143"/>
        <v>0</v>
      </c>
      <c r="N1064" s="1509">
        <f t="shared" si="144"/>
        <v>0</v>
      </c>
    </row>
    <row r="1065" spans="1:14" customFormat="1" ht="43.5" outlineLevel="1" x14ac:dyDescent="0.25">
      <c r="A1065" s="1511">
        <f t="shared" si="145"/>
        <v>2</v>
      </c>
      <c r="B1065" s="1515" t="str">
        <f t="shared" si="145"/>
        <v xml:space="preserve">Procurement of electro-machanical vibrating feeder at CHP NPTPS 6,7
</v>
      </c>
      <c r="C1065" s="1396" t="str">
        <f t="shared" si="145"/>
        <v>N.A.</v>
      </c>
      <c r="D1065" s="1378" t="str">
        <f t="shared" si="145"/>
        <v>-</v>
      </c>
      <c r="E1065" s="1505">
        <f t="shared" si="145"/>
        <v>0</v>
      </c>
      <c r="F1065" s="1509">
        <f t="shared" si="140"/>
        <v>0.89292959999999999</v>
      </c>
      <c r="G1065" s="1509">
        <f t="shared" si="141"/>
        <v>0.89292959999999999</v>
      </c>
      <c r="H1065" s="1509">
        <f t="shared" si="142"/>
        <v>0</v>
      </c>
      <c r="I1065" s="1509">
        <v>0</v>
      </c>
      <c r="J1065" s="1509">
        <v>0</v>
      </c>
      <c r="K1065" s="1509"/>
      <c r="L1065" s="1509"/>
      <c r="M1065" s="1509">
        <f t="shared" si="143"/>
        <v>0</v>
      </c>
      <c r="N1065" s="1509">
        <f t="shared" si="144"/>
        <v>0</v>
      </c>
    </row>
    <row r="1066" spans="1:14" customFormat="1" ht="43.5" outlineLevel="1" x14ac:dyDescent="0.25">
      <c r="A1066" s="1511">
        <f t="shared" si="145"/>
        <v>3</v>
      </c>
      <c r="B1066" s="1515" t="str">
        <f t="shared" si="145"/>
        <v xml:space="preserve">erection, commissioning of 6.6kv/33kv switch yard &amp; shifting of 2x7.5 MVA 6.6/33KV transformer from 210 MW to proposed switch yard for 33KV supply feeder to Khadka naikota at NPTPS Parli-V. </v>
      </c>
      <c r="C1066" s="1396" t="str">
        <f t="shared" si="145"/>
        <v>N.A.</v>
      </c>
      <c r="D1066" s="1378" t="str">
        <f t="shared" si="145"/>
        <v>-</v>
      </c>
      <c r="E1066" s="1505">
        <f t="shared" si="145"/>
        <v>0</v>
      </c>
      <c r="F1066" s="1509">
        <f t="shared" si="140"/>
        <v>2.1992632800000003</v>
      </c>
      <c r="G1066" s="1509">
        <f t="shared" si="141"/>
        <v>2.1992632800000003</v>
      </c>
      <c r="H1066" s="1509">
        <f t="shared" si="142"/>
        <v>0</v>
      </c>
      <c r="I1066" s="1509">
        <v>0</v>
      </c>
      <c r="J1066" s="1509">
        <v>0</v>
      </c>
      <c r="K1066" s="1509"/>
      <c r="L1066" s="1509"/>
      <c r="M1066" s="1509">
        <f t="shared" si="143"/>
        <v>0</v>
      </c>
      <c r="N1066" s="1509">
        <f t="shared" si="144"/>
        <v>0</v>
      </c>
    </row>
    <row r="1067" spans="1:14" customFormat="1" outlineLevel="1" x14ac:dyDescent="0.25">
      <c r="A1067" s="1511">
        <f t="shared" si="145"/>
        <v>4</v>
      </c>
      <c r="B1067" s="1515" t="str">
        <f t="shared" si="145"/>
        <v>IDC</v>
      </c>
      <c r="C1067" s="1396">
        <f t="shared" si="145"/>
        <v>0</v>
      </c>
      <c r="D1067" s="1378" t="str">
        <f t="shared" si="145"/>
        <v>-</v>
      </c>
      <c r="E1067" s="1505">
        <f t="shared" si="145"/>
        <v>0</v>
      </c>
      <c r="F1067" s="1509">
        <f t="shared" si="140"/>
        <v>7.2220000000000001E-3</v>
      </c>
      <c r="G1067" s="1509">
        <f t="shared" si="141"/>
        <v>7.2220000000000001E-3</v>
      </c>
      <c r="H1067" s="1509">
        <f t="shared" si="142"/>
        <v>0</v>
      </c>
      <c r="I1067" s="1509">
        <v>0</v>
      </c>
      <c r="J1067" s="1509">
        <v>0</v>
      </c>
      <c r="K1067" s="1509"/>
      <c r="L1067" s="1509"/>
      <c r="M1067" s="1509">
        <f t="shared" si="143"/>
        <v>0</v>
      </c>
      <c r="N1067" s="1509">
        <f t="shared" si="144"/>
        <v>0</v>
      </c>
    </row>
    <row r="1068" spans="1:14" customFormat="1" ht="43.5" outlineLevel="1" x14ac:dyDescent="0.25">
      <c r="A1068" s="1511">
        <f t="shared" si="145"/>
        <v>5</v>
      </c>
      <c r="B1068" s="1515" t="str">
        <f t="shared" si="145"/>
        <v xml:space="preserve"> Non-DPR scheme "Design, Supply, Installation &amp; Commissioning of High performance Energy Chain System for Stacker reclaimer, Shuttle Conveyors at U-6/7 CHP NPTPS – PARLI-Vaijnath.”</v>
      </c>
      <c r="C1068" s="1396" t="str">
        <f t="shared" si="145"/>
        <v>N.A.</v>
      </c>
      <c r="D1068" s="1378" t="str">
        <f t="shared" si="145"/>
        <v>-</v>
      </c>
      <c r="E1068" s="1505">
        <f t="shared" si="145"/>
        <v>0</v>
      </c>
      <c r="F1068" s="1509">
        <f t="shared" si="140"/>
        <v>2.8638599999999999</v>
      </c>
      <c r="G1068" s="1509">
        <f t="shared" si="141"/>
        <v>2.8638599999999999</v>
      </c>
      <c r="H1068" s="1509">
        <f t="shared" si="142"/>
        <v>0</v>
      </c>
      <c r="I1068" s="1509">
        <v>0</v>
      </c>
      <c r="J1068" s="1509">
        <v>0</v>
      </c>
      <c r="K1068" s="1509"/>
      <c r="L1068" s="1509"/>
      <c r="M1068" s="1509">
        <f t="shared" si="143"/>
        <v>0</v>
      </c>
      <c r="N1068" s="1509">
        <f t="shared" si="144"/>
        <v>0</v>
      </c>
    </row>
    <row r="1069" spans="1:14" customFormat="1" ht="29" outlineLevel="1" x14ac:dyDescent="0.25">
      <c r="A1069" s="1511">
        <f t="shared" si="145"/>
        <v>6</v>
      </c>
      <c r="B1069" s="1515" t="str">
        <f t="shared" si="145"/>
        <v>Refurbishment of Existing M/s Atlas Copco Make Air Compressors at Unit 7 Parli TPS</v>
      </c>
      <c r="C1069" s="1396" t="str">
        <f t="shared" si="145"/>
        <v>N.A.</v>
      </c>
      <c r="D1069" s="1378" t="str">
        <f t="shared" si="145"/>
        <v>-</v>
      </c>
      <c r="E1069" s="1505">
        <f t="shared" si="145"/>
        <v>0</v>
      </c>
      <c r="F1069" s="1509">
        <f t="shared" si="140"/>
        <v>2.9532406999999998</v>
      </c>
      <c r="G1069" s="1509">
        <f t="shared" si="141"/>
        <v>2.9532406999999998</v>
      </c>
      <c r="H1069" s="1509">
        <f t="shared" si="142"/>
        <v>0</v>
      </c>
      <c r="I1069" s="1509">
        <v>0</v>
      </c>
      <c r="J1069" s="1509">
        <v>0</v>
      </c>
      <c r="K1069" s="1509"/>
      <c r="L1069" s="1509"/>
      <c r="M1069" s="1509">
        <f t="shared" si="143"/>
        <v>0</v>
      </c>
      <c r="N1069" s="1509">
        <f t="shared" si="144"/>
        <v>0</v>
      </c>
    </row>
    <row r="1070" spans="1:14" customFormat="1" outlineLevel="1" x14ac:dyDescent="0.25">
      <c r="A1070" s="1511">
        <f t="shared" si="145"/>
        <v>7</v>
      </c>
      <c r="B1070" s="1515" t="str">
        <f t="shared" si="145"/>
        <v>Procurement of Fire Extinguisher</v>
      </c>
      <c r="C1070" s="1396" t="str">
        <f t="shared" si="145"/>
        <v>N.A.</v>
      </c>
      <c r="D1070" s="1378" t="str">
        <f t="shared" si="145"/>
        <v>-</v>
      </c>
      <c r="E1070" s="1505">
        <f t="shared" si="145"/>
        <v>0</v>
      </c>
      <c r="F1070" s="1509">
        <f t="shared" si="140"/>
        <v>0.68</v>
      </c>
      <c r="G1070" s="1509">
        <f t="shared" si="141"/>
        <v>0</v>
      </c>
      <c r="H1070" s="1509">
        <f t="shared" si="142"/>
        <v>0.68</v>
      </c>
      <c r="I1070" s="1509">
        <v>0</v>
      </c>
      <c r="J1070" s="1509">
        <v>0.67830000000000001</v>
      </c>
      <c r="K1070" s="1509"/>
      <c r="L1070" s="1509"/>
      <c r="M1070" s="1509">
        <f t="shared" si="143"/>
        <v>0.67830000000000001</v>
      </c>
      <c r="N1070" s="1509">
        <f t="shared" si="144"/>
        <v>1.7000000000000348E-3</v>
      </c>
    </row>
    <row r="1071" spans="1:14" customFormat="1" ht="29" outlineLevel="1" x14ac:dyDescent="0.25">
      <c r="A1071" s="1511">
        <f t="shared" si="145"/>
        <v>8</v>
      </c>
      <c r="B1071" s="1515" t="str">
        <f t="shared" si="145"/>
        <v>Non DPR For Supply, Erection &amp; Commissioning, Testing of Coal Flow Management system for Coal Bunker at CHP NPTPS U-6.</v>
      </c>
      <c r="C1071" s="1396" t="str">
        <f t="shared" si="145"/>
        <v>N.A.</v>
      </c>
      <c r="D1071" s="1378" t="str">
        <f t="shared" si="145"/>
        <v>-</v>
      </c>
      <c r="E1071" s="1505">
        <f t="shared" si="145"/>
        <v>0</v>
      </c>
      <c r="F1071" s="1509">
        <f t="shared" si="140"/>
        <v>0</v>
      </c>
      <c r="G1071" s="1509">
        <f t="shared" si="141"/>
        <v>0</v>
      </c>
      <c r="H1071" s="1509">
        <f t="shared" si="142"/>
        <v>0</v>
      </c>
      <c r="I1071" s="1509">
        <v>2.972</v>
      </c>
      <c r="J1071" s="1509">
        <v>2.972</v>
      </c>
      <c r="K1071" s="1509"/>
      <c r="L1071" s="1509"/>
      <c r="M1071" s="1509">
        <f t="shared" si="143"/>
        <v>2.972</v>
      </c>
      <c r="N1071" s="1509">
        <f t="shared" si="144"/>
        <v>0</v>
      </c>
    </row>
    <row r="1072" spans="1:14" customFormat="1" ht="43.5" outlineLevel="1" x14ac:dyDescent="0.25">
      <c r="A1072" s="1511">
        <f t="shared" si="145"/>
        <v>9</v>
      </c>
      <c r="B1072" s="1515" t="str">
        <f t="shared" si="145"/>
        <v xml:space="preserve">Non DPR for Supply &amp; Installation of Coal Handling Plant critical equipment Major Spares like Wagon Tippler and Conveyors at CHP U6/7 ,T.P.S.Parli. </v>
      </c>
      <c r="C1072" s="1396" t="str">
        <f t="shared" si="145"/>
        <v>N.A.</v>
      </c>
      <c r="D1072" s="1378" t="str">
        <f t="shared" si="145"/>
        <v>-</v>
      </c>
      <c r="E1072" s="1505">
        <f t="shared" si="145"/>
        <v>0</v>
      </c>
      <c r="F1072" s="1509">
        <f t="shared" si="140"/>
        <v>0</v>
      </c>
      <c r="G1072" s="1509">
        <f t="shared" si="141"/>
        <v>0</v>
      </c>
      <c r="H1072" s="1509">
        <f t="shared" si="142"/>
        <v>0</v>
      </c>
      <c r="I1072" s="1509">
        <v>2.79</v>
      </c>
      <c r="J1072" s="1509">
        <v>2.79</v>
      </c>
      <c r="K1072" s="1509"/>
      <c r="L1072" s="1509"/>
      <c r="M1072" s="1509">
        <f t="shared" si="143"/>
        <v>2.79</v>
      </c>
      <c r="N1072" s="1509">
        <f t="shared" si="144"/>
        <v>0</v>
      </c>
    </row>
    <row r="1073" spans="1:16" customFormat="1" ht="43.5" outlineLevel="1" x14ac:dyDescent="0.25">
      <c r="A1073" s="1511">
        <f t="shared" si="145"/>
        <v>10</v>
      </c>
      <c r="B1073" s="1515" t="str">
        <f t="shared" si="145"/>
        <v>Design,Manufacture ,Supply &amp; Installation of Banana pattern and Modular chutes for various Conveyor discharge areas at CHP U 6/7,TPS Parli.</v>
      </c>
      <c r="C1073" s="1396" t="str">
        <f t="shared" si="145"/>
        <v>N.A.</v>
      </c>
      <c r="D1073" s="1378" t="str">
        <f t="shared" si="145"/>
        <v>-</v>
      </c>
      <c r="E1073" s="1505">
        <f t="shared" si="145"/>
        <v>0</v>
      </c>
      <c r="F1073" s="1509">
        <f t="shared" si="140"/>
        <v>0</v>
      </c>
      <c r="G1073" s="1509">
        <f t="shared" si="141"/>
        <v>0</v>
      </c>
      <c r="H1073" s="1509">
        <f t="shared" si="142"/>
        <v>0</v>
      </c>
      <c r="I1073" s="1509">
        <v>2.94</v>
      </c>
      <c r="J1073" s="1509">
        <v>2.94</v>
      </c>
      <c r="K1073" s="1509"/>
      <c r="L1073" s="1509"/>
      <c r="M1073" s="1509">
        <f t="shared" si="143"/>
        <v>2.94</v>
      </c>
      <c r="N1073" s="1509">
        <f t="shared" si="144"/>
        <v>0</v>
      </c>
    </row>
    <row r="1074" spans="1:16" customFormat="1" outlineLevel="1" x14ac:dyDescent="0.25">
      <c r="A1074" s="1511">
        <f t="shared" si="145"/>
        <v>11</v>
      </c>
      <c r="B1074" s="1515" t="str">
        <f t="shared" si="145"/>
        <v>Refrigeration Compressed Air Dryer at TM &amp; AHP, U#6,7 Parli TPS</v>
      </c>
      <c r="C1074" s="1396">
        <f t="shared" si="145"/>
        <v>0</v>
      </c>
      <c r="D1074" s="1378" t="str">
        <f t="shared" si="145"/>
        <v>-</v>
      </c>
      <c r="E1074" s="1505">
        <f t="shared" si="145"/>
        <v>0</v>
      </c>
      <c r="F1074" s="1509">
        <f t="shared" si="140"/>
        <v>0</v>
      </c>
      <c r="G1074" s="1509">
        <f t="shared" si="141"/>
        <v>0</v>
      </c>
      <c r="H1074" s="1509">
        <f t="shared" si="142"/>
        <v>0</v>
      </c>
      <c r="I1074" s="1509">
        <v>1.57</v>
      </c>
      <c r="J1074" s="1509">
        <v>1.57</v>
      </c>
      <c r="K1074" s="1509"/>
      <c r="L1074" s="1509"/>
      <c r="M1074" s="1509">
        <f t="shared" si="143"/>
        <v>1.57</v>
      </c>
      <c r="N1074" s="1509">
        <f t="shared" si="144"/>
        <v>0</v>
      </c>
    </row>
    <row r="1075" spans="1:16" customFormat="1" ht="15" outlineLevel="1" thickBot="1" x14ac:dyDescent="0.3">
      <c r="A1075" s="1511">
        <f t="shared" si="145"/>
        <v>12</v>
      </c>
      <c r="B1075" s="1515" t="str">
        <f t="shared" si="145"/>
        <v>General Asset</v>
      </c>
      <c r="C1075" s="1396">
        <f t="shared" si="145"/>
        <v>0</v>
      </c>
      <c r="D1075" s="1378" t="str">
        <f t="shared" si="145"/>
        <v>-</v>
      </c>
      <c r="E1075" s="1505">
        <f t="shared" si="145"/>
        <v>0</v>
      </c>
      <c r="F1075" s="1509">
        <f t="shared" si="140"/>
        <v>2.6393938490000002</v>
      </c>
      <c r="G1075" s="1509">
        <f t="shared" si="141"/>
        <v>2.4786596690000002</v>
      </c>
      <c r="H1075" s="1509">
        <f t="shared" si="142"/>
        <v>0.16073417999999995</v>
      </c>
      <c r="I1075" s="1509">
        <v>0.82</v>
      </c>
      <c r="J1075" s="1509">
        <v>0.81679999999999997</v>
      </c>
      <c r="K1075" s="1509"/>
      <c r="L1075" s="1509"/>
      <c r="M1075" s="1509">
        <f t="shared" si="143"/>
        <v>0.81679999999999997</v>
      </c>
      <c r="N1075" s="1509">
        <f t="shared" si="144"/>
        <v>0.16393417999999993</v>
      </c>
    </row>
    <row r="1076" spans="1:16" ht="15" thickBot="1" x14ac:dyDescent="0.3">
      <c r="A1076" s="1454"/>
      <c r="B1076" s="1455" t="str">
        <f>B719</f>
        <v>Total</v>
      </c>
      <c r="C1076" s="1456"/>
      <c r="D1076" s="1457"/>
      <c r="E1076" s="1517"/>
      <c r="F1076" s="1517">
        <f>SUM(F724:F1075)</f>
        <v>463.18266644899995</v>
      </c>
      <c r="G1076" s="1517">
        <f t="shared" ref="G1076:N1076" si="146">SUM(G724:G1075)</f>
        <v>288.394465389</v>
      </c>
      <c r="H1076" s="1517">
        <f t="shared" si="146"/>
        <v>174.78820106000001</v>
      </c>
      <c r="I1076" s="1517">
        <f t="shared" si="146"/>
        <v>194.25299130000002</v>
      </c>
      <c r="J1076" s="1517">
        <f t="shared" si="146"/>
        <v>66.711397300000002</v>
      </c>
      <c r="K1076" s="1517">
        <f t="shared" si="146"/>
        <v>0</v>
      </c>
      <c r="L1076" s="1517">
        <f t="shared" si="146"/>
        <v>0</v>
      </c>
      <c r="M1076" s="1517">
        <f t="shared" si="146"/>
        <v>66.711397300000002</v>
      </c>
      <c r="N1076" s="1517">
        <f t="shared" si="146"/>
        <v>302.32979505999998</v>
      </c>
    </row>
    <row r="1078" spans="1:16" x14ac:dyDescent="0.25">
      <c r="A1078" s="1446"/>
      <c r="B1078" s="1447" t="s">
        <v>968</v>
      </c>
      <c r="C1078" s="1448"/>
      <c r="D1078" s="1449"/>
      <c r="E1078" s="1504"/>
      <c r="F1078" s="1504"/>
      <c r="G1078" s="1504"/>
      <c r="H1078" s="1504"/>
      <c r="I1078" s="1504"/>
      <c r="J1078" s="1504"/>
      <c r="K1078" s="1504"/>
      <c r="L1078" s="1504"/>
      <c r="M1078" s="1504"/>
      <c r="N1078" s="1504"/>
    </row>
    <row r="1079" spans="1:16" ht="18.5" outlineLevel="1" x14ac:dyDescent="0.25">
      <c r="A1079" s="1339" t="s">
        <v>171</v>
      </c>
      <c r="B1079" s="1339" t="s">
        <v>1575</v>
      </c>
      <c r="C1079" s="1448"/>
      <c r="D1079" s="1449"/>
      <c r="E1079" s="1504"/>
      <c r="F1079" s="1504"/>
      <c r="G1079" s="1504"/>
      <c r="H1079" s="1504"/>
      <c r="I1079" s="1504"/>
      <c r="J1079" s="1504"/>
      <c r="K1079" s="1504"/>
      <c r="L1079" s="1504"/>
      <c r="M1079" s="1504"/>
      <c r="N1079" s="1504"/>
    </row>
    <row r="1080" spans="1:16" outlineLevel="1" x14ac:dyDescent="0.25">
      <c r="A1080" s="1450"/>
      <c r="B1080" s="1450"/>
      <c r="C1080" s="1451"/>
      <c r="D1080" s="1452"/>
      <c r="E1080" s="1505"/>
      <c r="F1080" s="1505"/>
      <c r="G1080" s="1505"/>
      <c r="H1080" s="1505"/>
      <c r="I1080" s="1505"/>
      <c r="J1080" s="1505"/>
      <c r="K1080" s="1505"/>
      <c r="L1080" s="1505"/>
      <c r="M1080" s="1505"/>
      <c r="N1080" s="1505"/>
    </row>
    <row r="1081" spans="1:16" ht="43.5" outlineLevel="1" x14ac:dyDescent="0.25">
      <c r="A1081" s="1506">
        <f t="shared" ref="A1081:E1096" si="147">A724</f>
        <v>6</v>
      </c>
      <c r="B1081" s="1507" t="str">
        <f t="shared" si="147"/>
        <v>Arrangement for permanent water supply scheme for Parli TPS from Majalgaon Dam through Majalgaon Lift Irrigation scheme (Loni / Savangi)</v>
      </c>
      <c r="C1081" s="1506" t="str">
        <f t="shared" si="147"/>
        <v>MERC/TECH 1/CAPEX/20122013/00500</v>
      </c>
      <c r="D1081" s="1508">
        <f t="shared" si="147"/>
        <v>41421</v>
      </c>
      <c r="E1081" s="1509">
        <f t="shared" si="147"/>
        <v>199.86</v>
      </c>
      <c r="F1081" s="1509">
        <f t="shared" ref="F1081:F1144" si="148">F724+I724</f>
        <v>142</v>
      </c>
      <c r="G1081" s="1509">
        <f t="shared" ref="G1081:G1144" si="149">G724+M724</f>
        <v>0</v>
      </c>
      <c r="H1081" s="1509">
        <f>F1081-G1081</f>
        <v>142</v>
      </c>
      <c r="I1081" s="1509">
        <v>0</v>
      </c>
      <c r="J1081" s="1509">
        <v>0</v>
      </c>
      <c r="K1081" s="1509"/>
      <c r="L1081" s="1509"/>
      <c r="M1081" s="1509">
        <f>SUM(J1081:L1081)</f>
        <v>0</v>
      </c>
      <c r="N1081" s="1509">
        <f>H1081+I1081-M1081</f>
        <v>142</v>
      </c>
      <c r="O1081" s="1510">
        <f t="shared" ref="O1081:O1133" si="150">MAX(0,IF(M1081=0,0,IF(G1081+M1081&lt;E1081,M1081,E1081-G1081)))</f>
        <v>0</v>
      </c>
      <c r="P1081" s="1453">
        <f t="shared" ref="P1081:P1133" si="151">M1081-O1081</f>
        <v>0</v>
      </c>
    </row>
    <row r="1082" spans="1:16" ht="29" outlineLevel="1" x14ac:dyDescent="0.25">
      <c r="A1082" s="1506">
        <f t="shared" si="147"/>
        <v>9</v>
      </c>
      <c r="B1082" s="1507" t="str">
        <f t="shared" si="147"/>
        <v>Procurement of 250 MW spare HPT Module, IPT Module &amp; LPT Rotor of New Parli TPS</v>
      </c>
      <c r="C1082" s="1506" t="str">
        <f t="shared" si="147"/>
        <v>MERC/TECH 1/CAPEX/20142015/00362</v>
      </c>
      <c r="D1082" s="1508">
        <f t="shared" si="147"/>
        <v>41779</v>
      </c>
      <c r="E1082" s="1509">
        <f t="shared" si="147"/>
        <v>22.059060828</v>
      </c>
      <c r="F1082" s="1509">
        <f t="shared" si="148"/>
        <v>0</v>
      </c>
      <c r="G1082" s="1509">
        <f t="shared" si="149"/>
        <v>0</v>
      </c>
      <c r="H1082" s="1509">
        <f t="shared" ref="H1082:H1145" si="152">F1082-G1082</f>
        <v>0</v>
      </c>
      <c r="I1082" s="1509">
        <v>0</v>
      </c>
      <c r="J1082" s="1509">
        <v>0</v>
      </c>
      <c r="K1082" s="1509"/>
      <c r="L1082" s="1509"/>
      <c r="M1082" s="1509">
        <f t="shared" ref="M1082:M1145" si="153">SUM(J1082:L1082)</f>
        <v>0</v>
      </c>
      <c r="N1082" s="1509">
        <f t="shared" ref="N1082:N1145" si="154">H1082+I1082-M1082</f>
        <v>0</v>
      </c>
      <c r="O1082" s="1510">
        <f t="shared" si="150"/>
        <v>0</v>
      </c>
      <c r="P1082" s="1453">
        <f t="shared" si="151"/>
        <v>0</v>
      </c>
    </row>
    <row r="1083" spans="1:16" outlineLevel="1" x14ac:dyDescent="0.25">
      <c r="A1083" s="1511">
        <f t="shared" si="147"/>
        <v>9.1</v>
      </c>
      <c r="B1083" s="1512" t="str">
        <f t="shared" si="147"/>
        <v>HP Module</v>
      </c>
      <c r="C1083" s="1511" t="str">
        <f t="shared" si="147"/>
        <v>MERC/TECH 1/CAPEX/20142015/00362</v>
      </c>
      <c r="D1083" s="1378">
        <f t="shared" si="147"/>
        <v>41779</v>
      </c>
      <c r="E1083" s="1513">
        <f t="shared" si="147"/>
        <v>22.059060828</v>
      </c>
      <c r="F1083" s="1509">
        <f t="shared" si="148"/>
        <v>21.53</v>
      </c>
      <c r="G1083" s="1509">
        <f t="shared" si="149"/>
        <v>21.53</v>
      </c>
      <c r="H1083" s="1509">
        <f t="shared" si="152"/>
        <v>0</v>
      </c>
      <c r="I1083" s="1509">
        <v>0</v>
      </c>
      <c r="J1083" s="1509">
        <v>0</v>
      </c>
      <c r="K1083" s="1509"/>
      <c r="L1083" s="1509"/>
      <c r="M1083" s="1509">
        <f t="shared" si="153"/>
        <v>0</v>
      </c>
      <c r="N1083" s="1509">
        <f t="shared" si="154"/>
        <v>0</v>
      </c>
      <c r="O1083" s="1510">
        <f t="shared" si="150"/>
        <v>0</v>
      </c>
      <c r="P1083" s="1453">
        <f t="shared" si="151"/>
        <v>0</v>
      </c>
    </row>
    <row r="1084" spans="1:16" outlineLevel="1" x14ac:dyDescent="0.25">
      <c r="A1084" s="1511">
        <f t="shared" si="147"/>
        <v>9.1999999999999993</v>
      </c>
      <c r="B1084" s="1512" t="str">
        <f t="shared" si="147"/>
        <v>IP Module</v>
      </c>
      <c r="C1084" s="1511" t="str">
        <f t="shared" si="147"/>
        <v>MERC/TECH 1/CAPEX/20142015/00362</v>
      </c>
      <c r="D1084" s="1378">
        <f t="shared" si="147"/>
        <v>41779</v>
      </c>
      <c r="E1084" s="1513">
        <f t="shared" si="147"/>
        <v>21.359824199999998</v>
      </c>
      <c r="F1084" s="1509">
        <f t="shared" si="148"/>
        <v>20.62</v>
      </c>
      <c r="G1084" s="1509">
        <f t="shared" si="149"/>
        <v>20.62</v>
      </c>
      <c r="H1084" s="1509">
        <f t="shared" si="152"/>
        <v>0</v>
      </c>
      <c r="I1084" s="1509">
        <v>0</v>
      </c>
      <c r="J1084" s="1509">
        <v>0</v>
      </c>
      <c r="K1084" s="1509"/>
      <c r="L1084" s="1509"/>
      <c r="M1084" s="1509">
        <f t="shared" si="153"/>
        <v>0</v>
      </c>
      <c r="N1084" s="1509">
        <f t="shared" si="154"/>
        <v>0</v>
      </c>
      <c r="O1084" s="1510">
        <f t="shared" si="150"/>
        <v>0</v>
      </c>
      <c r="P1084" s="1453">
        <f t="shared" si="151"/>
        <v>0</v>
      </c>
    </row>
    <row r="1085" spans="1:16" outlineLevel="1" x14ac:dyDescent="0.25">
      <c r="A1085" s="1511">
        <f t="shared" si="147"/>
        <v>9.3000000000000007</v>
      </c>
      <c r="B1085" s="1512" t="str">
        <f t="shared" si="147"/>
        <v>LP Rotor</v>
      </c>
      <c r="C1085" s="1511" t="str">
        <f t="shared" si="147"/>
        <v>MERC/TECH 1/CAPEX/20142015/00362</v>
      </c>
      <c r="D1085" s="1378">
        <f t="shared" si="147"/>
        <v>41779</v>
      </c>
      <c r="E1085" s="1513">
        <f t="shared" si="147"/>
        <v>38.724661685000001</v>
      </c>
      <c r="F1085" s="1509">
        <f t="shared" si="148"/>
        <v>38.72</v>
      </c>
      <c r="G1085" s="1509">
        <f t="shared" si="149"/>
        <v>38.72</v>
      </c>
      <c r="H1085" s="1509">
        <f t="shared" si="152"/>
        <v>0</v>
      </c>
      <c r="I1085" s="1509">
        <v>0</v>
      </c>
      <c r="J1085" s="1509">
        <v>0</v>
      </c>
      <c r="K1085" s="1509"/>
      <c r="L1085" s="1509"/>
      <c r="M1085" s="1509">
        <f t="shared" si="153"/>
        <v>0</v>
      </c>
      <c r="N1085" s="1509">
        <f t="shared" si="154"/>
        <v>0</v>
      </c>
      <c r="O1085" s="1510">
        <f t="shared" si="150"/>
        <v>0</v>
      </c>
      <c r="P1085" s="1453">
        <f t="shared" si="151"/>
        <v>0</v>
      </c>
    </row>
    <row r="1086" spans="1:16" outlineLevel="1" x14ac:dyDescent="0.25">
      <c r="A1086" s="1511">
        <f t="shared" si="147"/>
        <v>0</v>
      </c>
      <c r="B1086" s="1512" t="str">
        <f t="shared" si="147"/>
        <v>IDC</v>
      </c>
      <c r="C1086" s="1511" t="str">
        <f t="shared" si="147"/>
        <v>MERC/TECH 1/CAPEX/20142015/00362</v>
      </c>
      <c r="D1086" s="1378">
        <f t="shared" si="147"/>
        <v>41779</v>
      </c>
      <c r="E1086" s="1513">
        <f t="shared" si="147"/>
        <v>0</v>
      </c>
      <c r="F1086" s="1509">
        <f t="shared" si="148"/>
        <v>0</v>
      </c>
      <c r="G1086" s="1509">
        <f t="shared" si="149"/>
        <v>0</v>
      </c>
      <c r="H1086" s="1509">
        <f t="shared" si="152"/>
        <v>0</v>
      </c>
      <c r="I1086" s="1509">
        <v>0</v>
      </c>
      <c r="J1086" s="1509">
        <v>0</v>
      </c>
      <c r="K1086" s="1509"/>
      <c r="L1086" s="1509"/>
      <c r="M1086" s="1509">
        <f t="shared" si="153"/>
        <v>0</v>
      </c>
      <c r="N1086" s="1509">
        <f t="shared" si="154"/>
        <v>0</v>
      </c>
      <c r="O1086" s="1510">
        <f t="shared" si="150"/>
        <v>0</v>
      </c>
      <c r="P1086" s="1453">
        <f t="shared" si="151"/>
        <v>0</v>
      </c>
    </row>
    <row r="1087" spans="1:16" ht="29" outlineLevel="1" x14ac:dyDescent="0.25">
      <c r="A1087" s="1506">
        <f t="shared" si="147"/>
        <v>10</v>
      </c>
      <c r="B1087" s="1507" t="str">
        <f t="shared" si="147"/>
        <v xml:space="preserve">Procurement of 315 MVA Spare GTR for 250 MW sets at New Parli &amp; New Paras TPS </v>
      </c>
      <c r="C1087" s="1506" t="str">
        <f t="shared" si="147"/>
        <v>MERC/TECH 1/CAPEX/20142015/001</v>
      </c>
      <c r="D1087" s="1508">
        <f t="shared" si="147"/>
        <v>41913</v>
      </c>
      <c r="E1087" s="1509">
        <f t="shared" si="147"/>
        <v>11.32</v>
      </c>
      <c r="F1087" s="1509">
        <f t="shared" si="148"/>
        <v>0</v>
      </c>
      <c r="G1087" s="1509">
        <f t="shared" si="149"/>
        <v>0</v>
      </c>
      <c r="H1087" s="1509">
        <f t="shared" si="152"/>
        <v>0</v>
      </c>
      <c r="I1087" s="1509">
        <v>0</v>
      </c>
      <c r="J1087" s="1509">
        <v>0</v>
      </c>
      <c r="K1087" s="1509"/>
      <c r="L1087" s="1509"/>
      <c r="M1087" s="1509">
        <f t="shared" si="153"/>
        <v>0</v>
      </c>
      <c r="N1087" s="1509">
        <f t="shared" si="154"/>
        <v>0</v>
      </c>
      <c r="O1087" s="1510">
        <f t="shared" si="150"/>
        <v>0</v>
      </c>
      <c r="P1087" s="1453">
        <f t="shared" si="151"/>
        <v>0</v>
      </c>
    </row>
    <row r="1088" spans="1:16" outlineLevel="1" x14ac:dyDescent="0.25">
      <c r="A1088" s="1511">
        <f t="shared" si="147"/>
        <v>10.1</v>
      </c>
      <c r="B1088" s="1512" t="str">
        <f t="shared" si="147"/>
        <v>Procurement of 250 MVA Spare GTR</v>
      </c>
      <c r="C1088" s="1511" t="str">
        <f t="shared" si="147"/>
        <v>MERC/TECH 1/CAPEX/20142015/001</v>
      </c>
      <c r="D1088" s="1378">
        <f t="shared" si="147"/>
        <v>41913</v>
      </c>
      <c r="E1088" s="1513">
        <f t="shared" si="147"/>
        <v>11.32</v>
      </c>
      <c r="F1088" s="1509">
        <f t="shared" si="148"/>
        <v>13.4</v>
      </c>
      <c r="G1088" s="1509">
        <f t="shared" si="149"/>
        <v>13.4</v>
      </c>
      <c r="H1088" s="1509">
        <f t="shared" si="152"/>
        <v>0</v>
      </c>
      <c r="I1088" s="1509">
        <v>0</v>
      </c>
      <c r="J1088" s="1509">
        <v>0</v>
      </c>
      <c r="K1088" s="1509"/>
      <c r="L1088" s="1509"/>
      <c r="M1088" s="1509">
        <f t="shared" si="153"/>
        <v>0</v>
      </c>
      <c r="N1088" s="1509">
        <f t="shared" si="154"/>
        <v>0</v>
      </c>
      <c r="O1088" s="1510">
        <f t="shared" si="150"/>
        <v>0</v>
      </c>
      <c r="P1088" s="1453">
        <f t="shared" si="151"/>
        <v>0</v>
      </c>
    </row>
    <row r="1089" spans="1:16" ht="29" outlineLevel="1" x14ac:dyDescent="0.25">
      <c r="A1089" s="1506">
        <f t="shared" si="147"/>
        <v>13</v>
      </c>
      <c r="B1089" s="1507" t="str">
        <f t="shared" si="147"/>
        <v>Construction of Concrete Roads &amp; Spare Generator Transformer Foundation at Parli TPS</v>
      </c>
      <c r="C1089" s="1506" t="str">
        <f t="shared" si="147"/>
        <v>MERC/CAPEX/20162017/01172</v>
      </c>
      <c r="D1089" s="1508">
        <f t="shared" si="147"/>
        <v>42713</v>
      </c>
      <c r="E1089" s="1509">
        <f t="shared" si="147"/>
        <v>16.850000000000001</v>
      </c>
      <c r="F1089" s="1509">
        <f t="shared" si="148"/>
        <v>0</v>
      </c>
      <c r="G1089" s="1509">
        <f t="shared" si="149"/>
        <v>0</v>
      </c>
      <c r="H1089" s="1509">
        <f t="shared" si="152"/>
        <v>0</v>
      </c>
      <c r="I1089" s="1509">
        <v>0</v>
      </c>
      <c r="J1089" s="1509">
        <v>0</v>
      </c>
      <c r="K1089" s="1509"/>
      <c r="L1089" s="1509"/>
      <c r="M1089" s="1509">
        <f t="shared" si="153"/>
        <v>0</v>
      </c>
      <c r="N1089" s="1509">
        <f t="shared" si="154"/>
        <v>0</v>
      </c>
      <c r="O1089" s="1510">
        <f t="shared" si="150"/>
        <v>0</v>
      </c>
      <c r="P1089" s="1453">
        <f t="shared" si="151"/>
        <v>0</v>
      </c>
    </row>
    <row r="1090" spans="1:16" ht="29" outlineLevel="1" x14ac:dyDescent="0.25">
      <c r="A1090" s="1511">
        <f t="shared" si="147"/>
        <v>13.1</v>
      </c>
      <c r="B1090" s="1512" t="str">
        <f t="shared" si="147"/>
        <v>Construction of concrete road from Gangakhed road to entrance of unit no.6,7 at NPTPS Parli V.</v>
      </c>
      <c r="C1090" s="1511" t="str">
        <f t="shared" si="147"/>
        <v>MERC/CAPEX/20162017/01172</v>
      </c>
      <c r="D1090" s="1378">
        <f t="shared" si="147"/>
        <v>42713</v>
      </c>
      <c r="E1090" s="1513">
        <f t="shared" si="147"/>
        <v>7.02</v>
      </c>
      <c r="F1090" s="1509">
        <f t="shared" si="148"/>
        <v>6.8551506</v>
      </c>
      <c r="G1090" s="1509">
        <f t="shared" si="149"/>
        <v>6.8551506</v>
      </c>
      <c r="H1090" s="1509">
        <f t="shared" si="152"/>
        <v>0</v>
      </c>
      <c r="I1090" s="1509">
        <v>0</v>
      </c>
      <c r="J1090" s="1509">
        <v>0</v>
      </c>
      <c r="K1090" s="1509"/>
      <c r="L1090" s="1509"/>
      <c r="M1090" s="1509">
        <f t="shared" si="153"/>
        <v>0</v>
      </c>
      <c r="N1090" s="1509">
        <f t="shared" si="154"/>
        <v>0</v>
      </c>
      <c r="O1090" s="1510">
        <f t="shared" si="150"/>
        <v>0</v>
      </c>
      <c r="P1090" s="1453">
        <f t="shared" si="151"/>
        <v>0</v>
      </c>
    </row>
    <row r="1091" spans="1:16" ht="29" outlineLevel="1" x14ac:dyDescent="0.25">
      <c r="A1091" s="1511">
        <f t="shared" si="147"/>
        <v>13.2</v>
      </c>
      <c r="B1091" s="1512" t="str">
        <f t="shared" si="147"/>
        <v>Construction of internal concrete roads within premises of Unit 6 and 7.</v>
      </c>
      <c r="C1091" s="1511" t="str">
        <f t="shared" si="147"/>
        <v>MERC/CAPEX/20162017/01172</v>
      </c>
      <c r="D1091" s="1378">
        <f t="shared" si="147"/>
        <v>42713</v>
      </c>
      <c r="E1091" s="1513">
        <f t="shared" si="147"/>
        <v>7.55</v>
      </c>
      <c r="F1091" s="1509">
        <f t="shared" si="148"/>
        <v>5.9636063540000004</v>
      </c>
      <c r="G1091" s="1509">
        <f t="shared" si="149"/>
        <v>5.9636063540000004</v>
      </c>
      <c r="H1091" s="1509">
        <f t="shared" si="152"/>
        <v>0</v>
      </c>
      <c r="I1091" s="1509">
        <v>0</v>
      </c>
      <c r="J1091" s="1509">
        <v>0</v>
      </c>
      <c r="K1091" s="1509"/>
      <c r="L1091" s="1509"/>
      <c r="M1091" s="1509">
        <f t="shared" si="153"/>
        <v>0</v>
      </c>
      <c r="N1091" s="1509">
        <f t="shared" si="154"/>
        <v>0</v>
      </c>
      <c r="O1091" s="1510">
        <f t="shared" si="150"/>
        <v>0</v>
      </c>
      <c r="P1091" s="1453">
        <f t="shared" si="151"/>
        <v>0</v>
      </c>
    </row>
    <row r="1092" spans="1:16" ht="29" outlineLevel="1" x14ac:dyDescent="0.25">
      <c r="A1092" s="1511">
        <f t="shared" si="147"/>
        <v>13.3</v>
      </c>
      <c r="B1092" s="1512" t="str">
        <f t="shared" si="147"/>
        <v>Construction of spare generator transformer foundation of Unit No. 6,7 at NPTPS Parli-V &amp; Paras TPS</v>
      </c>
      <c r="C1092" s="1511" t="str">
        <f t="shared" si="147"/>
        <v>MERC/CAPEX/20162017/01172</v>
      </c>
      <c r="D1092" s="1378">
        <f t="shared" si="147"/>
        <v>42713</v>
      </c>
      <c r="E1092" s="1513">
        <f t="shared" si="147"/>
        <v>1.48</v>
      </c>
      <c r="F1092" s="1509">
        <f t="shared" si="148"/>
        <v>1.2847999999999999</v>
      </c>
      <c r="G1092" s="1509">
        <f t="shared" si="149"/>
        <v>1.2847999999999999</v>
      </c>
      <c r="H1092" s="1509">
        <f t="shared" si="152"/>
        <v>0</v>
      </c>
      <c r="I1092" s="1509">
        <v>0</v>
      </c>
      <c r="J1092" s="1509">
        <v>0</v>
      </c>
      <c r="K1092" s="1509"/>
      <c r="L1092" s="1509"/>
      <c r="M1092" s="1509">
        <f t="shared" si="153"/>
        <v>0</v>
      </c>
      <c r="N1092" s="1509">
        <f t="shared" si="154"/>
        <v>0</v>
      </c>
      <c r="O1092" s="1510">
        <f t="shared" si="150"/>
        <v>0</v>
      </c>
      <c r="P1092" s="1453">
        <f t="shared" si="151"/>
        <v>0</v>
      </c>
    </row>
    <row r="1093" spans="1:16" outlineLevel="1" x14ac:dyDescent="0.25">
      <c r="A1093" s="1511">
        <f t="shared" si="147"/>
        <v>0</v>
      </c>
      <c r="B1093" s="1515" t="str">
        <f t="shared" si="147"/>
        <v>IDC</v>
      </c>
      <c r="C1093" s="1511" t="str">
        <f t="shared" si="147"/>
        <v>MERC/CAPEX/20162017/01172</v>
      </c>
      <c r="D1093" s="1378">
        <f t="shared" si="147"/>
        <v>42713</v>
      </c>
      <c r="E1093" s="1513">
        <f t="shared" si="147"/>
        <v>0.8</v>
      </c>
      <c r="F1093" s="1509">
        <f t="shared" si="148"/>
        <v>0</v>
      </c>
      <c r="G1093" s="1509">
        <f t="shared" si="149"/>
        <v>0</v>
      </c>
      <c r="H1093" s="1509">
        <f t="shared" si="152"/>
        <v>0</v>
      </c>
      <c r="I1093" s="1509">
        <v>0</v>
      </c>
      <c r="J1093" s="1509">
        <v>0</v>
      </c>
      <c r="K1093" s="1509"/>
      <c r="L1093" s="1509"/>
      <c r="M1093" s="1509">
        <f t="shared" si="153"/>
        <v>0</v>
      </c>
      <c r="N1093" s="1509">
        <f t="shared" si="154"/>
        <v>0</v>
      </c>
      <c r="O1093" s="1510">
        <f t="shared" si="150"/>
        <v>0</v>
      </c>
      <c r="P1093" s="1453">
        <f t="shared" si="151"/>
        <v>0</v>
      </c>
    </row>
    <row r="1094" spans="1:16" outlineLevel="1" x14ac:dyDescent="0.25">
      <c r="A1094" s="1506">
        <f t="shared" si="147"/>
        <v>14</v>
      </c>
      <c r="B1094" s="1507" t="str">
        <f t="shared" si="147"/>
        <v>Procurement of battery breakers and weigh bridge for Parli Unit 6 &amp; 7</v>
      </c>
      <c r="C1094" s="1506" t="str">
        <f t="shared" si="147"/>
        <v>MERC/CAPEX/20172018/4711</v>
      </c>
      <c r="D1094" s="1508">
        <f t="shared" si="147"/>
        <v>43055</v>
      </c>
      <c r="E1094" s="1509">
        <f t="shared" si="147"/>
        <v>18.279999999999998</v>
      </c>
      <c r="F1094" s="1509">
        <f t="shared" si="148"/>
        <v>0</v>
      </c>
      <c r="G1094" s="1509">
        <f t="shared" si="149"/>
        <v>0</v>
      </c>
      <c r="H1094" s="1509">
        <f t="shared" si="152"/>
        <v>0</v>
      </c>
      <c r="I1094" s="1509">
        <v>0</v>
      </c>
      <c r="J1094" s="1509">
        <v>0</v>
      </c>
      <c r="K1094" s="1509"/>
      <c r="L1094" s="1509"/>
      <c r="M1094" s="1509">
        <f t="shared" si="153"/>
        <v>0</v>
      </c>
      <c r="N1094" s="1509">
        <f t="shared" si="154"/>
        <v>0</v>
      </c>
      <c r="O1094" s="1510">
        <f t="shared" si="150"/>
        <v>0</v>
      </c>
      <c r="P1094" s="1453">
        <f t="shared" si="151"/>
        <v>0</v>
      </c>
    </row>
    <row r="1095" spans="1:16" ht="29" outlineLevel="1" x14ac:dyDescent="0.25">
      <c r="A1095" s="1511">
        <f t="shared" si="147"/>
        <v>14.1</v>
      </c>
      <c r="B1095" s="1512" t="str">
        <f t="shared" si="147"/>
        <v>Replacement of 220V station batteries, 360V UPS batteries, 24V DCS batteries , 360V UPS AHP batteries at U6 &amp; U7 NPTPS</v>
      </c>
      <c r="C1095" s="1511" t="str">
        <f t="shared" si="147"/>
        <v>MERC/CAPEX/20172018/4711</v>
      </c>
      <c r="D1095" s="1378">
        <f t="shared" si="147"/>
        <v>43055</v>
      </c>
      <c r="E1095" s="1513">
        <f t="shared" si="147"/>
        <v>15.08</v>
      </c>
      <c r="F1095" s="1509">
        <f t="shared" si="148"/>
        <v>14.4772699</v>
      </c>
      <c r="G1095" s="1509">
        <f t="shared" si="149"/>
        <v>14.4772699</v>
      </c>
      <c r="H1095" s="1509">
        <f t="shared" si="152"/>
        <v>0</v>
      </c>
      <c r="I1095" s="1509">
        <v>0</v>
      </c>
      <c r="J1095" s="1509">
        <v>0</v>
      </c>
      <c r="K1095" s="1509"/>
      <c r="L1095" s="1509"/>
      <c r="M1095" s="1509">
        <f t="shared" si="153"/>
        <v>0</v>
      </c>
      <c r="N1095" s="1509">
        <f t="shared" si="154"/>
        <v>0</v>
      </c>
      <c r="O1095" s="1510">
        <f t="shared" si="150"/>
        <v>0</v>
      </c>
      <c r="P1095" s="1453">
        <f t="shared" si="151"/>
        <v>0</v>
      </c>
    </row>
    <row r="1096" spans="1:16" outlineLevel="1" x14ac:dyDescent="0.25">
      <c r="A1096" s="1511">
        <f t="shared" si="147"/>
        <v>14.2</v>
      </c>
      <c r="B1096" s="1512" t="str">
        <f t="shared" si="147"/>
        <v>Installation of Pit less weighbridge of 100 MT capacity.</v>
      </c>
      <c r="C1096" s="1511" t="str">
        <f t="shared" si="147"/>
        <v>MERC/CAPEX/20172018/4711</v>
      </c>
      <c r="D1096" s="1378">
        <f t="shared" si="147"/>
        <v>43055</v>
      </c>
      <c r="E1096" s="1513">
        <f t="shared" si="147"/>
        <v>0.3</v>
      </c>
      <c r="F1096" s="1509">
        <f t="shared" si="148"/>
        <v>0.29736000000000001</v>
      </c>
      <c r="G1096" s="1509">
        <f t="shared" si="149"/>
        <v>0.29736000000000001</v>
      </c>
      <c r="H1096" s="1509">
        <f t="shared" si="152"/>
        <v>0</v>
      </c>
      <c r="I1096" s="1509">
        <v>0</v>
      </c>
      <c r="J1096" s="1509">
        <v>0</v>
      </c>
      <c r="K1096" s="1509"/>
      <c r="L1096" s="1509"/>
      <c r="M1096" s="1509">
        <f t="shared" si="153"/>
        <v>0</v>
      </c>
      <c r="N1096" s="1509">
        <f t="shared" si="154"/>
        <v>0</v>
      </c>
      <c r="O1096" s="1510">
        <f t="shared" si="150"/>
        <v>0</v>
      </c>
      <c r="P1096" s="1453">
        <f t="shared" si="151"/>
        <v>0</v>
      </c>
    </row>
    <row r="1097" spans="1:16" outlineLevel="1" x14ac:dyDescent="0.25">
      <c r="A1097" s="1511">
        <f t="shared" ref="A1097:E1112" si="155">A740</f>
        <v>14.3</v>
      </c>
      <c r="B1097" s="1512" t="str">
        <f t="shared" si="155"/>
        <v>Procurement of SF 6 Generator Circuit Breaker Type- FKG1X</v>
      </c>
      <c r="C1097" s="1511" t="str">
        <f t="shared" si="155"/>
        <v>MERC/CAPEX/20172018/4711</v>
      </c>
      <c r="D1097" s="1378">
        <f t="shared" si="155"/>
        <v>43055</v>
      </c>
      <c r="E1097" s="1513">
        <f t="shared" si="155"/>
        <v>2.46</v>
      </c>
      <c r="F1097" s="1509">
        <f t="shared" si="148"/>
        <v>0</v>
      </c>
      <c r="G1097" s="1509">
        <f t="shared" si="149"/>
        <v>0</v>
      </c>
      <c r="H1097" s="1509">
        <f t="shared" si="152"/>
        <v>0</v>
      </c>
      <c r="I1097" s="1509">
        <v>2.46</v>
      </c>
      <c r="J1097" s="1509">
        <v>2.46</v>
      </c>
      <c r="K1097" s="1509"/>
      <c r="L1097" s="1509"/>
      <c r="M1097" s="1509">
        <f t="shared" si="153"/>
        <v>2.46</v>
      </c>
      <c r="N1097" s="1509">
        <f t="shared" si="154"/>
        <v>0</v>
      </c>
      <c r="O1097" s="1510">
        <f t="shared" si="150"/>
        <v>2.46</v>
      </c>
      <c r="P1097" s="1453">
        <f t="shared" si="151"/>
        <v>0</v>
      </c>
    </row>
    <row r="1098" spans="1:16" outlineLevel="1" x14ac:dyDescent="0.25">
      <c r="A1098" s="1511">
        <f t="shared" si="155"/>
        <v>14.4</v>
      </c>
      <c r="B1098" s="1512" t="str">
        <f t="shared" si="155"/>
        <v>Procurement of spare VCB’s trolleys.</v>
      </c>
      <c r="C1098" s="1511" t="str">
        <f t="shared" si="155"/>
        <v>MERC/CAPEX/20172018/4711</v>
      </c>
      <c r="D1098" s="1378">
        <f t="shared" si="155"/>
        <v>43055</v>
      </c>
      <c r="E1098" s="1513">
        <f t="shared" si="155"/>
        <v>0.31</v>
      </c>
      <c r="F1098" s="1509">
        <f t="shared" si="148"/>
        <v>0.5057102</v>
      </c>
      <c r="G1098" s="1509">
        <f t="shared" si="149"/>
        <v>0.5057102</v>
      </c>
      <c r="H1098" s="1509">
        <f t="shared" si="152"/>
        <v>0</v>
      </c>
      <c r="I1098" s="1509">
        <v>0</v>
      </c>
      <c r="J1098" s="1509">
        <v>0</v>
      </c>
      <c r="K1098" s="1509"/>
      <c r="L1098" s="1509"/>
      <c r="M1098" s="1509">
        <f t="shared" si="153"/>
        <v>0</v>
      </c>
      <c r="N1098" s="1509">
        <f t="shared" si="154"/>
        <v>0</v>
      </c>
      <c r="O1098" s="1510">
        <f t="shared" si="150"/>
        <v>0</v>
      </c>
      <c r="P1098" s="1453">
        <f t="shared" si="151"/>
        <v>0</v>
      </c>
    </row>
    <row r="1099" spans="1:16" outlineLevel="1" x14ac:dyDescent="0.25">
      <c r="A1099" s="1511">
        <f t="shared" si="155"/>
        <v>0</v>
      </c>
      <c r="B1099" s="1512" t="str">
        <f t="shared" si="155"/>
        <v>IDC</v>
      </c>
      <c r="C1099" s="1511" t="str">
        <f t="shared" si="155"/>
        <v>MERC/CAPEX/20172018/4711</v>
      </c>
      <c r="D1099" s="1378">
        <f t="shared" si="155"/>
        <v>43055</v>
      </c>
      <c r="E1099" s="1513">
        <f t="shared" si="155"/>
        <v>0.13</v>
      </c>
      <c r="F1099" s="1509">
        <f t="shared" si="148"/>
        <v>0</v>
      </c>
      <c r="G1099" s="1509">
        <f t="shared" si="149"/>
        <v>0</v>
      </c>
      <c r="H1099" s="1509">
        <f t="shared" si="152"/>
        <v>0</v>
      </c>
      <c r="I1099" s="1509">
        <v>0</v>
      </c>
      <c r="J1099" s="1509">
        <v>0</v>
      </c>
      <c r="K1099" s="1509"/>
      <c r="L1099" s="1509"/>
      <c r="M1099" s="1509">
        <f t="shared" si="153"/>
        <v>0</v>
      </c>
      <c r="N1099" s="1509">
        <f t="shared" si="154"/>
        <v>0</v>
      </c>
      <c r="O1099" s="1510">
        <f t="shared" si="150"/>
        <v>0</v>
      </c>
      <c r="P1099" s="1453">
        <f t="shared" si="151"/>
        <v>0</v>
      </c>
    </row>
    <row r="1100" spans="1:16" ht="29" outlineLevel="1" x14ac:dyDescent="0.25">
      <c r="A1100" s="1506">
        <f t="shared" si="155"/>
        <v>15</v>
      </c>
      <c r="B1100" s="1507" t="str">
        <f t="shared" si="155"/>
        <v>First raising of ash bund from 426 Mtr. To 432 Mtr. Of Dautpur Ash Bund No. 2 for Unit No. 4, 6, 7 &amp; 8 at Parli TPS.</v>
      </c>
      <c r="C1100" s="1506" t="str">
        <f t="shared" si="155"/>
        <v>MERC/CAPEX/20172018/4703</v>
      </c>
      <c r="D1100" s="1508">
        <f t="shared" si="155"/>
        <v>43055</v>
      </c>
      <c r="E1100" s="1509">
        <f t="shared" si="155"/>
        <v>45.524777499999992</v>
      </c>
      <c r="F1100" s="1509">
        <f t="shared" si="148"/>
        <v>0</v>
      </c>
      <c r="G1100" s="1509">
        <f t="shared" si="149"/>
        <v>0</v>
      </c>
      <c r="H1100" s="1509">
        <f t="shared" si="152"/>
        <v>0</v>
      </c>
      <c r="I1100" s="1509">
        <v>0</v>
      </c>
      <c r="J1100" s="1509">
        <v>0</v>
      </c>
      <c r="K1100" s="1509"/>
      <c r="L1100" s="1509"/>
      <c r="M1100" s="1509">
        <f t="shared" si="153"/>
        <v>0</v>
      </c>
      <c r="N1100" s="1509">
        <f t="shared" si="154"/>
        <v>0</v>
      </c>
      <c r="O1100" s="1510">
        <f t="shared" si="150"/>
        <v>0</v>
      </c>
      <c r="P1100" s="1453">
        <f t="shared" si="151"/>
        <v>0</v>
      </c>
    </row>
    <row r="1101" spans="1:16" ht="29" outlineLevel="1" x14ac:dyDescent="0.25">
      <c r="A1101" s="1511">
        <f t="shared" si="155"/>
        <v>15.1</v>
      </c>
      <c r="B1101" s="1512" t="str">
        <f t="shared" si="155"/>
        <v>First raising of ash bund from 426 Mtr. To 432 Mtr. Of Dautpur Ash Bund No. 2 for Unit No. 4, 6, 7 &amp; 8 at Parli TPS.</v>
      </c>
      <c r="C1101" s="1511" t="str">
        <f t="shared" si="155"/>
        <v>MERC/CAPEX/20172018/4703</v>
      </c>
      <c r="D1101" s="1378">
        <f t="shared" si="155"/>
        <v>43055</v>
      </c>
      <c r="E1101" s="1513">
        <f t="shared" si="155"/>
        <v>44.154777499999994</v>
      </c>
      <c r="F1101" s="1509">
        <f t="shared" si="148"/>
        <v>43.094741947000003</v>
      </c>
      <c r="G1101" s="1509">
        <f t="shared" si="149"/>
        <v>43.094741947000003</v>
      </c>
      <c r="H1101" s="1509">
        <f t="shared" si="152"/>
        <v>0</v>
      </c>
      <c r="I1101" s="1509">
        <v>0</v>
      </c>
      <c r="J1101" s="1509">
        <v>0</v>
      </c>
      <c r="K1101" s="1509"/>
      <c r="L1101" s="1509"/>
      <c r="M1101" s="1509">
        <f t="shared" si="153"/>
        <v>0</v>
      </c>
      <c r="N1101" s="1509">
        <f t="shared" si="154"/>
        <v>0</v>
      </c>
      <c r="O1101" s="1510">
        <f t="shared" si="150"/>
        <v>0</v>
      </c>
      <c r="P1101" s="1453">
        <f t="shared" si="151"/>
        <v>0</v>
      </c>
    </row>
    <row r="1102" spans="1:16" outlineLevel="1" x14ac:dyDescent="0.25">
      <c r="A1102" s="1511">
        <f t="shared" si="155"/>
        <v>0</v>
      </c>
      <c r="B1102" s="1512" t="str">
        <f t="shared" si="155"/>
        <v>IDC</v>
      </c>
      <c r="C1102" s="1511" t="str">
        <f t="shared" si="155"/>
        <v>MERC/CAPEX/20172018/4703</v>
      </c>
      <c r="D1102" s="1378">
        <f t="shared" si="155"/>
        <v>43055</v>
      </c>
      <c r="E1102" s="1513">
        <f t="shared" si="155"/>
        <v>1.37</v>
      </c>
      <c r="F1102" s="1509">
        <f t="shared" si="148"/>
        <v>0</v>
      </c>
      <c r="G1102" s="1509">
        <f t="shared" si="149"/>
        <v>0</v>
      </c>
      <c r="H1102" s="1509">
        <f t="shared" si="152"/>
        <v>0</v>
      </c>
      <c r="I1102" s="1509">
        <v>0</v>
      </c>
      <c r="J1102" s="1509">
        <v>0</v>
      </c>
      <c r="K1102" s="1509"/>
      <c r="L1102" s="1509"/>
      <c r="M1102" s="1509">
        <f t="shared" si="153"/>
        <v>0</v>
      </c>
      <c r="N1102" s="1509">
        <f t="shared" si="154"/>
        <v>0</v>
      </c>
      <c r="O1102" s="1510">
        <f t="shared" si="150"/>
        <v>0</v>
      </c>
      <c r="P1102" s="1453">
        <f t="shared" si="151"/>
        <v>0</v>
      </c>
    </row>
    <row r="1103" spans="1:16" outlineLevel="1" x14ac:dyDescent="0.25">
      <c r="A1103" s="1506">
        <f t="shared" si="155"/>
        <v>16</v>
      </c>
      <c r="B1103" s="1507" t="str">
        <f t="shared" si="155"/>
        <v>Renovation works of colony at Parli TPS</v>
      </c>
      <c r="C1103" s="1506" t="str">
        <f t="shared" si="155"/>
        <v>MERC/CAPEX/2018-2019/065</v>
      </c>
      <c r="D1103" s="1508">
        <f t="shared" si="155"/>
        <v>43529</v>
      </c>
      <c r="E1103" s="1509">
        <f t="shared" si="155"/>
        <v>13.148149</v>
      </c>
      <c r="F1103" s="1509">
        <f t="shared" si="148"/>
        <v>0</v>
      </c>
      <c r="G1103" s="1509">
        <f t="shared" si="149"/>
        <v>0</v>
      </c>
      <c r="H1103" s="1509">
        <f t="shared" si="152"/>
        <v>0</v>
      </c>
      <c r="I1103" s="1509">
        <v>0</v>
      </c>
      <c r="J1103" s="1509">
        <v>0</v>
      </c>
      <c r="K1103" s="1509"/>
      <c r="L1103" s="1509"/>
      <c r="M1103" s="1509">
        <f t="shared" si="153"/>
        <v>0</v>
      </c>
      <c r="N1103" s="1509">
        <f t="shared" si="154"/>
        <v>0</v>
      </c>
      <c r="O1103" s="1510">
        <f t="shared" si="150"/>
        <v>0</v>
      </c>
      <c r="P1103" s="1453">
        <f t="shared" si="151"/>
        <v>0</v>
      </c>
    </row>
    <row r="1104" spans="1:16" outlineLevel="1" x14ac:dyDescent="0.25">
      <c r="A1104" s="1511">
        <f t="shared" si="155"/>
        <v>16.100000000000001</v>
      </c>
      <c r="B1104" s="1512" t="str">
        <f t="shared" si="155"/>
        <v>Colony Renovation / Garden and relation works</v>
      </c>
      <c r="C1104" s="1511" t="str">
        <f t="shared" si="155"/>
        <v>MERC/CAPEX/2018-2019/065</v>
      </c>
      <c r="D1104" s="1378">
        <f t="shared" si="155"/>
        <v>43529</v>
      </c>
      <c r="E1104" s="1513">
        <f t="shared" si="155"/>
        <v>8.0502839999999996</v>
      </c>
      <c r="F1104" s="1509">
        <f t="shared" si="148"/>
        <v>5.98991717</v>
      </c>
      <c r="G1104" s="1509">
        <f t="shared" si="149"/>
        <v>5.98991717</v>
      </c>
      <c r="H1104" s="1509">
        <f t="shared" si="152"/>
        <v>0</v>
      </c>
      <c r="I1104" s="1509">
        <v>0</v>
      </c>
      <c r="J1104" s="1509">
        <v>0</v>
      </c>
      <c r="K1104" s="1509"/>
      <c r="L1104" s="1509"/>
      <c r="M1104" s="1509">
        <f t="shared" si="153"/>
        <v>0</v>
      </c>
      <c r="N1104" s="1509">
        <f t="shared" si="154"/>
        <v>0</v>
      </c>
      <c r="O1104" s="1510">
        <f t="shared" si="150"/>
        <v>0</v>
      </c>
      <c r="P1104" s="1453">
        <f t="shared" si="151"/>
        <v>0</v>
      </c>
    </row>
    <row r="1105" spans="1:16" outlineLevel="1" x14ac:dyDescent="0.25">
      <c r="A1105" s="1511">
        <f t="shared" si="155"/>
        <v>16.2</v>
      </c>
      <c r="B1105" s="1512" t="str">
        <f t="shared" si="155"/>
        <v>Colony Road work</v>
      </c>
      <c r="C1105" s="1511" t="str">
        <f t="shared" si="155"/>
        <v>MERC/CAPEX/2018-2019/065</v>
      </c>
      <c r="D1105" s="1378">
        <f t="shared" si="155"/>
        <v>43529</v>
      </c>
      <c r="E1105" s="1513">
        <f t="shared" si="155"/>
        <v>2.3051249999999999</v>
      </c>
      <c r="F1105" s="1509">
        <f t="shared" si="148"/>
        <v>2.0084425239999999</v>
      </c>
      <c r="G1105" s="1509">
        <f t="shared" si="149"/>
        <v>2.0084425239999999</v>
      </c>
      <c r="H1105" s="1509">
        <f t="shared" si="152"/>
        <v>0</v>
      </c>
      <c r="I1105" s="1509">
        <v>0</v>
      </c>
      <c r="J1105" s="1509">
        <v>0</v>
      </c>
      <c r="K1105" s="1509"/>
      <c r="L1105" s="1509"/>
      <c r="M1105" s="1509">
        <f t="shared" si="153"/>
        <v>0</v>
      </c>
      <c r="N1105" s="1509">
        <f t="shared" si="154"/>
        <v>0</v>
      </c>
      <c r="O1105" s="1510">
        <f t="shared" si="150"/>
        <v>0</v>
      </c>
      <c r="P1105" s="1453">
        <f t="shared" si="151"/>
        <v>0</v>
      </c>
    </row>
    <row r="1106" spans="1:16" outlineLevel="1" x14ac:dyDescent="0.25">
      <c r="A1106" s="1511">
        <f t="shared" si="155"/>
        <v>16.3</v>
      </c>
      <c r="B1106" s="1512" t="str">
        <f t="shared" si="155"/>
        <v>Colony Water supply, Sanitary and drinage line work</v>
      </c>
      <c r="C1106" s="1511" t="str">
        <f t="shared" si="155"/>
        <v>MERC/CAPEX/2018-2019/065</v>
      </c>
      <c r="D1106" s="1378">
        <f t="shared" si="155"/>
        <v>43529</v>
      </c>
      <c r="E1106" s="1513">
        <f t="shared" si="155"/>
        <v>2.7927399999999998</v>
      </c>
      <c r="F1106" s="1509">
        <f t="shared" si="148"/>
        <v>2.514492449</v>
      </c>
      <c r="G1106" s="1509">
        <f t="shared" si="149"/>
        <v>2.514492449</v>
      </c>
      <c r="H1106" s="1509">
        <f t="shared" si="152"/>
        <v>0</v>
      </c>
      <c r="I1106" s="1509">
        <v>0</v>
      </c>
      <c r="J1106" s="1509">
        <v>0</v>
      </c>
      <c r="K1106" s="1509"/>
      <c r="L1106" s="1509"/>
      <c r="M1106" s="1509">
        <f t="shared" si="153"/>
        <v>0</v>
      </c>
      <c r="N1106" s="1509">
        <f t="shared" si="154"/>
        <v>0</v>
      </c>
      <c r="O1106" s="1510">
        <f t="shared" si="150"/>
        <v>0</v>
      </c>
      <c r="P1106" s="1453">
        <f t="shared" si="151"/>
        <v>0</v>
      </c>
    </row>
    <row r="1107" spans="1:16" outlineLevel="1" x14ac:dyDescent="0.25">
      <c r="A1107" s="1511">
        <f t="shared" si="155"/>
        <v>16.399999999999999</v>
      </c>
      <c r="B1107" s="1512" t="str">
        <f t="shared" si="155"/>
        <v>Mangal Karyalaya and Community Hall work</v>
      </c>
      <c r="C1107" s="1511" t="str">
        <f t="shared" si="155"/>
        <v>MERC/CAPEX/2018-2019/065</v>
      </c>
      <c r="D1107" s="1378">
        <f t="shared" si="155"/>
        <v>43529</v>
      </c>
      <c r="E1107" s="1513">
        <f t="shared" si="155"/>
        <v>0</v>
      </c>
      <c r="F1107" s="1509">
        <f t="shared" si="148"/>
        <v>0</v>
      </c>
      <c r="G1107" s="1509">
        <f t="shared" si="149"/>
        <v>0</v>
      </c>
      <c r="H1107" s="1509">
        <f t="shared" si="152"/>
        <v>0</v>
      </c>
      <c r="I1107" s="1509">
        <v>0</v>
      </c>
      <c r="J1107" s="1509">
        <v>0</v>
      </c>
      <c r="K1107" s="1509"/>
      <c r="L1107" s="1509"/>
      <c r="M1107" s="1509">
        <f t="shared" si="153"/>
        <v>0</v>
      </c>
      <c r="N1107" s="1509">
        <f t="shared" si="154"/>
        <v>0</v>
      </c>
      <c r="O1107" s="1510">
        <f t="shared" si="150"/>
        <v>0</v>
      </c>
      <c r="P1107" s="1453">
        <f t="shared" si="151"/>
        <v>0</v>
      </c>
    </row>
    <row r="1108" spans="1:16" outlineLevel="1" x14ac:dyDescent="0.25">
      <c r="A1108" s="1511">
        <f t="shared" si="155"/>
        <v>16.5</v>
      </c>
      <c r="B1108" s="1512" t="str">
        <f t="shared" si="155"/>
        <v>Other Civil  works</v>
      </c>
      <c r="C1108" s="1511" t="str">
        <f t="shared" si="155"/>
        <v>MERC/CAPEX/2018-2019/065</v>
      </c>
      <c r="D1108" s="1378">
        <f t="shared" si="155"/>
        <v>43529</v>
      </c>
      <c r="E1108" s="1513">
        <f t="shared" si="155"/>
        <v>0</v>
      </c>
      <c r="F1108" s="1509">
        <f t="shared" si="148"/>
        <v>0</v>
      </c>
      <c r="G1108" s="1509">
        <f t="shared" si="149"/>
        <v>0</v>
      </c>
      <c r="H1108" s="1509">
        <f t="shared" si="152"/>
        <v>0</v>
      </c>
      <c r="I1108" s="1509">
        <v>0</v>
      </c>
      <c r="J1108" s="1509">
        <v>0</v>
      </c>
      <c r="K1108" s="1509"/>
      <c r="L1108" s="1509"/>
      <c r="M1108" s="1509">
        <f t="shared" si="153"/>
        <v>0</v>
      </c>
      <c r="N1108" s="1509">
        <f t="shared" si="154"/>
        <v>0</v>
      </c>
      <c r="O1108" s="1510">
        <f t="shared" si="150"/>
        <v>0</v>
      </c>
      <c r="P1108" s="1453">
        <f t="shared" si="151"/>
        <v>0</v>
      </c>
    </row>
    <row r="1109" spans="1:16" outlineLevel="1" x14ac:dyDescent="0.25">
      <c r="A1109" s="1506">
        <f t="shared" si="155"/>
        <v>17</v>
      </c>
      <c r="B1109" s="1507" t="str">
        <f t="shared" si="155"/>
        <v>Various Civil Schemes at Parli TPS</v>
      </c>
      <c r="C1109" s="1506" t="str">
        <f t="shared" si="155"/>
        <v>MERC/CAPEX/20182019/020</v>
      </c>
      <c r="D1109" s="1508">
        <f t="shared" si="155"/>
        <v>43481</v>
      </c>
      <c r="E1109" s="1509">
        <f t="shared" si="155"/>
        <v>11.99868781</v>
      </c>
      <c r="F1109" s="1509">
        <f t="shared" si="148"/>
        <v>0</v>
      </c>
      <c r="G1109" s="1509">
        <f t="shared" si="149"/>
        <v>0</v>
      </c>
      <c r="H1109" s="1509">
        <f t="shared" si="152"/>
        <v>0</v>
      </c>
      <c r="I1109" s="1509">
        <v>0</v>
      </c>
      <c r="J1109" s="1509">
        <v>0</v>
      </c>
      <c r="K1109" s="1509"/>
      <c r="L1109" s="1509"/>
      <c r="M1109" s="1509">
        <f t="shared" si="153"/>
        <v>0</v>
      </c>
      <c r="N1109" s="1509">
        <f t="shared" si="154"/>
        <v>0</v>
      </c>
      <c r="O1109" s="1510">
        <f t="shared" si="150"/>
        <v>0</v>
      </c>
      <c r="P1109" s="1453">
        <f t="shared" si="151"/>
        <v>0</v>
      </c>
    </row>
    <row r="1110" spans="1:16" ht="43.5" outlineLevel="1" x14ac:dyDescent="0.25">
      <c r="A1110" s="1511">
        <f t="shared" si="155"/>
        <v>17.100000000000001</v>
      </c>
      <c r="B1110" s="1512" t="str">
        <f t="shared" si="155"/>
        <v>Repair work of Khadka road from Sangam T point TPS compound wall to Khadka pump house by providing and laying GSB and bituminous macadam surface on existing road at TPS Parli V</v>
      </c>
      <c r="C1110" s="1511" t="str">
        <f t="shared" si="155"/>
        <v>MERC/CAPEX/20182019/020</v>
      </c>
      <c r="D1110" s="1378">
        <f t="shared" si="155"/>
        <v>43481</v>
      </c>
      <c r="E1110" s="1513">
        <f t="shared" si="155"/>
        <v>6.1932861680000002</v>
      </c>
      <c r="F1110" s="1509">
        <f t="shared" si="148"/>
        <v>5.6459529719999999</v>
      </c>
      <c r="G1110" s="1509">
        <f t="shared" si="149"/>
        <v>5.6459529719999999</v>
      </c>
      <c r="H1110" s="1509">
        <f t="shared" si="152"/>
        <v>0</v>
      </c>
      <c r="I1110" s="1509">
        <v>0</v>
      </c>
      <c r="J1110" s="1509">
        <v>0</v>
      </c>
      <c r="K1110" s="1509"/>
      <c r="L1110" s="1509"/>
      <c r="M1110" s="1509">
        <f t="shared" si="153"/>
        <v>0</v>
      </c>
      <c r="N1110" s="1509">
        <f t="shared" si="154"/>
        <v>0</v>
      </c>
      <c r="O1110" s="1510">
        <f t="shared" si="150"/>
        <v>0</v>
      </c>
      <c r="P1110" s="1453">
        <f t="shared" si="151"/>
        <v>0</v>
      </c>
    </row>
    <row r="1111" spans="1:16" ht="29" outlineLevel="1" x14ac:dyDescent="0.25">
      <c r="A1111" s="1511">
        <f t="shared" si="155"/>
        <v>17.2</v>
      </c>
      <c r="B1111" s="1512" t="str">
        <f t="shared" si="155"/>
        <v xml:space="preserve">Replacement of old  A.C. / G.I. Sheets by new C.G.I. Sheets  at Unit 4 and 5  TPS Parli Vaijnath                         </v>
      </c>
      <c r="C1111" s="1511" t="str">
        <f t="shared" si="155"/>
        <v>MERC/CAPEX/20182019/020</v>
      </c>
      <c r="D1111" s="1378">
        <f t="shared" si="155"/>
        <v>43481</v>
      </c>
      <c r="E1111" s="1513">
        <f t="shared" si="155"/>
        <v>0.38584171</v>
      </c>
      <c r="F1111" s="1509">
        <f t="shared" si="148"/>
        <v>0.28061102900000001</v>
      </c>
      <c r="G1111" s="1509">
        <f t="shared" si="149"/>
        <v>0.28061102900000001</v>
      </c>
      <c r="H1111" s="1509">
        <f t="shared" si="152"/>
        <v>0</v>
      </c>
      <c r="I1111" s="1509">
        <v>0</v>
      </c>
      <c r="J1111" s="1509">
        <v>0</v>
      </c>
      <c r="K1111" s="1509"/>
      <c r="L1111" s="1509"/>
      <c r="M1111" s="1509">
        <f t="shared" si="153"/>
        <v>0</v>
      </c>
      <c r="N1111" s="1509">
        <f t="shared" si="154"/>
        <v>0</v>
      </c>
      <c r="O1111" s="1510">
        <f t="shared" si="150"/>
        <v>0</v>
      </c>
      <c r="P1111" s="1453">
        <f t="shared" si="151"/>
        <v>0</v>
      </c>
    </row>
    <row r="1112" spans="1:16" ht="29" outlineLevel="1" x14ac:dyDescent="0.25">
      <c r="A1112" s="1511">
        <f t="shared" si="155"/>
        <v>17.3</v>
      </c>
      <c r="B1112" s="1512" t="str">
        <f t="shared" si="155"/>
        <v xml:space="preserve">Water supply pipe line  from Way bridge to chummery gate at Old Power House premises TPS Parli   Vaijnath   </v>
      </c>
      <c r="C1112" s="1511" t="str">
        <f t="shared" si="155"/>
        <v>MERC/CAPEX/20182019/020</v>
      </c>
      <c r="D1112" s="1378">
        <f t="shared" si="155"/>
        <v>43481</v>
      </c>
      <c r="E1112" s="1513">
        <f t="shared" si="155"/>
        <v>1.490824862</v>
      </c>
      <c r="F1112" s="1509">
        <f t="shared" si="148"/>
        <v>0</v>
      </c>
      <c r="G1112" s="1509">
        <f t="shared" si="149"/>
        <v>0</v>
      </c>
      <c r="H1112" s="1509">
        <f t="shared" si="152"/>
        <v>0</v>
      </c>
      <c r="I1112" s="1509">
        <v>1.49</v>
      </c>
      <c r="J1112" s="1509">
        <v>1.49</v>
      </c>
      <c r="K1112" s="1509"/>
      <c r="L1112" s="1509"/>
      <c r="M1112" s="1509">
        <f t="shared" si="153"/>
        <v>1.49</v>
      </c>
      <c r="N1112" s="1509">
        <f t="shared" si="154"/>
        <v>0</v>
      </c>
      <c r="O1112" s="1510">
        <f t="shared" si="150"/>
        <v>1.49</v>
      </c>
      <c r="P1112" s="1453">
        <f t="shared" si="151"/>
        <v>0</v>
      </c>
    </row>
    <row r="1113" spans="1:16" ht="29" outlineLevel="1" x14ac:dyDescent="0.25">
      <c r="A1113" s="1511">
        <f t="shared" ref="A1113:E1128" si="156">A756</f>
        <v>17.399999999999999</v>
      </c>
      <c r="B1113" s="1512" t="str">
        <f t="shared" si="156"/>
        <v>Providing and fixing colour coated sheets for roofing and cladding of Major Store godowns (3 Nos.) at NPTPS Parli Vaijnath.</v>
      </c>
      <c r="C1113" s="1511" t="str">
        <f t="shared" si="156"/>
        <v>MERC/CAPEX/20182019/020</v>
      </c>
      <c r="D1113" s="1378">
        <f t="shared" si="156"/>
        <v>43481</v>
      </c>
      <c r="E1113" s="1513">
        <f t="shared" si="156"/>
        <v>0.32052575999999999</v>
      </c>
      <c r="F1113" s="1509">
        <f t="shared" si="148"/>
        <v>0.23293444999999999</v>
      </c>
      <c r="G1113" s="1509">
        <f t="shared" si="149"/>
        <v>0.23293444999999999</v>
      </c>
      <c r="H1113" s="1509">
        <f t="shared" si="152"/>
        <v>0</v>
      </c>
      <c r="I1113" s="1509">
        <v>0</v>
      </c>
      <c r="J1113" s="1509">
        <v>0</v>
      </c>
      <c r="K1113" s="1509"/>
      <c r="L1113" s="1509"/>
      <c r="M1113" s="1509">
        <f t="shared" si="153"/>
        <v>0</v>
      </c>
      <c r="N1113" s="1509">
        <f t="shared" si="154"/>
        <v>0</v>
      </c>
      <c r="O1113" s="1510">
        <f t="shared" si="150"/>
        <v>0</v>
      </c>
      <c r="P1113" s="1453">
        <f t="shared" si="151"/>
        <v>0</v>
      </c>
    </row>
    <row r="1114" spans="1:16" ht="29" outlineLevel="1" x14ac:dyDescent="0.25">
      <c r="A1114" s="1511">
        <f t="shared" si="156"/>
        <v>17.5</v>
      </c>
      <c r="B1114" s="1512" t="str">
        <f t="shared" si="156"/>
        <v xml:space="preserve">Development of Major store unloading yard by providing RCC grade slab in unit 6 &amp; 7 premises at NPTPS Parli     V.                   </v>
      </c>
      <c r="C1114" s="1511" t="str">
        <f t="shared" si="156"/>
        <v>MERC/CAPEX/20182019/020</v>
      </c>
      <c r="D1114" s="1378">
        <f t="shared" si="156"/>
        <v>43481</v>
      </c>
      <c r="E1114" s="1513">
        <f t="shared" si="156"/>
        <v>2.7334139500000001</v>
      </c>
      <c r="F1114" s="1509">
        <f t="shared" si="148"/>
        <v>0</v>
      </c>
      <c r="G1114" s="1509">
        <f t="shared" si="149"/>
        <v>0</v>
      </c>
      <c r="H1114" s="1509">
        <f t="shared" si="152"/>
        <v>0</v>
      </c>
      <c r="I1114" s="1509">
        <v>2.73</v>
      </c>
      <c r="J1114" s="1509">
        <v>2.73</v>
      </c>
      <c r="K1114" s="1509"/>
      <c r="L1114" s="1509"/>
      <c r="M1114" s="1509">
        <f t="shared" si="153"/>
        <v>2.73</v>
      </c>
      <c r="N1114" s="1509">
        <f t="shared" si="154"/>
        <v>0</v>
      </c>
      <c r="O1114" s="1510">
        <f t="shared" si="150"/>
        <v>2.73</v>
      </c>
      <c r="P1114" s="1453">
        <f t="shared" si="151"/>
        <v>0</v>
      </c>
    </row>
    <row r="1115" spans="1:16" ht="43.5" outlineLevel="1" x14ac:dyDescent="0.25">
      <c r="A1115" s="1511">
        <f t="shared" si="156"/>
        <v>17.600000000000001</v>
      </c>
      <c r="B1115" s="1512" t="str">
        <f t="shared" si="156"/>
        <v xml:space="preserve">Work of painting to service building, Main plant building and various Auxillarey buildings of unit No. 6&amp;7 at New Parli Thermal Power Station.         </v>
      </c>
      <c r="C1115" s="1511" t="str">
        <f t="shared" si="156"/>
        <v>MERC/CAPEX/20182019/020</v>
      </c>
      <c r="D1115" s="1378">
        <f t="shared" si="156"/>
        <v>43481</v>
      </c>
      <c r="E1115" s="1513">
        <f t="shared" si="156"/>
        <v>0.58998525000000002</v>
      </c>
      <c r="F1115" s="1509">
        <f t="shared" si="148"/>
        <v>0.43154335300000002</v>
      </c>
      <c r="G1115" s="1509">
        <f t="shared" si="149"/>
        <v>0.43154335300000002</v>
      </c>
      <c r="H1115" s="1509">
        <f t="shared" si="152"/>
        <v>0</v>
      </c>
      <c r="I1115" s="1509">
        <v>0</v>
      </c>
      <c r="J1115" s="1509">
        <v>0</v>
      </c>
      <c r="K1115" s="1509"/>
      <c r="L1115" s="1509"/>
      <c r="M1115" s="1509">
        <f t="shared" si="153"/>
        <v>0</v>
      </c>
      <c r="N1115" s="1509">
        <f t="shared" si="154"/>
        <v>0</v>
      </c>
      <c r="O1115" s="1510">
        <f t="shared" si="150"/>
        <v>0</v>
      </c>
      <c r="P1115" s="1453">
        <f t="shared" si="151"/>
        <v>0</v>
      </c>
    </row>
    <row r="1116" spans="1:16" ht="29" outlineLevel="1" x14ac:dyDescent="0.25">
      <c r="A1116" s="1511">
        <f t="shared" si="156"/>
        <v>17.600000000000001</v>
      </c>
      <c r="B1116" s="1512" t="str">
        <f t="shared" si="156"/>
        <v>Construction of RCC cabins at various locations in unit No.6&amp;7 premises at NPTPS Parli - V.</v>
      </c>
      <c r="C1116" s="1511" t="str">
        <f t="shared" si="156"/>
        <v>MERC/CAPEX/20182019/020</v>
      </c>
      <c r="D1116" s="1378">
        <f t="shared" si="156"/>
        <v>43481</v>
      </c>
      <c r="E1116" s="1513">
        <f t="shared" si="156"/>
        <v>0.28481011000000001</v>
      </c>
      <c r="F1116" s="1509">
        <f t="shared" si="148"/>
        <v>0.20461170000000001</v>
      </c>
      <c r="G1116" s="1509">
        <f t="shared" si="149"/>
        <v>0.20461170000000001</v>
      </c>
      <c r="H1116" s="1509">
        <f t="shared" si="152"/>
        <v>0</v>
      </c>
      <c r="I1116" s="1509">
        <v>0</v>
      </c>
      <c r="J1116" s="1509">
        <v>0</v>
      </c>
      <c r="K1116" s="1509"/>
      <c r="L1116" s="1509"/>
      <c r="M1116" s="1509">
        <f t="shared" si="153"/>
        <v>0</v>
      </c>
      <c r="N1116" s="1509">
        <f t="shared" si="154"/>
        <v>0</v>
      </c>
      <c r="O1116" s="1510">
        <f t="shared" si="150"/>
        <v>0</v>
      </c>
      <c r="P1116" s="1453">
        <f t="shared" si="151"/>
        <v>0</v>
      </c>
    </row>
    <row r="1117" spans="1:16" outlineLevel="1" x14ac:dyDescent="0.25">
      <c r="A1117" s="1511">
        <f t="shared" si="156"/>
        <v>0</v>
      </c>
      <c r="B1117" s="1512" t="str">
        <f t="shared" si="156"/>
        <v>IDC</v>
      </c>
      <c r="C1117" s="1511" t="str">
        <f t="shared" si="156"/>
        <v>MERC/CAPEX/20182019/020</v>
      </c>
      <c r="D1117" s="1378">
        <f t="shared" si="156"/>
        <v>43481</v>
      </c>
      <c r="E1117" s="1513">
        <f t="shared" si="156"/>
        <v>0</v>
      </c>
      <c r="F1117" s="1509">
        <f t="shared" si="148"/>
        <v>0</v>
      </c>
      <c r="G1117" s="1509">
        <f t="shared" si="149"/>
        <v>0</v>
      </c>
      <c r="H1117" s="1509">
        <f t="shared" si="152"/>
        <v>0</v>
      </c>
      <c r="I1117" s="1509">
        <v>0</v>
      </c>
      <c r="J1117" s="1509">
        <v>0</v>
      </c>
      <c r="K1117" s="1509"/>
      <c r="L1117" s="1509"/>
      <c r="M1117" s="1509">
        <f t="shared" si="153"/>
        <v>0</v>
      </c>
      <c r="N1117" s="1509">
        <f t="shared" si="154"/>
        <v>0</v>
      </c>
      <c r="O1117" s="1510">
        <f t="shared" si="150"/>
        <v>0</v>
      </c>
      <c r="P1117" s="1453">
        <f t="shared" si="151"/>
        <v>0</v>
      </c>
    </row>
    <row r="1118" spans="1:16" ht="29" outlineLevel="1" x14ac:dyDescent="0.25">
      <c r="A1118" s="1506">
        <f t="shared" si="156"/>
        <v>18</v>
      </c>
      <c r="B1118" s="1507" t="str">
        <f t="shared" si="156"/>
        <v>Procurement &amp; replacement of complete set of Economizer and LTSH upper &amp; lower coils of Unit No. 6 &amp; 7 at Parli TPS</v>
      </c>
      <c r="C1118" s="1506" t="str">
        <f t="shared" si="156"/>
        <v>MERC/CAPEX/2019-2020/419</v>
      </c>
      <c r="D1118" s="1508">
        <f t="shared" si="156"/>
        <v>43672</v>
      </c>
      <c r="E1118" s="1509">
        <f t="shared" si="156"/>
        <v>22.72</v>
      </c>
      <c r="F1118" s="1509">
        <f t="shared" si="148"/>
        <v>0</v>
      </c>
      <c r="G1118" s="1509">
        <f t="shared" si="149"/>
        <v>0</v>
      </c>
      <c r="H1118" s="1509">
        <f t="shared" si="152"/>
        <v>0</v>
      </c>
      <c r="I1118" s="1509">
        <v>0</v>
      </c>
      <c r="J1118" s="1509">
        <v>0</v>
      </c>
      <c r="K1118" s="1509"/>
      <c r="L1118" s="1509"/>
      <c r="M1118" s="1509">
        <f t="shared" si="153"/>
        <v>0</v>
      </c>
      <c r="N1118" s="1509">
        <f t="shared" si="154"/>
        <v>0</v>
      </c>
      <c r="O1118" s="1510">
        <f t="shared" si="150"/>
        <v>0</v>
      </c>
      <c r="P1118" s="1453">
        <f t="shared" si="151"/>
        <v>0</v>
      </c>
    </row>
    <row r="1119" spans="1:16" ht="29" outlineLevel="1" x14ac:dyDescent="0.25">
      <c r="A1119" s="1511">
        <f t="shared" si="156"/>
        <v>18.100000000000001</v>
      </c>
      <c r="B1119" s="1512" t="str">
        <f t="shared" si="156"/>
        <v xml:space="preserve">Procurement &amp; replacement of complete set of economizer upper &amp; lower bank coils of Unit No. 6 </v>
      </c>
      <c r="C1119" s="1511" t="str">
        <f t="shared" si="156"/>
        <v>MERC/CAPEX/2019-2020/419</v>
      </c>
      <c r="D1119" s="1378">
        <f t="shared" si="156"/>
        <v>43672</v>
      </c>
      <c r="E1119" s="1513">
        <f t="shared" si="156"/>
        <v>10.6</v>
      </c>
      <c r="F1119" s="1509">
        <f t="shared" si="148"/>
        <v>12.505020100000001</v>
      </c>
      <c r="G1119" s="1509">
        <f t="shared" si="149"/>
        <v>12.505120100000001</v>
      </c>
      <c r="H1119" s="1509">
        <f t="shared" si="152"/>
        <v>-9.9999999999766942E-5</v>
      </c>
      <c r="I1119" s="1509">
        <v>0</v>
      </c>
      <c r="J1119" s="1509">
        <v>0</v>
      </c>
      <c r="K1119" s="1509"/>
      <c r="L1119" s="1509"/>
      <c r="M1119" s="1509">
        <f t="shared" si="153"/>
        <v>0</v>
      </c>
      <c r="N1119" s="1509">
        <f t="shared" si="154"/>
        <v>-9.9999999999766942E-5</v>
      </c>
      <c r="O1119" s="1510">
        <f t="shared" si="150"/>
        <v>0</v>
      </c>
      <c r="P1119" s="1453">
        <f t="shared" si="151"/>
        <v>0</v>
      </c>
    </row>
    <row r="1120" spans="1:16" ht="29" outlineLevel="1" x14ac:dyDescent="0.25">
      <c r="A1120" s="1511">
        <f t="shared" si="156"/>
        <v>18.2</v>
      </c>
      <c r="B1120" s="1512" t="str">
        <f t="shared" si="156"/>
        <v>Procurement &amp; replacement of complete set of LTSH upper &amp; lower bank coils for Parli TPS unit-7</v>
      </c>
      <c r="C1120" s="1511" t="str">
        <f t="shared" si="156"/>
        <v>MERC/CAPEX/2019-2020/419</v>
      </c>
      <c r="D1120" s="1378">
        <f t="shared" si="156"/>
        <v>43672</v>
      </c>
      <c r="E1120" s="1513">
        <f t="shared" si="156"/>
        <v>10.6</v>
      </c>
      <c r="F1120" s="1509">
        <f t="shared" si="148"/>
        <v>12.3255</v>
      </c>
      <c r="G1120" s="1509">
        <f t="shared" si="149"/>
        <v>12.328390300000001</v>
      </c>
      <c r="H1120" s="1509">
        <f t="shared" si="152"/>
        <v>-2.8903000000006784E-3</v>
      </c>
      <c r="I1120" s="1509">
        <v>0</v>
      </c>
      <c r="J1120" s="1509">
        <v>0</v>
      </c>
      <c r="K1120" s="1509"/>
      <c r="L1120" s="1509"/>
      <c r="M1120" s="1509">
        <f t="shared" si="153"/>
        <v>0</v>
      </c>
      <c r="N1120" s="1509">
        <f t="shared" si="154"/>
        <v>-2.8903000000006784E-3</v>
      </c>
      <c r="O1120" s="1510">
        <f t="shared" si="150"/>
        <v>0</v>
      </c>
      <c r="P1120" s="1453">
        <f t="shared" si="151"/>
        <v>0</v>
      </c>
    </row>
    <row r="1121" spans="1:16" outlineLevel="1" x14ac:dyDescent="0.25">
      <c r="A1121" s="1511">
        <f t="shared" si="156"/>
        <v>0</v>
      </c>
      <c r="B1121" s="1516" t="str">
        <f t="shared" si="156"/>
        <v>IDC</v>
      </c>
      <c r="C1121" s="1511" t="str">
        <f t="shared" si="156"/>
        <v>MERC/CAPEX/2019-2020/419</v>
      </c>
      <c r="D1121" s="1378">
        <f t="shared" si="156"/>
        <v>43672</v>
      </c>
      <c r="E1121" s="1513">
        <f t="shared" si="156"/>
        <v>1.52</v>
      </c>
      <c r="F1121" s="1509">
        <f t="shared" si="148"/>
        <v>0.81066607999999996</v>
      </c>
      <c r="G1121" s="1509">
        <f t="shared" si="149"/>
        <v>2.6306608000000002</v>
      </c>
      <c r="H1121" s="1509">
        <f t="shared" si="152"/>
        <v>-1.8199947200000004</v>
      </c>
      <c r="I1121" s="1509">
        <v>0</v>
      </c>
      <c r="J1121" s="1509">
        <v>0</v>
      </c>
      <c r="K1121" s="1509"/>
      <c r="L1121" s="1509"/>
      <c r="M1121" s="1509">
        <f t="shared" si="153"/>
        <v>0</v>
      </c>
      <c r="N1121" s="1509">
        <f t="shared" si="154"/>
        <v>-1.8199947200000004</v>
      </c>
      <c r="O1121" s="1510">
        <f t="shared" si="150"/>
        <v>0</v>
      </c>
      <c r="P1121" s="1453">
        <f t="shared" si="151"/>
        <v>0</v>
      </c>
    </row>
    <row r="1122" spans="1:16" ht="29" outlineLevel="1" x14ac:dyDescent="0.25">
      <c r="A1122" s="1506">
        <f t="shared" si="156"/>
        <v>19</v>
      </c>
      <c r="B1122" s="1507" t="str">
        <f t="shared" si="156"/>
        <v>Schemes related to enhance the performance of Coal Handling Plant (2 x 250 MW) at Parli TPS</v>
      </c>
      <c r="C1122" s="1506" t="str">
        <f t="shared" si="156"/>
        <v>MERC/CAPEX/2019-2020/451</v>
      </c>
      <c r="D1122" s="1508">
        <f t="shared" si="156"/>
        <v>43676</v>
      </c>
      <c r="E1122" s="1509">
        <f t="shared" si="156"/>
        <v>10.719999999999999</v>
      </c>
      <c r="F1122" s="1509">
        <f t="shared" si="148"/>
        <v>0</v>
      </c>
      <c r="G1122" s="1509">
        <f t="shared" si="149"/>
        <v>0</v>
      </c>
      <c r="H1122" s="1509">
        <f t="shared" si="152"/>
        <v>0</v>
      </c>
      <c r="I1122" s="1509">
        <v>0</v>
      </c>
      <c r="J1122" s="1509">
        <v>0</v>
      </c>
      <c r="K1122" s="1509"/>
      <c r="L1122" s="1509"/>
      <c r="M1122" s="1509">
        <f t="shared" si="153"/>
        <v>0</v>
      </c>
      <c r="N1122" s="1509">
        <f t="shared" si="154"/>
        <v>0</v>
      </c>
      <c r="O1122" s="1510">
        <f t="shared" si="150"/>
        <v>0</v>
      </c>
      <c r="P1122" s="1453">
        <f t="shared" si="151"/>
        <v>0</v>
      </c>
    </row>
    <row r="1123" spans="1:16" outlineLevel="1" x14ac:dyDescent="0.25">
      <c r="A1123" s="1511">
        <f t="shared" si="156"/>
        <v>19.100000000000001</v>
      </c>
      <c r="B1123" s="1512" t="str">
        <f t="shared" si="156"/>
        <v xml:space="preserve">Procurement of 02 Nos. of BD155 Bulldozers for Parli TPS    </v>
      </c>
      <c r="C1123" s="1511" t="str">
        <f t="shared" si="156"/>
        <v>MERC/CAPEX/2019-2020/451</v>
      </c>
      <c r="D1123" s="1378">
        <f t="shared" si="156"/>
        <v>43676</v>
      </c>
      <c r="E1123" s="1513">
        <f t="shared" si="156"/>
        <v>3.93</v>
      </c>
      <c r="F1123" s="1509">
        <f t="shared" si="148"/>
        <v>4.3292536000000004</v>
      </c>
      <c r="G1123" s="1509">
        <f t="shared" si="149"/>
        <v>4.3292536000000004</v>
      </c>
      <c r="H1123" s="1509">
        <f t="shared" si="152"/>
        <v>0</v>
      </c>
      <c r="I1123" s="1509">
        <v>0</v>
      </c>
      <c r="J1123" s="1509">
        <v>0</v>
      </c>
      <c r="K1123" s="1509"/>
      <c r="L1123" s="1509"/>
      <c r="M1123" s="1509">
        <f t="shared" si="153"/>
        <v>0</v>
      </c>
      <c r="N1123" s="1509">
        <f t="shared" si="154"/>
        <v>0</v>
      </c>
      <c r="O1123" s="1510">
        <f t="shared" si="150"/>
        <v>0</v>
      </c>
      <c r="P1123" s="1453">
        <f t="shared" si="151"/>
        <v>0</v>
      </c>
    </row>
    <row r="1124" spans="1:16" outlineLevel="1" x14ac:dyDescent="0.25">
      <c r="A1124" s="1511">
        <f t="shared" si="156"/>
        <v>19.2</v>
      </c>
      <c r="B1124" s="1512" t="str">
        <f t="shared" si="156"/>
        <v xml:space="preserve">Procurement of 02 Nos. of Locomotives(800 HP) for Parli TPS    </v>
      </c>
      <c r="C1124" s="1506" t="str">
        <f t="shared" si="156"/>
        <v>MERC/CAPEX/2019-2020/451</v>
      </c>
      <c r="D1124" s="1508">
        <f t="shared" si="156"/>
        <v>43676</v>
      </c>
      <c r="E1124" s="1509">
        <f t="shared" si="156"/>
        <v>6.25</v>
      </c>
      <c r="F1124" s="1509">
        <f t="shared" si="148"/>
        <v>6.4416200000000003</v>
      </c>
      <c r="G1124" s="1509">
        <f t="shared" si="149"/>
        <v>6.4416200000000003</v>
      </c>
      <c r="H1124" s="1509">
        <f t="shared" si="152"/>
        <v>0</v>
      </c>
      <c r="I1124" s="1509">
        <v>0</v>
      </c>
      <c r="J1124" s="1509">
        <v>0</v>
      </c>
      <c r="K1124" s="1509"/>
      <c r="L1124" s="1509"/>
      <c r="M1124" s="1509">
        <f t="shared" si="153"/>
        <v>0</v>
      </c>
      <c r="N1124" s="1509">
        <f t="shared" si="154"/>
        <v>0</v>
      </c>
      <c r="O1124" s="1510">
        <f t="shared" si="150"/>
        <v>0</v>
      </c>
      <c r="P1124" s="1453">
        <f t="shared" si="151"/>
        <v>0</v>
      </c>
    </row>
    <row r="1125" spans="1:16" outlineLevel="1" x14ac:dyDescent="0.25">
      <c r="A1125" s="1511">
        <f t="shared" si="156"/>
        <v>0</v>
      </c>
      <c r="B1125" s="1512" t="str">
        <f t="shared" si="156"/>
        <v>IDC</v>
      </c>
      <c r="C1125" s="1511" t="str">
        <f t="shared" si="156"/>
        <v>MERC/CAPEX/2019-2020/451</v>
      </c>
      <c r="D1125" s="1378">
        <f t="shared" si="156"/>
        <v>43676</v>
      </c>
      <c r="E1125" s="1513">
        <f t="shared" si="156"/>
        <v>0.54</v>
      </c>
      <c r="F1125" s="1509">
        <f t="shared" si="148"/>
        <v>0</v>
      </c>
      <c r="G1125" s="1509">
        <f t="shared" si="149"/>
        <v>0</v>
      </c>
      <c r="H1125" s="1509">
        <f t="shared" si="152"/>
        <v>0</v>
      </c>
      <c r="I1125" s="1509">
        <v>0</v>
      </c>
      <c r="J1125" s="1509">
        <v>0</v>
      </c>
      <c r="K1125" s="1509"/>
      <c r="L1125" s="1509"/>
      <c r="M1125" s="1509">
        <f t="shared" si="153"/>
        <v>0</v>
      </c>
      <c r="N1125" s="1509">
        <f t="shared" si="154"/>
        <v>0</v>
      </c>
      <c r="O1125" s="1510">
        <f t="shared" si="150"/>
        <v>0</v>
      </c>
      <c r="P1125" s="1453">
        <f t="shared" si="151"/>
        <v>0</v>
      </c>
    </row>
    <row r="1126" spans="1:16" ht="58" outlineLevel="1" x14ac:dyDescent="0.25">
      <c r="A1126" s="1506">
        <f t="shared" si="156"/>
        <v>20</v>
      </c>
      <c r="B1126" s="1507" t="str">
        <f t="shared" si="156"/>
        <v>Procurement of Energy Efficient Cartridges of boiler Feed Pumps at Unit # 6 &amp; 7, Girth Gear, Pinion for BBD-4772 Coal Mills &amp; Procurement, Installation, Commissioning of Variable Frequency Drive for Gravimetric Coal Feeders (2X250MW) at Parli TPS</v>
      </c>
      <c r="C1126" s="1506" t="str">
        <f t="shared" si="156"/>
        <v>MERC/CAPEX/2019-2020/476,
MERC/CAPEX/2019-2020/858</v>
      </c>
      <c r="D1126" s="1508" t="str">
        <f t="shared" si="156"/>
        <v>01-08-2019,
10-10-2019</v>
      </c>
      <c r="E1126" s="1509">
        <f t="shared" si="156"/>
        <v>21.26</v>
      </c>
      <c r="F1126" s="1509">
        <f t="shared" si="148"/>
        <v>0</v>
      </c>
      <c r="G1126" s="1509">
        <f t="shared" si="149"/>
        <v>0</v>
      </c>
      <c r="H1126" s="1509">
        <f t="shared" si="152"/>
        <v>0</v>
      </c>
      <c r="I1126" s="1509">
        <v>0</v>
      </c>
      <c r="J1126" s="1509">
        <v>0</v>
      </c>
      <c r="K1126" s="1509"/>
      <c r="L1126" s="1509"/>
      <c r="M1126" s="1509">
        <f t="shared" si="153"/>
        <v>0</v>
      </c>
      <c r="N1126" s="1509">
        <f t="shared" si="154"/>
        <v>0</v>
      </c>
      <c r="O1126" s="1510">
        <f t="shared" si="150"/>
        <v>0</v>
      </c>
      <c r="P1126" s="1453">
        <f t="shared" si="151"/>
        <v>0</v>
      </c>
    </row>
    <row r="1127" spans="1:16" ht="58" outlineLevel="1" x14ac:dyDescent="0.25">
      <c r="A1127" s="1511">
        <f t="shared" si="156"/>
        <v>20.100000000000001</v>
      </c>
      <c r="B1127" s="1512" t="str">
        <f t="shared" si="156"/>
        <v>Procurement &amp; replacement of complete BFP Cartridge for advance class pump model FK-3B-40.</v>
      </c>
      <c r="C1127" s="1511" t="str">
        <f t="shared" si="156"/>
        <v>MERC/CAPEX/2019-2020/476,
MERC/CAPEX/2019-2020/858</v>
      </c>
      <c r="D1127" s="1378" t="str">
        <f t="shared" si="156"/>
        <v>01-08-2019,
10-10-2019</v>
      </c>
      <c r="E1127" s="1513">
        <f t="shared" si="156"/>
        <v>14.39</v>
      </c>
      <c r="F1127" s="1509">
        <f t="shared" si="148"/>
        <v>14.1187</v>
      </c>
      <c r="G1127" s="1509">
        <f t="shared" si="149"/>
        <v>14.1187</v>
      </c>
      <c r="H1127" s="1509">
        <f t="shared" si="152"/>
        <v>0</v>
      </c>
      <c r="I1127" s="1509">
        <v>0</v>
      </c>
      <c r="J1127" s="1509">
        <v>0</v>
      </c>
      <c r="K1127" s="1509"/>
      <c r="L1127" s="1509"/>
      <c r="M1127" s="1509">
        <f t="shared" si="153"/>
        <v>0</v>
      </c>
      <c r="N1127" s="1509">
        <f t="shared" si="154"/>
        <v>0</v>
      </c>
      <c r="O1127" s="1510">
        <f t="shared" si="150"/>
        <v>0</v>
      </c>
      <c r="P1127" s="1453">
        <f t="shared" si="151"/>
        <v>0</v>
      </c>
    </row>
    <row r="1128" spans="1:16" ht="29" outlineLevel="1" x14ac:dyDescent="0.25">
      <c r="A1128" s="1511">
        <f t="shared" si="156"/>
        <v>20.2</v>
      </c>
      <c r="B1128" s="1512" t="str">
        <f t="shared" si="156"/>
        <v>Procurement of girth gear pinion for BBD-4772 coal mill at Parli TPS &amp; Work Cost for replacement of girth gear, pinion shaft bearing.</v>
      </c>
      <c r="C1128" s="1506">
        <f t="shared" si="156"/>
        <v>0</v>
      </c>
      <c r="D1128" s="1508" t="str">
        <f t="shared" si="156"/>
        <v>Not Approved</v>
      </c>
      <c r="E1128" s="1509">
        <f t="shared" si="156"/>
        <v>0</v>
      </c>
      <c r="F1128" s="1509">
        <f t="shared" si="148"/>
        <v>0</v>
      </c>
      <c r="G1128" s="1509">
        <f t="shared" si="149"/>
        <v>0</v>
      </c>
      <c r="H1128" s="1509">
        <f t="shared" si="152"/>
        <v>0</v>
      </c>
      <c r="I1128" s="1509">
        <v>0</v>
      </c>
      <c r="J1128" s="1509">
        <v>0</v>
      </c>
      <c r="K1128" s="1509"/>
      <c r="L1128" s="1509"/>
      <c r="M1128" s="1509">
        <f t="shared" si="153"/>
        <v>0</v>
      </c>
      <c r="N1128" s="1509">
        <f t="shared" si="154"/>
        <v>0</v>
      </c>
      <c r="O1128" s="1510">
        <f t="shared" si="150"/>
        <v>0</v>
      </c>
      <c r="P1128" s="1453">
        <f t="shared" si="151"/>
        <v>0</v>
      </c>
    </row>
    <row r="1129" spans="1:16" ht="58" outlineLevel="1" x14ac:dyDescent="0.25">
      <c r="A1129" s="1511">
        <f t="shared" ref="A1129:E1144" si="157">A772</f>
        <v>20.3</v>
      </c>
      <c r="B1129" s="1512" t="str">
        <f t="shared" si="157"/>
        <v>Procurement of VFD up-grade kit for replacement of existing Eddy current clutch drive system.</v>
      </c>
      <c r="C1129" s="1511" t="str">
        <f t="shared" si="157"/>
        <v>MERC/CAPEX/2019-2020/476,
MERC/CAPEX/2019-2020/858</v>
      </c>
      <c r="D1129" s="1378" t="str">
        <f t="shared" si="157"/>
        <v>01-08-2019,
10-10-2019</v>
      </c>
      <c r="E1129" s="1513">
        <f t="shared" si="157"/>
        <v>5.94</v>
      </c>
      <c r="F1129" s="1509">
        <f t="shared" si="148"/>
        <v>5.9323319999999997</v>
      </c>
      <c r="G1129" s="1509">
        <f t="shared" si="149"/>
        <v>5.9323319999999997</v>
      </c>
      <c r="H1129" s="1509">
        <f t="shared" si="152"/>
        <v>0</v>
      </c>
      <c r="I1129" s="1509">
        <v>0</v>
      </c>
      <c r="J1129" s="1509">
        <v>0</v>
      </c>
      <c r="K1129" s="1509"/>
      <c r="L1129" s="1509"/>
      <c r="M1129" s="1509">
        <f t="shared" si="153"/>
        <v>0</v>
      </c>
      <c r="N1129" s="1509">
        <f t="shared" si="154"/>
        <v>0</v>
      </c>
      <c r="O1129" s="1510">
        <f t="shared" si="150"/>
        <v>0</v>
      </c>
      <c r="P1129" s="1453">
        <f t="shared" si="151"/>
        <v>0</v>
      </c>
    </row>
    <row r="1130" spans="1:16" ht="58" outlineLevel="1" x14ac:dyDescent="0.25">
      <c r="A1130" s="1511">
        <f t="shared" si="157"/>
        <v>20.399999999999999</v>
      </c>
      <c r="B1130" s="1512" t="str">
        <f t="shared" si="157"/>
        <v>Supervision of Installation, erection and commissioning for DT-9 &amp; VFD Upgrade system inclusive of travel charges Boarding and lodging.</v>
      </c>
      <c r="C1130" s="1511" t="str">
        <f t="shared" si="157"/>
        <v>MERC/CAPEX/2019-2020/476,
MERC/CAPEX/2019-2020/858</v>
      </c>
      <c r="D1130" s="1378" t="str">
        <f t="shared" si="157"/>
        <v>01-08-2019,
10-10-2019</v>
      </c>
      <c r="E1130" s="1513">
        <f t="shared" si="157"/>
        <v>0.28999999999999998</v>
      </c>
      <c r="F1130" s="1509">
        <f t="shared" si="148"/>
        <v>0.28320000000000001</v>
      </c>
      <c r="G1130" s="1509">
        <f t="shared" si="149"/>
        <v>0.28320000000000001</v>
      </c>
      <c r="H1130" s="1509">
        <f t="shared" si="152"/>
        <v>0</v>
      </c>
      <c r="I1130" s="1509">
        <v>0</v>
      </c>
      <c r="J1130" s="1509">
        <v>0</v>
      </c>
      <c r="K1130" s="1509"/>
      <c r="L1130" s="1509"/>
      <c r="M1130" s="1509">
        <f t="shared" si="153"/>
        <v>0</v>
      </c>
      <c r="N1130" s="1509">
        <f t="shared" si="154"/>
        <v>0</v>
      </c>
      <c r="O1130" s="1510">
        <f t="shared" si="150"/>
        <v>0</v>
      </c>
      <c r="P1130" s="1453">
        <f t="shared" si="151"/>
        <v>0</v>
      </c>
    </row>
    <row r="1131" spans="1:16" ht="58" outlineLevel="1" x14ac:dyDescent="0.25">
      <c r="A1131" s="1511">
        <f t="shared" si="157"/>
        <v>0</v>
      </c>
      <c r="B1131" s="1512" t="str">
        <f t="shared" si="157"/>
        <v>IDC</v>
      </c>
      <c r="C1131" s="1511" t="str">
        <f t="shared" si="157"/>
        <v>MERC/CAPEX/2019-2020/476,
MERC/CAPEX/2019-2020/858</v>
      </c>
      <c r="D1131" s="1378" t="str">
        <f t="shared" si="157"/>
        <v>01-08-2019,
10-10-2019</v>
      </c>
      <c r="E1131" s="1513">
        <f t="shared" si="157"/>
        <v>0.64</v>
      </c>
      <c r="F1131" s="1509">
        <f t="shared" si="148"/>
        <v>0.51657549999999997</v>
      </c>
      <c r="G1131" s="1509">
        <f t="shared" si="149"/>
        <v>0.51657549999999997</v>
      </c>
      <c r="H1131" s="1509">
        <f t="shared" si="152"/>
        <v>0</v>
      </c>
      <c r="I1131" s="1509">
        <v>0</v>
      </c>
      <c r="J1131" s="1509">
        <v>0</v>
      </c>
      <c r="K1131" s="1509"/>
      <c r="L1131" s="1509"/>
      <c r="M1131" s="1509">
        <f t="shared" si="153"/>
        <v>0</v>
      </c>
      <c r="N1131" s="1509">
        <f t="shared" si="154"/>
        <v>0</v>
      </c>
      <c r="O1131" s="1510">
        <f t="shared" si="150"/>
        <v>0</v>
      </c>
      <c r="P1131" s="1453">
        <f t="shared" si="151"/>
        <v>0</v>
      </c>
    </row>
    <row r="1132" spans="1:16" ht="43.5" outlineLevel="1" x14ac:dyDescent="0.25">
      <c r="A1132" s="1506">
        <f t="shared" si="157"/>
        <v>21</v>
      </c>
      <c r="B1132" s="1507" t="str">
        <f t="shared" si="157"/>
        <v>HMI up-gradation of DCS U-6 &amp; U-7 and Procurement of Assemblies for Reducer Gear box SZN-630 &amp; SBN-630 for BBD-4772 (2 x 250 MW) coal mills at Parli TPS</v>
      </c>
      <c r="C1132" s="1506" t="str">
        <f t="shared" si="157"/>
        <v>MERC/CAPEX/2019-2020/854</v>
      </c>
      <c r="D1132" s="1508">
        <f t="shared" si="157"/>
        <v>43748</v>
      </c>
      <c r="E1132" s="1509">
        <f t="shared" si="157"/>
        <v>13.2</v>
      </c>
      <c r="F1132" s="1509">
        <f t="shared" si="148"/>
        <v>0</v>
      </c>
      <c r="G1132" s="1509">
        <f t="shared" si="149"/>
        <v>0</v>
      </c>
      <c r="H1132" s="1509">
        <f t="shared" si="152"/>
        <v>0</v>
      </c>
      <c r="I1132" s="1509">
        <v>0</v>
      </c>
      <c r="J1132" s="1509">
        <v>0</v>
      </c>
      <c r="K1132" s="1509"/>
      <c r="L1132" s="1509"/>
      <c r="M1132" s="1509">
        <f t="shared" si="153"/>
        <v>0</v>
      </c>
      <c r="N1132" s="1509">
        <f t="shared" si="154"/>
        <v>0</v>
      </c>
      <c r="O1132" s="1510">
        <f t="shared" si="150"/>
        <v>0</v>
      </c>
      <c r="P1132" s="1453">
        <f t="shared" si="151"/>
        <v>0</v>
      </c>
    </row>
    <row r="1133" spans="1:16" outlineLevel="1" x14ac:dyDescent="0.25">
      <c r="A1133" s="1511">
        <f t="shared" si="157"/>
        <v>21.1</v>
      </c>
      <c r="B1133" s="1512" t="str">
        <f t="shared" si="157"/>
        <v>Up gradation of MaxDNA DCS system (HMI Up gradation).</v>
      </c>
      <c r="C1133" s="1511" t="str">
        <f t="shared" si="157"/>
        <v>MERC/CAPEX/2019-2020/854</v>
      </c>
      <c r="D1133" s="1378">
        <f t="shared" si="157"/>
        <v>43748</v>
      </c>
      <c r="E1133" s="1513">
        <f t="shared" si="157"/>
        <v>10.49</v>
      </c>
      <c r="F1133" s="1509">
        <f t="shared" si="148"/>
        <v>9.06</v>
      </c>
      <c r="G1133" s="1509">
        <f t="shared" si="149"/>
        <v>9.4502962000000004</v>
      </c>
      <c r="H1133" s="1509">
        <f t="shared" si="152"/>
        <v>-0.39029619999999987</v>
      </c>
      <c r="I1133" s="1509">
        <v>0</v>
      </c>
      <c r="J1133" s="1509">
        <v>0</v>
      </c>
      <c r="K1133" s="1509"/>
      <c r="L1133" s="1509"/>
      <c r="M1133" s="1509">
        <f t="shared" si="153"/>
        <v>0</v>
      </c>
      <c r="N1133" s="1509">
        <f t="shared" si="154"/>
        <v>-0.39029619999999987</v>
      </c>
      <c r="O1133" s="1510">
        <f t="shared" si="150"/>
        <v>0</v>
      </c>
      <c r="P1133" s="1453">
        <f t="shared" si="151"/>
        <v>0</v>
      </c>
    </row>
    <row r="1134" spans="1:16" outlineLevel="1" x14ac:dyDescent="0.25">
      <c r="A1134" s="1511">
        <f t="shared" si="157"/>
        <v>0</v>
      </c>
      <c r="B1134" s="1512" t="str">
        <f t="shared" si="157"/>
        <v>IDC</v>
      </c>
      <c r="C1134" s="1511">
        <f t="shared" si="157"/>
        <v>0</v>
      </c>
      <c r="D1134" s="1378" t="str">
        <f t="shared" si="157"/>
        <v>-</v>
      </c>
      <c r="E1134" s="1513">
        <f t="shared" si="157"/>
        <v>0</v>
      </c>
      <c r="F1134" s="1509">
        <f t="shared" si="148"/>
        <v>0.20089699999999999</v>
      </c>
      <c r="G1134" s="1509">
        <f t="shared" si="149"/>
        <v>0.72855489999999945</v>
      </c>
      <c r="H1134" s="1509">
        <f t="shared" si="152"/>
        <v>-0.52765789999999946</v>
      </c>
      <c r="I1134" s="1509">
        <v>0</v>
      </c>
      <c r="J1134" s="1509">
        <v>0</v>
      </c>
      <c r="K1134" s="1509"/>
      <c r="L1134" s="1509"/>
      <c r="M1134" s="1509">
        <f t="shared" si="153"/>
        <v>0</v>
      </c>
      <c r="N1134" s="1509">
        <f t="shared" si="154"/>
        <v>-0.52765789999999946</v>
      </c>
      <c r="O1134" s="1510"/>
      <c r="P1134" s="1453"/>
    </row>
    <row r="1135" spans="1:16" ht="29" outlineLevel="1" x14ac:dyDescent="0.25">
      <c r="A1135" s="1511">
        <f t="shared" si="157"/>
        <v>21.2</v>
      </c>
      <c r="B1135" s="1512" t="str">
        <f t="shared" si="157"/>
        <v xml:space="preserve">Procurement of Spares for Reducer Gear box SZN-630 for BBD-4772 Coal mills of 250MW at Unit 6 </v>
      </c>
      <c r="C1135" s="1506" t="str">
        <f t="shared" si="157"/>
        <v>MERC/CAPEX/2019-2020/854</v>
      </c>
      <c r="D1135" s="1508">
        <f t="shared" si="157"/>
        <v>43748</v>
      </c>
      <c r="E1135" s="1509">
        <f t="shared" si="157"/>
        <v>1.01</v>
      </c>
      <c r="F1135" s="1509">
        <f t="shared" si="148"/>
        <v>1.0442298999999999</v>
      </c>
      <c r="G1135" s="1509">
        <f t="shared" si="149"/>
        <v>1.0442298999999999</v>
      </c>
      <c r="H1135" s="1509">
        <f t="shared" si="152"/>
        <v>0</v>
      </c>
      <c r="I1135" s="1509">
        <v>0</v>
      </c>
      <c r="J1135" s="1509">
        <v>0</v>
      </c>
      <c r="K1135" s="1509"/>
      <c r="L1135" s="1509"/>
      <c r="M1135" s="1509">
        <f t="shared" si="153"/>
        <v>0</v>
      </c>
      <c r="N1135" s="1509">
        <f t="shared" si="154"/>
        <v>0</v>
      </c>
      <c r="O1135" s="1510">
        <f t="shared" ref="O1135:O1144" si="158">MAX(0,IF(M1135=0,0,IF(G1135+M1135&lt;E1135,M1135,E1135-G1135)))</f>
        <v>0</v>
      </c>
      <c r="P1135" s="1453">
        <f t="shared" ref="P1135:P1144" si="159">M1135-O1135</f>
        <v>0</v>
      </c>
    </row>
    <row r="1136" spans="1:16" ht="29" outlineLevel="1" x14ac:dyDescent="0.25">
      <c r="A1136" s="1511">
        <f t="shared" si="157"/>
        <v>21.3</v>
      </c>
      <c r="B1136" s="1512" t="str">
        <f t="shared" si="157"/>
        <v xml:space="preserve">Procurement of Spares for Reducer Gear box SBN-630 for BBD-4772 Coal mills of 250MW at Unit 7 </v>
      </c>
      <c r="C1136" s="1511" t="str">
        <f t="shared" si="157"/>
        <v>MERC/CAPEX/2019-2020/854</v>
      </c>
      <c r="D1136" s="1378">
        <f t="shared" si="157"/>
        <v>43748</v>
      </c>
      <c r="E1136" s="1513">
        <f t="shared" si="157"/>
        <v>1.7</v>
      </c>
      <c r="F1136" s="1509">
        <f t="shared" si="148"/>
        <v>1.6232219000000001</v>
      </c>
      <c r="G1136" s="1509">
        <f t="shared" si="149"/>
        <v>1.6232219000000001</v>
      </c>
      <c r="H1136" s="1509">
        <f t="shared" si="152"/>
        <v>0</v>
      </c>
      <c r="I1136" s="1509">
        <v>0</v>
      </c>
      <c r="J1136" s="1509">
        <v>0</v>
      </c>
      <c r="K1136" s="1509"/>
      <c r="L1136" s="1509"/>
      <c r="M1136" s="1509">
        <f t="shared" si="153"/>
        <v>0</v>
      </c>
      <c r="N1136" s="1509">
        <f t="shared" si="154"/>
        <v>0</v>
      </c>
      <c r="O1136" s="1510">
        <f t="shared" si="158"/>
        <v>0</v>
      </c>
      <c r="P1136" s="1453">
        <f t="shared" si="159"/>
        <v>0</v>
      </c>
    </row>
    <row r="1137" spans="1:16" outlineLevel="1" x14ac:dyDescent="0.25">
      <c r="A1137" s="1511">
        <f t="shared" si="157"/>
        <v>0</v>
      </c>
      <c r="B1137" s="1512" t="str">
        <f t="shared" si="157"/>
        <v>IDC</v>
      </c>
      <c r="C1137" s="1511" t="str">
        <f t="shared" si="157"/>
        <v>MERC/CAPEX/2019-2020/854</v>
      </c>
      <c r="D1137" s="1378">
        <f t="shared" si="157"/>
        <v>43748</v>
      </c>
      <c r="E1137" s="1513">
        <f t="shared" si="157"/>
        <v>0</v>
      </c>
      <c r="F1137" s="1509">
        <f t="shared" si="148"/>
        <v>0</v>
      </c>
      <c r="G1137" s="1509">
        <f t="shared" si="149"/>
        <v>0</v>
      </c>
      <c r="H1137" s="1509">
        <f t="shared" si="152"/>
        <v>0</v>
      </c>
      <c r="I1137" s="1509">
        <v>0</v>
      </c>
      <c r="J1137" s="1509">
        <v>0</v>
      </c>
      <c r="K1137" s="1509"/>
      <c r="L1137" s="1509"/>
      <c r="M1137" s="1509">
        <f t="shared" si="153"/>
        <v>0</v>
      </c>
      <c r="N1137" s="1509">
        <f t="shared" si="154"/>
        <v>0</v>
      </c>
      <c r="O1137" s="1510">
        <f t="shared" si="158"/>
        <v>0</v>
      </c>
      <c r="P1137" s="1453">
        <f t="shared" si="159"/>
        <v>0</v>
      </c>
    </row>
    <row r="1138" spans="1:16" outlineLevel="1" x14ac:dyDescent="0.25">
      <c r="A1138" s="1506">
        <f t="shared" si="157"/>
        <v>22</v>
      </c>
      <c r="B1138" s="1507" t="str">
        <f t="shared" si="157"/>
        <v>Flue Gas Desulphurization (FGD) System at Unit 6 &amp; 7 Parli TPS</v>
      </c>
      <c r="C1138" s="1506" t="str">
        <f t="shared" si="157"/>
        <v>MERC/CAPEX/2021-2022/0284</v>
      </c>
      <c r="D1138" s="1508">
        <f t="shared" si="157"/>
        <v>44739</v>
      </c>
      <c r="E1138" s="1509">
        <f t="shared" si="157"/>
        <v>145.01688209794372</v>
      </c>
      <c r="F1138" s="1509">
        <f t="shared" si="148"/>
        <v>0</v>
      </c>
      <c r="G1138" s="1509">
        <f t="shared" si="149"/>
        <v>0</v>
      </c>
      <c r="H1138" s="1509">
        <f t="shared" si="152"/>
        <v>0</v>
      </c>
      <c r="I1138" s="1509">
        <v>0</v>
      </c>
      <c r="J1138" s="1509">
        <v>0</v>
      </c>
      <c r="K1138" s="1509"/>
      <c r="L1138" s="1509"/>
      <c r="M1138" s="1509">
        <f t="shared" si="153"/>
        <v>0</v>
      </c>
      <c r="N1138" s="1509">
        <f t="shared" si="154"/>
        <v>0</v>
      </c>
      <c r="O1138" s="1510">
        <f t="shared" si="158"/>
        <v>0</v>
      </c>
      <c r="P1138" s="1453">
        <f t="shared" si="159"/>
        <v>0</v>
      </c>
    </row>
    <row r="1139" spans="1:16" outlineLevel="1" x14ac:dyDescent="0.25">
      <c r="A1139" s="1511">
        <f t="shared" si="157"/>
        <v>22.1</v>
      </c>
      <c r="B1139" s="1512" t="str">
        <f t="shared" si="157"/>
        <v xml:space="preserve">Flue Gas Desulphurization (FGD) System at Unit 6 &amp; 7 Parli TPS                    </v>
      </c>
      <c r="C1139" s="1511" t="str">
        <f t="shared" si="157"/>
        <v>MERC/CAPEX/2021-2022/0284</v>
      </c>
      <c r="D1139" s="1378">
        <f t="shared" si="157"/>
        <v>44739</v>
      </c>
      <c r="E1139" s="1513">
        <f t="shared" si="157"/>
        <v>138.44</v>
      </c>
      <c r="F1139" s="1509">
        <f t="shared" si="148"/>
        <v>154.85509999999999</v>
      </c>
      <c r="G1139" s="1509">
        <f t="shared" si="149"/>
        <v>0</v>
      </c>
      <c r="H1139" s="1509">
        <f t="shared" si="152"/>
        <v>154.85509999999999</v>
      </c>
      <c r="I1139" s="1509">
        <v>0</v>
      </c>
      <c r="J1139" s="1509">
        <v>163.28</v>
      </c>
      <c r="K1139" s="1509"/>
      <c r="L1139" s="1509"/>
      <c r="M1139" s="1509">
        <f t="shared" si="153"/>
        <v>163.28</v>
      </c>
      <c r="N1139" s="1509">
        <f t="shared" si="154"/>
        <v>-8.424900000000008</v>
      </c>
      <c r="O1139" s="1510">
        <f t="shared" si="158"/>
        <v>138.44</v>
      </c>
      <c r="P1139" s="1453">
        <f t="shared" si="159"/>
        <v>24.840000000000003</v>
      </c>
    </row>
    <row r="1140" spans="1:16" outlineLevel="1" x14ac:dyDescent="0.25">
      <c r="A1140" s="1511">
        <f t="shared" si="157"/>
        <v>0</v>
      </c>
      <c r="B1140" s="1512" t="str">
        <f t="shared" si="157"/>
        <v>IDC</v>
      </c>
      <c r="C1140" s="1511" t="str">
        <f t="shared" si="157"/>
        <v>MERC/CAPEX/2021-2022/0284</v>
      </c>
      <c r="D1140" s="1378">
        <f t="shared" si="157"/>
        <v>44739</v>
      </c>
      <c r="E1140" s="1513">
        <f t="shared" si="157"/>
        <v>6.5768820979437104</v>
      </c>
      <c r="F1140" s="1509">
        <f t="shared" si="148"/>
        <v>7.15</v>
      </c>
      <c r="G1140" s="1509">
        <f t="shared" si="149"/>
        <v>0</v>
      </c>
      <c r="H1140" s="1509">
        <f t="shared" si="152"/>
        <v>7.15</v>
      </c>
      <c r="I1140" s="1509">
        <v>0</v>
      </c>
      <c r="J1140" s="1509">
        <v>0</v>
      </c>
      <c r="K1140" s="1509"/>
      <c r="L1140" s="1509"/>
      <c r="M1140" s="1509">
        <f t="shared" si="153"/>
        <v>0</v>
      </c>
      <c r="N1140" s="1509">
        <f t="shared" si="154"/>
        <v>7.15</v>
      </c>
      <c r="O1140" s="1510">
        <f t="shared" si="158"/>
        <v>0</v>
      </c>
      <c r="P1140" s="1453">
        <f t="shared" si="159"/>
        <v>0</v>
      </c>
    </row>
    <row r="1141" spans="1:16" ht="43.5" outlineLevel="1" x14ac:dyDescent="0.25">
      <c r="A1141" s="1506" t="str">
        <f t="shared" si="157"/>
        <v>HO
DPR-5</v>
      </c>
      <c r="B1141" s="1507" t="str">
        <f t="shared" si="157"/>
        <v>Procurement of energy efficient HT motors at Bhusawal TPS, Koradi TPS, Chandrapur TPS, khaperkheda TPS, Parli TPS &amp; Paras TPS as insurance spares</v>
      </c>
      <c r="C1141" s="1506" t="str">
        <f t="shared" si="157"/>
        <v>MERC/TECH 1/CAPEX/20142015/01218</v>
      </c>
      <c r="D1141" s="1508">
        <f t="shared" si="157"/>
        <v>41968</v>
      </c>
      <c r="E1141" s="1509">
        <f t="shared" si="157"/>
        <v>3.05</v>
      </c>
      <c r="F1141" s="1509">
        <f t="shared" si="148"/>
        <v>0</v>
      </c>
      <c r="G1141" s="1509">
        <f t="shared" si="149"/>
        <v>0</v>
      </c>
      <c r="H1141" s="1509">
        <f t="shared" si="152"/>
        <v>0</v>
      </c>
      <c r="I1141" s="1509">
        <v>0</v>
      </c>
      <c r="J1141" s="1509">
        <v>0</v>
      </c>
      <c r="K1141" s="1509"/>
      <c r="L1141" s="1509"/>
      <c r="M1141" s="1509">
        <f t="shared" si="153"/>
        <v>0</v>
      </c>
      <c r="N1141" s="1509">
        <f t="shared" si="154"/>
        <v>0</v>
      </c>
      <c r="O1141" s="1510">
        <f t="shared" si="158"/>
        <v>0</v>
      </c>
      <c r="P1141" s="1453">
        <f t="shared" si="159"/>
        <v>0</v>
      </c>
    </row>
    <row r="1142" spans="1:16" ht="43.5" outlineLevel="1" x14ac:dyDescent="0.25">
      <c r="A1142" s="1511" t="str">
        <f t="shared" si="157"/>
        <v>HO
DPR-5a</v>
      </c>
      <c r="B1142" s="1512" t="str">
        <f t="shared" si="157"/>
        <v>Parli: Procurement of HT Motors (CHP-I Phase and CEP/CW/ACW-II Phase)for NPTPS U-6&amp;7</v>
      </c>
      <c r="C1142" s="1511" t="str">
        <f t="shared" si="157"/>
        <v>MERC/TECH 1/CAPEX/20142015/01218</v>
      </c>
      <c r="D1142" s="1378">
        <f t="shared" si="157"/>
        <v>41968</v>
      </c>
      <c r="E1142" s="1513">
        <f t="shared" si="157"/>
        <v>3.05</v>
      </c>
      <c r="F1142" s="1509">
        <f t="shared" si="148"/>
        <v>1.409902</v>
      </c>
      <c r="G1142" s="1509">
        <f t="shared" si="149"/>
        <v>1.409902</v>
      </c>
      <c r="H1142" s="1509">
        <f t="shared" si="152"/>
        <v>0</v>
      </c>
      <c r="I1142" s="1509">
        <v>0</v>
      </c>
      <c r="J1142" s="1509">
        <v>0</v>
      </c>
      <c r="K1142" s="1509"/>
      <c r="L1142" s="1509"/>
      <c r="M1142" s="1509">
        <f t="shared" si="153"/>
        <v>0</v>
      </c>
      <c r="N1142" s="1509">
        <f t="shared" si="154"/>
        <v>0</v>
      </c>
      <c r="O1142" s="1510">
        <f t="shared" si="158"/>
        <v>0</v>
      </c>
      <c r="P1142" s="1453">
        <f t="shared" si="159"/>
        <v>0</v>
      </c>
    </row>
    <row r="1143" spans="1:16" ht="43.5" outlineLevel="1" x14ac:dyDescent="0.25">
      <c r="A1143" s="1506" t="str">
        <f t="shared" si="157"/>
        <v>HO
DPR-6</v>
      </c>
      <c r="B1143" s="1507" t="str">
        <f t="shared" si="157"/>
        <v>Supply, Installation, Commissioning and Operation &amp; Maintenance Services of Continuous Ambient Air Quality Monitoring Stations (CAAQMS) at various TPS</v>
      </c>
      <c r="C1143" s="1506" t="str">
        <f t="shared" si="157"/>
        <v>MERC/CAPEX/20162017/00423</v>
      </c>
      <c r="D1143" s="1508">
        <f t="shared" si="157"/>
        <v>42585</v>
      </c>
      <c r="E1143" s="1509">
        <f t="shared" si="157"/>
        <v>1.3257526714285699</v>
      </c>
      <c r="F1143" s="1509">
        <f t="shared" si="148"/>
        <v>0</v>
      </c>
      <c r="G1143" s="1509">
        <f t="shared" si="149"/>
        <v>0</v>
      </c>
      <c r="H1143" s="1509">
        <f t="shared" si="152"/>
        <v>0</v>
      </c>
      <c r="I1143" s="1509">
        <v>0</v>
      </c>
      <c r="J1143" s="1509">
        <v>0</v>
      </c>
      <c r="K1143" s="1509"/>
      <c r="L1143" s="1509"/>
      <c r="M1143" s="1509">
        <f t="shared" si="153"/>
        <v>0</v>
      </c>
      <c r="N1143" s="1509">
        <f t="shared" si="154"/>
        <v>0</v>
      </c>
      <c r="O1143" s="1510">
        <f t="shared" si="158"/>
        <v>0</v>
      </c>
      <c r="P1143" s="1453">
        <f t="shared" si="159"/>
        <v>0</v>
      </c>
    </row>
    <row r="1144" spans="1:16" ht="43.5" outlineLevel="1" x14ac:dyDescent="0.25">
      <c r="A1144" s="1511" t="str">
        <f t="shared" si="157"/>
        <v>HO
DPR-6a</v>
      </c>
      <c r="B1144" s="1512" t="str">
        <f t="shared" si="157"/>
        <v>NEW PARLI (U-6 &amp; 7)</v>
      </c>
      <c r="C1144" s="1511" t="str">
        <f t="shared" si="157"/>
        <v>MERC/CAPEX/20162017/00423</v>
      </c>
      <c r="D1144" s="1378">
        <f t="shared" si="157"/>
        <v>42585</v>
      </c>
      <c r="E1144" s="1513">
        <f t="shared" si="157"/>
        <v>1.3257526714285699</v>
      </c>
      <c r="F1144" s="1509">
        <f t="shared" si="148"/>
        <v>0.94127489999999991</v>
      </c>
      <c r="G1144" s="1509">
        <f t="shared" si="149"/>
        <v>0.94127489999999991</v>
      </c>
      <c r="H1144" s="1509">
        <f t="shared" si="152"/>
        <v>0</v>
      </c>
      <c r="I1144" s="1509">
        <v>0</v>
      </c>
      <c r="J1144" s="1509">
        <v>0</v>
      </c>
      <c r="K1144" s="1509"/>
      <c r="L1144" s="1509"/>
      <c r="M1144" s="1509">
        <f t="shared" si="153"/>
        <v>0</v>
      </c>
      <c r="N1144" s="1509">
        <f t="shared" si="154"/>
        <v>0</v>
      </c>
      <c r="O1144" s="1510">
        <f t="shared" si="158"/>
        <v>0</v>
      </c>
      <c r="P1144" s="1453">
        <f t="shared" si="159"/>
        <v>0</v>
      </c>
    </row>
    <row r="1145" spans="1:16" outlineLevel="1" x14ac:dyDescent="0.25">
      <c r="A1145" s="1511">
        <f t="shared" ref="A1145:E1160" si="160">A788</f>
        <v>0</v>
      </c>
      <c r="B1145" s="1512" t="str">
        <f t="shared" si="160"/>
        <v>IDC</v>
      </c>
      <c r="C1145" s="1511">
        <f t="shared" si="160"/>
        <v>0</v>
      </c>
      <c r="D1145" s="1378" t="str">
        <f t="shared" si="160"/>
        <v>-</v>
      </c>
      <c r="E1145" s="1513">
        <f t="shared" si="160"/>
        <v>0</v>
      </c>
      <c r="F1145" s="1509">
        <f t="shared" ref="F1145:F1208" si="161">F788+I788</f>
        <v>3.9603800000000002E-2</v>
      </c>
      <c r="G1145" s="1509">
        <f t="shared" ref="G1145:G1208" si="162">G788+M788</f>
        <v>3.9603800000000002E-2</v>
      </c>
      <c r="H1145" s="1509">
        <f t="shared" si="152"/>
        <v>0</v>
      </c>
      <c r="I1145" s="1509">
        <v>0</v>
      </c>
      <c r="J1145" s="1509">
        <v>0</v>
      </c>
      <c r="K1145" s="1509"/>
      <c r="L1145" s="1509"/>
      <c r="M1145" s="1509">
        <f t="shared" si="153"/>
        <v>0</v>
      </c>
      <c r="N1145" s="1509">
        <f t="shared" si="154"/>
        <v>0</v>
      </c>
      <c r="O1145" s="1510"/>
      <c r="P1145" s="1453"/>
    </row>
    <row r="1146" spans="1:16" ht="43.5" outlineLevel="1" x14ac:dyDescent="0.25">
      <c r="A1146" s="1506" t="str">
        <f t="shared" si="160"/>
        <v>HO
DPR 7</v>
      </c>
      <c r="B1146" s="1507" t="str">
        <f t="shared" si="160"/>
        <v>Installation of Real Time Online Coal-Ash Analyzer at various TPS</v>
      </c>
      <c r="C1146" s="1506" t="str">
        <f t="shared" si="160"/>
        <v>MERC/CAPEX/20162017/00774</v>
      </c>
      <c r="D1146" s="1508">
        <f t="shared" si="160"/>
        <v>42643</v>
      </c>
      <c r="E1146" s="1509">
        <f t="shared" si="160"/>
        <v>7.0965999999999996</v>
      </c>
      <c r="F1146" s="1509">
        <f t="shared" si="161"/>
        <v>0</v>
      </c>
      <c r="G1146" s="1509">
        <f t="shared" si="162"/>
        <v>0</v>
      </c>
      <c r="H1146" s="1509">
        <f t="shared" ref="H1146:H1209" si="163">F1146-G1146</f>
        <v>0</v>
      </c>
      <c r="I1146" s="1509">
        <v>0</v>
      </c>
      <c r="J1146" s="1509">
        <v>0</v>
      </c>
      <c r="K1146" s="1509"/>
      <c r="L1146" s="1509"/>
      <c r="M1146" s="1509">
        <f t="shared" ref="M1146:M1209" si="164">SUM(J1146:L1146)</f>
        <v>0</v>
      </c>
      <c r="N1146" s="1509">
        <f t="shared" ref="N1146:N1209" si="165">H1146+I1146-M1146</f>
        <v>0</v>
      </c>
      <c r="O1146" s="1510">
        <f t="shared" ref="O1146:O1155" si="166">MAX(0,IF(M1146=0,0,IF(G1146+M1146&lt;E1146,M1146,E1146-G1146)))</f>
        <v>0</v>
      </c>
      <c r="P1146" s="1453">
        <f t="shared" ref="P1146:P1155" si="167">M1146-O1146</f>
        <v>0</v>
      </c>
    </row>
    <row r="1147" spans="1:16" ht="43.5" outlineLevel="1" x14ac:dyDescent="0.25">
      <c r="A1147" s="1511" t="str">
        <f t="shared" si="160"/>
        <v>HO
DPR 7a</v>
      </c>
      <c r="B1147" s="1512" t="str">
        <f t="shared" si="160"/>
        <v>NEW PARLI (U-6 &amp; 7)</v>
      </c>
      <c r="C1147" s="1511" t="str">
        <f t="shared" si="160"/>
        <v>MERC/CAPEX/20162017/00774</v>
      </c>
      <c r="D1147" s="1378">
        <f t="shared" si="160"/>
        <v>42643</v>
      </c>
      <c r="E1147" s="1513">
        <f t="shared" si="160"/>
        <v>7.0965999999999996</v>
      </c>
      <c r="F1147" s="1509">
        <f t="shared" si="161"/>
        <v>0</v>
      </c>
      <c r="G1147" s="1509">
        <f t="shared" si="162"/>
        <v>0</v>
      </c>
      <c r="H1147" s="1509">
        <f t="shared" si="163"/>
        <v>0</v>
      </c>
      <c r="I1147" s="1509">
        <v>0</v>
      </c>
      <c r="J1147" s="1509">
        <v>0</v>
      </c>
      <c r="K1147" s="1509"/>
      <c r="L1147" s="1509"/>
      <c r="M1147" s="1509">
        <f t="shared" si="164"/>
        <v>0</v>
      </c>
      <c r="N1147" s="1509">
        <f t="shared" si="165"/>
        <v>0</v>
      </c>
      <c r="O1147" s="1510">
        <f t="shared" si="166"/>
        <v>0</v>
      </c>
      <c r="P1147" s="1453">
        <f t="shared" si="167"/>
        <v>0</v>
      </c>
    </row>
    <row r="1148" spans="1:16" ht="43.5" outlineLevel="1" x14ac:dyDescent="0.25">
      <c r="A1148" s="1506" t="str">
        <f t="shared" si="160"/>
        <v>HO
DPR 8</v>
      </c>
      <c r="B1148" s="1507" t="str">
        <f t="shared" si="160"/>
        <v>Replacement of Fire Tenders at Various Power Stations of Mahagenco</v>
      </c>
      <c r="C1148" s="1506" t="str">
        <f t="shared" si="160"/>
        <v>MERC/CAPEX/20172018/4653</v>
      </c>
      <c r="D1148" s="1508">
        <f t="shared" si="160"/>
        <v>43052</v>
      </c>
      <c r="E1148" s="1509">
        <f t="shared" si="160"/>
        <v>3.97</v>
      </c>
      <c r="F1148" s="1509">
        <f t="shared" si="161"/>
        <v>0</v>
      </c>
      <c r="G1148" s="1509">
        <f t="shared" si="162"/>
        <v>0</v>
      </c>
      <c r="H1148" s="1509">
        <f t="shared" si="163"/>
        <v>0</v>
      </c>
      <c r="I1148" s="1509">
        <v>0</v>
      </c>
      <c r="J1148" s="1509">
        <v>0</v>
      </c>
      <c r="K1148" s="1509"/>
      <c r="L1148" s="1509"/>
      <c r="M1148" s="1509">
        <f t="shared" si="164"/>
        <v>0</v>
      </c>
      <c r="N1148" s="1509">
        <f t="shared" si="165"/>
        <v>0</v>
      </c>
      <c r="O1148" s="1510">
        <f t="shared" si="166"/>
        <v>0</v>
      </c>
      <c r="P1148" s="1453">
        <f t="shared" si="167"/>
        <v>0</v>
      </c>
    </row>
    <row r="1149" spans="1:16" ht="43.5" outlineLevel="1" x14ac:dyDescent="0.25">
      <c r="A1149" s="1511" t="str">
        <f t="shared" si="160"/>
        <v>HO
DPR 8.1</v>
      </c>
      <c r="B1149" s="1512" t="str">
        <f t="shared" si="160"/>
        <v>Advance Multipurpose Fire Tender for Parli 6-7</v>
      </c>
      <c r="C1149" s="1511" t="str">
        <f t="shared" si="160"/>
        <v>MERC/CAPEX/20172018/4653</v>
      </c>
      <c r="D1149" s="1378">
        <f t="shared" si="160"/>
        <v>43052</v>
      </c>
      <c r="E1149" s="1513">
        <f t="shared" si="160"/>
        <v>2.72</v>
      </c>
      <c r="F1149" s="1509">
        <f t="shared" si="161"/>
        <v>1.7765</v>
      </c>
      <c r="G1149" s="1509">
        <f t="shared" si="162"/>
        <v>1.7765</v>
      </c>
      <c r="H1149" s="1509">
        <f t="shared" si="163"/>
        <v>0</v>
      </c>
      <c r="I1149" s="1509">
        <v>0</v>
      </c>
      <c r="J1149" s="1509">
        <v>0</v>
      </c>
      <c r="K1149" s="1509"/>
      <c r="L1149" s="1509"/>
      <c r="M1149" s="1509">
        <f t="shared" si="164"/>
        <v>0</v>
      </c>
      <c r="N1149" s="1509">
        <f t="shared" si="165"/>
        <v>0</v>
      </c>
      <c r="O1149" s="1510">
        <f t="shared" si="166"/>
        <v>0</v>
      </c>
      <c r="P1149" s="1453">
        <f t="shared" si="167"/>
        <v>0</v>
      </c>
    </row>
    <row r="1150" spans="1:16" ht="43.5" outlineLevel="1" x14ac:dyDescent="0.25">
      <c r="A1150" s="1511" t="str">
        <f t="shared" si="160"/>
        <v>HO
DPR 8.2</v>
      </c>
      <c r="B1150" s="1512" t="str">
        <f t="shared" si="160"/>
        <v>Normal Multipurpose Fire Tender Parli 6-7</v>
      </c>
      <c r="C1150" s="1511" t="str">
        <f t="shared" si="160"/>
        <v>MERC/CAPEX/20172018/4653</v>
      </c>
      <c r="D1150" s="1378">
        <f t="shared" si="160"/>
        <v>43052</v>
      </c>
      <c r="E1150" s="1513">
        <f t="shared" si="160"/>
        <v>1.25</v>
      </c>
      <c r="F1150" s="1509">
        <f t="shared" si="161"/>
        <v>0</v>
      </c>
      <c r="G1150" s="1509">
        <f t="shared" si="162"/>
        <v>0</v>
      </c>
      <c r="H1150" s="1509">
        <f t="shared" si="163"/>
        <v>0</v>
      </c>
      <c r="I1150" s="1509">
        <v>0</v>
      </c>
      <c r="J1150" s="1509">
        <v>0</v>
      </c>
      <c r="K1150" s="1509"/>
      <c r="L1150" s="1509"/>
      <c r="M1150" s="1509">
        <f t="shared" si="164"/>
        <v>0</v>
      </c>
      <c r="N1150" s="1509">
        <f t="shared" si="165"/>
        <v>0</v>
      </c>
      <c r="O1150" s="1510">
        <f t="shared" si="166"/>
        <v>0</v>
      </c>
      <c r="P1150" s="1453">
        <f t="shared" si="167"/>
        <v>0</v>
      </c>
    </row>
    <row r="1151" spans="1:16" outlineLevel="1" x14ac:dyDescent="0.25">
      <c r="A1151" s="1511">
        <f t="shared" si="160"/>
        <v>0</v>
      </c>
      <c r="B1151" s="1512" t="str">
        <f t="shared" si="160"/>
        <v>IDC</v>
      </c>
      <c r="C1151" s="1511" t="str">
        <f t="shared" si="160"/>
        <v>MERC/CAPEX/20172018/4653</v>
      </c>
      <c r="D1151" s="1378">
        <f t="shared" si="160"/>
        <v>43052</v>
      </c>
      <c r="E1151" s="1513">
        <f t="shared" si="160"/>
        <v>0</v>
      </c>
      <c r="F1151" s="1509">
        <f t="shared" si="161"/>
        <v>0</v>
      </c>
      <c r="G1151" s="1509">
        <f t="shared" si="162"/>
        <v>0</v>
      </c>
      <c r="H1151" s="1509">
        <f t="shared" si="163"/>
        <v>0</v>
      </c>
      <c r="I1151" s="1509">
        <v>0</v>
      </c>
      <c r="J1151" s="1509">
        <v>0</v>
      </c>
      <c r="K1151" s="1509"/>
      <c r="L1151" s="1509"/>
      <c r="M1151" s="1509">
        <f t="shared" si="164"/>
        <v>0</v>
      </c>
      <c r="N1151" s="1509">
        <f t="shared" si="165"/>
        <v>0</v>
      </c>
      <c r="O1151" s="1510">
        <f t="shared" si="166"/>
        <v>0</v>
      </c>
      <c r="P1151" s="1453">
        <f t="shared" si="167"/>
        <v>0</v>
      </c>
    </row>
    <row r="1152" spans="1:16" ht="43.5" outlineLevel="1" x14ac:dyDescent="0.25">
      <c r="A1152" s="1506" t="str">
        <f t="shared" si="160"/>
        <v>HO
DPR 10</v>
      </c>
      <c r="B1152" s="1507" t="str">
        <f t="shared" si="160"/>
        <v>Implementation of IB recommendations- Civil works at various TPS of Mahagenco</v>
      </c>
      <c r="C1152" s="1506" t="str">
        <f t="shared" si="160"/>
        <v>MERC/CAPEX/20172018/0177</v>
      </c>
      <c r="D1152" s="1508">
        <f t="shared" si="160"/>
        <v>43137</v>
      </c>
      <c r="E1152" s="1509">
        <f t="shared" si="160"/>
        <v>2.36</v>
      </c>
      <c r="F1152" s="1509">
        <f t="shared" si="161"/>
        <v>0</v>
      </c>
      <c r="G1152" s="1509">
        <f t="shared" si="162"/>
        <v>0</v>
      </c>
      <c r="H1152" s="1509">
        <f t="shared" si="163"/>
        <v>0</v>
      </c>
      <c r="I1152" s="1509">
        <v>0</v>
      </c>
      <c r="J1152" s="1509">
        <v>0</v>
      </c>
      <c r="K1152" s="1509"/>
      <c r="L1152" s="1509"/>
      <c r="M1152" s="1509">
        <f t="shared" si="164"/>
        <v>0</v>
      </c>
      <c r="N1152" s="1509">
        <f t="shared" si="165"/>
        <v>0</v>
      </c>
      <c r="O1152" s="1510">
        <f t="shared" si="166"/>
        <v>0</v>
      </c>
      <c r="P1152" s="1453">
        <f t="shared" si="167"/>
        <v>0</v>
      </c>
    </row>
    <row r="1153" spans="1:16" ht="43.5" outlineLevel="1" x14ac:dyDescent="0.25">
      <c r="A1153" s="1511" t="str">
        <f t="shared" si="160"/>
        <v>HO
DPR 10a</v>
      </c>
      <c r="B1153" s="1512" t="str">
        <f t="shared" si="160"/>
        <v>NEW PARLI (U-6 &amp; 7)</v>
      </c>
      <c r="C1153" s="1511" t="str">
        <f t="shared" si="160"/>
        <v>MERC/CAPEX/20172018/0177</v>
      </c>
      <c r="D1153" s="1378">
        <f t="shared" si="160"/>
        <v>43137</v>
      </c>
      <c r="E1153" s="1513">
        <f t="shared" si="160"/>
        <v>2.36</v>
      </c>
      <c r="F1153" s="1509">
        <f t="shared" si="161"/>
        <v>1.584952667</v>
      </c>
      <c r="G1153" s="1509">
        <f t="shared" si="162"/>
        <v>1.584952667</v>
      </c>
      <c r="H1153" s="1509">
        <f t="shared" si="163"/>
        <v>0</v>
      </c>
      <c r="I1153" s="1509">
        <v>1</v>
      </c>
      <c r="J1153" s="1509">
        <v>1</v>
      </c>
      <c r="K1153" s="1509"/>
      <c r="L1153" s="1509"/>
      <c r="M1153" s="1509">
        <f t="shared" si="164"/>
        <v>1</v>
      </c>
      <c r="N1153" s="1509">
        <f t="shared" si="165"/>
        <v>0</v>
      </c>
      <c r="O1153" s="1510">
        <f t="shared" si="166"/>
        <v>0.77504733299999984</v>
      </c>
      <c r="P1153" s="1453">
        <f t="shared" si="167"/>
        <v>0.22495266700000016</v>
      </c>
    </row>
    <row r="1154" spans="1:16" ht="43.5" outlineLevel="1" x14ac:dyDescent="0.25">
      <c r="A1154" s="1506" t="str">
        <f t="shared" si="160"/>
        <v>HO
DPR 15</v>
      </c>
      <c r="B1154" s="1507" t="str">
        <f t="shared" si="160"/>
        <v>Procurement &amp; Replacement of Complete Sets of Air Pre-heater Baskets at Nashik, Parli &amp; Chandrapur TPS of Mahagenco</v>
      </c>
      <c r="C1154" s="1506" t="str">
        <f t="shared" si="160"/>
        <v>MERC/CAPEX/2019-2020/643</v>
      </c>
      <c r="D1154" s="1508">
        <f t="shared" si="160"/>
        <v>43703</v>
      </c>
      <c r="E1154" s="1509">
        <f t="shared" si="160"/>
        <v>2.12</v>
      </c>
      <c r="F1154" s="1509">
        <f t="shared" si="161"/>
        <v>0</v>
      </c>
      <c r="G1154" s="1509">
        <f t="shared" si="162"/>
        <v>0</v>
      </c>
      <c r="H1154" s="1509">
        <f t="shared" si="163"/>
        <v>0</v>
      </c>
      <c r="I1154" s="1509">
        <v>0</v>
      </c>
      <c r="J1154" s="1509">
        <v>0</v>
      </c>
      <c r="K1154" s="1509"/>
      <c r="L1154" s="1509"/>
      <c r="M1154" s="1509">
        <f t="shared" si="164"/>
        <v>0</v>
      </c>
      <c r="N1154" s="1509">
        <f t="shared" si="165"/>
        <v>0</v>
      </c>
      <c r="O1154" s="1510">
        <f t="shared" si="166"/>
        <v>0</v>
      </c>
      <c r="P1154" s="1453">
        <f t="shared" si="167"/>
        <v>0</v>
      </c>
    </row>
    <row r="1155" spans="1:16" ht="43.5" outlineLevel="1" x14ac:dyDescent="0.25">
      <c r="A1155" s="1511" t="str">
        <f t="shared" si="160"/>
        <v>HO
DPR 15a</v>
      </c>
      <c r="B1155" s="1512" t="str">
        <f t="shared" si="160"/>
        <v>Procurement and Replacement of Complete sets of assembly of baskets for air preheater of type tri-sector APH 27 VI(T) 74” in NTPS unit no. 4 &amp; 5 (210MW). (2 Sets Per Unit)</v>
      </c>
      <c r="C1155" s="1511" t="str">
        <f t="shared" si="160"/>
        <v>MERC/CAPEX/2019-2020/643</v>
      </c>
      <c r="D1155" s="1378">
        <f t="shared" si="160"/>
        <v>43703</v>
      </c>
      <c r="E1155" s="1513">
        <f t="shared" si="160"/>
        <v>2.12</v>
      </c>
      <c r="F1155" s="1509">
        <f t="shared" si="161"/>
        <v>2.4580069300000003</v>
      </c>
      <c r="G1155" s="1509">
        <f t="shared" si="162"/>
        <v>2.4580069300000003</v>
      </c>
      <c r="H1155" s="1509">
        <f t="shared" si="163"/>
        <v>0</v>
      </c>
      <c r="I1155" s="1509">
        <v>0</v>
      </c>
      <c r="J1155" s="1509">
        <v>0</v>
      </c>
      <c r="K1155" s="1509"/>
      <c r="L1155" s="1509"/>
      <c r="M1155" s="1509">
        <f t="shared" si="164"/>
        <v>0</v>
      </c>
      <c r="N1155" s="1509">
        <f t="shared" si="165"/>
        <v>0</v>
      </c>
      <c r="O1155" s="1510">
        <f t="shared" si="166"/>
        <v>0</v>
      </c>
      <c r="P1155" s="1453">
        <f t="shared" si="167"/>
        <v>0</v>
      </c>
    </row>
    <row r="1156" spans="1:16" ht="43.5" outlineLevel="1" x14ac:dyDescent="0.25">
      <c r="A1156" s="1511" t="str">
        <f t="shared" si="160"/>
        <v>HO
DPR 16</v>
      </c>
      <c r="B1156" s="1512" t="str">
        <f t="shared" si="160"/>
        <v>Construction of new Administrative Building for Mahagenco at Vidyut Bhawan, Katol Road, Nagpur</v>
      </c>
      <c r="C1156" s="1511" t="str">
        <f t="shared" si="160"/>
        <v>MERC/CAPEX/2021-2022/MSPGCL/063</v>
      </c>
      <c r="D1156" s="1378">
        <f t="shared" si="160"/>
        <v>44604</v>
      </c>
      <c r="E1156" s="1513">
        <f t="shared" si="160"/>
        <v>57</v>
      </c>
      <c r="F1156" s="1509">
        <f t="shared" si="161"/>
        <v>0</v>
      </c>
      <c r="G1156" s="1509">
        <f t="shared" si="162"/>
        <v>0</v>
      </c>
      <c r="H1156" s="1509">
        <f t="shared" si="163"/>
        <v>0</v>
      </c>
      <c r="I1156" s="1509">
        <v>0</v>
      </c>
      <c r="J1156" s="1509">
        <v>0</v>
      </c>
      <c r="K1156" s="1509"/>
      <c r="L1156" s="1509"/>
      <c r="M1156" s="1509">
        <f t="shared" si="164"/>
        <v>0</v>
      </c>
      <c r="N1156" s="1509">
        <f t="shared" si="165"/>
        <v>0</v>
      </c>
      <c r="O1156" s="1510"/>
      <c r="P1156" s="1453"/>
    </row>
    <row r="1157" spans="1:16" ht="43.5" outlineLevel="1" x14ac:dyDescent="0.25">
      <c r="A1157" s="1511" t="str">
        <f t="shared" si="160"/>
        <v>HO
DPR 16.1</v>
      </c>
      <c r="B1157" s="1512" t="str">
        <f t="shared" si="160"/>
        <v>Construction of new Administrative Building for Mahagenco at Vidyut Bhawan, Katol Road, Nagpur</v>
      </c>
      <c r="C1157" s="1511" t="str">
        <f t="shared" si="160"/>
        <v>MERC/CAPEX/2021-2022/MSPGCL/063</v>
      </c>
      <c r="D1157" s="1378">
        <f t="shared" si="160"/>
        <v>44604</v>
      </c>
      <c r="E1157" s="1513">
        <f t="shared" si="160"/>
        <v>54.24</v>
      </c>
      <c r="F1157" s="1509">
        <f t="shared" si="161"/>
        <v>0</v>
      </c>
      <c r="G1157" s="1509">
        <f t="shared" si="162"/>
        <v>0</v>
      </c>
      <c r="H1157" s="1509">
        <f t="shared" si="163"/>
        <v>0</v>
      </c>
      <c r="I1157" s="1509">
        <v>0</v>
      </c>
      <c r="J1157" s="1509">
        <v>0</v>
      </c>
      <c r="K1157" s="1509"/>
      <c r="L1157" s="1509"/>
      <c r="M1157" s="1509">
        <f t="shared" si="164"/>
        <v>0</v>
      </c>
      <c r="N1157" s="1509">
        <f t="shared" si="165"/>
        <v>0</v>
      </c>
      <c r="O1157" s="1510"/>
      <c r="P1157" s="1453"/>
    </row>
    <row r="1158" spans="1:16" outlineLevel="1" x14ac:dyDescent="0.25">
      <c r="A1158" s="1511">
        <f t="shared" si="160"/>
        <v>0</v>
      </c>
      <c r="B1158" s="1512" t="str">
        <f t="shared" si="160"/>
        <v>IDC</v>
      </c>
      <c r="C1158" s="1511" t="str">
        <f t="shared" si="160"/>
        <v>MERC/CAPEX/2021-2022/MSPGCL/063</v>
      </c>
      <c r="D1158" s="1378">
        <f t="shared" si="160"/>
        <v>44604</v>
      </c>
      <c r="E1158" s="1513">
        <f t="shared" si="160"/>
        <v>2.76</v>
      </c>
      <c r="F1158" s="1509">
        <f t="shared" si="161"/>
        <v>0</v>
      </c>
      <c r="G1158" s="1509">
        <f t="shared" si="162"/>
        <v>0</v>
      </c>
      <c r="H1158" s="1509">
        <f t="shared" si="163"/>
        <v>0</v>
      </c>
      <c r="I1158" s="1509">
        <v>0</v>
      </c>
      <c r="J1158" s="1509">
        <v>0</v>
      </c>
      <c r="K1158" s="1509"/>
      <c r="L1158" s="1509"/>
      <c r="M1158" s="1509">
        <f t="shared" si="164"/>
        <v>0</v>
      </c>
      <c r="N1158" s="1509">
        <f t="shared" si="165"/>
        <v>0</v>
      </c>
      <c r="O1158" s="1510"/>
      <c r="P1158" s="1453"/>
    </row>
    <row r="1159" spans="1:16" ht="43.5" outlineLevel="1" x14ac:dyDescent="0.25">
      <c r="A1159" s="1511" t="str">
        <f t="shared" si="160"/>
        <v>HO
DPR 17</v>
      </c>
      <c r="B1159" s="1512" t="str">
        <f t="shared" si="160"/>
        <v>Centralized Monitoring Solution</v>
      </c>
      <c r="C1159" s="1511" t="str">
        <f t="shared" si="160"/>
        <v>MERC/CAPEX/MSPGCL/2023-24/0576</v>
      </c>
      <c r="D1159" s="1378">
        <f t="shared" si="160"/>
        <v>45232</v>
      </c>
      <c r="E1159" s="1513">
        <f t="shared" si="160"/>
        <v>69.308999999999997</v>
      </c>
      <c r="F1159" s="1509">
        <f t="shared" si="161"/>
        <v>0</v>
      </c>
      <c r="G1159" s="1509">
        <f t="shared" si="162"/>
        <v>0</v>
      </c>
      <c r="H1159" s="1509">
        <f t="shared" si="163"/>
        <v>0</v>
      </c>
      <c r="I1159" s="1509">
        <v>0</v>
      </c>
      <c r="J1159" s="1509">
        <v>0</v>
      </c>
      <c r="K1159" s="1509"/>
      <c r="L1159" s="1509"/>
      <c r="M1159" s="1509">
        <f t="shared" si="164"/>
        <v>0</v>
      </c>
      <c r="N1159" s="1509">
        <f t="shared" si="165"/>
        <v>0</v>
      </c>
      <c r="O1159" s="1510"/>
      <c r="P1159" s="1453"/>
    </row>
    <row r="1160" spans="1:16" ht="43.5" outlineLevel="1" x14ac:dyDescent="0.25">
      <c r="A1160" s="1511" t="str">
        <f t="shared" si="160"/>
        <v>HO
DPR 17.1</v>
      </c>
      <c r="B1160" s="1512" t="str">
        <f t="shared" si="160"/>
        <v>Centralized Monitoring Solution</v>
      </c>
      <c r="C1160" s="1511" t="str">
        <f t="shared" si="160"/>
        <v>MERC/CAPEX/MSPGCL/2023-24/0576</v>
      </c>
      <c r="D1160" s="1378">
        <f t="shared" si="160"/>
        <v>45232</v>
      </c>
      <c r="E1160" s="1513">
        <f t="shared" si="160"/>
        <v>66.009</v>
      </c>
      <c r="F1160" s="1509">
        <f t="shared" si="161"/>
        <v>4.46</v>
      </c>
      <c r="G1160" s="1509">
        <f t="shared" si="162"/>
        <v>4.46</v>
      </c>
      <c r="H1160" s="1509">
        <f t="shared" si="163"/>
        <v>0</v>
      </c>
      <c r="I1160" s="1509">
        <v>0</v>
      </c>
      <c r="J1160" s="1509">
        <v>0</v>
      </c>
      <c r="K1160" s="1509"/>
      <c r="L1160" s="1509"/>
      <c r="M1160" s="1509">
        <f t="shared" si="164"/>
        <v>0</v>
      </c>
      <c r="N1160" s="1509">
        <f t="shared" si="165"/>
        <v>0</v>
      </c>
      <c r="O1160" s="1510"/>
      <c r="P1160" s="1453"/>
    </row>
    <row r="1161" spans="1:16" outlineLevel="1" x14ac:dyDescent="0.25">
      <c r="A1161" s="1511">
        <f t="shared" ref="A1161:E1176" si="168">A804</f>
        <v>0</v>
      </c>
      <c r="B1161" s="1512" t="str">
        <f t="shared" si="168"/>
        <v>IDC</v>
      </c>
      <c r="C1161" s="1511" t="str">
        <f t="shared" si="168"/>
        <v>MERC/CAPEX/MSPGCL/2023-24/0576</v>
      </c>
      <c r="D1161" s="1378">
        <f t="shared" si="168"/>
        <v>45232</v>
      </c>
      <c r="E1161" s="1513">
        <f t="shared" si="168"/>
        <v>3.3</v>
      </c>
      <c r="F1161" s="1509">
        <f t="shared" si="161"/>
        <v>0</v>
      </c>
      <c r="G1161" s="1509">
        <f t="shared" si="162"/>
        <v>0</v>
      </c>
      <c r="H1161" s="1509">
        <f t="shared" si="163"/>
        <v>0</v>
      </c>
      <c r="I1161" s="1509">
        <v>0</v>
      </c>
      <c r="J1161" s="1509">
        <v>0</v>
      </c>
      <c r="K1161" s="1509"/>
      <c r="L1161" s="1509"/>
      <c r="M1161" s="1509">
        <f t="shared" si="164"/>
        <v>0</v>
      </c>
      <c r="N1161" s="1509">
        <f t="shared" si="165"/>
        <v>0</v>
      </c>
      <c r="O1161" s="1510"/>
      <c r="P1161" s="1453"/>
    </row>
    <row r="1162" spans="1:16" ht="29" outlineLevel="1" x14ac:dyDescent="0.25">
      <c r="A1162" s="1506">
        <f t="shared" si="168"/>
        <v>23</v>
      </c>
      <c r="B1162" s="1507" t="str">
        <f t="shared" si="168"/>
        <v>Coal Handling Plant Environment Improvement Schemes at U-6&amp;7 CHP (2X250MW) Parli TPS</v>
      </c>
      <c r="C1162" s="1506" t="str">
        <f t="shared" si="168"/>
        <v>Yet to be approve</v>
      </c>
      <c r="D1162" s="1378" t="str">
        <f t="shared" si="168"/>
        <v>-</v>
      </c>
      <c r="E1162" s="1513">
        <f t="shared" si="168"/>
        <v>0</v>
      </c>
      <c r="F1162" s="1509">
        <f t="shared" si="161"/>
        <v>0</v>
      </c>
      <c r="G1162" s="1509">
        <f t="shared" si="162"/>
        <v>0</v>
      </c>
      <c r="H1162" s="1509">
        <f t="shared" si="163"/>
        <v>0</v>
      </c>
      <c r="I1162" s="1509">
        <v>0</v>
      </c>
      <c r="J1162" s="1509">
        <v>0</v>
      </c>
      <c r="K1162" s="1509"/>
      <c r="L1162" s="1509"/>
      <c r="M1162" s="1509">
        <f t="shared" si="164"/>
        <v>0</v>
      </c>
      <c r="N1162" s="1509">
        <f t="shared" si="165"/>
        <v>0</v>
      </c>
      <c r="O1162" s="1510">
        <f t="shared" ref="O1162:O1170" si="169">MAX(0,IF(M1162=0,0,IF(G1162+M1162&lt;E1162,M1162,E1162-G1162)))</f>
        <v>0</v>
      </c>
      <c r="P1162" s="1453">
        <f t="shared" ref="P1162:P1170" si="170">M1162-O1162</f>
        <v>0</v>
      </c>
    </row>
    <row r="1163" spans="1:16" ht="43.5" outlineLevel="1" x14ac:dyDescent="0.25">
      <c r="A1163" s="1511">
        <f t="shared" si="168"/>
        <v>23.1</v>
      </c>
      <c r="B1163" s="1515" t="str">
        <f t="shared" si="168"/>
        <v>Scheme-1: Design, Engineering, Manufacturing, Supply, Installation and Commissioning of Dedusting System ( Dust Extraction System) for Crusher House and Bunker House at  Unit -6 &amp; 7 at CHP Parli  TPS.</v>
      </c>
      <c r="C1163" s="1511" t="str">
        <f t="shared" si="168"/>
        <v>Yet to be approve</v>
      </c>
      <c r="D1163" s="1378" t="str">
        <f t="shared" si="168"/>
        <v>-</v>
      </c>
      <c r="E1163" s="1513">
        <f t="shared" si="168"/>
        <v>0</v>
      </c>
      <c r="F1163" s="1509">
        <f t="shared" si="161"/>
        <v>12.96</v>
      </c>
      <c r="G1163" s="1509">
        <f t="shared" si="162"/>
        <v>12.96</v>
      </c>
      <c r="H1163" s="1509">
        <f t="shared" si="163"/>
        <v>0</v>
      </c>
      <c r="I1163" s="1509">
        <v>0</v>
      </c>
      <c r="J1163" s="1509">
        <v>0</v>
      </c>
      <c r="K1163" s="1509"/>
      <c r="L1163" s="1509"/>
      <c r="M1163" s="1509">
        <f t="shared" si="164"/>
        <v>0</v>
      </c>
      <c r="N1163" s="1509">
        <f t="shared" si="165"/>
        <v>0</v>
      </c>
      <c r="O1163" s="1510">
        <f t="shared" si="169"/>
        <v>0</v>
      </c>
      <c r="P1163" s="1453">
        <f t="shared" si="170"/>
        <v>0</v>
      </c>
    </row>
    <row r="1164" spans="1:16" ht="43.5" outlineLevel="1" x14ac:dyDescent="0.25">
      <c r="A1164" s="1511">
        <f t="shared" si="168"/>
        <v>23.2</v>
      </c>
      <c r="B1164" s="1515" t="str">
        <f t="shared" si="168"/>
        <v>Scheme-2: Supply, Installation, Erection &amp; Commissioning of medium velocity water spray dust suppression system at CHP U-6/7 coal yard Crusher house &amp; Link Conveyor at Parli TPS.</v>
      </c>
      <c r="C1164" s="1511" t="str">
        <f t="shared" si="168"/>
        <v>Yet to be approve</v>
      </c>
      <c r="D1164" s="1378" t="str">
        <f t="shared" si="168"/>
        <v>-</v>
      </c>
      <c r="E1164" s="1513">
        <f t="shared" si="168"/>
        <v>0</v>
      </c>
      <c r="F1164" s="1509">
        <f t="shared" si="161"/>
        <v>3.52</v>
      </c>
      <c r="G1164" s="1509">
        <f t="shared" si="162"/>
        <v>3.52</v>
      </c>
      <c r="H1164" s="1509">
        <f t="shared" si="163"/>
        <v>0</v>
      </c>
      <c r="I1164" s="1509">
        <v>0</v>
      </c>
      <c r="J1164" s="1509">
        <v>0</v>
      </c>
      <c r="K1164" s="1509"/>
      <c r="L1164" s="1509"/>
      <c r="M1164" s="1509">
        <f t="shared" si="164"/>
        <v>0</v>
      </c>
      <c r="N1164" s="1509">
        <f t="shared" si="165"/>
        <v>0</v>
      </c>
      <c r="O1164" s="1510">
        <f t="shared" si="169"/>
        <v>0</v>
      </c>
      <c r="P1164" s="1453">
        <f t="shared" si="170"/>
        <v>0</v>
      </c>
    </row>
    <row r="1165" spans="1:16" ht="58" outlineLevel="1" x14ac:dyDescent="0.25">
      <c r="A1165" s="1511">
        <f t="shared" si="168"/>
        <v>23.3</v>
      </c>
      <c r="B1165" s="1515" t="str">
        <f t="shared" si="168"/>
        <v>Scheme-3: Supply, Installation, Commissioning of Fire Hydrant &amp; Spray line above ground around  stacker yard and crusher house, wagon tippler through conveyor belt with DV &amp; DV Shed at CHP U-6/7.</v>
      </c>
      <c r="C1165" s="1506" t="str">
        <f t="shared" si="168"/>
        <v>Yet to be approve</v>
      </c>
      <c r="D1165" s="1378" t="str">
        <f t="shared" si="168"/>
        <v>-</v>
      </c>
      <c r="E1165" s="1513">
        <f t="shared" si="168"/>
        <v>0</v>
      </c>
      <c r="F1165" s="1509">
        <f t="shared" si="161"/>
        <v>3.54</v>
      </c>
      <c r="G1165" s="1509">
        <f t="shared" si="162"/>
        <v>3.54</v>
      </c>
      <c r="H1165" s="1509">
        <f t="shared" si="163"/>
        <v>0</v>
      </c>
      <c r="I1165" s="1509">
        <v>0</v>
      </c>
      <c r="J1165" s="1509">
        <v>0</v>
      </c>
      <c r="K1165" s="1509"/>
      <c r="L1165" s="1509"/>
      <c r="M1165" s="1509">
        <f t="shared" si="164"/>
        <v>0</v>
      </c>
      <c r="N1165" s="1509">
        <f t="shared" si="165"/>
        <v>0</v>
      </c>
      <c r="O1165" s="1510">
        <f t="shared" si="169"/>
        <v>0</v>
      </c>
      <c r="P1165" s="1453">
        <f t="shared" si="170"/>
        <v>0</v>
      </c>
    </row>
    <row r="1166" spans="1:16" ht="43.5" outlineLevel="1" x14ac:dyDescent="0.25">
      <c r="A1166" s="1511">
        <f t="shared" si="168"/>
        <v>23.4</v>
      </c>
      <c r="B1166" s="1515" t="str">
        <f t="shared" si="168"/>
        <v>Scheme-4: Design, Manufacturing, Supply, Erection and Commissioning of DRY FOG Dust Suppression system at Wagon Tippler, Conveyor Belt Transfer point at U-6/7 CHP Parli TPS.</v>
      </c>
      <c r="C1166" s="1511" t="str">
        <f t="shared" si="168"/>
        <v>Yet to be approve</v>
      </c>
      <c r="D1166" s="1378" t="str">
        <f t="shared" si="168"/>
        <v>-</v>
      </c>
      <c r="E1166" s="1513">
        <f t="shared" si="168"/>
        <v>0</v>
      </c>
      <c r="F1166" s="1509">
        <f t="shared" si="161"/>
        <v>7</v>
      </c>
      <c r="G1166" s="1509">
        <f t="shared" si="162"/>
        <v>7</v>
      </c>
      <c r="H1166" s="1509">
        <f t="shared" si="163"/>
        <v>0</v>
      </c>
      <c r="I1166" s="1509">
        <v>0</v>
      </c>
      <c r="J1166" s="1509">
        <v>0</v>
      </c>
      <c r="K1166" s="1509"/>
      <c r="L1166" s="1509"/>
      <c r="M1166" s="1509">
        <f t="shared" si="164"/>
        <v>0</v>
      </c>
      <c r="N1166" s="1509">
        <f t="shared" si="165"/>
        <v>0</v>
      </c>
      <c r="O1166" s="1510">
        <f t="shared" si="169"/>
        <v>0</v>
      </c>
      <c r="P1166" s="1453">
        <f t="shared" si="170"/>
        <v>0</v>
      </c>
    </row>
    <row r="1167" spans="1:16" outlineLevel="1" x14ac:dyDescent="0.25">
      <c r="A1167" s="1511">
        <f t="shared" si="168"/>
        <v>0</v>
      </c>
      <c r="B1167" s="1515" t="str">
        <f t="shared" si="168"/>
        <v>IDC</v>
      </c>
      <c r="C1167" s="1396" t="str">
        <f t="shared" si="168"/>
        <v>Yet to be approve</v>
      </c>
      <c r="D1167" s="1378" t="str">
        <f t="shared" si="168"/>
        <v>-</v>
      </c>
      <c r="E1167" s="1513">
        <f t="shared" si="168"/>
        <v>0</v>
      </c>
      <c r="F1167" s="1509">
        <f t="shared" si="161"/>
        <v>0</v>
      </c>
      <c r="G1167" s="1509">
        <f t="shared" si="162"/>
        <v>0</v>
      </c>
      <c r="H1167" s="1509">
        <f t="shared" si="163"/>
        <v>0</v>
      </c>
      <c r="I1167" s="1509">
        <v>0</v>
      </c>
      <c r="J1167" s="1509">
        <v>0</v>
      </c>
      <c r="K1167" s="1509"/>
      <c r="L1167" s="1509"/>
      <c r="M1167" s="1509">
        <f t="shared" si="164"/>
        <v>0</v>
      </c>
      <c r="N1167" s="1509">
        <f t="shared" si="165"/>
        <v>0</v>
      </c>
      <c r="O1167" s="1510">
        <f t="shared" si="169"/>
        <v>0</v>
      </c>
      <c r="P1167" s="1453">
        <f t="shared" si="170"/>
        <v>0</v>
      </c>
    </row>
    <row r="1168" spans="1:16" ht="29" outlineLevel="1" x14ac:dyDescent="0.25">
      <c r="A1168" s="1506">
        <f t="shared" si="168"/>
        <v>24</v>
      </c>
      <c r="B1168" s="1507" t="str">
        <f t="shared" si="168"/>
        <v>Coal Mill Performance Improvement Schemes at U-6 &amp; 7 (2 x 250 MW) Parli TPS</v>
      </c>
      <c r="C1168" s="1506" t="str">
        <f t="shared" si="168"/>
        <v>Yet to be approve</v>
      </c>
      <c r="D1168" s="1378" t="str">
        <f t="shared" si="168"/>
        <v>-</v>
      </c>
      <c r="E1168" s="1513">
        <f t="shared" si="168"/>
        <v>0</v>
      </c>
      <c r="F1168" s="1509">
        <f t="shared" si="161"/>
        <v>0</v>
      </c>
      <c r="G1168" s="1509">
        <f t="shared" si="162"/>
        <v>0</v>
      </c>
      <c r="H1168" s="1509">
        <f t="shared" si="163"/>
        <v>0</v>
      </c>
      <c r="I1168" s="1509">
        <v>0</v>
      </c>
      <c r="J1168" s="1509">
        <v>0</v>
      </c>
      <c r="K1168" s="1509"/>
      <c r="L1168" s="1509"/>
      <c r="M1168" s="1509">
        <f t="shared" si="164"/>
        <v>0</v>
      </c>
      <c r="N1168" s="1509">
        <f t="shared" si="165"/>
        <v>0</v>
      </c>
      <c r="O1168" s="1510">
        <f t="shared" si="169"/>
        <v>0</v>
      </c>
      <c r="P1168" s="1453">
        <f t="shared" si="170"/>
        <v>0</v>
      </c>
    </row>
    <row r="1169" spans="1:16" ht="43.5" outlineLevel="1" x14ac:dyDescent="0.25">
      <c r="A1169" s="1511">
        <f t="shared" si="168"/>
        <v>24.1</v>
      </c>
      <c r="B1169" s="1515" t="str">
        <f t="shared" si="168"/>
        <v xml:space="preserve">Scheme-1: Procurement And Replacement Of Internals For Reducer Gear Box Szn-630 &amp; Sbn-630 for Bbd-4772 Coal Mills Of 250mw At Unit 6,7  Parli </v>
      </c>
      <c r="C1169" s="1396" t="str">
        <f t="shared" si="168"/>
        <v>Yet to be approve</v>
      </c>
      <c r="D1169" s="1378" t="str">
        <f t="shared" si="168"/>
        <v>-</v>
      </c>
      <c r="E1169" s="1513">
        <f t="shared" si="168"/>
        <v>0</v>
      </c>
      <c r="F1169" s="1509">
        <f t="shared" si="161"/>
        <v>0</v>
      </c>
      <c r="G1169" s="1509">
        <f t="shared" si="162"/>
        <v>0</v>
      </c>
      <c r="H1169" s="1509">
        <f t="shared" si="163"/>
        <v>0</v>
      </c>
      <c r="I1169" s="1509">
        <v>6.5</v>
      </c>
      <c r="J1169" s="1509">
        <v>6.5</v>
      </c>
      <c r="K1169" s="1509"/>
      <c r="L1169" s="1509"/>
      <c r="M1169" s="1509">
        <f t="shared" si="164"/>
        <v>6.5</v>
      </c>
      <c r="N1169" s="1509">
        <f t="shared" si="165"/>
        <v>0</v>
      </c>
      <c r="O1169" s="1510">
        <f t="shared" si="169"/>
        <v>0</v>
      </c>
      <c r="P1169" s="1453">
        <f t="shared" si="170"/>
        <v>6.5</v>
      </c>
    </row>
    <row r="1170" spans="1:16" ht="43.5" outlineLevel="1" x14ac:dyDescent="0.25">
      <c r="A1170" s="1511">
        <f t="shared" si="168"/>
        <v>24.2</v>
      </c>
      <c r="B1170" s="1515" t="str">
        <f t="shared" si="168"/>
        <v>Scheme-2: Supply, Replacement, Erection And Installation Of Foundation Deck Springs Assembly (Vibration Isolation System) For Bbd-4772 Coal Mill Of For 250mw Unit-6&amp;7 At Parli Tps..</v>
      </c>
      <c r="C1170" s="1396" t="str">
        <f t="shared" si="168"/>
        <v>Yet to be approve</v>
      </c>
      <c r="D1170" s="1378" t="str">
        <f t="shared" si="168"/>
        <v>-</v>
      </c>
      <c r="E1170" s="1513">
        <f t="shared" si="168"/>
        <v>0</v>
      </c>
      <c r="F1170" s="1509">
        <f t="shared" si="161"/>
        <v>0</v>
      </c>
      <c r="G1170" s="1509">
        <f t="shared" si="162"/>
        <v>0</v>
      </c>
      <c r="H1170" s="1509">
        <f t="shared" si="163"/>
        <v>0</v>
      </c>
      <c r="I1170" s="1509">
        <v>4.01</v>
      </c>
      <c r="J1170" s="1509">
        <v>4.01</v>
      </c>
      <c r="K1170" s="1509"/>
      <c r="L1170" s="1509"/>
      <c r="M1170" s="1509">
        <f t="shared" si="164"/>
        <v>4.01</v>
      </c>
      <c r="N1170" s="1509">
        <f t="shared" si="165"/>
        <v>0</v>
      </c>
      <c r="O1170" s="1510">
        <f t="shared" si="169"/>
        <v>0</v>
      </c>
      <c r="P1170" s="1453">
        <f t="shared" si="170"/>
        <v>4.01</v>
      </c>
    </row>
    <row r="1171" spans="1:16" ht="29" outlineLevel="1" x14ac:dyDescent="0.25">
      <c r="A1171" s="1511">
        <f t="shared" si="168"/>
        <v>24.3</v>
      </c>
      <c r="B1171" s="1515" t="str">
        <f t="shared" si="168"/>
        <v>Scheme-3: Procurement And Installation of Girth Gear And Pinion Of Coal Mill Bbd-4772 For Unit-6,7 At Parli TPS.</v>
      </c>
      <c r="C1171" s="1396" t="str">
        <f t="shared" si="168"/>
        <v>Yet to be approve</v>
      </c>
      <c r="D1171" s="1378" t="str">
        <f t="shared" si="168"/>
        <v>-</v>
      </c>
      <c r="E1171" s="1513">
        <f t="shared" si="168"/>
        <v>0</v>
      </c>
      <c r="F1171" s="1509">
        <f t="shared" si="161"/>
        <v>0</v>
      </c>
      <c r="G1171" s="1509">
        <f t="shared" si="162"/>
        <v>0</v>
      </c>
      <c r="H1171" s="1509">
        <f t="shared" si="163"/>
        <v>0</v>
      </c>
      <c r="I1171" s="1509">
        <v>14.24</v>
      </c>
      <c r="J1171" s="1509">
        <v>14.24</v>
      </c>
      <c r="K1171" s="1509"/>
      <c r="L1171" s="1509"/>
      <c r="M1171" s="1509">
        <f t="shared" si="164"/>
        <v>14.24</v>
      </c>
      <c r="N1171" s="1509">
        <f t="shared" si="165"/>
        <v>0</v>
      </c>
    </row>
    <row r="1172" spans="1:16" ht="29" outlineLevel="1" x14ac:dyDescent="0.25">
      <c r="A1172" s="1511">
        <f t="shared" si="168"/>
        <v>24.4</v>
      </c>
      <c r="B1172" s="1515" t="str">
        <f t="shared" si="168"/>
        <v xml:space="preserve">Scheme-4: Procurement And Installation of Drive Shaft Assembly Of Coal Mill BBD-4772 For Unit-6 ,7 At Parli TPS. </v>
      </c>
      <c r="C1172" s="1396" t="str">
        <f t="shared" si="168"/>
        <v>Yet to be approve</v>
      </c>
      <c r="D1172" s="1378" t="str">
        <f t="shared" si="168"/>
        <v>-</v>
      </c>
      <c r="E1172" s="1513">
        <f t="shared" si="168"/>
        <v>0</v>
      </c>
      <c r="F1172" s="1509">
        <f t="shared" si="161"/>
        <v>0</v>
      </c>
      <c r="G1172" s="1509">
        <f t="shared" si="162"/>
        <v>0</v>
      </c>
      <c r="H1172" s="1509">
        <f t="shared" si="163"/>
        <v>0</v>
      </c>
      <c r="I1172" s="1509">
        <v>9.18</v>
      </c>
      <c r="J1172" s="1509">
        <v>9.18</v>
      </c>
      <c r="K1172" s="1509"/>
      <c r="L1172" s="1509"/>
      <c r="M1172" s="1509">
        <f t="shared" si="164"/>
        <v>9.18</v>
      </c>
      <c r="N1172" s="1509">
        <f t="shared" si="165"/>
        <v>0</v>
      </c>
    </row>
    <row r="1173" spans="1:16" ht="29" outlineLevel="1" x14ac:dyDescent="0.25">
      <c r="A1173" s="1511">
        <f t="shared" si="168"/>
        <v>24.5</v>
      </c>
      <c r="B1173" s="1515" t="str">
        <f t="shared" si="168"/>
        <v>Scheme-5: Procurement And Replacement of  Bearing Shell Liner For Bbd-4772 Coal Mills Of 250mw At Unit 6,7  Parli TPS.</v>
      </c>
      <c r="C1173" s="1396" t="str">
        <f t="shared" si="168"/>
        <v>Yet to be approve</v>
      </c>
      <c r="D1173" s="1378" t="str">
        <f t="shared" si="168"/>
        <v>-</v>
      </c>
      <c r="E1173" s="1513">
        <f t="shared" si="168"/>
        <v>0</v>
      </c>
      <c r="F1173" s="1509">
        <f t="shared" si="161"/>
        <v>0</v>
      </c>
      <c r="G1173" s="1509">
        <f t="shared" si="162"/>
        <v>0</v>
      </c>
      <c r="H1173" s="1509">
        <f t="shared" si="163"/>
        <v>0</v>
      </c>
      <c r="I1173" s="1509">
        <v>8.19</v>
      </c>
      <c r="J1173" s="1509">
        <v>8.19</v>
      </c>
      <c r="K1173" s="1509"/>
      <c r="L1173" s="1509"/>
      <c r="M1173" s="1509">
        <f t="shared" si="164"/>
        <v>8.19</v>
      </c>
      <c r="N1173" s="1509">
        <f t="shared" si="165"/>
        <v>0</v>
      </c>
    </row>
    <row r="1174" spans="1:16" outlineLevel="1" x14ac:dyDescent="0.25">
      <c r="A1174" s="1511">
        <f t="shared" si="168"/>
        <v>0</v>
      </c>
      <c r="B1174" s="1515" t="str">
        <f t="shared" si="168"/>
        <v>IDC</v>
      </c>
      <c r="C1174" s="1396" t="str">
        <f t="shared" si="168"/>
        <v>Yet to be approve</v>
      </c>
      <c r="D1174" s="1378" t="str">
        <f t="shared" si="168"/>
        <v>-</v>
      </c>
      <c r="E1174" s="1513">
        <f t="shared" si="168"/>
        <v>0</v>
      </c>
      <c r="F1174" s="1509">
        <f t="shared" si="161"/>
        <v>0</v>
      </c>
      <c r="G1174" s="1509">
        <f t="shared" si="162"/>
        <v>0</v>
      </c>
      <c r="H1174" s="1509">
        <f t="shared" si="163"/>
        <v>0</v>
      </c>
      <c r="I1174" s="1509">
        <v>2</v>
      </c>
      <c r="J1174" s="1509">
        <v>2</v>
      </c>
      <c r="K1174" s="1509"/>
      <c r="L1174" s="1509"/>
      <c r="M1174" s="1509">
        <f t="shared" si="164"/>
        <v>2</v>
      </c>
      <c r="N1174" s="1509">
        <f t="shared" si="165"/>
        <v>0</v>
      </c>
    </row>
    <row r="1175" spans="1:16" outlineLevel="1" x14ac:dyDescent="0.25">
      <c r="A1175" s="1506">
        <f t="shared" si="168"/>
        <v>25</v>
      </c>
      <c r="B1175" s="1507" t="str">
        <f t="shared" si="168"/>
        <v>Administrative building</v>
      </c>
      <c r="C1175" s="1506" t="str">
        <f t="shared" si="168"/>
        <v>Yet to be approved</v>
      </c>
      <c r="D1175" s="1378" t="str">
        <f t="shared" si="168"/>
        <v>-</v>
      </c>
      <c r="E1175" s="1513">
        <f t="shared" si="168"/>
        <v>0</v>
      </c>
      <c r="F1175" s="1509">
        <f t="shared" si="161"/>
        <v>0</v>
      </c>
      <c r="G1175" s="1509">
        <f t="shared" si="162"/>
        <v>0</v>
      </c>
      <c r="H1175" s="1509">
        <f t="shared" si="163"/>
        <v>0</v>
      </c>
      <c r="I1175" s="1509">
        <v>0</v>
      </c>
      <c r="J1175" s="1509">
        <v>0</v>
      </c>
      <c r="K1175" s="1509"/>
      <c r="L1175" s="1509"/>
      <c r="M1175" s="1509">
        <f t="shared" si="164"/>
        <v>0</v>
      </c>
      <c r="N1175" s="1509">
        <f t="shared" si="165"/>
        <v>0</v>
      </c>
      <c r="O1175" s="1510"/>
      <c r="P1175" s="1453"/>
    </row>
    <row r="1176" spans="1:16" outlineLevel="1" x14ac:dyDescent="0.25">
      <c r="A1176" s="1511">
        <f t="shared" si="168"/>
        <v>25.1</v>
      </c>
      <c r="B1176" s="1515" t="str">
        <f t="shared" si="168"/>
        <v>Administrative building</v>
      </c>
      <c r="C1176" s="1396" t="str">
        <f t="shared" si="168"/>
        <v>Yet to be approved</v>
      </c>
      <c r="D1176" s="1378" t="str">
        <f t="shared" si="168"/>
        <v>-</v>
      </c>
      <c r="E1176" s="1513">
        <f t="shared" si="168"/>
        <v>0</v>
      </c>
      <c r="F1176" s="1509">
        <f t="shared" si="161"/>
        <v>0</v>
      </c>
      <c r="G1176" s="1509">
        <f t="shared" si="162"/>
        <v>0</v>
      </c>
      <c r="H1176" s="1509">
        <f t="shared" si="163"/>
        <v>0</v>
      </c>
      <c r="I1176" s="1509">
        <v>0</v>
      </c>
      <c r="J1176" s="1509">
        <v>0</v>
      </c>
      <c r="K1176" s="1509"/>
      <c r="L1176" s="1509"/>
      <c r="M1176" s="1509">
        <f t="shared" si="164"/>
        <v>0</v>
      </c>
      <c r="N1176" s="1509">
        <f t="shared" si="165"/>
        <v>0</v>
      </c>
    </row>
    <row r="1177" spans="1:16" ht="72.5" outlineLevel="1" x14ac:dyDescent="0.25">
      <c r="A1177" s="1511">
        <f t="shared" ref="A1177:E1192" si="171">A820</f>
        <v>26</v>
      </c>
      <c r="B1177" s="1515" t="str">
        <f t="shared" si="171"/>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1177" s="1396" t="str">
        <f t="shared" si="171"/>
        <v>Yet to be approved</v>
      </c>
      <c r="D1177" s="1378" t="str">
        <f t="shared" si="171"/>
        <v>-</v>
      </c>
      <c r="E1177" s="1513">
        <f t="shared" si="171"/>
        <v>0</v>
      </c>
      <c r="F1177" s="1509">
        <f t="shared" si="161"/>
        <v>0</v>
      </c>
      <c r="G1177" s="1509">
        <f t="shared" si="162"/>
        <v>0</v>
      </c>
      <c r="H1177" s="1509">
        <f t="shared" si="163"/>
        <v>0</v>
      </c>
      <c r="I1177" s="1509">
        <v>0</v>
      </c>
      <c r="J1177" s="1509">
        <v>0</v>
      </c>
      <c r="K1177" s="1509"/>
      <c r="L1177" s="1509"/>
      <c r="M1177" s="1509">
        <f t="shared" si="164"/>
        <v>0</v>
      </c>
      <c r="N1177" s="1509">
        <f t="shared" si="165"/>
        <v>0</v>
      </c>
    </row>
    <row r="1178" spans="1:16" ht="29" outlineLevel="1" x14ac:dyDescent="0.25">
      <c r="A1178" s="1511">
        <f t="shared" si="171"/>
        <v>26.1</v>
      </c>
      <c r="B1178" s="1515" t="str">
        <f t="shared" si="171"/>
        <v>Refurbishment of spare HPT module (Common pool item) at TM U#6,7 Parli TPS</v>
      </c>
      <c r="C1178" s="1396" t="str">
        <f t="shared" si="171"/>
        <v>Yet to be approved</v>
      </c>
      <c r="D1178" s="1378" t="str">
        <f t="shared" si="171"/>
        <v>-</v>
      </c>
      <c r="E1178" s="1513">
        <f t="shared" si="171"/>
        <v>0</v>
      </c>
      <c r="F1178" s="1509">
        <f t="shared" si="161"/>
        <v>0.9</v>
      </c>
      <c r="G1178" s="1509">
        <f t="shared" si="162"/>
        <v>0</v>
      </c>
      <c r="H1178" s="1509">
        <f t="shared" si="163"/>
        <v>0.9</v>
      </c>
      <c r="I1178" s="1509">
        <v>8.31</v>
      </c>
      <c r="J1178" s="1509">
        <v>9.2100000000000009</v>
      </c>
      <c r="K1178" s="1509"/>
      <c r="L1178" s="1509"/>
      <c r="M1178" s="1509">
        <f t="shared" si="164"/>
        <v>9.2100000000000009</v>
      </c>
      <c r="N1178" s="1509">
        <f t="shared" si="165"/>
        <v>0</v>
      </c>
    </row>
    <row r="1179" spans="1:16" ht="29" outlineLevel="1" x14ac:dyDescent="0.25">
      <c r="A1179" s="1511">
        <f t="shared" si="171"/>
        <v>26.2</v>
      </c>
      <c r="B1179" s="1515" t="str">
        <f t="shared" si="171"/>
        <v xml:space="preserve"> Design, Erection, Testing &amp; Commissioning of Energy Efficient Air Washer (cooling) System  at Unit 6&amp;7 NPTPS, Parli-V.</v>
      </c>
      <c r="C1179" s="1396" t="str">
        <f t="shared" si="171"/>
        <v>Yet to be approved</v>
      </c>
      <c r="D1179" s="1378" t="str">
        <f t="shared" si="171"/>
        <v>-</v>
      </c>
      <c r="E1179" s="1513">
        <f t="shared" si="171"/>
        <v>0</v>
      </c>
      <c r="F1179" s="1509">
        <f t="shared" si="161"/>
        <v>0</v>
      </c>
      <c r="G1179" s="1509">
        <f t="shared" si="162"/>
        <v>0</v>
      </c>
      <c r="H1179" s="1509">
        <f t="shared" si="163"/>
        <v>0</v>
      </c>
      <c r="I1179" s="1509">
        <v>14.61</v>
      </c>
      <c r="J1179" s="1509">
        <v>14.61</v>
      </c>
      <c r="K1179" s="1509"/>
      <c r="L1179" s="1509"/>
      <c r="M1179" s="1509">
        <f t="shared" si="164"/>
        <v>14.61</v>
      </c>
      <c r="N1179" s="1509">
        <f t="shared" si="165"/>
        <v>0</v>
      </c>
    </row>
    <row r="1180" spans="1:16" ht="29" outlineLevel="1" x14ac:dyDescent="0.25">
      <c r="A1180" s="1511">
        <f t="shared" si="171"/>
        <v>26.3</v>
      </c>
      <c r="B1180" s="1515" t="str">
        <f t="shared" si="171"/>
        <v>Upgradation of reciprocating compressor into screw compressor  at U#6</v>
      </c>
      <c r="C1180" s="1396" t="str">
        <f t="shared" si="171"/>
        <v>Yet to be approved</v>
      </c>
      <c r="D1180" s="1378" t="str">
        <f t="shared" si="171"/>
        <v>-</v>
      </c>
      <c r="E1180" s="1513">
        <f t="shared" si="171"/>
        <v>0</v>
      </c>
      <c r="F1180" s="1509">
        <f t="shared" si="161"/>
        <v>0</v>
      </c>
      <c r="G1180" s="1509">
        <f t="shared" si="162"/>
        <v>0</v>
      </c>
      <c r="H1180" s="1509">
        <f t="shared" si="163"/>
        <v>0</v>
      </c>
      <c r="I1180" s="1509">
        <v>9.2100000000000009</v>
      </c>
      <c r="J1180" s="1509">
        <v>9.2100000000000009</v>
      </c>
      <c r="K1180" s="1509"/>
      <c r="L1180" s="1509"/>
      <c r="M1180" s="1509">
        <f t="shared" si="164"/>
        <v>9.2100000000000009</v>
      </c>
      <c r="N1180" s="1509">
        <f t="shared" si="165"/>
        <v>0</v>
      </c>
    </row>
    <row r="1181" spans="1:16" ht="29" outlineLevel="1" x14ac:dyDescent="0.25">
      <c r="A1181" s="1511">
        <f t="shared" si="171"/>
        <v>26.4</v>
      </c>
      <c r="B1181" s="1515" t="str">
        <f t="shared" si="171"/>
        <v>Upgradation of existing chiller AC plant for PCR,Service Building,VFD area at NPTPS Parli -V</v>
      </c>
      <c r="C1181" s="1396" t="str">
        <f t="shared" si="171"/>
        <v>Yet to be approved</v>
      </c>
      <c r="D1181" s="1378" t="str">
        <f t="shared" si="171"/>
        <v>-</v>
      </c>
      <c r="E1181" s="1513">
        <f t="shared" si="171"/>
        <v>0</v>
      </c>
      <c r="F1181" s="1509">
        <f t="shared" si="161"/>
        <v>0</v>
      </c>
      <c r="G1181" s="1509">
        <f t="shared" si="162"/>
        <v>0</v>
      </c>
      <c r="H1181" s="1509">
        <f t="shared" si="163"/>
        <v>0</v>
      </c>
      <c r="I1181" s="1509">
        <v>8.6199999999999992</v>
      </c>
      <c r="J1181" s="1509">
        <v>8.6199999999999992</v>
      </c>
      <c r="K1181" s="1509"/>
      <c r="L1181" s="1509"/>
      <c r="M1181" s="1509">
        <f t="shared" si="164"/>
        <v>8.6199999999999992</v>
      </c>
      <c r="N1181" s="1509">
        <f t="shared" si="165"/>
        <v>0</v>
      </c>
    </row>
    <row r="1182" spans="1:16" outlineLevel="1" x14ac:dyDescent="0.25">
      <c r="A1182" s="1511">
        <f t="shared" si="171"/>
        <v>0</v>
      </c>
      <c r="B1182" s="1515" t="str">
        <f t="shared" si="171"/>
        <v>IDC</v>
      </c>
      <c r="C1182" s="1396">
        <f t="shared" si="171"/>
        <v>0</v>
      </c>
      <c r="D1182" s="1378" t="str">
        <f t="shared" si="171"/>
        <v>-</v>
      </c>
      <c r="E1182" s="1513">
        <f t="shared" si="171"/>
        <v>0</v>
      </c>
      <c r="F1182" s="1509">
        <f t="shared" si="161"/>
        <v>0</v>
      </c>
      <c r="G1182" s="1509">
        <f t="shared" si="162"/>
        <v>0</v>
      </c>
      <c r="H1182" s="1509">
        <f t="shared" si="163"/>
        <v>0</v>
      </c>
      <c r="I1182" s="1509">
        <v>1.41</v>
      </c>
      <c r="J1182" s="1509">
        <v>1.41</v>
      </c>
      <c r="K1182" s="1509"/>
      <c r="L1182" s="1509"/>
      <c r="M1182" s="1509">
        <f t="shared" si="164"/>
        <v>1.41</v>
      </c>
      <c r="N1182" s="1509">
        <f t="shared" si="165"/>
        <v>0</v>
      </c>
    </row>
    <row r="1183" spans="1:16" ht="58" outlineLevel="1" x14ac:dyDescent="0.25">
      <c r="A1183" s="1506" t="str">
        <f t="shared" si="171"/>
        <v>Covid Related Work</v>
      </c>
      <c r="B1183" s="1507" t="str">
        <f t="shared" si="171"/>
        <v>U#6,7 Medical02 Oxygen Gr&amp;Cyl Ozonization Plant501</v>
      </c>
      <c r="C1183" s="1506" t="str">
        <f t="shared" si="171"/>
        <v>N.A.</v>
      </c>
      <c r="D1183" s="1508" t="str">
        <f t="shared" si="171"/>
        <v>-</v>
      </c>
      <c r="E1183" s="1509">
        <f t="shared" si="171"/>
        <v>0</v>
      </c>
      <c r="F1183" s="1509">
        <f t="shared" si="161"/>
        <v>3.8414035910000002</v>
      </c>
      <c r="G1183" s="1509">
        <f t="shared" si="162"/>
        <v>3.8414035910000002</v>
      </c>
      <c r="H1183" s="1509">
        <f t="shared" si="163"/>
        <v>0</v>
      </c>
      <c r="I1183" s="1509">
        <v>0</v>
      </c>
      <c r="J1183" s="1509">
        <v>0</v>
      </c>
      <c r="K1183" s="1509"/>
      <c r="L1183" s="1509"/>
      <c r="M1183" s="1509">
        <f t="shared" si="164"/>
        <v>0</v>
      </c>
      <c r="N1183" s="1509">
        <f t="shared" si="165"/>
        <v>0</v>
      </c>
      <c r="O1183" s="1510"/>
      <c r="P1183" s="1453"/>
    </row>
    <row r="1184" spans="1:16" outlineLevel="1" x14ac:dyDescent="0.25">
      <c r="A1184" s="1511">
        <f t="shared" si="171"/>
        <v>0</v>
      </c>
      <c r="B1184" s="1515">
        <f t="shared" si="171"/>
        <v>0</v>
      </c>
      <c r="C1184" s="1396">
        <f t="shared" si="171"/>
        <v>0</v>
      </c>
      <c r="D1184" s="1378" t="str">
        <f t="shared" si="171"/>
        <v>-</v>
      </c>
      <c r="E1184" s="1505">
        <f t="shared" si="171"/>
        <v>0</v>
      </c>
      <c r="F1184" s="1509">
        <f t="shared" si="161"/>
        <v>0</v>
      </c>
      <c r="G1184" s="1509">
        <f t="shared" si="162"/>
        <v>0</v>
      </c>
      <c r="H1184" s="1509">
        <f t="shared" si="163"/>
        <v>0</v>
      </c>
      <c r="I1184" s="1509">
        <v>0</v>
      </c>
      <c r="J1184" s="1509">
        <v>0</v>
      </c>
      <c r="K1184" s="1509"/>
      <c r="L1184" s="1509"/>
      <c r="M1184" s="1509">
        <f t="shared" si="164"/>
        <v>0</v>
      </c>
      <c r="N1184" s="1509">
        <f t="shared" si="165"/>
        <v>0</v>
      </c>
    </row>
    <row r="1185" spans="1:14" ht="18.5" outlineLevel="1" x14ac:dyDescent="0.25">
      <c r="A1185" s="1339" t="str">
        <f t="shared" si="171"/>
        <v>B</v>
      </c>
      <c r="B1185" s="1339" t="str">
        <f t="shared" si="171"/>
        <v>Asset received from Project of 6-7</v>
      </c>
      <c r="C1185" s="1396">
        <f t="shared" si="171"/>
        <v>0</v>
      </c>
      <c r="D1185" s="1378" t="str">
        <f t="shared" si="171"/>
        <v>-</v>
      </c>
      <c r="E1185" s="1505">
        <f t="shared" si="171"/>
        <v>0</v>
      </c>
      <c r="F1185" s="1509">
        <f t="shared" si="161"/>
        <v>0</v>
      </c>
      <c r="G1185" s="1509">
        <f t="shared" si="162"/>
        <v>0</v>
      </c>
      <c r="H1185" s="1509">
        <f t="shared" si="163"/>
        <v>0</v>
      </c>
      <c r="I1185" s="1509">
        <v>0</v>
      </c>
      <c r="J1185" s="1509">
        <v>0</v>
      </c>
      <c r="K1185" s="1509"/>
      <c r="L1185" s="1509"/>
      <c r="M1185" s="1509">
        <f t="shared" si="164"/>
        <v>0</v>
      </c>
      <c r="N1185" s="1509">
        <f t="shared" si="165"/>
        <v>0</v>
      </c>
    </row>
    <row r="1186" spans="1:14" outlineLevel="1" x14ac:dyDescent="0.25">
      <c r="A1186" s="1511">
        <f t="shared" si="171"/>
        <v>1</v>
      </c>
      <c r="B1186" s="1515" t="str">
        <f t="shared" si="171"/>
        <v>Enhanced Land Compensation LAR No-127/2003</v>
      </c>
      <c r="C1186" s="1396" t="str">
        <f t="shared" si="171"/>
        <v>N.A.</v>
      </c>
      <c r="D1186" s="1378" t="str">
        <f t="shared" si="171"/>
        <v>-</v>
      </c>
      <c r="E1186" s="1505">
        <f t="shared" si="171"/>
        <v>0</v>
      </c>
      <c r="F1186" s="1509">
        <f t="shared" si="161"/>
        <v>0.72651449999999995</v>
      </c>
      <c r="G1186" s="1509">
        <f t="shared" si="162"/>
        <v>0.72651449999999995</v>
      </c>
      <c r="H1186" s="1509">
        <f t="shared" si="163"/>
        <v>0</v>
      </c>
      <c r="I1186" s="1509">
        <v>0</v>
      </c>
      <c r="J1186" s="1509">
        <v>0</v>
      </c>
      <c r="K1186" s="1509"/>
      <c r="L1186" s="1509"/>
      <c r="M1186" s="1509">
        <f t="shared" si="164"/>
        <v>0</v>
      </c>
      <c r="N1186" s="1509">
        <f t="shared" si="165"/>
        <v>0</v>
      </c>
    </row>
    <row r="1187" spans="1:14" outlineLevel="1" x14ac:dyDescent="0.25">
      <c r="A1187" s="1511">
        <f t="shared" si="171"/>
        <v>2</v>
      </c>
      <c r="B1187" s="1515" t="str">
        <f t="shared" si="171"/>
        <v>Assets rec. from Project Boiler Plant and Equipments</v>
      </c>
      <c r="C1187" s="1396" t="str">
        <f t="shared" si="171"/>
        <v>N.A.</v>
      </c>
      <c r="D1187" s="1378" t="str">
        <f t="shared" si="171"/>
        <v>-</v>
      </c>
      <c r="E1187" s="1505">
        <f t="shared" si="171"/>
        <v>0</v>
      </c>
      <c r="F1187" s="1509">
        <f t="shared" si="161"/>
        <v>14.2796416</v>
      </c>
      <c r="G1187" s="1509">
        <f t="shared" si="162"/>
        <v>14.2796416</v>
      </c>
      <c r="H1187" s="1509">
        <f t="shared" si="163"/>
        <v>0</v>
      </c>
      <c r="I1187" s="1509">
        <v>0</v>
      </c>
      <c r="J1187" s="1509">
        <v>0</v>
      </c>
      <c r="K1187" s="1509"/>
      <c r="L1187" s="1509"/>
      <c r="M1187" s="1509">
        <f t="shared" si="164"/>
        <v>0</v>
      </c>
      <c r="N1187" s="1509">
        <f t="shared" si="165"/>
        <v>0</v>
      </c>
    </row>
    <row r="1188" spans="1:14" outlineLevel="1" x14ac:dyDescent="0.25">
      <c r="A1188" s="1511">
        <f t="shared" si="171"/>
        <v>3</v>
      </c>
      <c r="B1188" s="1515" t="str">
        <f t="shared" si="171"/>
        <v>Assets rec. from Project &amp; CivilBoiler Plant and Equipments</v>
      </c>
      <c r="C1188" s="1396" t="str">
        <f t="shared" si="171"/>
        <v>N.A.</v>
      </c>
      <c r="D1188" s="1378" t="str">
        <f t="shared" si="171"/>
        <v>-</v>
      </c>
      <c r="E1188" s="1505">
        <f t="shared" si="171"/>
        <v>0</v>
      </c>
      <c r="F1188" s="1509">
        <f t="shared" si="161"/>
        <v>0.118890178</v>
      </c>
      <c r="G1188" s="1509">
        <f t="shared" si="162"/>
        <v>0.118890178</v>
      </c>
      <c r="H1188" s="1509">
        <f t="shared" si="163"/>
        <v>0</v>
      </c>
      <c r="I1188" s="1509">
        <v>0</v>
      </c>
      <c r="J1188" s="1509">
        <v>0</v>
      </c>
      <c r="K1188" s="1509"/>
      <c r="L1188" s="1509"/>
      <c r="M1188" s="1509">
        <f t="shared" si="164"/>
        <v>0</v>
      </c>
      <c r="N1188" s="1509">
        <f t="shared" si="165"/>
        <v>0</v>
      </c>
    </row>
    <row r="1189" spans="1:14" ht="29" outlineLevel="1" x14ac:dyDescent="0.25">
      <c r="A1189" s="1511">
        <f t="shared" si="171"/>
        <v>4</v>
      </c>
      <c r="B1189" s="1515" t="str">
        <f t="shared" si="171"/>
        <v>Received from project 2010-11 - mechanical works o f Boiler Plant and Equipments</v>
      </c>
      <c r="C1189" s="1396" t="str">
        <f t="shared" si="171"/>
        <v>N.A.</v>
      </c>
      <c r="D1189" s="1378" t="str">
        <f t="shared" si="171"/>
        <v>-</v>
      </c>
      <c r="E1189" s="1505">
        <f t="shared" si="171"/>
        <v>0</v>
      </c>
      <c r="F1189" s="1509">
        <f t="shared" si="161"/>
        <v>0.118890178</v>
      </c>
      <c r="G1189" s="1509">
        <f t="shared" si="162"/>
        <v>0.118890178</v>
      </c>
      <c r="H1189" s="1509">
        <f t="shared" si="163"/>
        <v>0</v>
      </c>
      <c r="I1189" s="1509">
        <v>0</v>
      </c>
      <c r="J1189" s="1509">
        <v>0</v>
      </c>
      <c r="K1189" s="1509"/>
      <c r="L1189" s="1509"/>
      <c r="M1189" s="1509">
        <f t="shared" si="164"/>
        <v>0</v>
      </c>
      <c r="N1189" s="1509">
        <f t="shared" si="165"/>
        <v>0</v>
      </c>
    </row>
    <row r="1190" spans="1:14" outlineLevel="1" x14ac:dyDescent="0.25">
      <c r="A1190" s="1511">
        <f t="shared" si="171"/>
        <v>5</v>
      </c>
      <c r="B1190" s="1515" t="str">
        <f t="shared" si="171"/>
        <v>Assets Received from project 2010-11 - Ash handling plant</v>
      </c>
      <c r="C1190" s="1396" t="str">
        <f t="shared" si="171"/>
        <v>N.A.</v>
      </c>
      <c r="D1190" s="1378" t="str">
        <f t="shared" si="171"/>
        <v>-</v>
      </c>
      <c r="E1190" s="1505">
        <f t="shared" si="171"/>
        <v>0</v>
      </c>
      <c r="F1190" s="1509">
        <f t="shared" si="161"/>
        <v>7.6350699999999994E-2</v>
      </c>
      <c r="G1190" s="1509">
        <f t="shared" si="162"/>
        <v>7.6350699999999994E-2</v>
      </c>
      <c r="H1190" s="1509">
        <f t="shared" si="163"/>
        <v>0</v>
      </c>
      <c r="I1190" s="1509">
        <v>0</v>
      </c>
      <c r="J1190" s="1509">
        <v>0</v>
      </c>
      <c r="K1190" s="1509"/>
      <c r="L1190" s="1509"/>
      <c r="M1190" s="1509">
        <f t="shared" si="164"/>
        <v>0</v>
      </c>
      <c r="N1190" s="1509">
        <f t="shared" si="165"/>
        <v>0</v>
      </c>
    </row>
    <row r="1191" spans="1:14" outlineLevel="1" x14ac:dyDescent="0.25">
      <c r="A1191" s="1511">
        <f t="shared" si="171"/>
        <v>6</v>
      </c>
      <c r="B1191" s="1515" t="str">
        <f t="shared" si="171"/>
        <v>Bolero Jeep MH 19 AE 6941</v>
      </c>
      <c r="C1191" s="1396" t="str">
        <f t="shared" si="171"/>
        <v>N.A.</v>
      </c>
      <c r="D1191" s="1378" t="str">
        <f t="shared" si="171"/>
        <v>-</v>
      </c>
      <c r="E1191" s="1505">
        <f t="shared" si="171"/>
        <v>0</v>
      </c>
      <c r="F1191" s="1509">
        <f t="shared" si="161"/>
        <v>4.2359800000000003E-2</v>
      </c>
      <c r="G1191" s="1509">
        <f t="shared" si="162"/>
        <v>4.2359800000000003E-2</v>
      </c>
      <c r="H1191" s="1509">
        <f t="shared" si="163"/>
        <v>0</v>
      </c>
      <c r="I1191" s="1509">
        <v>0</v>
      </c>
      <c r="J1191" s="1509">
        <v>0</v>
      </c>
      <c r="K1191" s="1509"/>
      <c r="L1191" s="1509"/>
      <c r="M1191" s="1509">
        <f t="shared" si="164"/>
        <v>0</v>
      </c>
      <c r="N1191" s="1509">
        <f t="shared" si="165"/>
        <v>0</v>
      </c>
    </row>
    <row r="1192" spans="1:14" customFormat="1" outlineLevel="1" x14ac:dyDescent="0.25">
      <c r="A1192" s="1511">
        <f t="shared" si="171"/>
        <v>7</v>
      </c>
      <c r="B1192" s="1515" t="str">
        <f t="shared" si="171"/>
        <v>Land owned under full title</v>
      </c>
      <c r="C1192" s="1396" t="str">
        <f t="shared" si="171"/>
        <v>N.A.</v>
      </c>
      <c r="D1192" s="1378" t="str">
        <f t="shared" si="171"/>
        <v>-</v>
      </c>
      <c r="E1192" s="1505">
        <f t="shared" si="171"/>
        <v>0</v>
      </c>
      <c r="F1192" s="1509">
        <f t="shared" si="161"/>
        <v>0.60786030000000002</v>
      </c>
      <c r="G1192" s="1509">
        <f t="shared" si="162"/>
        <v>0.60786030000000002</v>
      </c>
      <c r="H1192" s="1509">
        <f t="shared" si="163"/>
        <v>0</v>
      </c>
      <c r="I1192" s="1509">
        <v>0</v>
      </c>
      <c r="J1192" s="1509">
        <v>0</v>
      </c>
      <c r="K1192" s="1509"/>
      <c r="L1192" s="1509"/>
      <c r="M1192" s="1509">
        <f t="shared" si="164"/>
        <v>0</v>
      </c>
      <c r="N1192" s="1509">
        <f t="shared" si="165"/>
        <v>0</v>
      </c>
    </row>
    <row r="1193" spans="1:14" customFormat="1" outlineLevel="1" x14ac:dyDescent="0.25">
      <c r="A1193" s="1511">
        <f t="shared" ref="A1193:E1208" si="172">A836</f>
        <v>8</v>
      </c>
      <c r="B1193" s="1515" t="str">
        <f t="shared" si="172"/>
        <v>Assets rec. from Project &amp; CivilBoiler Plant and Equipments</v>
      </c>
      <c r="C1193" s="1396" t="str">
        <f t="shared" si="172"/>
        <v>N.A.</v>
      </c>
      <c r="D1193" s="1378" t="str">
        <f t="shared" si="172"/>
        <v>-</v>
      </c>
      <c r="E1193" s="1505">
        <f t="shared" si="172"/>
        <v>0</v>
      </c>
      <c r="F1193" s="1509">
        <f t="shared" si="161"/>
        <v>2.6342887240000001</v>
      </c>
      <c r="G1193" s="1509">
        <f t="shared" si="162"/>
        <v>2.6342887240000001</v>
      </c>
      <c r="H1193" s="1509">
        <f t="shared" si="163"/>
        <v>0</v>
      </c>
      <c r="I1193" s="1509">
        <v>0</v>
      </c>
      <c r="J1193" s="1509">
        <v>0</v>
      </c>
      <c r="K1193" s="1509"/>
      <c r="L1193" s="1509"/>
      <c r="M1193" s="1509">
        <f t="shared" si="164"/>
        <v>0</v>
      </c>
      <c r="N1193" s="1509">
        <f t="shared" si="165"/>
        <v>0</v>
      </c>
    </row>
    <row r="1194" spans="1:14" customFormat="1" ht="29" outlineLevel="1" x14ac:dyDescent="0.25">
      <c r="A1194" s="1511">
        <f t="shared" si="172"/>
        <v>9</v>
      </c>
      <c r="B1194" s="1515" t="str">
        <f t="shared" si="172"/>
        <v>Received from project 2010-11 - mechanical works o f Boiler Plant and Equipments</v>
      </c>
      <c r="C1194" s="1396" t="str">
        <f t="shared" si="172"/>
        <v>N.A.</v>
      </c>
      <c r="D1194" s="1378" t="str">
        <f t="shared" si="172"/>
        <v>-</v>
      </c>
      <c r="E1194" s="1505">
        <f t="shared" si="172"/>
        <v>0</v>
      </c>
      <c r="F1194" s="1509">
        <f t="shared" si="161"/>
        <v>2.6342887240000001</v>
      </c>
      <c r="G1194" s="1509">
        <f t="shared" si="162"/>
        <v>2.6342887240000001</v>
      </c>
      <c r="H1194" s="1509">
        <f t="shared" si="163"/>
        <v>0</v>
      </c>
      <c r="I1194" s="1509">
        <v>0</v>
      </c>
      <c r="J1194" s="1509">
        <v>0</v>
      </c>
      <c r="K1194" s="1509"/>
      <c r="L1194" s="1509"/>
      <c r="M1194" s="1509">
        <f t="shared" si="164"/>
        <v>0</v>
      </c>
      <c r="N1194" s="1509">
        <f t="shared" si="165"/>
        <v>0</v>
      </c>
    </row>
    <row r="1195" spans="1:14" customFormat="1" outlineLevel="1" x14ac:dyDescent="0.25">
      <c r="A1195" s="1511">
        <f t="shared" si="172"/>
        <v>10</v>
      </c>
      <c r="B1195" s="1515" t="str">
        <f t="shared" si="172"/>
        <v>Received from Project 2010-11 - Crane   Hoising Equipment</v>
      </c>
      <c r="C1195" s="1396" t="str">
        <f t="shared" si="172"/>
        <v>N.A.</v>
      </c>
      <c r="D1195" s="1378" t="str">
        <f t="shared" si="172"/>
        <v>-</v>
      </c>
      <c r="E1195" s="1505">
        <f t="shared" si="172"/>
        <v>0</v>
      </c>
      <c r="F1195" s="1509">
        <f t="shared" si="161"/>
        <v>1.20114E-2</v>
      </c>
      <c r="G1195" s="1509">
        <f t="shared" si="162"/>
        <v>1.20114E-2</v>
      </c>
      <c r="H1195" s="1509">
        <f t="shared" si="163"/>
        <v>0</v>
      </c>
      <c r="I1195" s="1509">
        <v>0</v>
      </c>
      <c r="J1195" s="1509">
        <v>0</v>
      </c>
      <c r="K1195" s="1509"/>
      <c r="L1195" s="1509"/>
      <c r="M1195" s="1509">
        <f t="shared" si="164"/>
        <v>0</v>
      </c>
      <c r="N1195" s="1509">
        <f t="shared" si="165"/>
        <v>0</v>
      </c>
    </row>
    <row r="1196" spans="1:14" customFormat="1" outlineLevel="1" x14ac:dyDescent="0.25">
      <c r="A1196" s="1511">
        <f t="shared" si="172"/>
        <v>11</v>
      </c>
      <c r="B1196" s="1515" t="str">
        <f t="shared" si="172"/>
        <v>Enhancd Land CompnstnLarNo134/2003 Srvy No3Jlalp</v>
      </c>
      <c r="C1196" s="1396">
        <f t="shared" si="172"/>
        <v>0</v>
      </c>
      <c r="D1196" s="1378" t="str">
        <f t="shared" si="172"/>
        <v>-</v>
      </c>
      <c r="E1196" s="1505">
        <f t="shared" si="172"/>
        <v>0</v>
      </c>
      <c r="F1196" s="1509">
        <f t="shared" si="161"/>
        <v>0.4706939</v>
      </c>
      <c r="G1196" s="1509">
        <f t="shared" si="162"/>
        <v>0.4706939</v>
      </c>
      <c r="H1196" s="1509">
        <f t="shared" si="163"/>
        <v>0</v>
      </c>
      <c r="I1196" s="1509">
        <v>0</v>
      </c>
      <c r="J1196" s="1509">
        <v>0</v>
      </c>
      <c r="K1196" s="1509"/>
      <c r="L1196" s="1509"/>
      <c r="M1196" s="1509">
        <f t="shared" si="164"/>
        <v>0</v>
      </c>
      <c r="N1196" s="1509">
        <f t="shared" si="165"/>
        <v>0</v>
      </c>
    </row>
    <row r="1197" spans="1:14" customFormat="1" outlineLevel="1" x14ac:dyDescent="0.25">
      <c r="A1197" s="1511">
        <f t="shared" si="172"/>
        <v>12</v>
      </c>
      <c r="B1197" s="1515" t="str">
        <f t="shared" si="172"/>
        <v>Enhancd Land CompnstnLarNo273/2010Sangam Gat24,54,</v>
      </c>
      <c r="C1197" s="1396">
        <f t="shared" si="172"/>
        <v>0</v>
      </c>
      <c r="D1197" s="1378" t="str">
        <f t="shared" si="172"/>
        <v>-</v>
      </c>
      <c r="E1197" s="1505">
        <f t="shared" si="172"/>
        <v>0</v>
      </c>
      <c r="F1197" s="1509">
        <f t="shared" si="161"/>
        <v>0.32731569999999999</v>
      </c>
      <c r="G1197" s="1509">
        <f t="shared" si="162"/>
        <v>0.32731569999999999</v>
      </c>
      <c r="H1197" s="1509">
        <f t="shared" si="163"/>
        <v>0</v>
      </c>
      <c r="I1197" s="1509">
        <v>0</v>
      </c>
      <c r="J1197" s="1509">
        <v>0</v>
      </c>
      <c r="K1197" s="1509"/>
      <c r="L1197" s="1509"/>
      <c r="M1197" s="1509">
        <f t="shared" si="164"/>
        <v>0</v>
      </c>
      <c r="N1197" s="1509">
        <f t="shared" si="165"/>
        <v>0</v>
      </c>
    </row>
    <row r="1198" spans="1:14" customFormat="1" outlineLevel="1" x14ac:dyDescent="0.25">
      <c r="A1198" s="1511">
        <f t="shared" si="172"/>
        <v>13</v>
      </c>
      <c r="B1198" s="1515" t="str">
        <f t="shared" si="172"/>
        <v>Enhancd Land CompnstnLarNo273/2010Sangam Gat24,54,</v>
      </c>
      <c r="C1198" s="1396">
        <f t="shared" si="172"/>
        <v>0</v>
      </c>
      <c r="D1198" s="1378" t="str">
        <f t="shared" si="172"/>
        <v>-</v>
      </c>
      <c r="E1198" s="1505">
        <f t="shared" si="172"/>
        <v>0</v>
      </c>
      <c r="F1198" s="1509">
        <f t="shared" si="161"/>
        <v>8.7899000000000005E-2</v>
      </c>
      <c r="G1198" s="1509">
        <f t="shared" si="162"/>
        <v>8.7899000000000005E-2</v>
      </c>
      <c r="H1198" s="1509">
        <f t="shared" si="163"/>
        <v>0</v>
      </c>
      <c r="I1198" s="1509">
        <v>0</v>
      </c>
      <c r="J1198" s="1509">
        <v>0</v>
      </c>
      <c r="K1198" s="1509"/>
      <c r="L1198" s="1509"/>
      <c r="M1198" s="1509">
        <f t="shared" si="164"/>
        <v>0</v>
      </c>
      <c r="N1198" s="1509">
        <f t="shared" si="165"/>
        <v>0</v>
      </c>
    </row>
    <row r="1199" spans="1:14" customFormat="1" ht="29" outlineLevel="1" x14ac:dyDescent="0.25">
      <c r="A1199" s="1511">
        <f t="shared" si="172"/>
        <v>14</v>
      </c>
      <c r="B1199" s="1515" t="str">
        <f t="shared" si="172"/>
        <v>Received from project 2010-11 - mechanical works of Boiler Plant and Equipments</v>
      </c>
      <c r="C1199" s="1396">
        <f t="shared" si="172"/>
        <v>0</v>
      </c>
      <c r="D1199" s="1378" t="str">
        <f t="shared" si="172"/>
        <v>-</v>
      </c>
      <c r="E1199" s="1505">
        <f t="shared" si="172"/>
        <v>0</v>
      </c>
      <c r="F1199" s="1509">
        <f t="shared" si="161"/>
        <v>6.8807868000000001</v>
      </c>
      <c r="G1199" s="1509">
        <f t="shared" si="162"/>
        <v>6.8807868000000001</v>
      </c>
      <c r="H1199" s="1509">
        <f t="shared" si="163"/>
        <v>0</v>
      </c>
      <c r="I1199" s="1509">
        <v>0</v>
      </c>
      <c r="J1199" s="1509">
        <v>0</v>
      </c>
      <c r="K1199" s="1509"/>
      <c r="L1199" s="1509"/>
      <c r="M1199" s="1509">
        <f t="shared" si="164"/>
        <v>0</v>
      </c>
      <c r="N1199" s="1509">
        <f t="shared" si="165"/>
        <v>0</v>
      </c>
    </row>
    <row r="1200" spans="1:14" customFormat="1" outlineLevel="1" x14ac:dyDescent="0.25">
      <c r="A1200" s="1511">
        <f t="shared" si="172"/>
        <v>15</v>
      </c>
      <c r="B1200" s="1515" t="str">
        <f t="shared" si="172"/>
        <v>Compnsn payment agst land acquired</v>
      </c>
      <c r="C1200" s="1396">
        <f t="shared" si="172"/>
        <v>0</v>
      </c>
      <c r="D1200" s="1378" t="str">
        <f t="shared" si="172"/>
        <v>-</v>
      </c>
      <c r="E1200" s="1505">
        <f t="shared" si="172"/>
        <v>0</v>
      </c>
      <c r="F1200" s="1509">
        <f t="shared" si="161"/>
        <v>1.1658021999999999</v>
      </c>
      <c r="G1200" s="1509">
        <f t="shared" si="162"/>
        <v>1.1658021999999999</v>
      </c>
      <c r="H1200" s="1509">
        <f t="shared" si="163"/>
        <v>0</v>
      </c>
      <c r="I1200" s="1509">
        <v>0</v>
      </c>
      <c r="J1200" s="1509">
        <v>0</v>
      </c>
      <c r="K1200" s="1509"/>
      <c r="L1200" s="1509"/>
      <c r="M1200" s="1509">
        <f t="shared" si="164"/>
        <v>0</v>
      </c>
      <c r="N1200" s="1509">
        <f t="shared" si="165"/>
        <v>0</v>
      </c>
    </row>
    <row r="1201" spans="1:14" customFormat="1" ht="18.5" outlineLevel="1" x14ac:dyDescent="0.25">
      <c r="A1201" s="1339" t="str">
        <f t="shared" si="172"/>
        <v>C</v>
      </c>
      <c r="B1201" s="1339" t="str">
        <f t="shared" si="172"/>
        <v>Yet to be submitted to MERC</v>
      </c>
      <c r="C1201" s="1339">
        <f t="shared" si="172"/>
        <v>0</v>
      </c>
      <c r="D1201" s="1378" t="str">
        <f t="shared" si="172"/>
        <v>-</v>
      </c>
      <c r="E1201" s="1505">
        <f t="shared" si="172"/>
        <v>0</v>
      </c>
      <c r="F1201" s="1509">
        <f t="shared" si="161"/>
        <v>0</v>
      </c>
      <c r="G1201" s="1509">
        <f t="shared" si="162"/>
        <v>0</v>
      </c>
      <c r="H1201" s="1509">
        <f t="shared" si="163"/>
        <v>0</v>
      </c>
      <c r="I1201" s="1509">
        <v>0</v>
      </c>
      <c r="J1201" s="1509">
        <v>0</v>
      </c>
      <c r="K1201" s="1509"/>
      <c r="L1201" s="1509"/>
      <c r="M1201" s="1509">
        <f t="shared" si="164"/>
        <v>0</v>
      </c>
      <c r="N1201" s="1509">
        <f t="shared" si="165"/>
        <v>0</v>
      </c>
    </row>
    <row r="1202" spans="1:14" customFormat="1" ht="58" outlineLevel="1" x14ac:dyDescent="0.25">
      <c r="A1202" s="1506">
        <f t="shared" si="172"/>
        <v>2</v>
      </c>
      <c r="B1202" s="1507" t="str">
        <f t="shared" si="172"/>
        <v>Upgradation of PCAL to PADO upgradation Charger, UPS &amp; upgradation of fast bus transfer scheme, Installation, Erection and Commissioning of Mill Fire Detection System at U#6,7, HT motors procurement &amp; PLC upgradation.</v>
      </c>
      <c r="C1202" s="1506" t="str">
        <f t="shared" si="172"/>
        <v>Yet to be approved</v>
      </c>
      <c r="D1202" s="1507" t="str">
        <f t="shared" si="172"/>
        <v>-</v>
      </c>
      <c r="E1202" s="1506">
        <f t="shared" si="172"/>
        <v>0</v>
      </c>
      <c r="F1202" s="1509">
        <f t="shared" si="161"/>
        <v>0</v>
      </c>
      <c r="G1202" s="1509">
        <f t="shared" si="162"/>
        <v>0</v>
      </c>
      <c r="H1202" s="1509">
        <f t="shared" si="163"/>
        <v>0</v>
      </c>
      <c r="I1202" s="1509">
        <v>0</v>
      </c>
      <c r="J1202" s="1509">
        <v>0</v>
      </c>
      <c r="K1202" s="1509"/>
      <c r="L1202" s="1509"/>
      <c r="M1202" s="1509">
        <f t="shared" si="164"/>
        <v>0</v>
      </c>
      <c r="N1202" s="1509">
        <f t="shared" si="165"/>
        <v>0</v>
      </c>
    </row>
    <row r="1203" spans="1:14" customFormat="1" ht="43.5" outlineLevel="1" x14ac:dyDescent="0.25">
      <c r="A1203" s="1511">
        <f t="shared" si="172"/>
        <v>2.1</v>
      </c>
      <c r="B1203" s="1515" t="str">
        <f t="shared" si="172"/>
        <v xml:space="preserve">Supply, Erection &amp; Commissioning of 24 V,4500 AH Battery Charger at Unit 6&amp;7,220 V,2500 AH Battery Charger at U-6&amp;7, And110 V,400 AH Battery Charger at Khadka, Naikota Pump House, Parli Vaijnath. </v>
      </c>
      <c r="C1203" s="1396" t="str">
        <f t="shared" si="172"/>
        <v>Yet to be approved</v>
      </c>
      <c r="D1203" s="1378" t="str">
        <f t="shared" si="172"/>
        <v>-</v>
      </c>
      <c r="E1203" s="1505">
        <f t="shared" si="172"/>
        <v>0</v>
      </c>
      <c r="F1203" s="1509">
        <f t="shared" si="161"/>
        <v>0</v>
      </c>
      <c r="G1203" s="1509">
        <f t="shared" si="162"/>
        <v>0</v>
      </c>
      <c r="H1203" s="1509">
        <f t="shared" si="163"/>
        <v>0</v>
      </c>
      <c r="I1203" s="1509">
        <v>6.73</v>
      </c>
      <c r="J1203" s="1509">
        <v>6.73</v>
      </c>
      <c r="K1203" s="1509"/>
      <c r="L1203" s="1509"/>
      <c r="M1203" s="1509">
        <f t="shared" si="164"/>
        <v>6.73</v>
      </c>
      <c r="N1203" s="1509">
        <f t="shared" si="165"/>
        <v>0</v>
      </c>
    </row>
    <row r="1204" spans="1:14" customFormat="1" ht="29" outlineLevel="1" x14ac:dyDescent="0.25">
      <c r="A1204" s="1511">
        <f t="shared" si="172"/>
        <v>2.2000000000000002</v>
      </c>
      <c r="B1204" s="1515" t="str">
        <f t="shared" si="172"/>
        <v xml:space="preserve">Supply, Erection &amp; Commissioning of 80 KVA UPS at U-6&amp;7, Parli Vaijnath. </v>
      </c>
      <c r="C1204" s="1396" t="str">
        <f t="shared" si="172"/>
        <v>Yet to be approved</v>
      </c>
      <c r="D1204" s="1378" t="str">
        <f t="shared" si="172"/>
        <v>-</v>
      </c>
      <c r="E1204" s="1505">
        <f t="shared" si="172"/>
        <v>0</v>
      </c>
      <c r="F1204" s="1509">
        <f t="shared" si="161"/>
        <v>0</v>
      </c>
      <c r="G1204" s="1509">
        <f t="shared" si="162"/>
        <v>0</v>
      </c>
      <c r="H1204" s="1509">
        <f t="shared" si="163"/>
        <v>0</v>
      </c>
      <c r="I1204" s="1509">
        <v>1.7850999999999999</v>
      </c>
      <c r="J1204" s="1509">
        <v>1.7850999999999999</v>
      </c>
      <c r="K1204" s="1509"/>
      <c r="L1204" s="1509"/>
      <c r="M1204" s="1509">
        <f t="shared" si="164"/>
        <v>1.7850999999999999</v>
      </c>
      <c r="N1204" s="1509">
        <f t="shared" si="165"/>
        <v>0</v>
      </c>
    </row>
    <row r="1205" spans="1:14" customFormat="1" outlineLevel="1" x14ac:dyDescent="0.25">
      <c r="A1205" s="1511">
        <f t="shared" si="172"/>
        <v>2.2999999999999998</v>
      </c>
      <c r="B1205" s="1515" t="str">
        <f t="shared" si="172"/>
        <v>Up-gradation of BTS system at Unit 6 &amp; 7 , Parli-Vaijnath.</v>
      </c>
      <c r="C1205" s="1396" t="str">
        <f t="shared" si="172"/>
        <v>Yet to be approved</v>
      </c>
      <c r="D1205" s="1378" t="str">
        <f t="shared" si="172"/>
        <v>-</v>
      </c>
      <c r="E1205" s="1505">
        <f t="shared" si="172"/>
        <v>0</v>
      </c>
      <c r="F1205" s="1509">
        <f t="shared" si="161"/>
        <v>0</v>
      </c>
      <c r="G1205" s="1509">
        <f t="shared" si="162"/>
        <v>0</v>
      </c>
      <c r="H1205" s="1509">
        <f t="shared" si="163"/>
        <v>0</v>
      </c>
      <c r="I1205" s="1509">
        <v>5.3761000000000001</v>
      </c>
      <c r="J1205" s="1509">
        <v>5.3761000000000001</v>
      </c>
      <c r="K1205" s="1509"/>
      <c r="L1205" s="1509"/>
      <c r="M1205" s="1509">
        <f t="shared" si="164"/>
        <v>5.3761000000000001</v>
      </c>
      <c r="N1205" s="1509">
        <f t="shared" si="165"/>
        <v>0</v>
      </c>
    </row>
    <row r="1206" spans="1:14" customFormat="1" ht="29" outlineLevel="1" x14ac:dyDescent="0.25">
      <c r="A1206" s="1511">
        <f t="shared" si="172"/>
        <v>2.4</v>
      </c>
      <c r="B1206" s="1515" t="str">
        <f t="shared" si="172"/>
        <v>Supply Installation, erection, and commissioning of Mill fire detection system at U# 6,7 NPTPS, Parli- V</v>
      </c>
      <c r="C1206" s="1396" t="str">
        <f t="shared" si="172"/>
        <v>Yet to be approved</v>
      </c>
      <c r="D1206" s="1378" t="str">
        <f t="shared" si="172"/>
        <v>-</v>
      </c>
      <c r="E1206" s="1505">
        <f t="shared" si="172"/>
        <v>0</v>
      </c>
      <c r="F1206" s="1509">
        <f t="shared" si="161"/>
        <v>0</v>
      </c>
      <c r="G1206" s="1509">
        <f t="shared" si="162"/>
        <v>0</v>
      </c>
      <c r="H1206" s="1509">
        <f t="shared" si="163"/>
        <v>0</v>
      </c>
      <c r="I1206" s="1509">
        <v>2.9378000000000002</v>
      </c>
      <c r="J1206" s="1509">
        <v>2.9378000000000002</v>
      </c>
      <c r="K1206" s="1509"/>
      <c r="L1206" s="1509"/>
      <c r="M1206" s="1509">
        <f t="shared" si="164"/>
        <v>2.9378000000000002</v>
      </c>
      <c r="N1206" s="1509">
        <f t="shared" si="165"/>
        <v>0</v>
      </c>
    </row>
    <row r="1207" spans="1:14" customFormat="1" ht="43.5" outlineLevel="1" x14ac:dyDescent="0.25">
      <c r="A1207" s="1511">
        <f t="shared" si="172"/>
        <v>2.5</v>
      </c>
      <c r="B1207" s="1515" t="str">
        <f t="shared" si="172"/>
        <v>Upgradation of Existing PCal System with Plant Performance Analysis Diagnostic and   Optimization System (PADO) at Unit - 6,7 New Parli TPS, Parli-V.</v>
      </c>
      <c r="C1207" s="1396" t="str">
        <f t="shared" si="172"/>
        <v>Yet to be approved</v>
      </c>
      <c r="D1207" s="1378" t="str">
        <f t="shared" si="172"/>
        <v>-</v>
      </c>
      <c r="E1207" s="1505">
        <f t="shared" si="172"/>
        <v>0</v>
      </c>
      <c r="F1207" s="1509">
        <f t="shared" si="161"/>
        <v>0</v>
      </c>
      <c r="G1207" s="1509">
        <f t="shared" si="162"/>
        <v>0</v>
      </c>
      <c r="H1207" s="1509">
        <f t="shared" si="163"/>
        <v>0</v>
      </c>
      <c r="I1207" s="1509">
        <v>2.7534000000000001</v>
      </c>
      <c r="J1207" s="1509">
        <v>2.7534000000000001</v>
      </c>
      <c r="K1207" s="1509"/>
      <c r="L1207" s="1509"/>
      <c r="M1207" s="1509">
        <f t="shared" si="164"/>
        <v>2.7534000000000001</v>
      </c>
      <c r="N1207" s="1509">
        <f t="shared" si="165"/>
        <v>0</v>
      </c>
    </row>
    <row r="1208" spans="1:14" customFormat="1" ht="58" outlineLevel="1" x14ac:dyDescent="0.25">
      <c r="A1208" s="1511">
        <f t="shared" si="172"/>
        <v>2.6</v>
      </c>
      <c r="B1208" s="1515" t="str">
        <f t="shared" si="172"/>
        <v>Upgradation of expired and vulnerable SCADA, Operating System, and Hardware to improve life and communication system of DM Plant and Condenser Polishing Plant Unit 6&amp;7 250 MW at NPTPS Parli V".</v>
      </c>
      <c r="C1208" s="1396" t="str">
        <f t="shared" si="172"/>
        <v>Yet to be approved</v>
      </c>
      <c r="D1208" s="1378" t="str">
        <f t="shared" si="172"/>
        <v>-</v>
      </c>
      <c r="E1208" s="1505">
        <f t="shared" si="172"/>
        <v>0</v>
      </c>
      <c r="F1208" s="1509">
        <f t="shared" si="161"/>
        <v>0</v>
      </c>
      <c r="G1208" s="1509">
        <f t="shared" si="162"/>
        <v>0</v>
      </c>
      <c r="H1208" s="1509">
        <f t="shared" si="163"/>
        <v>0</v>
      </c>
      <c r="I1208" s="1509">
        <v>4.58</v>
      </c>
      <c r="J1208" s="1509">
        <v>4.58</v>
      </c>
      <c r="K1208" s="1509"/>
      <c r="L1208" s="1509"/>
      <c r="M1208" s="1509">
        <f t="shared" si="164"/>
        <v>4.58</v>
      </c>
      <c r="N1208" s="1509">
        <f t="shared" si="165"/>
        <v>0</v>
      </c>
    </row>
    <row r="1209" spans="1:14" customFormat="1" outlineLevel="1" x14ac:dyDescent="0.25">
      <c r="A1209" s="1511">
        <f t="shared" ref="A1209:E1224" si="173">A852</f>
        <v>2.7</v>
      </c>
      <c r="B1209" s="1515" t="str">
        <f t="shared" si="173"/>
        <v>Procurement of Energy efficient HT motors at U#6,7, TPS Parli-V</v>
      </c>
      <c r="C1209" s="1396" t="str">
        <f t="shared" si="173"/>
        <v>Yet to be approved</v>
      </c>
      <c r="D1209" s="1378" t="str">
        <f t="shared" si="173"/>
        <v>-</v>
      </c>
      <c r="E1209" s="1505">
        <f t="shared" si="173"/>
        <v>0</v>
      </c>
      <c r="F1209" s="1509">
        <f t="shared" ref="F1209:F1272" si="174">F852+I852</f>
        <v>0</v>
      </c>
      <c r="G1209" s="1509">
        <f t="shared" ref="G1209:G1272" si="175">G852+M852</f>
        <v>0</v>
      </c>
      <c r="H1209" s="1509">
        <f t="shared" si="163"/>
        <v>0</v>
      </c>
      <c r="I1209" s="1509">
        <v>19.402799999999999</v>
      </c>
      <c r="J1209" s="1509">
        <v>19.402799999999999</v>
      </c>
      <c r="K1209" s="1509"/>
      <c r="L1209" s="1509"/>
      <c r="M1209" s="1509">
        <f t="shared" si="164"/>
        <v>19.402799999999999</v>
      </c>
      <c r="N1209" s="1509">
        <f t="shared" si="165"/>
        <v>0</v>
      </c>
    </row>
    <row r="1210" spans="1:14" customFormat="1" outlineLevel="1" x14ac:dyDescent="0.25">
      <c r="A1210" s="1515">
        <f t="shared" si="173"/>
        <v>0</v>
      </c>
      <c r="B1210" s="1515" t="str">
        <f t="shared" si="173"/>
        <v>IDC</v>
      </c>
      <c r="C1210" s="1396">
        <f t="shared" si="173"/>
        <v>0</v>
      </c>
      <c r="D1210" s="1378" t="str">
        <f t="shared" si="173"/>
        <v>-</v>
      </c>
      <c r="E1210" s="1505">
        <f t="shared" si="173"/>
        <v>0</v>
      </c>
      <c r="F1210" s="1509">
        <f t="shared" si="174"/>
        <v>0</v>
      </c>
      <c r="G1210" s="1509">
        <f t="shared" si="175"/>
        <v>0</v>
      </c>
      <c r="H1210" s="1509">
        <f t="shared" ref="H1210:H1273" si="176">F1210-G1210</f>
        <v>0</v>
      </c>
      <c r="I1210" s="1509">
        <v>0.8</v>
      </c>
      <c r="J1210" s="1509">
        <v>0.8</v>
      </c>
      <c r="K1210" s="1509"/>
      <c r="L1210" s="1509"/>
      <c r="M1210" s="1509">
        <f t="shared" ref="M1210:M1273" si="177">SUM(J1210:L1210)</f>
        <v>0.8</v>
      </c>
      <c r="N1210" s="1509">
        <f t="shared" ref="N1210:N1273" si="178">H1210+I1210-M1210</f>
        <v>0</v>
      </c>
    </row>
    <row r="1211" spans="1:14" customFormat="1" ht="43.5" outlineLevel="1" x14ac:dyDescent="0.25">
      <c r="A1211" s="1506">
        <f t="shared" si="173"/>
        <v>3</v>
      </c>
      <c r="B1211" s="1507" t="str">
        <f t="shared" si="173"/>
        <v>DPR on Supply, Installation, and commissioning of complete Governing rack assembly at Unit -06 &amp; 07 TPS Parli-V &amp; Procurement of LPT inner-inner casing at Unit 07 TPS Parli-V.</v>
      </c>
      <c r="C1211" s="1506" t="str">
        <f t="shared" si="173"/>
        <v>Yet to be approved</v>
      </c>
      <c r="D1211" s="1507" t="str">
        <f t="shared" si="173"/>
        <v>-</v>
      </c>
      <c r="E1211" s="1506">
        <f t="shared" si="173"/>
        <v>0</v>
      </c>
      <c r="F1211" s="1509">
        <f t="shared" si="174"/>
        <v>0</v>
      </c>
      <c r="G1211" s="1509">
        <f t="shared" si="175"/>
        <v>0</v>
      </c>
      <c r="H1211" s="1509">
        <f t="shared" si="176"/>
        <v>0</v>
      </c>
      <c r="I1211" s="1509">
        <v>0</v>
      </c>
      <c r="J1211" s="1509">
        <v>0</v>
      </c>
      <c r="K1211" s="1509"/>
      <c r="L1211" s="1509"/>
      <c r="M1211" s="1509">
        <f t="shared" si="177"/>
        <v>0</v>
      </c>
      <c r="N1211" s="1509">
        <f t="shared" si="178"/>
        <v>0</v>
      </c>
    </row>
    <row r="1212" spans="1:14" customFormat="1" ht="29" outlineLevel="1" x14ac:dyDescent="0.25">
      <c r="A1212" s="1511">
        <f t="shared" si="173"/>
        <v>3.1</v>
      </c>
      <c r="B1212" s="1515" t="str">
        <f t="shared" si="173"/>
        <v>Supply, Installation and Commissioning of complete governing rack assembly at Unit-06 TPS ,PARLI-V</v>
      </c>
      <c r="C1212" s="1396" t="str">
        <f t="shared" si="173"/>
        <v>Yet to be approved</v>
      </c>
      <c r="D1212" s="1378" t="str">
        <f t="shared" si="173"/>
        <v>-</v>
      </c>
      <c r="E1212" s="1505">
        <f t="shared" si="173"/>
        <v>0</v>
      </c>
      <c r="F1212" s="1509">
        <f t="shared" si="174"/>
        <v>0</v>
      </c>
      <c r="G1212" s="1509">
        <f t="shared" si="175"/>
        <v>0</v>
      </c>
      <c r="H1212" s="1509">
        <f t="shared" si="176"/>
        <v>0</v>
      </c>
      <c r="I1212" s="1509">
        <v>23.423100000000002</v>
      </c>
      <c r="J1212" s="1509">
        <v>23.423100000000002</v>
      </c>
      <c r="K1212" s="1509"/>
      <c r="L1212" s="1509"/>
      <c r="M1212" s="1509">
        <f t="shared" si="177"/>
        <v>23.423100000000002</v>
      </c>
      <c r="N1212" s="1509">
        <f t="shared" si="178"/>
        <v>0</v>
      </c>
    </row>
    <row r="1213" spans="1:14" customFormat="1" outlineLevel="1" x14ac:dyDescent="0.25">
      <c r="A1213" s="1511">
        <f t="shared" si="173"/>
        <v>3.2</v>
      </c>
      <c r="B1213" s="1515" t="str">
        <f t="shared" si="173"/>
        <v>Procurement of LPT inner-inner casing at Unit- 7 TPS, Parli-V</v>
      </c>
      <c r="C1213" s="1396" t="str">
        <f t="shared" si="173"/>
        <v>Yet to be approved</v>
      </c>
      <c r="D1213" s="1378" t="str">
        <f t="shared" si="173"/>
        <v>-</v>
      </c>
      <c r="E1213" s="1505">
        <f t="shared" si="173"/>
        <v>0</v>
      </c>
      <c r="F1213" s="1509">
        <f t="shared" si="174"/>
        <v>0</v>
      </c>
      <c r="G1213" s="1509">
        <f t="shared" si="175"/>
        <v>0</v>
      </c>
      <c r="H1213" s="1509">
        <f t="shared" si="176"/>
        <v>0</v>
      </c>
      <c r="I1213" s="1509">
        <v>15.57</v>
      </c>
      <c r="J1213" s="1509">
        <v>15.57</v>
      </c>
      <c r="K1213" s="1509"/>
      <c r="L1213" s="1509"/>
      <c r="M1213" s="1509">
        <f t="shared" si="177"/>
        <v>15.57</v>
      </c>
      <c r="N1213" s="1509">
        <f t="shared" si="178"/>
        <v>0</v>
      </c>
    </row>
    <row r="1214" spans="1:14" customFormat="1" outlineLevel="1" x14ac:dyDescent="0.25">
      <c r="A1214" s="1511">
        <f t="shared" si="173"/>
        <v>0</v>
      </c>
      <c r="B1214" s="1515" t="str">
        <f t="shared" si="173"/>
        <v>IDC</v>
      </c>
      <c r="C1214" s="1396" t="str">
        <f t="shared" si="173"/>
        <v>Yet to be approved</v>
      </c>
      <c r="D1214" s="1378" t="str">
        <f t="shared" si="173"/>
        <v>-</v>
      </c>
      <c r="E1214" s="1505">
        <f t="shared" si="173"/>
        <v>0</v>
      </c>
      <c r="F1214" s="1509">
        <f t="shared" si="174"/>
        <v>0</v>
      </c>
      <c r="G1214" s="1509">
        <f t="shared" si="175"/>
        <v>0</v>
      </c>
      <c r="H1214" s="1509">
        <f t="shared" si="176"/>
        <v>0</v>
      </c>
      <c r="I1214" s="1509">
        <v>0</v>
      </c>
      <c r="J1214" s="1509">
        <v>0</v>
      </c>
      <c r="K1214" s="1509"/>
      <c r="L1214" s="1509"/>
      <c r="M1214" s="1509">
        <f t="shared" si="177"/>
        <v>0</v>
      </c>
      <c r="N1214" s="1509">
        <f t="shared" si="178"/>
        <v>0</v>
      </c>
    </row>
    <row r="1215" spans="1:14" customFormat="1" ht="101.5" outlineLevel="1" x14ac:dyDescent="0.25">
      <c r="A1215" s="1506">
        <f t="shared" si="173"/>
        <v>4</v>
      </c>
      <c r="B1215" s="1507" t="str">
        <f t="shared" si="173"/>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1215" s="1506" t="str">
        <f t="shared" si="173"/>
        <v>Yet to be approved</v>
      </c>
      <c r="D1215" s="1507" t="str">
        <f t="shared" si="173"/>
        <v>-</v>
      </c>
      <c r="E1215" s="1506">
        <f t="shared" si="173"/>
        <v>0</v>
      </c>
      <c r="F1215" s="1509">
        <f t="shared" si="174"/>
        <v>0</v>
      </c>
      <c r="G1215" s="1509">
        <f t="shared" si="175"/>
        <v>0</v>
      </c>
      <c r="H1215" s="1509">
        <f t="shared" si="176"/>
        <v>0</v>
      </c>
      <c r="I1215" s="1509">
        <v>0</v>
      </c>
      <c r="J1215" s="1509">
        <v>0</v>
      </c>
      <c r="K1215" s="1509"/>
      <c r="L1215" s="1509"/>
      <c r="M1215" s="1509">
        <f t="shared" si="177"/>
        <v>0</v>
      </c>
      <c r="N1215" s="1509">
        <f t="shared" si="178"/>
        <v>0</v>
      </c>
    </row>
    <row r="1216" spans="1:14" customFormat="1" ht="29" outlineLevel="1" x14ac:dyDescent="0.25">
      <c r="A1216" s="1511">
        <f t="shared" si="173"/>
        <v>4.0999999999999996</v>
      </c>
      <c r="B1216" s="1515" t="str">
        <f t="shared" si="173"/>
        <v>Procurement of Energy Efficient Cartridges of Boiler Feed Pumps at Unit #6&amp;7 Parli TPS and BFP booster pumps at Unit 6,7 Parli Vaijnath.</v>
      </c>
      <c r="C1216" s="1396" t="str">
        <f t="shared" si="173"/>
        <v>Yet to be approved</v>
      </c>
      <c r="D1216" s="1378" t="str">
        <f t="shared" si="173"/>
        <v>-</v>
      </c>
      <c r="E1216" s="1505">
        <f t="shared" si="173"/>
        <v>0</v>
      </c>
      <c r="F1216" s="1509">
        <f t="shared" si="174"/>
        <v>0</v>
      </c>
      <c r="G1216" s="1509">
        <f t="shared" si="175"/>
        <v>0</v>
      </c>
      <c r="H1216" s="1509">
        <f t="shared" si="176"/>
        <v>0</v>
      </c>
      <c r="I1216" s="1509">
        <v>0</v>
      </c>
      <c r="J1216" s="1509">
        <v>0</v>
      </c>
      <c r="K1216" s="1509"/>
      <c r="L1216" s="1509"/>
      <c r="M1216" s="1509">
        <f t="shared" si="177"/>
        <v>0</v>
      </c>
      <c r="N1216" s="1509">
        <f t="shared" si="178"/>
        <v>0</v>
      </c>
    </row>
    <row r="1217" spans="1:14" customFormat="1" ht="29" outlineLevel="1" x14ac:dyDescent="0.25">
      <c r="A1217" s="1511">
        <f t="shared" si="173"/>
        <v>4.2</v>
      </c>
      <c r="B1217" s="1515" t="str">
        <f t="shared" si="173"/>
        <v>Refurbishment of existing M/s Jindal make H2 gas Dryer at Unit #6&amp;7 Parli TPS</v>
      </c>
      <c r="C1217" s="1396" t="str">
        <f t="shared" si="173"/>
        <v>Yet to be approved</v>
      </c>
      <c r="D1217" s="1378" t="str">
        <f t="shared" si="173"/>
        <v>-</v>
      </c>
      <c r="E1217" s="1505">
        <f t="shared" si="173"/>
        <v>0</v>
      </c>
      <c r="F1217" s="1509">
        <f t="shared" si="174"/>
        <v>0</v>
      </c>
      <c r="G1217" s="1509">
        <f t="shared" si="175"/>
        <v>0</v>
      </c>
      <c r="H1217" s="1509">
        <f t="shared" si="176"/>
        <v>0</v>
      </c>
      <c r="I1217" s="1509">
        <v>0</v>
      </c>
      <c r="J1217" s="1509">
        <v>0</v>
      </c>
      <c r="K1217" s="1509"/>
      <c r="L1217" s="1509"/>
      <c r="M1217" s="1509">
        <f t="shared" si="177"/>
        <v>0</v>
      </c>
      <c r="N1217" s="1509">
        <f t="shared" si="178"/>
        <v>0</v>
      </c>
    </row>
    <row r="1218" spans="1:14" customFormat="1" ht="29" outlineLevel="1" x14ac:dyDescent="0.25">
      <c r="A1218" s="1511">
        <f t="shared" si="173"/>
        <v>4.3</v>
      </c>
      <c r="B1218" s="1515" t="str">
        <f t="shared" si="173"/>
        <v>Refurbishment of existing M/s Donaldson make Instrument Air Dryer at Unit#6 Parli TPS</v>
      </c>
      <c r="C1218" s="1396" t="str">
        <f t="shared" si="173"/>
        <v>Yet to be approved</v>
      </c>
      <c r="D1218" s="1378" t="str">
        <f t="shared" si="173"/>
        <v>-</v>
      </c>
      <c r="E1218" s="1505">
        <f t="shared" si="173"/>
        <v>0</v>
      </c>
      <c r="F1218" s="1509">
        <f t="shared" si="174"/>
        <v>0</v>
      </c>
      <c r="G1218" s="1509">
        <f t="shared" si="175"/>
        <v>0</v>
      </c>
      <c r="H1218" s="1509">
        <f t="shared" si="176"/>
        <v>0</v>
      </c>
      <c r="I1218" s="1509">
        <v>0</v>
      </c>
      <c r="J1218" s="1509">
        <v>0</v>
      </c>
      <c r="K1218" s="1509"/>
      <c r="L1218" s="1509"/>
      <c r="M1218" s="1509">
        <f t="shared" si="177"/>
        <v>0</v>
      </c>
      <c r="N1218" s="1509">
        <f t="shared" si="178"/>
        <v>0</v>
      </c>
    </row>
    <row r="1219" spans="1:14" customFormat="1" ht="58" outlineLevel="1" x14ac:dyDescent="0.25">
      <c r="A1219" s="1511">
        <f t="shared" si="173"/>
        <v>4.4000000000000004</v>
      </c>
      <c r="B1219" s="1515" t="str">
        <f t="shared" si="173"/>
        <v xml:space="preserve"> Repair and refurbishment of flowmore make ACW pump v.t model 24h/2 stage drawing no. csd/96502082k5(A)&amp; HSC booster pump model fig 5821 size 350 x 300 drawing no. csd/96502082k5(b) at unit#6,7.</v>
      </c>
      <c r="C1219" s="1396" t="str">
        <f t="shared" si="173"/>
        <v>Yet to be approved</v>
      </c>
      <c r="D1219" s="1378" t="str">
        <f t="shared" si="173"/>
        <v>-</v>
      </c>
      <c r="E1219" s="1505">
        <f t="shared" si="173"/>
        <v>0</v>
      </c>
      <c r="F1219" s="1509">
        <f t="shared" si="174"/>
        <v>0</v>
      </c>
      <c r="G1219" s="1509">
        <f t="shared" si="175"/>
        <v>0</v>
      </c>
      <c r="H1219" s="1509">
        <f t="shared" si="176"/>
        <v>0</v>
      </c>
      <c r="I1219" s="1509">
        <v>0</v>
      </c>
      <c r="J1219" s="1509">
        <v>0</v>
      </c>
      <c r="K1219" s="1509"/>
      <c r="L1219" s="1509"/>
      <c r="M1219" s="1509">
        <f t="shared" si="177"/>
        <v>0</v>
      </c>
      <c r="N1219" s="1509">
        <f t="shared" si="178"/>
        <v>0</v>
      </c>
    </row>
    <row r="1220" spans="1:14" customFormat="1" outlineLevel="1" x14ac:dyDescent="0.25">
      <c r="A1220" s="1511">
        <f t="shared" si="173"/>
        <v>0</v>
      </c>
      <c r="B1220" s="1515" t="str">
        <f t="shared" si="173"/>
        <v>IDC</v>
      </c>
      <c r="C1220" s="1396" t="str">
        <f t="shared" si="173"/>
        <v>Yet to be approved</v>
      </c>
      <c r="D1220" s="1378" t="str">
        <f t="shared" si="173"/>
        <v>-</v>
      </c>
      <c r="E1220" s="1505">
        <f t="shared" si="173"/>
        <v>0</v>
      </c>
      <c r="F1220" s="1509">
        <f t="shared" si="174"/>
        <v>0</v>
      </c>
      <c r="G1220" s="1509">
        <f t="shared" si="175"/>
        <v>0</v>
      </c>
      <c r="H1220" s="1509">
        <f t="shared" si="176"/>
        <v>0</v>
      </c>
      <c r="I1220" s="1509">
        <v>0</v>
      </c>
      <c r="J1220" s="1509">
        <v>0</v>
      </c>
      <c r="K1220" s="1509"/>
      <c r="L1220" s="1509"/>
      <c r="M1220" s="1509">
        <f t="shared" si="177"/>
        <v>0</v>
      </c>
      <c r="N1220" s="1509">
        <f t="shared" si="178"/>
        <v>0</v>
      </c>
    </row>
    <row r="1221" spans="1:14" customFormat="1" outlineLevel="1" x14ac:dyDescent="0.25">
      <c r="A1221" s="1506">
        <f t="shared" si="173"/>
        <v>5</v>
      </c>
      <c r="B1221" s="1507" t="str">
        <f t="shared" si="173"/>
        <v>Bolier Improvement schemes at  U#6,7 Parli TPS</v>
      </c>
      <c r="C1221" s="1506" t="str">
        <f t="shared" si="173"/>
        <v>Yet to be approved</v>
      </c>
      <c r="D1221" s="1507" t="str">
        <f t="shared" si="173"/>
        <v>-</v>
      </c>
      <c r="E1221" s="1506">
        <f t="shared" si="173"/>
        <v>0</v>
      </c>
      <c r="F1221" s="1509">
        <f t="shared" si="174"/>
        <v>0</v>
      </c>
      <c r="G1221" s="1509">
        <f t="shared" si="175"/>
        <v>0</v>
      </c>
      <c r="H1221" s="1509">
        <f t="shared" si="176"/>
        <v>0</v>
      </c>
      <c r="I1221" s="1509">
        <v>0</v>
      </c>
      <c r="J1221" s="1509">
        <v>0</v>
      </c>
      <c r="K1221" s="1509"/>
      <c r="L1221" s="1509"/>
      <c r="M1221" s="1509">
        <f t="shared" si="177"/>
        <v>0</v>
      </c>
      <c r="N1221" s="1509">
        <f t="shared" si="178"/>
        <v>0</v>
      </c>
    </row>
    <row r="1222" spans="1:14" customFormat="1" ht="29" outlineLevel="1" x14ac:dyDescent="0.25">
      <c r="A1222" s="1511">
        <f t="shared" si="173"/>
        <v>5.0999999999999996</v>
      </c>
      <c r="B1222" s="1515" t="str">
        <f t="shared" si="173"/>
        <v>Procurment &amp; replacement of Four complete set of APH basket ay U#6 &amp; 7</v>
      </c>
      <c r="C1222" s="1396" t="str">
        <f t="shared" si="173"/>
        <v>Yet to be approved</v>
      </c>
      <c r="D1222" s="1378" t="str">
        <f t="shared" si="173"/>
        <v>-</v>
      </c>
      <c r="E1222" s="1505">
        <f t="shared" si="173"/>
        <v>0</v>
      </c>
      <c r="F1222" s="1509">
        <f t="shared" si="174"/>
        <v>0</v>
      </c>
      <c r="G1222" s="1509">
        <f t="shared" si="175"/>
        <v>0</v>
      </c>
      <c r="H1222" s="1509">
        <f t="shared" si="176"/>
        <v>0</v>
      </c>
      <c r="I1222" s="1509">
        <v>5</v>
      </c>
      <c r="J1222" s="1509">
        <v>5</v>
      </c>
      <c r="K1222" s="1509"/>
      <c r="L1222" s="1509"/>
      <c r="M1222" s="1509">
        <f t="shared" si="177"/>
        <v>5</v>
      </c>
      <c r="N1222" s="1509">
        <f t="shared" si="178"/>
        <v>0</v>
      </c>
    </row>
    <row r="1223" spans="1:14" customFormat="1" ht="29" outlineLevel="1" x14ac:dyDescent="0.25">
      <c r="A1223" s="1511">
        <f t="shared" si="173"/>
        <v>5.2</v>
      </c>
      <c r="B1223" s="1515" t="str">
        <f t="shared" si="173"/>
        <v>PROCUREMENT &amp; REPLACEMENT OF COAL COMPARATMENT ASSEMBLIES FOR 250 MW UNIT-6 &amp; 7 AT PARLI TPS</v>
      </c>
      <c r="C1223" s="1396" t="str">
        <f t="shared" si="173"/>
        <v>Yet to be approved</v>
      </c>
      <c r="D1223" s="1378" t="str">
        <f t="shared" si="173"/>
        <v>-</v>
      </c>
      <c r="E1223" s="1505">
        <f t="shared" si="173"/>
        <v>0</v>
      </c>
      <c r="F1223" s="1509">
        <f t="shared" si="174"/>
        <v>0</v>
      </c>
      <c r="G1223" s="1509">
        <f t="shared" si="175"/>
        <v>0</v>
      </c>
      <c r="H1223" s="1509">
        <f t="shared" si="176"/>
        <v>0</v>
      </c>
      <c r="I1223" s="1509">
        <v>1.25</v>
      </c>
      <c r="J1223" s="1509">
        <v>1.25</v>
      </c>
      <c r="K1223" s="1509"/>
      <c r="L1223" s="1509"/>
      <c r="M1223" s="1509">
        <f t="shared" si="177"/>
        <v>1.25</v>
      </c>
      <c r="N1223" s="1509">
        <f t="shared" si="178"/>
        <v>0</v>
      </c>
    </row>
    <row r="1224" spans="1:14" customFormat="1" ht="29" outlineLevel="1" x14ac:dyDescent="0.25">
      <c r="A1224" s="1511">
        <f t="shared" si="173"/>
        <v>5.3</v>
      </c>
      <c r="B1224" s="1515" t="str">
        <f t="shared" si="173"/>
        <v>Procurement &amp; replacement  of complete set of Reheater coils for U- 6 &amp; 7</v>
      </c>
      <c r="C1224" s="1396" t="str">
        <f t="shared" si="173"/>
        <v>Yet to be approved</v>
      </c>
      <c r="D1224" s="1378" t="str">
        <f t="shared" si="173"/>
        <v>-</v>
      </c>
      <c r="E1224" s="1505">
        <f t="shared" si="173"/>
        <v>0</v>
      </c>
      <c r="F1224" s="1509">
        <f t="shared" si="174"/>
        <v>0</v>
      </c>
      <c r="G1224" s="1509">
        <f t="shared" si="175"/>
        <v>0</v>
      </c>
      <c r="H1224" s="1509">
        <f t="shared" si="176"/>
        <v>0</v>
      </c>
      <c r="I1224" s="1509">
        <v>11</v>
      </c>
      <c r="J1224" s="1509">
        <v>11</v>
      </c>
      <c r="K1224" s="1509"/>
      <c r="L1224" s="1509"/>
      <c r="M1224" s="1509">
        <f t="shared" si="177"/>
        <v>11</v>
      </c>
      <c r="N1224" s="1509">
        <f t="shared" si="178"/>
        <v>0</v>
      </c>
    </row>
    <row r="1225" spans="1:14" customFormat="1" ht="29" outlineLevel="1" x14ac:dyDescent="0.25">
      <c r="A1225" s="1511">
        <f t="shared" ref="A1225:E1240" si="179">A868</f>
        <v>5.4</v>
      </c>
      <c r="B1225" s="1515" t="str">
        <f t="shared" si="179"/>
        <v>Procurement &amp; replacement  of complete set of Platen SH coil for U- 6 &amp; 7</v>
      </c>
      <c r="C1225" s="1396" t="str">
        <f t="shared" si="179"/>
        <v>Yet to be approved</v>
      </c>
      <c r="D1225" s="1378" t="str">
        <f t="shared" si="179"/>
        <v>-</v>
      </c>
      <c r="E1225" s="1505">
        <f t="shared" si="179"/>
        <v>0</v>
      </c>
      <c r="F1225" s="1509">
        <f t="shared" si="174"/>
        <v>0</v>
      </c>
      <c r="G1225" s="1509">
        <f t="shared" si="175"/>
        <v>0</v>
      </c>
      <c r="H1225" s="1509">
        <f t="shared" si="176"/>
        <v>0</v>
      </c>
      <c r="I1225" s="1509">
        <v>12.5</v>
      </c>
      <c r="J1225" s="1509">
        <v>12.5</v>
      </c>
      <c r="K1225" s="1509"/>
      <c r="L1225" s="1509"/>
      <c r="M1225" s="1509">
        <f t="shared" si="177"/>
        <v>12.5</v>
      </c>
      <c r="N1225" s="1509">
        <f t="shared" si="178"/>
        <v>0</v>
      </c>
    </row>
    <row r="1226" spans="1:14" customFormat="1" outlineLevel="1" x14ac:dyDescent="0.25">
      <c r="A1226" s="1511">
        <f t="shared" si="179"/>
        <v>5.5</v>
      </c>
      <c r="B1226" s="1515" t="str">
        <f t="shared" si="179"/>
        <v>Procurement &amp; replacement of  shell liner for U-6&amp;7</v>
      </c>
      <c r="C1226" s="1396" t="str">
        <f t="shared" si="179"/>
        <v>Yet to be approved</v>
      </c>
      <c r="D1226" s="1378" t="str">
        <f t="shared" si="179"/>
        <v>-</v>
      </c>
      <c r="E1226" s="1505">
        <f t="shared" si="179"/>
        <v>0</v>
      </c>
      <c r="F1226" s="1509">
        <f t="shared" si="174"/>
        <v>0</v>
      </c>
      <c r="G1226" s="1509">
        <f t="shared" si="175"/>
        <v>0</v>
      </c>
      <c r="H1226" s="1509">
        <f t="shared" si="176"/>
        <v>0</v>
      </c>
      <c r="I1226" s="1509">
        <v>1.1000000000000001</v>
      </c>
      <c r="J1226" s="1509">
        <v>1.1000000000000001</v>
      </c>
      <c r="K1226" s="1509"/>
      <c r="L1226" s="1509"/>
      <c r="M1226" s="1509">
        <f t="shared" si="177"/>
        <v>1.1000000000000001</v>
      </c>
      <c r="N1226" s="1509">
        <f t="shared" si="178"/>
        <v>0</v>
      </c>
    </row>
    <row r="1227" spans="1:14" customFormat="1" ht="29" outlineLevel="1" x14ac:dyDescent="0.25">
      <c r="A1227" s="1511">
        <f t="shared" si="179"/>
        <v>5.6</v>
      </c>
      <c r="B1227" s="1515" t="str">
        <f t="shared" si="179"/>
        <v>Procurement &amp; replacement of  FD fan assembly with blade set at U#6,7</v>
      </c>
      <c r="C1227" s="1396" t="str">
        <f t="shared" si="179"/>
        <v>Yet to be approved</v>
      </c>
      <c r="D1227" s="1378" t="str">
        <f t="shared" si="179"/>
        <v>-</v>
      </c>
      <c r="E1227" s="1505">
        <f t="shared" si="179"/>
        <v>0</v>
      </c>
      <c r="F1227" s="1509">
        <f t="shared" si="174"/>
        <v>0</v>
      </c>
      <c r="G1227" s="1509">
        <f t="shared" si="175"/>
        <v>0</v>
      </c>
      <c r="H1227" s="1509">
        <f t="shared" si="176"/>
        <v>0</v>
      </c>
      <c r="I1227" s="1509">
        <v>0</v>
      </c>
      <c r="J1227" s="1509">
        <v>0</v>
      </c>
      <c r="K1227" s="1509"/>
      <c r="L1227" s="1509"/>
      <c r="M1227" s="1509">
        <f t="shared" si="177"/>
        <v>0</v>
      </c>
      <c r="N1227" s="1509">
        <f t="shared" si="178"/>
        <v>0</v>
      </c>
    </row>
    <row r="1228" spans="1:14" customFormat="1" outlineLevel="1" x14ac:dyDescent="0.25">
      <c r="A1228" s="1511">
        <f t="shared" si="179"/>
        <v>0</v>
      </c>
      <c r="B1228" s="1515" t="str">
        <f t="shared" si="179"/>
        <v>IDC</v>
      </c>
      <c r="C1228" s="1396" t="str">
        <f t="shared" si="179"/>
        <v>Yet to be approved</v>
      </c>
      <c r="D1228" s="1378" t="str">
        <f t="shared" si="179"/>
        <v>-</v>
      </c>
      <c r="E1228" s="1505">
        <f t="shared" si="179"/>
        <v>0</v>
      </c>
      <c r="F1228" s="1509">
        <f t="shared" si="174"/>
        <v>0</v>
      </c>
      <c r="G1228" s="1509">
        <f t="shared" si="175"/>
        <v>0</v>
      </c>
      <c r="H1228" s="1509">
        <f t="shared" si="176"/>
        <v>0</v>
      </c>
      <c r="I1228" s="1509">
        <v>0</v>
      </c>
      <c r="J1228" s="1509">
        <v>0</v>
      </c>
      <c r="K1228" s="1509"/>
      <c r="L1228" s="1509"/>
      <c r="M1228" s="1509">
        <f t="shared" si="177"/>
        <v>0</v>
      </c>
      <c r="N1228" s="1509">
        <f t="shared" si="178"/>
        <v>0</v>
      </c>
    </row>
    <row r="1229" spans="1:14" customFormat="1" outlineLevel="1" x14ac:dyDescent="0.25">
      <c r="A1229" s="1506">
        <f t="shared" si="179"/>
        <v>6</v>
      </c>
      <c r="B1229" s="1507" t="str">
        <f t="shared" si="179"/>
        <v>Bolier plant performance Improvement schemes at  U#6,7 Parli TPS</v>
      </c>
      <c r="C1229" s="1506" t="str">
        <f t="shared" si="179"/>
        <v>Yet to be approved</v>
      </c>
      <c r="D1229" s="1507" t="str">
        <f t="shared" si="179"/>
        <v>-</v>
      </c>
      <c r="E1229" s="1506">
        <f t="shared" si="179"/>
        <v>0</v>
      </c>
      <c r="F1229" s="1509">
        <f t="shared" si="174"/>
        <v>0</v>
      </c>
      <c r="G1229" s="1509">
        <f t="shared" si="175"/>
        <v>0</v>
      </c>
      <c r="H1229" s="1509">
        <f t="shared" si="176"/>
        <v>0</v>
      </c>
      <c r="I1229" s="1509">
        <v>0</v>
      </c>
      <c r="J1229" s="1509">
        <v>0</v>
      </c>
      <c r="K1229" s="1509"/>
      <c r="L1229" s="1509"/>
      <c r="M1229" s="1509">
        <f t="shared" si="177"/>
        <v>0</v>
      </c>
      <c r="N1229" s="1509">
        <f t="shared" si="178"/>
        <v>0</v>
      </c>
    </row>
    <row r="1230" spans="1:14" customFormat="1" ht="29" outlineLevel="1" x14ac:dyDescent="0.25">
      <c r="A1230" s="1511">
        <f t="shared" si="179"/>
        <v>6.1</v>
      </c>
      <c r="B1230" s="1515" t="str">
        <f t="shared" si="179"/>
        <v xml:space="preserve"> PROCUREMENT &amp; REPLACEMENT OF COAL COMPARATMENT ASSEMBLIES FOR 250 MW UNIT-6 &amp; 7 AT PARLI TPS</v>
      </c>
      <c r="C1230" s="1396" t="str">
        <f t="shared" si="179"/>
        <v>Yet to be approved</v>
      </c>
      <c r="D1230" s="1378" t="str">
        <f t="shared" si="179"/>
        <v>-</v>
      </c>
      <c r="E1230" s="1505">
        <f t="shared" si="179"/>
        <v>0</v>
      </c>
      <c r="F1230" s="1509">
        <f t="shared" si="174"/>
        <v>0</v>
      </c>
      <c r="G1230" s="1509">
        <f t="shared" si="175"/>
        <v>0</v>
      </c>
      <c r="H1230" s="1509">
        <f t="shared" si="176"/>
        <v>0</v>
      </c>
      <c r="I1230" s="1509">
        <v>0</v>
      </c>
      <c r="J1230" s="1509">
        <v>0</v>
      </c>
      <c r="K1230" s="1509"/>
      <c r="L1230" s="1509"/>
      <c r="M1230" s="1509">
        <f t="shared" si="177"/>
        <v>0</v>
      </c>
      <c r="N1230" s="1509">
        <f t="shared" si="178"/>
        <v>0</v>
      </c>
    </row>
    <row r="1231" spans="1:14" customFormat="1" outlineLevel="1" x14ac:dyDescent="0.25">
      <c r="A1231" s="1511">
        <f t="shared" si="179"/>
        <v>6.2</v>
      </c>
      <c r="B1231" s="1515" t="str">
        <f t="shared" si="179"/>
        <v>Procurement &amp; replacement of  shell liner for U-6&amp;7</v>
      </c>
      <c r="C1231" s="1396" t="str">
        <f t="shared" si="179"/>
        <v>Yet to be approved</v>
      </c>
      <c r="D1231" s="1378" t="str">
        <f t="shared" si="179"/>
        <v>-</v>
      </c>
      <c r="E1231" s="1505">
        <f t="shared" si="179"/>
        <v>0</v>
      </c>
      <c r="F1231" s="1509">
        <f t="shared" si="174"/>
        <v>0</v>
      </c>
      <c r="G1231" s="1509">
        <f t="shared" si="175"/>
        <v>0</v>
      </c>
      <c r="H1231" s="1509">
        <f t="shared" si="176"/>
        <v>0</v>
      </c>
      <c r="I1231" s="1509">
        <v>0</v>
      </c>
      <c r="J1231" s="1509">
        <v>0</v>
      </c>
      <c r="K1231" s="1509"/>
      <c r="L1231" s="1509"/>
      <c r="M1231" s="1509">
        <f t="shared" si="177"/>
        <v>0</v>
      </c>
      <c r="N1231" s="1509">
        <f t="shared" si="178"/>
        <v>0</v>
      </c>
    </row>
    <row r="1232" spans="1:14" customFormat="1" ht="29" outlineLevel="1" x14ac:dyDescent="0.25">
      <c r="A1232" s="1511">
        <f t="shared" si="179"/>
        <v>6.3</v>
      </c>
      <c r="B1232" s="1515" t="str">
        <f t="shared" si="179"/>
        <v>Procurement &amp; replacement of water wall Z panel &amp; water wall soot blower panel at U#6,7</v>
      </c>
      <c r="C1232" s="1396" t="str">
        <f t="shared" si="179"/>
        <v>Yet to be approved</v>
      </c>
      <c r="D1232" s="1378" t="str">
        <f t="shared" si="179"/>
        <v>-</v>
      </c>
      <c r="E1232" s="1505">
        <f t="shared" si="179"/>
        <v>0</v>
      </c>
      <c r="F1232" s="1509">
        <f t="shared" si="174"/>
        <v>0</v>
      </c>
      <c r="G1232" s="1509">
        <f t="shared" si="175"/>
        <v>0</v>
      </c>
      <c r="H1232" s="1509">
        <f t="shared" si="176"/>
        <v>0</v>
      </c>
      <c r="I1232" s="1509">
        <v>0</v>
      </c>
      <c r="J1232" s="1509">
        <v>0</v>
      </c>
      <c r="K1232" s="1509"/>
      <c r="L1232" s="1509"/>
      <c r="M1232" s="1509">
        <f t="shared" si="177"/>
        <v>0</v>
      </c>
      <c r="N1232" s="1509">
        <f t="shared" si="178"/>
        <v>0</v>
      </c>
    </row>
    <row r="1233" spans="1:14" customFormat="1" ht="29" outlineLevel="1" x14ac:dyDescent="0.25">
      <c r="A1233" s="1511">
        <f t="shared" si="179"/>
        <v>6.4</v>
      </c>
      <c r="B1233" s="1515" t="str">
        <f t="shared" si="179"/>
        <v>Procurement &amp; Replacement of Two complete set of APH Baskets at 250 MW Unit-7, Parli TPS.</v>
      </c>
      <c r="C1233" s="1396" t="str">
        <f t="shared" si="179"/>
        <v>Yet to be approved</v>
      </c>
      <c r="D1233" s="1378" t="str">
        <f t="shared" si="179"/>
        <v>-</v>
      </c>
      <c r="E1233" s="1505">
        <f t="shared" si="179"/>
        <v>0</v>
      </c>
      <c r="F1233" s="1509">
        <f t="shared" si="174"/>
        <v>0</v>
      </c>
      <c r="G1233" s="1509">
        <f t="shared" si="175"/>
        <v>0</v>
      </c>
      <c r="H1233" s="1509">
        <f t="shared" si="176"/>
        <v>0</v>
      </c>
      <c r="I1233" s="1509">
        <v>0</v>
      </c>
      <c r="J1233" s="1509">
        <v>0</v>
      </c>
      <c r="K1233" s="1509"/>
      <c r="L1233" s="1509"/>
      <c r="M1233" s="1509">
        <f t="shared" si="177"/>
        <v>0</v>
      </c>
      <c r="N1233" s="1509">
        <f t="shared" si="178"/>
        <v>0</v>
      </c>
    </row>
    <row r="1234" spans="1:14" customFormat="1" outlineLevel="1" x14ac:dyDescent="0.25">
      <c r="A1234" s="1511">
        <f t="shared" si="179"/>
        <v>0</v>
      </c>
      <c r="B1234" s="1515" t="str">
        <f t="shared" si="179"/>
        <v>IDC</v>
      </c>
      <c r="C1234" s="1396" t="str">
        <f t="shared" si="179"/>
        <v>Yet to be approved</v>
      </c>
      <c r="D1234" s="1378" t="str">
        <f t="shared" si="179"/>
        <v>-</v>
      </c>
      <c r="E1234" s="1505">
        <f t="shared" si="179"/>
        <v>0</v>
      </c>
      <c r="F1234" s="1509">
        <f t="shared" si="174"/>
        <v>0</v>
      </c>
      <c r="G1234" s="1509">
        <f t="shared" si="175"/>
        <v>0</v>
      </c>
      <c r="H1234" s="1509">
        <f t="shared" si="176"/>
        <v>0</v>
      </c>
      <c r="I1234" s="1509">
        <v>0</v>
      </c>
      <c r="J1234" s="1509">
        <v>0</v>
      </c>
      <c r="K1234" s="1509"/>
      <c r="L1234" s="1509"/>
      <c r="M1234" s="1509">
        <f t="shared" si="177"/>
        <v>0</v>
      </c>
      <c r="N1234" s="1509">
        <f t="shared" si="178"/>
        <v>0</v>
      </c>
    </row>
    <row r="1235" spans="1:14" customFormat="1" outlineLevel="1" x14ac:dyDescent="0.25">
      <c r="A1235" s="1506">
        <f t="shared" si="179"/>
        <v>7</v>
      </c>
      <c r="B1235" s="1507" t="str">
        <f t="shared" si="179"/>
        <v>ESP Upgradation at U#6,7</v>
      </c>
      <c r="C1235" s="1506" t="str">
        <f t="shared" si="179"/>
        <v>Yet to be approved</v>
      </c>
      <c r="D1235" s="1507" t="str">
        <f t="shared" si="179"/>
        <v>-</v>
      </c>
      <c r="E1235" s="1506">
        <f t="shared" si="179"/>
        <v>0</v>
      </c>
      <c r="F1235" s="1509">
        <f t="shared" si="174"/>
        <v>0</v>
      </c>
      <c r="G1235" s="1509">
        <f t="shared" si="175"/>
        <v>0</v>
      </c>
      <c r="H1235" s="1509">
        <f t="shared" si="176"/>
        <v>0</v>
      </c>
      <c r="I1235" s="1509">
        <v>0</v>
      </c>
      <c r="J1235" s="1509">
        <v>0</v>
      </c>
      <c r="K1235" s="1509"/>
      <c r="L1235" s="1509"/>
      <c r="M1235" s="1509">
        <f t="shared" si="177"/>
        <v>0</v>
      </c>
      <c r="N1235" s="1509">
        <f t="shared" si="178"/>
        <v>0</v>
      </c>
    </row>
    <row r="1236" spans="1:14" customFormat="1" ht="58" outlineLevel="1" x14ac:dyDescent="0.25">
      <c r="A1236" s="1511">
        <f t="shared" si="179"/>
        <v>7.1</v>
      </c>
      <c r="B1236" s="1515" t="str">
        <f t="shared" si="179"/>
        <v xml:space="preserve"> Procurement &amp; replacement of all emitting coils &amp; collecting plates of ESP &amp; Procurement &amp; replacement of ESP internals at U#6,7 Parli TPS &amp; Replacement of thermal insulation of boiler, ducts &amp; steam piping along with supply</v>
      </c>
      <c r="C1236" s="1396" t="str">
        <f t="shared" si="179"/>
        <v>Yet to be approved</v>
      </c>
      <c r="D1236" s="1378" t="str">
        <f t="shared" si="179"/>
        <v>-</v>
      </c>
      <c r="E1236" s="1505">
        <f t="shared" si="179"/>
        <v>0</v>
      </c>
      <c r="F1236" s="1509">
        <f t="shared" si="174"/>
        <v>0</v>
      </c>
      <c r="G1236" s="1509">
        <f t="shared" si="175"/>
        <v>0</v>
      </c>
      <c r="H1236" s="1509">
        <f t="shared" si="176"/>
        <v>0</v>
      </c>
      <c r="I1236" s="1509">
        <v>0</v>
      </c>
      <c r="J1236" s="1509">
        <v>0</v>
      </c>
      <c r="K1236" s="1509"/>
      <c r="L1236" s="1509"/>
      <c r="M1236" s="1509">
        <f t="shared" si="177"/>
        <v>0</v>
      </c>
      <c r="N1236" s="1509">
        <f t="shared" si="178"/>
        <v>0</v>
      </c>
    </row>
    <row r="1237" spans="1:14" customFormat="1" ht="29" outlineLevel="1" x14ac:dyDescent="0.25">
      <c r="A1237" s="1511">
        <f t="shared" si="179"/>
        <v>7.2</v>
      </c>
      <c r="B1237" s="1515" t="str">
        <f t="shared" si="179"/>
        <v xml:space="preserve"> Replacement of thermal insulation of boiler, ducts &amp; steam piping along with supply</v>
      </c>
      <c r="C1237" s="1396" t="str">
        <f t="shared" si="179"/>
        <v>Yet to be approved</v>
      </c>
      <c r="D1237" s="1378" t="str">
        <f t="shared" si="179"/>
        <v>-</v>
      </c>
      <c r="E1237" s="1505">
        <f t="shared" si="179"/>
        <v>0</v>
      </c>
      <c r="F1237" s="1509">
        <f t="shared" si="174"/>
        <v>0</v>
      </c>
      <c r="G1237" s="1509">
        <f t="shared" si="175"/>
        <v>0</v>
      </c>
      <c r="H1237" s="1509">
        <f t="shared" si="176"/>
        <v>0</v>
      </c>
      <c r="I1237" s="1509">
        <v>0</v>
      </c>
      <c r="J1237" s="1509">
        <v>0</v>
      </c>
      <c r="K1237" s="1509"/>
      <c r="L1237" s="1509"/>
      <c r="M1237" s="1509">
        <f t="shared" si="177"/>
        <v>0</v>
      </c>
      <c r="N1237" s="1509">
        <f t="shared" si="178"/>
        <v>0</v>
      </c>
    </row>
    <row r="1238" spans="1:14" customFormat="1" outlineLevel="1" x14ac:dyDescent="0.25">
      <c r="A1238" s="1511">
        <f t="shared" si="179"/>
        <v>0</v>
      </c>
      <c r="B1238" s="1515" t="str">
        <f t="shared" si="179"/>
        <v>IDC</v>
      </c>
      <c r="C1238" s="1396" t="str">
        <f t="shared" si="179"/>
        <v>Yet to be approved</v>
      </c>
      <c r="D1238" s="1378" t="str">
        <f t="shared" si="179"/>
        <v>-</v>
      </c>
      <c r="E1238" s="1505">
        <f t="shared" si="179"/>
        <v>0</v>
      </c>
      <c r="F1238" s="1509">
        <f t="shared" si="174"/>
        <v>0</v>
      </c>
      <c r="G1238" s="1509">
        <f t="shared" si="175"/>
        <v>0</v>
      </c>
      <c r="H1238" s="1509">
        <f t="shared" si="176"/>
        <v>0</v>
      </c>
      <c r="I1238" s="1509">
        <v>0</v>
      </c>
      <c r="J1238" s="1509">
        <v>0</v>
      </c>
      <c r="K1238" s="1509"/>
      <c r="L1238" s="1509"/>
      <c r="M1238" s="1509">
        <f t="shared" si="177"/>
        <v>0</v>
      </c>
      <c r="N1238" s="1509">
        <f t="shared" si="178"/>
        <v>0</v>
      </c>
    </row>
    <row r="1239" spans="1:14" customFormat="1" outlineLevel="1" x14ac:dyDescent="0.25">
      <c r="A1239" s="1506">
        <f t="shared" si="179"/>
        <v>8</v>
      </c>
      <c r="B1239" s="1507" t="str">
        <f t="shared" si="179"/>
        <v>Augmentation of Dautpur &amp; Sandawa premises water recovery system</v>
      </c>
      <c r="C1239" s="1506" t="str">
        <f t="shared" si="179"/>
        <v>Yet to be approved</v>
      </c>
      <c r="D1239" s="1507" t="str">
        <f t="shared" si="179"/>
        <v>-</v>
      </c>
      <c r="E1239" s="1506">
        <f t="shared" si="179"/>
        <v>0</v>
      </c>
      <c r="F1239" s="1509">
        <f t="shared" si="174"/>
        <v>0</v>
      </c>
      <c r="G1239" s="1509">
        <f t="shared" si="175"/>
        <v>0</v>
      </c>
      <c r="H1239" s="1509">
        <f t="shared" si="176"/>
        <v>0</v>
      </c>
      <c r="I1239" s="1509">
        <v>0</v>
      </c>
      <c r="J1239" s="1509">
        <v>0</v>
      </c>
      <c r="K1239" s="1509"/>
      <c r="L1239" s="1509"/>
      <c r="M1239" s="1509">
        <f t="shared" si="177"/>
        <v>0</v>
      </c>
      <c r="N1239" s="1509">
        <f t="shared" si="178"/>
        <v>0</v>
      </c>
    </row>
    <row r="1240" spans="1:14" customFormat="1" ht="29" outlineLevel="1" x14ac:dyDescent="0.25">
      <c r="A1240" s="1511">
        <f t="shared" si="179"/>
        <v>8.1</v>
      </c>
      <c r="B1240" s="1515" t="str">
        <f t="shared" si="179"/>
        <v>Supply, erection &amp; commissioning of VT pumps for waste water recovery at TM-NPTPS, Parli-V</v>
      </c>
      <c r="C1240" s="1396" t="str">
        <f t="shared" si="179"/>
        <v>Yet to be approved</v>
      </c>
      <c r="D1240" s="1378" t="str">
        <f t="shared" si="179"/>
        <v>-</v>
      </c>
      <c r="E1240" s="1505">
        <f t="shared" si="179"/>
        <v>0</v>
      </c>
      <c r="F1240" s="1509">
        <f t="shared" si="174"/>
        <v>0</v>
      </c>
      <c r="G1240" s="1509">
        <f t="shared" si="175"/>
        <v>0</v>
      </c>
      <c r="H1240" s="1509">
        <f t="shared" si="176"/>
        <v>0</v>
      </c>
      <c r="I1240" s="1509">
        <v>9.3000000000000007</v>
      </c>
      <c r="J1240" s="1509">
        <v>9.3000000000000007</v>
      </c>
      <c r="K1240" s="1509"/>
      <c r="L1240" s="1509"/>
      <c r="M1240" s="1509">
        <f t="shared" si="177"/>
        <v>9.3000000000000007</v>
      </c>
      <c r="N1240" s="1509">
        <f t="shared" si="178"/>
        <v>0</v>
      </c>
    </row>
    <row r="1241" spans="1:14" customFormat="1" ht="43.5" outlineLevel="1" x14ac:dyDescent="0.25">
      <c r="A1241" s="1511">
        <f t="shared" ref="A1241:E1256" si="180">A884</f>
        <v>8.1999999999999993</v>
      </c>
      <c r="B1241" s="1515" t="str">
        <f t="shared" si="180"/>
        <v>RENOVATION OF ASH WATER RECOVERY SUPPLY SYSTEM INCLUDING ERECTION &amp; COMMISSIONING LT BOARD 11KV/415V SUBSTATION WITH 11KV OH LINE AT SANDWA &amp; DAUTPUR PUMP HOUSE</v>
      </c>
      <c r="C1241" s="1396" t="str">
        <f t="shared" si="180"/>
        <v>Yet to be approved</v>
      </c>
      <c r="D1241" s="1378" t="str">
        <f t="shared" si="180"/>
        <v>-</v>
      </c>
      <c r="E1241" s="1505">
        <f t="shared" si="180"/>
        <v>0</v>
      </c>
      <c r="F1241" s="1509">
        <f t="shared" si="174"/>
        <v>0</v>
      </c>
      <c r="G1241" s="1509">
        <f t="shared" si="175"/>
        <v>0</v>
      </c>
      <c r="H1241" s="1509">
        <f t="shared" si="176"/>
        <v>0</v>
      </c>
      <c r="I1241" s="1509">
        <v>12.42</v>
      </c>
      <c r="J1241" s="1509">
        <v>12.42</v>
      </c>
      <c r="K1241" s="1509"/>
      <c r="L1241" s="1509"/>
      <c r="M1241" s="1509">
        <f t="shared" si="177"/>
        <v>12.42</v>
      </c>
      <c r="N1241" s="1509">
        <f t="shared" si="178"/>
        <v>0</v>
      </c>
    </row>
    <row r="1242" spans="1:14" customFormat="1" ht="29" outlineLevel="1" x14ac:dyDescent="0.25">
      <c r="A1242" s="1511">
        <f t="shared" si="180"/>
        <v>8.3000000000000007</v>
      </c>
      <c r="B1242" s="1515" t="str">
        <f t="shared" si="180"/>
        <v>Construction of New Sandwa recovery pump house at NPTPS Parli Vaijnath.</v>
      </c>
      <c r="C1242" s="1396" t="str">
        <f t="shared" si="180"/>
        <v>Yet to be approved</v>
      </c>
      <c r="D1242" s="1378" t="str">
        <f t="shared" si="180"/>
        <v>-</v>
      </c>
      <c r="E1242" s="1505">
        <f t="shared" si="180"/>
        <v>0</v>
      </c>
      <c r="F1242" s="1509">
        <f t="shared" si="174"/>
        <v>0</v>
      </c>
      <c r="G1242" s="1509">
        <f t="shared" si="175"/>
        <v>0</v>
      </c>
      <c r="H1242" s="1509">
        <f t="shared" si="176"/>
        <v>0</v>
      </c>
      <c r="I1242" s="1509">
        <v>4.1399999999999997</v>
      </c>
      <c r="J1242" s="1509">
        <v>4.1399999999999997</v>
      </c>
      <c r="K1242" s="1509"/>
      <c r="L1242" s="1509"/>
      <c r="M1242" s="1509">
        <f t="shared" si="177"/>
        <v>4.1399999999999997</v>
      </c>
      <c r="N1242" s="1509">
        <f t="shared" si="178"/>
        <v>0</v>
      </c>
    </row>
    <row r="1243" spans="1:14" customFormat="1" outlineLevel="1" x14ac:dyDescent="0.25">
      <c r="A1243" s="1511">
        <f t="shared" si="180"/>
        <v>0</v>
      </c>
      <c r="B1243" s="1515" t="str">
        <f t="shared" si="180"/>
        <v>IDC</v>
      </c>
      <c r="C1243" s="1396" t="str">
        <f t="shared" si="180"/>
        <v>Yet to be approved</v>
      </c>
      <c r="D1243" s="1378" t="str">
        <f t="shared" si="180"/>
        <v>-</v>
      </c>
      <c r="E1243" s="1505">
        <f t="shared" si="180"/>
        <v>0</v>
      </c>
      <c r="F1243" s="1509">
        <f t="shared" si="174"/>
        <v>0</v>
      </c>
      <c r="G1243" s="1509">
        <f t="shared" si="175"/>
        <v>0</v>
      </c>
      <c r="H1243" s="1509">
        <f t="shared" si="176"/>
        <v>0</v>
      </c>
      <c r="I1243" s="1509">
        <v>0</v>
      </c>
      <c r="J1243" s="1509">
        <v>0</v>
      </c>
      <c r="K1243" s="1509"/>
      <c r="L1243" s="1509"/>
      <c r="M1243" s="1509">
        <f t="shared" si="177"/>
        <v>0</v>
      </c>
      <c r="N1243" s="1509">
        <f t="shared" si="178"/>
        <v>0</v>
      </c>
    </row>
    <row r="1244" spans="1:14" customFormat="1" ht="43.5" outlineLevel="1" x14ac:dyDescent="0.25">
      <c r="A1244" s="1506">
        <f t="shared" si="180"/>
        <v>9</v>
      </c>
      <c r="B1244" s="1507" t="str">
        <f t="shared" si="180"/>
        <v>DPR on Modification of governing system from low pressure to high pressure at Unit-06 TPS, PARLI-V and Procurement of  CW pumps at Unit 6,7 Parli Vaijnath.</v>
      </c>
      <c r="C1244" s="1506" t="str">
        <f t="shared" si="180"/>
        <v>Yet to be approved</v>
      </c>
      <c r="D1244" s="1507" t="str">
        <f t="shared" si="180"/>
        <v>-</v>
      </c>
      <c r="E1244" s="1506">
        <f t="shared" si="180"/>
        <v>0</v>
      </c>
      <c r="F1244" s="1509">
        <f t="shared" si="174"/>
        <v>0</v>
      </c>
      <c r="G1244" s="1509">
        <f t="shared" si="175"/>
        <v>0</v>
      </c>
      <c r="H1244" s="1509">
        <f t="shared" si="176"/>
        <v>0</v>
      </c>
      <c r="I1244" s="1509">
        <v>0</v>
      </c>
      <c r="J1244" s="1509">
        <v>0</v>
      </c>
      <c r="K1244" s="1509"/>
      <c r="L1244" s="1509"/>
      <c r="M1244" s="1509">
        <f t="shared" si="177"/>
        <v>0</v>
      </c>
      <c r="N1244" s="1509">
        <f t="shared" si="178"/>
        <v>0</v>
      </c>
    </row>
    <row r="1245" spans="1:14" customFormat="1" ht="29" outlineLevel="1" x14ac:dyDescent="0.25">
      <c r="A1245" s="1511">
        <f t="shared" si="180"/>
        <v>9.1</v>
      </c>
      <c r="B1245" s="1515" t="str">
        <f t="shared" si="180"/>
        <v>Modification of governing system from low pressure to high pressure at Unit-06 TPS, PARLI-V</v>
      </c>
      <c r="C1245" s="1396">
        <f t="shared" si="180"/>
        <v>0</v>
      </c>
      <c r="D1245" s="1378" t="str">
        <f t="shared" si="180"/>
        <v>-</v>
      </c>
      <c r="E1245" s="1505">
        <f t="shared" si="180"/>
        <v>0</v>
      </c>
      <c r="F1245" s="1509">
        <f t="shared" si="174"/>
        <v>0</v>
      </c>
      <c r="G1245" s="1509">
        <f t="shared" si="175"/>
        <v>0</v>
      </c>
      <c r="H1245" s="1509">
        <f t="shared" si="176"/>
        <v>0</v>
      </c>
      <c r="I1245" s="1509">
        <v>0</v>
      </c>
      <c r="J1245" s="1509">
        <v>0</v>
      </c>
      <c r="K1245" s="1509"/>
      <c r="L1245" s="1509"/>
      <c r="M1245" s="1509">
        <f t="shared" si="177"/>
        <v>0</v>
      </c>
      <c r="N1245" s="1509">
        <f t="shared" si="178"/>
        <v>0</v>
      </c>
    </row>
    <row r="1246" spans="1:14" customFormat="1" outlineLevel="1" x14ac:dyDescent="0.25">
      <c r="A1246" s="1511">
        <f t="shared" si="180"/>
        <v>9.1999999999999993</v>
      </c>
      <c r="B1246" s="1515" t="str">
        <f t="shared" si="180"/>
        <v>Procurement of  CW pumps at Unit 6,7 Parli Vaijnath</v>
      </c>
      <c r="C1246" s="1396" t="str">
        <f t="shared" si="180"/>
        <v>Yet to be approved</v>
      </c>
      <c r="D1246" s="1378" t="str">
        <f t="shared" si="180"/>
        <v>-</v>
      </c>
      <c r="E1246" s="1505">
        <f t="shared" si="180"/>
        <v>0</v>
      </c>
      <c r="F1246" s="1509">
        <f t="shared" si="174"/>
        <v>0</v>
      </c>
      <c r="G1246" s="1509">
        <f t="shared" si="175"/>
        <v>0</v>
      </c>
      <c r="H1246" s="1509">
        <f t="shared" si="176"/>
        <v>0</v>
      </c>
      <c r="I1246" s="1509">
        <v>0</v>
      </c>
      <c r="J1246" s="1509">
        <v>0</v>
      </c>
      <c r="K1246" s="1509"/>
      <c r="L1246" s="1509"/>
      <c r="M1246" s="1509">
        <f t="shared" si="177"/>
        <v>0</v>
      </c>
      <c r="N1246" s="1509">
        <f t="shared" si="178"/>
        <v>0</v>
      </c>
    </row>
    <row r="1247" spans="1:14" customFormat="1" outlineLevel="1" x14ac:dyDescent="0.25">
      <c r="A1247" s="1511">
        <f t="shared" si="180"/>
        <v>0</v>
      </c>
      <c r="B1247" s="1515" t="str">
        <f t="shared" si="180"/>
        <v>IDC</v>
      </c>
      <c r="C1247" s="1396" t="str">
        <f t="shared" si="180"/>
        <v>Yet to be approved</v>
      </c>
      <c r="D1247" s="1378" t="str">
        <f t="shared" si="180"/>
        <v>-</v>
      </c>
      <c r="E1247" s="1505">
        <f t="shared" si="180"/>
        <v>0</v>
      </c>
      <c r="F1247" s="1509">
        <f t="shared" si="174"/>
        <v>0</v>
      </c>
      <c r="G1247" s="1509">
        <f t="shared" si="175"/>
        <v>0</v>
      </c>
      <c r="H1247" s="1509">
        <f t="shared" si="176"/>
        <v>0</v>
      </c>
      <c r="I1247" s="1509">
        <v>0</v>
      </c>
      <c r="J1247" s="1509">
        <v>0</v>
      </c>
      <c r="K1247" s="1509"/>
      <c r="L1247" s="1509"/>
      <c r="M1247" s="1509">
        <f t="shared" si="177"/>
        <v>0</v>
      </c>
      <c r="N1247" s="1509">
        <f t="shared" si="178"/>
        <v>0</v>
      </c>
    </row>
    <row r="1248" spans="1:14" customFormat="1" ht="29" outlineLevel="1" x14ac:dyDescent="0.25">
      <c r="A1248" s="1506">
        <f t="shared" si="180"/>
        <v>10</v>
      </c>
      <c r="B1248" s="1507" t="str">
        <f t="shared" si="180"/>
        <v>DPR on Procurement of  HP, IP and LP Turbine  bladesat Unit 6,7 Parli Vaijnath.</v>
      </c>
      <c r="C1248" s="1506" t="str">
        <f t="shared" si="180"/>
        <v>Yet to be approved</v>
      </c>
      <c r="D1248" s="1507" t="str">
        <f t="shared" si="180"/>
        <v>-</v>
      </c>
      <c r="E1248" s="1506">
        <f t="shared" si="180"/>
        <v>0</v>
      </c>
      <c r="F1248" s="1509">
        <f t="shared" si="174"/>
        <v>0</v>
      </c>
      <c r="G1248" s="1509">
        <f t="shared" si="175"/>
        <v>0</v>
      </c>
      <c r="H1248" s="1509">
        <f t="shared" si="176"/>
        <v>0</v>
      </c>
      <c r="I1248" s="1509">
        <v>0</v>
      </c>
      <c r="J1248" s="1509">
        <v>0</v>
      </c>
      <c r="K1248" s="1509"/>
      <c r="L1248" s="1509"/>
      <c r="M1248" s="1509">
        <f t="shared" si="177"/>
        <v>0</v>
      </c>
      <c r="N1248" s="1509">
        <f t="shared" si="178"/>
        <v>0</v>
      </c>
    </row>
    <row r="1249" spans="1:14" customFormat="1" ht="29" outlineLevel="1" x14ac:dyDescent="0.25">
      <c r="A1249" s="1511">
        <f t="shared" si="180"/>
        <v>10.1</v>
      </c>
      <c r="B1249" s="1515" t="str">
        <f t="shared" si="180"/>
        <v>Procurement of  HP, IP and LP Turbine  blade set Unit 6,7 Parli Vaijnath.</v>
      </c>
      <c r="C1249" s="1396" t="str">
        <f t="shared" si="180"/>
        <v>Yet to be approved</v>
      </c>
      <c r="D1249" s="1378" t="str">
        <f t="shared" si="180"/>
        <v>-</v>
      </c>
      <c r="E1249" s="1505">
        <f t="shared" si="180"/>
        <v>0</v>
      </c>
      <c r="F1249" s="1509">
        <f t="shared" si="174"/>
        <v>0</v>
      </c>
      <c r="G1249" s="1509">
        <f t="shared" si="175"/>
        <v>0</v>
      </c>
      <c r="H1249" s="1509">
        <f t="shared" si="176"/>
        <v>0</v>
      </c>
      <c r="I1249" s="1509">
        <v>0</v>
      </c>
      <c r="J1249" s="1509">
        <v>0</v>
      </c>
      <c r="K1249" s="1509"/>
      <c r="L1249" s="1509"/>
      <c r="M1249" s="1509">
        <f t="shared" si="177"/>
        <v>0</v>
      </c>
      <c r="N1249" s="1509">
        <f t="shared" si="178"/>
        <v>0</v>
      </c>
    </row>
    <row r="1250" spans="1:14" customFormat="1" outlineLevel="1" x14ac:dyDescent="0.25">
      <c r="A1250" s="1511">
        <f t="shared" si="180"/>
        <v>0</v>
      </c>
      <c r="B1250" s="1515" t="str">
        <f t="shared" si="180"/>
        <v>IDC</v>
      </c>
      <c r="C1250" s="1396" t="str">
        <f t="shared" si="180"/>
        <v>Yet to be approved</v>
      </c>
      <c r="D1250" s="1378" t="str">
        <f t="shared" si="180"/>
        <v>-</v>
      </c>
      <c r="E1250" s="1505">
        <f t="shared" si="180"/>
        <v>0</v>
      </c>
      <c r="F1250" s="1509">
        <f t="shared" si="174"/>
        <v>0</v>
      </c>
      <c r="G1250" s="1509">
        <f t="shared" si="175"/>
        <v>0</v>
      </c>
      <c r="H1250" s="1509">
        <f t="shared" si="176"/>
        <v>0</v>
      </c>
      <c r="I1250" s="1509">
        <v>0</v>
      </c>
      <c r="J1250" s="1509">
        <v>0</v>
      </c>
      <c r="K1250" s="1509"/>
      <c r="L1250" s="1509"/>
      <c r="M1250" s="1509">
        <f t="shared" si="177"/>
        <v>0</v>
      </c>
      <c r="N1250" s="1509">
        <f t="shared" si="178"/>
        <v>0</v>
      </c>
    </row>
    <row r="1251" spans="1:14" customFormat="1" outlineLevel="1" x14ac:dyDescent="0.25">
      <c r="A1251" s="1506">
        <f t="shared" si="180"/>
        <v>11</v>
      </c>
      <c r="B1251" s="1507" t="str">
        <f t="shared" si="180"/>
        <v>DPR on Procurement of  CEP pumps</v>
      </c>
      <c r="C1251" s="1506" t="str">
        <f t="shared" si="180"/>
        <v>Yet to be approved</v>
      </c>
      <c r="D1251" s="1507" t="str">
        <f t="shared" si="180"/>
        <v>-</v>
      </c>
      <c r="E1251" s="1506">
        <f t="shared" si="180"/>
        <v>0</v>
      </c>
      <c r="F1251" s="1509">
        <f t="shared" si="174"/>
        <v>0</v>
      </c>
      <c r="G1251" s="1509">
        <f t="shared" si="175"/>
        <v>0</v>
      </c>
      <c r="H1251" s="1509">
        <f t="shared" si="176"/>
        <v>0</v>
      </c>
      <c r="I1251" s="1509">
        <v>0</v>
      </c>
      <c r="J1251" s="1509">
        <v>0</v>
      </c>
      <c r="K1251" s="1509"/>
      <c r="L1251" s="1509"/>
      <c r="M1251" s="1509">
        <f t="shared" si="177"/>
        <v>0</v>
      </c>
      <c r="N1251" s="1509">
        <f t="shared" si="178"/>
        <v>0</v>
      </c>
    </row>
    <row r="1252" spans="1:14" customFormat="1" outlineLevel="1" x14ac:dyDescent="0.25">
      <c r="A1252" s="1511">
        <f t="shared" si="180"/>
        <v>11.1</v>
      </c>
      <c r="B1252" s="1515" t="str">
        <f t="shared" si="180"/>
        <v>Procurement of  CEP pumps</v>
      </c>
      <c r="C1252" s="1396" t="str">
        <f t="shared" si="180"/>
        <v>Yet to be approved</v>
      </c>
      <c r="D1252" s="1378" t="str">
        <f t="shared" si="180"/>
        <v>-</v>
      </c>
      <c r="E1252" s="1505">
        <f t="shared" si="180"/>
        <v>0</v>
      </c>
      <c r="F1252" s="1509">
        <f t="shared" si="174"/>
        <v>0</v>
      </c>
      <c r="G1252" s="1509">
        <f t="shared" si="175"/>
        <v>0</v>
      </c>
      <c r="H1252" s="1509">
        <f t="shared" si="176"/>
        <v>0</v>
      </c>
      <c r="I1252" s="1509">
        <v>0</v>
      </c>
      <c r="J1252" s="1509">
        <v>0</v>
      </c>
      <c r="K1252" s="1509"/>
      <c r="L1252" s="1509"/>
      <c r="M1252" s="1509">
        <f t="shared" si="177"/>
        <v>0</v>
      </c>
      <c r="N1252" s="1509">
        <f t="shared" si="178"/>
        <v>0</v>
      </c>
    </row>
    <row r="1253" spans="1:14" customFormat="1" outlineLevel="1" x14ac:dyDescent="0.25">
      <c r="A1253" s="1511">
        <f t="shared" si="180"/>
        <v>0</v>
      </c>
      <c r="B1253" s="1515" t="str">
        <f t="shared" si="180"/>
        <v>IDC</v>
      </c>
      <c r="C1253" s="1396" t="str">
        <f t="shared" si="180"/>
        <v>Yet to be approved</v>
      </c>
      <c r="D1253" s="1378" t="str">
        <f t="shared" si="180"/>
        <v>-</v>
      </c>
      <c r="E1253" s="1505">
        <f t="shared" si="180"/>
        <v>0</v>
      </c>
      <c r="F1253" s="1509">
        <f t="shared" si="174"/>
        <v>0</v>
      </c>
      <c r="G1253" s="1509">
        <f t="shared" si="175"/>
        <v>0</v>
      </c>
      <c r="H1253" s="1509">
        <f t="shared" si="176"/>
        <v>0</v>
      </c>
      <c r="I1253" s="1509">
        <v>0</v>
      </c>
      <c r="J1253" s="1509">
        <v>0</v>
      </c>
      <c r="K1253" s="1509"/>
      <c r="L1253" s="1509"/>
      <c r="M1253" s="1509">
        <f t="shared" si="177"/>
        <v>0</v>
      </c>
      <c r="N1253" s="1509">
        <f t="shared" si="178"/>
        <v>0</v>
      </c>
    </row>
    <row r="1254" spans="1:14" customFormat="1" ht="29" outlineLevel="1" x14ac:dyDescent="0.25">
      <c r="A1254" s="1506">
        <f t="shared" si="180"/>
        <v>12</v>
      </c>
      <c r="B1254" s="1507" t="str">
        <f t="shared" si="180"/>
        <v xml:space="preserve">DPR on Retrofitting of NDCT at Unit 6,7 Parli Vaijnath. and Upgradation of existing chiller AC plant for at Unit 7 Parli Vaijnath. </v>
      </c>
      <c r="C1254" s="1506" t="str">
        <f t="shared" si="180"/>
        <v>Yet to be approved</v>
      </c>
      <c r="D1254" s="1507" t="str">
        <f t="shared" si="180"/>
        <v>-</v>
      </c>
      <c r="E1254" s="1506">
        <f t="shared" si="180"/>
        <v>0</v>
      </c>
      <c r="F1254" s="1509">
        <f t="shared" si="174"/>
        <v>0</v>
      </c>
      <c r="G1254" s="1509">
        <f t="shared" si="175"/>
        <v>0</v>
      </c>
      <c r="H1254" s="1509">
        <f t="shared" si="176"/>
        <v>0</v>
      </c>
      <c r="I1254" s="1509">
        <v>0</v>
      </c>
      <c r="J1254" s="1509">
        <v>0</v>
      </c>
      <c r="K1254" s="1509"/>
      <c r="L1254" s="1509"/>
      <c r="M1254" s="1509">
        <f t="shared" si="177"/>
        <v>0</v>
      </c>
      <c r="N1254" s="1509">
        <f t="shared" si="178"/>
        <v>0</v>
      </c>
    </row>
    <row r="1255" spans="1:14" customFormat="1" outlineLevel="1" x14ac:dyDescent="0.25">
      <c r="A1255" s="1511">
        <f t="shared" si="180"/>
        <v>12.1</v>
      </c>
      <c r="B1255" s="1515" t="str">
        <f t="shared" si="180"/>
        <v>Retrofitting of NDCT at Unit 6,7 Parli Vaijnath.</v>
      </c>
      <c r="C1255" s="1396" t="str">
        <f t="shared" si="180"/>
        <v>Yet to be approved</v>
      </c>
      <c r="D1255" s="1378" t="str">
        <f t="shared" si="180"/>
        <v>-</v>
      </c>
      <c r="E1255" s="1505">
        <f t="shared" si="180"/>
        <v>0</v>
      </c>
      <c r="F1255" s="1509">
        <f t="shared" si="174"/>
        <v>0</v>
      </c>
      <c r="G1255" s="1509">
        <f t="shared" si="175"/>
        <v>0</v>
      </c>
      <c r="H1255" s="1509">
        <f t="shared" si="176"/>
        <v>0</v>
      </c>
      <c r="I1255" s="1509">
        <v>0</v>
      </c>
      <c r="J1255" s="1509">
        <v>0</v>
      </c>
      <c r="K1255" s="1509"/>
      <c r="L1255" s="1509"/>
      <c r="M1255" s="1509">
        <f t="shared" si="177"/>
        <v>0</v>
      </c>
      <c r="N1255" s="1509">
        <f t="shared" si="178"/>
        <v>0</v>
      </c>
    </row>
    <row r="1256" spans="1:14" customFormat="1" outlineLevel="1" x14ac:dyDescent="0.25">
      <c r="A1256" s="1511">
        <f t="shared" si="180"/>
        <v>12.2</v>
      </c>
      <c r="B1256" s="1515" t="str">
        <f t="shared" si="180"/>
        <v>Upgradation of existing chiller AC plant for at Unit 7 Parli Vaijnath.</v>
      </c>
      <c r="C1256" s="1396" t="str">
        <f t="shared" si="180"/>
        <v>Yet to be approved</v>
      </c>
      <c r="D1256" s="1378" t="str">
        <f t="shared" si="180"/>
        <v>-</v>
      </c>
      <c r="E1256" s="1505">
        <f t="shared" si="180"/>
        <v>0</v>
      </c>
      <c r="F1256" s="1509">
        <f t="shared" si="174"/>
        <v>0</v>
      </c>
      <c r="G1256" s="1509">
        <f t="shared" si="175"/>
        <v>0</v>
      </c>
      <c r="H1256" s="1509">
        <f t="shared" si="176"/>
        <v>0</v>
      </c>
      <c r="I1256" s="1509">
        <v>0</v>
      </c>
      <c r="J1256" s="1509">
        <v>0</v>
      </c>
      <c r="K1256" s="1509"/>
      <c r="L1256" s="1509"/>
      <c r="M1256" s="1509">
        <f t="shared" si="177"/>
        <v>0</v>
      </c>
      <c r="N1256" s="1509">
        <f t="shared" si="178"/>
        <v>0</v>
      </c>
    </row>
    <row r="1257" spans="1:14" customFormat="1" outlineLevel="1" x14ac:dyDescent="0.25">
      <c r="A1257" s="1511">
        <f t="shared" ref="A1257:E1272" si="181">A900</f>
        <v>0</v>
      </c>
      <c r="B1257" s="1515" t="str">
        <f t="shared" si="181"/>
        <v>IDC</v>
      </c>
      <c r="C1257" s="1396" t="str">
        <f t="shared" si="181"/>
        <v>Yet to be approved</v>
      </c>
      <c r="D1257" s="1378" t="str">
        <f t="shared" si="181"/>
        <v>-</v>
      </c>
      <c r="E1257" s="1505">
        <f t="shared" si="181"/>
        <v>0</v>
      </c>
      <c r="F1257" s="1509">
        <f t="shared" si="174"/>
        <v>0</v>
      </c>
      <c r="G1257" s="1509">
        <f t="shared" si="175"/>
        <v>0</v>
      </c>
      <c r="H1257" s="1509">
        <f t="shared" si="176"/>
        <v>0</v>
      </c>
      <c r="I1257" s="1509">
        <v>0</v>
      </c>
      <c r="J1257" s="1509">
        <v>0</v>
      </c>
      <c r="K1257" s="1509"/>
      <c r="L1257" s="1509"/>
      <c r="M1257" s="1509">
        <f t="shared" si="177"/>
        <v>0</v>
      </c>
      <c r="N1257" s="1509">
        <f t="shared" si="178"/>
        <v>0</v>
      </c>
    </row>
    <row r="1258" spans="1:14" customFormat="1" outlineLevel="1" x14ac:dyDescent="0.25">
      <c r="A1258" s="1506">
        <f t="shared" si="181"/>
        <v>13</v>
      </c>
      <c r="B1258" s="1507" t="str">
        <f t="shared" si="181"/>
        <v>DPR on various types of coolers at TPS Parli-Vaijnath</v>
      </c>
      <c r="C1258" s="1506" t="str">
        <f t="shared" si="181"/>
        <v>Yet to be approved</v>
      </c>
      <c r="D1258" s="1507" t="str">
        <f t="shared" si="181"/>
        <v>-</v>
      </c>
      <c r="E1258" s="1506">
        <f t="shared" si="181"/>
        <v>0</v>
      </c>
      <c r="F1258" s="1509">
        <f t="shared" si="174"/>
        <v>0</v>
      </c>
      <c r="G1258" s="1509">
        <f t="shared" si="175"/>
        <v>0</v>
      </c>
      <c r="H1258" s="1509">
        <f t="shared" si="176"/>
        <v>0</v>
      </c>
      <c r="I1258" s="1509">
        <v>0</v>
      </c>
      <c r="J1258" s="1509">
        <v>0</v>
      </c>
      <c r="K1258" s="1509"/>
      <c r="L1258" s="1509"/>
      <c r="M1258" s="1509">
        <f t="shared" si="177"/>
        <v>0</v>
      </c>
      <c r="N1258" s="1509">
        <f t="shared" si="178"/>
        <v>0</v>
      </c>
    </row>
    <row r="1259" spans="1:14" customFormat="1" ht="29" outlineLevel="1" x14ac:dyDescent="0.25">
      <c r="A1259" s="1511">
        <f t="shared" si="181"/>
        <v>13.1</v>
      </c>
      <c r="B1259" s="1515" t="str">
        <f t="shared" si="181"/>
        <v>Procurement of H2 cooler, BFP coolers, generator exciter cooler, seal oil coolers at Unit 6,7 Parli Vaijnath.</v>
      </c>
      <c r="C1259" s="1396" t="str">
        <f t="shared" si="181"/>
        <v>Yet to be approved</v>
      </c>
      <c r="D1259" s="1378" t="str">
        <f t="shared" si="181"/>
        <v>-</v>
      </c>
      <c r="E1259" s="1505">
        <f t="shared" si="181"/>
        <v>0</v>
      </c>
      <c r="F1259" s="1509">
        <f t="shared" si="174"/>
        <v>0</v>
      </c>
      <c r="G1259" s="1509">
        <f t="shared" si="175"/>
        <v>0</v>
      </c>
      <c r="H1259" s="1509">
        <f t="shared" si="176"/>
        <v>0</v>
      </c>
      <c r="I1259" s="1509">
        <v>0</v>
      </c>
      <c r="J1259" s="1509">
        <v>0</v>
      </c>
      <c r="K1259" s="1509"/>
      <c r="L1259" s="1509"/>
      <c r="M1259" s="1509">
        <f t="shared" si="177"/>
        <v>0</v>
      </c>
      <c r="N1259" s="1509">
        <f t="shared" si="178"/>
        <v>0</v>
      </c>
    </row>
    <row r="1260" spans="1:14" customFormat="1" outlineLevel="1" x14ac:dyDescent="0.25">
      <c r="A1260" s="1511">
        <f t="shared" si="181"/>
        <v>0</v>
      </c>
      <c r="B1260" s="1515" t="str">
        <f t="shared" si="181"/>
        <v>IDC</v>
      </c>
      <c r="C1260" s="1396" t="str">
        <f t="shared" si="181"/>
        <v>Yet to be approved</v>
      </c>
      <c r="D1260" s="1378" t="str">
        <f t="shared" si="181"/>
        <v>-</v>
      </c>
      <c r="E1260" s="1505">
        <f t="shared" si="181"/>
        <v>0</v>
      </c>
      <c r="F1260" s="1509">
        <f t="shared" si="174"/>
        <v>0</v>
      </c>
      <c r="G1260" s="1509">
        <f t="shared" si="175"/>
        <v>0</v>
      </c>
      <c r="H1260" s="1509">
        <f t="shared" si="176"/>
        <v>0</v>
      </c>
      <c r="I1260" s="1509">
        <v>0</v>
      </c>
      <c r="J1260" s="1509">
        <v>0</v>
      </c>
      <c r="K1260" s="1509"/>
      <c r="L1260" s="1509"/>
      <c r="M1260" s="1509">
        <f t="shared" si="177"/>
        <v>0</v>
      </c>
      <c r="N1260" s="1509">
        <f t="shared" si="178"/>
        <v>0</v>
      </c>
    </row>
    <row r="1261" spans="1:14" customFormat="1" ht="72.5" outlineLevel="1" x14ac:dyDescent="0.25">
      <c r="A1261" s="1506">
        <f t="shared" si="181"/>
        <v>14</v>
      </c>
      <c r="B1261" s="1507" t="str">
        <f t="shared" si="181"/>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1261" s="1506" t="str">
        <f t="shared" si="181"/>
        <v>Yet to be approved</v>
      </c>
      <c r="D1261" s="1507" t="str">
        <f t="shared" si="181"/>
        <v>-</v>
      </c>
      <c r="E1261" s="1506">
        <f t="shared" si="181"/>
        <v>0</v>
      </c>
      <c r="F1261" s="1509">
        <f t="shared" si="174"/>
        <v>0</v>
      </c>
      <c r="G1261" s="1509">
        <f t="shared" si="175"/>
        <v>0</v>
      </c>
      <c r="H1261" s="1509">
        <f t="shared" si="176"/>
        <v>0</v>
      </c>
      <c r="I1261" s="1509">
        <v>0</v>
      </c>
      <c r="J1261" s="1509">
        <v>0</v>
      </c>
      <c r="K1261" s="1509"/>
      <c r="L1261" s="1509"/>
      <c r="M1261" s="1509">
        <f t="shared" si="177"/>
        <v>0</v>
      </c>
      <c r="N1261" s="1509">
        <f t="shared" si="178"/>
        <v>0</v>
      </c>
    </row>
    <row r="1262" spans="1:14" customFormat="1" outlineLevel="1" x14ac:dyDescent="0.25">
      <c r="A1262" s="1511">
        <f t="shared" si="181"/>
        <v>14.1</v>
      </c>
      <c r="B1262" s="1515" t="str">
        <f t="shared" si="181"/>
        <v>Upgradation of screw type compressor at U#7 Parli Vaijnath.</v>
      </c>
      <c r="C1262" s="1396" t="str">
        <f t="shared" si="181"/>
        <v>Yet to be approved</v>
      </c>
      <c r="D1262" s="1378" t="str">
        <f t="shared" si="181"/>
        <v>-</v>
      </c>
      <c r="E1262" s="1505">
        <f t="shared" si="181"/>
        <v>0</v>
      </c>
      <c r="F1262" s="1509">
        <f t="shared" si="174"/>
        <v>0</v>
      </c>
      <c r="G1262" s="1509">
        <f t="shared" si="175"/>
        <v>0</v>
      </c>
      <c r="H1262" s="1509">
        <f t="shared" si="176"/>
        <v>0</v>
      </c>
      <c r="I1262" s="1509">
        <v>0</v>
      </c>
      <c r="J1262" s="1509">
        <v>0</v>
      </c>
      <c r="K1262" s="1509"/>
      <c r="L1262" s="1509"/>
      <c r="M1262" s="1509">
        <f t="shared" si="177"/>
        <v>0</v>
      </c>
      <c r="N1262" s="1509">
        <f t="shared" si="178"/>
        <v>0</v>
      </c>
    </row>
    <row r="1263" spans="1:14" customFormat="1" ht="29" outlineLevel="1" x14ac:dyDescent="0.25">
      <c r="A1263" s="1511">
        <f t="shared" si="181"/>
        <v>14.2</v>
      </c>
      <c r="B1263" s="1515" t="str">
        <f t="shared" si="181"/>
        <v>Supply, erection &amp; commissioning of Fire Fighting pressure system (pneumatic) at unit 6,7 and 8 at PTPS, Parli-V</v>
      </c>
      <c r="C1263" s="1396" t="str">
        <f t="shared" si="181"/>
        <v>Yet to be approved</v>
      </c>
      <c r="D1263" s="1378" t="str">
        <f t="shared" si="181"/>
        <v>-</v>
      </c>
      <c r="E1263" s="1505">
        <f t="shared" si="181"/>
        <v>0</v>
      </c>
      <c r="F1263" s="1509">
        <f t="shared" si="174"/>
        <v>0</v>
      </c>
      <c r="G1263" s="1509">
        <f t="shared" si="175"/>
        <v>0</v>
      </c>
      <c r="H1263" s="1509">
        <f t="shared" si="176"/>
        <v>0</v>
      </c>
      <c r="I1263" s="1509">
        <v>0</v>
      </c>
      <c r="J1263" s="1509">
        <v>0</v>
      </c>
      <c r="K1263" s="1509"/>
      <c r="L1263" s="1509"/>
      <c r="M1263" s="1509">
        <f t="shared" si="177"/>
        <v>0</v>
      </c>
      <c r="N1263" s="1509">
        <f t="shared" si="178"/>
        <v>0</v>
      </c>
    </row>
    <row r="1264" spans="1:14" customFormat="1" ht="29" outlineLevel="1" x14ac:dyDescent="0.25">
      <c r="A1264" s="1511">
        <f t="shared" si="181"/>
        <v>14.3</v>
      </c>
      <c r="B1264" s="1515" t="str">
        <f t="shared" si="181"/>
        <v>Procurement of BFP discharge valve, BFP recirculation valve and gland steam inlet / outlet valves at Unit 6,7 Parli Vaijnath.</v>
      </c>
      <c r="C1264" s="1396" t="str">
        <f t="shared" si="181"/>
        <v>Yet to be approved</v>
      </c>
      <c r="D1264" s="1378" t="str">
        <f t="shared" si="181"/>
        <v>-</v>
      </c>
      <c r="E1264" s="1505">
        <f t="shared" si="181"/>
        <v>0</v>
      </c>
      <c r="F1264" s="1509">
        <f t="shared" si="174"/>
        <v>0</v>
      </c>
      <c r="G1264" s="1509">
        <f t="shared" si="175"/>
        <v>0</v>
      </c>
      <c r="H1264" s="1509">
        <f t="shared" si="176"/>
        <v>0</v>
      </c>
      <c r="I1264" s="1509">
        <v>0</v>
      </c>
      <c r="J1264" s="1509">
        <v>0</v>
      </c>
      <c r="K1264" s="1509"/>
      <c r="L1264" s="1509"/>
      <c r="M1264" s="1509">
        <f t="shared" si="177"/>
        <v>0</v>
      </c>
      <c r="N1264" s="1509">
        <f t="shared" si="178"/>
        <v>0</v>
      </c>
    </row>
    <row r="1265" spans="1:14" customFormat="1" outlineLevel="1" x14ac:dyDescent="0.25">
      <c r="A1265" s="1511">
        <f t="shared" si="181"/>
        <v>0</v>
      </c>
      <c r="B1265" s="1515" t="str">
        <f t="shared" si="181"/>
        <v>IDC</v>
      </c>
      <c r="C1265" s="1396" t="str">
        <f t="shared" si="181"/>
        <v>Yet to be approved</v>
      </c>
      <c r="D1265" s="1378" t="str">
        <f t="shared" si="181"/>
        <v>-</v>
      </c>
      <c r="E1265" s="1505">
        <f t="shared" si="181"/>
        <v>0</v>
      </c>
      <c r="F1265" s="1509">
        <f t="shared" si="174"/>
        <v>0</v>
      </c>
      <c r="G1265" s="1509">
        <f t="shared" si="175"/>
        <v>0</v>
      </c>
      <c r="H1265" s="1509">
        <f t="shared" si="176"/>
        <v>0</v>
      </c>
      <c r="I1265" s="1509">
        <v>0</v>
      </c>
      <c r="J1265" s="1509">
        <v>0</v>
      </c>
      <c r="K1265" s="1509"/>
      <c r="L1265" s="1509"/>
      <c r="M1265" s="1509">
        <f t="shared" si="177"/>
        <v>0</v>
      </c>
      <c r="N1265" s="1509">
        <f t="shared" si="178"/>
        <v>0</v>
      </c>
    </row>
    <row r="1266" spans="1:14" customFormat="1" ht="29" outlineLevel="1" x14ac:dyDescent="0.25">
      <c r="A1266" s="1506">
        <f t="shared" si="181"/>
        <v>15</v>
      </c>
      <c r="B1266" s="1507" t="str">
        <f t="shared" si="181"/>
        <v>COAL HANDLING PLANT PERFORMANCE IMPROVEMENT BY SYSTEM UPGRADATION  AT Unit 6 ,7 CHP ( 2X 250MW), Parli TPS.</v>
      </c>
      <c r="C1266" s="1506" t="str">
        <f t="shared" si="181"/>
        <v>Yet to be approved</v>
      </c>
      <c r="D1266" s="1507" t="str">
        <f t="shared" si="181"/>
        <v>-</v>
      </c>
      <c r="E1266" s="1506">
        <f t="shared" si="181"/>
        <v>0</v>
      </c>
      <c r="F1266" s="1509">
        <f t="shared" si="174"/>
        <v>0</v>
      </c>
      <c r="G1266" s="1509">
        <f t="shared" si="175"/>
        <v>0</v>
      </c>
      <c r="H1266" s="1509">
        <f t="shared" si="176"/>
        <v>0</v>
      </c>
      <c r="I1266" s="1509">
        <v>0</v>
      </c>
      <c r="J1266" s="1509">
        <v>0</v>
      </c>
      <c r="K1266" s="1509"/>
      <c r="L1266" s="1509"/>
      <c r="M1266" s="1509">
        <f t="shared" si="177"/>
        <v>0</v>
      </c>
      <c r="N1266" s="1509">
        <f t="shared" si="178"/>
        <v>0</v>
      </c>
    </row>
    <row r="1267" spans="1:14" customFormat="1" ht="43.5" outlineLevel="1" x14ac:dyDescent="0.25">
      <c r="A1267" s="1511">
        <f t="shared" si="181"/>
        <v>15.1</v>
      </c>
      <c r="B1267" s="1515" t="str">
        <f t="shared" si="181"/>
        <v>Refurbishment of single stream conveyor drives : Procurement of Various types of Gearbox for single stream conveyor drives of 2X 250 MW CHP U6&amp;7 Parli TPS.</v>
      </c>
      <c r="C1267" s="1396" t="str">
        <f t="shared" si="181"/>
        <v>Yet to be approved</v>
      </c>
      <c r="D1267" s="1378" t="str">
        <f t="shared" si="181"/>
        <v>-</v>
      </c>
      <c r="E1267" s="1505">
        <f t="shared" si="181"/>
        <v>0</v>
      </c>
      <c r="F1267" s="1509">
        <f t="shared" si="174"/>
        <v>0</v>
      </c>
      <c r="G1267" s="1509">
        <f t="shared" si="175"/>
        <v>0</v>
      </c>
      <c r="H1267" s="1509">
        <f t="shared" si="176"/>
        <v>0</v>
      </c>
      <c r="I1267" s="1509">
        <v>8.3699999999999992</v>
      </c>
      <c r="J1267" s="1509">
        <v>8.3699999999999992</v>
      </c>
      <c r="K1267" s="1509"/>
      <c r="L1267" s="1509"/>
      <c r="M1267" s="1509">
        <f t="shared" si="177"/>
        <v>8.3699999999999992</v>
      </c>
      <c r="N1267" s="1509">
        <f t="shared" si="178"/>
        <v>0</v>
      </c>
    </row>
    <row r="1268" spans="1:14" customFormat="1" ht="43.5" outlineLevel="1" x14ac:dyDescent="0.25">
      <c r="A1268" s="1511">
        <f t="shared" si="181"/>
        <v>15.2</v>
      </c>
      <c r="B1268" s="1515" t="str">
        <f t="shared" si="181"/>
        <v>Refurbishment of single stream conveyor drives : Procurement of Various types of fluid couplings for single stream conveyor drives of 2X 250 MW CHP U6&amp;7 Parli TPS.</v>
      </c>
      <c r="C1268" s="1396" t="str">
        <f t="shared" si="181"/>
        <v>Yet to be approved</v>
      </c>
      <c r="D1268" s="1378" t="str">
        <f t="shared" si="181"/>
        <v>-</v>
      </c>
      <c r="E1268" s="1505">
        <f t="shared" si="181"/>
        <v>0</v>
      </c>
      <c r="F1268" s="1509">
        <f t="shared" si="174"/>
        <v>0</v>
      </c>
      <c r="G1268" s="1509">
        <f t="shared" si="175"/>
        <v>0</v>
      </c>
      <c r="H1268" s="1509">
        <f t="shared" si="176"/>
        <v>0</v>
      </c>
      <c r="I1268" s="1509">
        <v>0.46</v>
      </c>
      <c r="J1268" s="1509">
        <v>0.46</v>
      </c>
      <c r="K1268" s="1509"/>
      <c r="L1268" s="1509"/>
      <c r="M1268" s="1509">
        <f t="shared" si="177"/>
        <v>0.46</v>
      </c>
      <c r="N1268" s="1509">
        <f t="shared" si="178"/>
        <v>0</v>
      </c>
    </row>
    <row r="1269" spans="1:14" customFormat="1" ht="43.5" outlineLevel="1" x14ac:dyDescent="0.25">
      <c r="A1269" s="1511">
        <f t="shared" si="181"/>
        <v>15.3</v>
      </c>
      <c r="B1269" s="1515" t="str">
        <f t="shared" si="181"/>
        <v xml:space="preserve">Refurbishment of single stream conveyor drives : Procurement of ENERGY EFFICIENT HT MOTORS for single stream conveyor drives of 2X 250 MW CHP U6&amp;7 Parli TPS.      </v>
      </c>
      <c r="C1269" s="1396" t="str">
        <f t="shared" si="181"/>
        <v>Yet to be approved</v>
      </c>
      <c r="D1269" s="1378" t="str">
        <f t="shared" si="181"/>
        <v>-</v>
      </c>
      <c r="E1269" s="1505">
        <f t="shared" si="181"/>
        <v>0</v>
      </c>
      <c r="F1269" s="1509">
        <f t="shared" si="174"/>
        <v>0</v>
      </c>
      <c r="G1269" s="1509">
        <f t="shared" si="175"/>
        <v>0</v>
      </c>
      <c r="H1269" s="1509">
        <f t="shared" si="176"/>
        <v>0</v>
      </c>
      <c r="I1269" s="1509">
        <v>2.87</v>
      </c>
      <c r="J1269" s="1509">
        <v>2.87</v>
      </c>
      <c r="K1269" s="1509"/>
      <c r="L1269" s="1509"/>
      <c r="M1269" s="1509">
        <f t="shared" si="177"/>
        <v>2.87</v>
      </c>
      <c r="N1269" s="1509">
        <f t="shared" si="178"/>
        <v>0</v>
      </c>
    </row>
    <row r="1270" spans="1:14" customFormat="1" ht="43.5" outlineLevel="1" x14ac:dyDescent="0.25">
      <c r="A1270" s="1511">
        <f t="shared" si="181"/>
        <v>15.4</v>
      </c>
      <c r="B1270" s="1515" t="str">
        <f t="shared" si="181"/>
        <v>Refurbishment of single stream conveyor drives :  Procurement of HT vacuum circuit breakers for single stream conveyor drives of 2X 250 MW CHP U6&amp;7 Parli TPS.</v>
      </c>
      <c r="C1270" s="1396" t="str">
        <f t="shared" si="181"/>
        <v>Yet to be approved</v>
      </c>
      <c r="D1270" s="1378" t="str">
        <f t="shared" si="181"/>
        <v>-</v>
      </c>
      <c r="E1270" s="1505">
        <f t="shared" si="181"/>
        <v>0</v>
      </c>
      <c r="F1270" s="1509">
        <f t="shared" si="174"/>
        <v>0</v>
      </c>
      <c r="G1270" s="1509">
        <f t="shared" si="175"/>
        <v>0</v>
      </c>
      <c r="H1270" s="1509">
        <f t="shared" si="176"/>
        <v>0</v>
      </c>
      <c r="I1270" s="1509">
        <v>0.78</v>
      </c>
      <c r="J1270" s="1509">
        <v>0.78</v>
      </c>
      <c r="K1270" s="1509"/>
      <c r="L1270" s="1509"/>
      <c r="M1270" s="1509">
        <f t="shared" si="177"/>
        <v>0.78</v>
      </c>
      <c r="N1270" s="1509">
        <f t="shared" si="178"/>
        <v>0</v>
      </c>
    </row>
    <row r="1271" spans="1:14" customFormat="1" ht="29" outlineLevel="1" x14ac:dyDescent="0.25">
      <c r="A1271" s="1511">
        <f t="shared" si="181"/>
        <v>15.5</v>
      </c>
      <c r="B1271" s="1515" t="str">
        <f t="shared" si="181"/>
        <v xml:space="preserve">Supply, Erection &amp; Commissioning of street light from U6/7 railway gate to loco shed of CHP U6/7 NPTPS Parli-V </v>
      </c>
      <c r="C1271" s="1396" t="str">
        <f t="shared" si="181"/>
        <v>Yet to be approved</v>
      </c>
      <c r="D1271" s="1378" t="str">
        <f t="shared" si="181"/>
        <v>-</v>
      </c>
      <c r="E1271" s="1505">
        <f t="shared" si="181"/>
        <v>0</v>
      </c>
      <c r="F1271" s="1509">
        <f t="shared" si="174"/>
        <v>0</v>
      </c>
      <c r="G1271" s="1509">
        <f t="shared" si="175"/>
        <v>0</v>
      </c>
      <c r="H1271" s="1509">
        <f t="shared" si="176"/>
        <v>0</v>
      </c>
      <c r="I1271" s="1509">
        <v>1.25</v>
      </c>
      <c r="J1271" s="1509">
        <v>1.25</v>
      </c>
      <c r="K1271" s="1509"/>
      <c r="L1271" s="1509"/>
      <c r="M1271" s="1509">
        <f t="shared" si="177"/>
        <v>1.25</v>
      </c>
      <c r="N1271" s="1509">
        <f t="shared" si="178"/>
        <v>0</v>
      </c>
    </row>
    <row r="1272" spans="1:14" customFormat="1" outlineLevel="1" x14ac:dyDescent="0.25">
      <c r="A1272" s="1511">
        <f t="shared" si="181"/>
        <v>15.6</v>
      </c>
      <c r="B1272" s="1515" t="str">
        <f t="shared" si="181"/>
        <v>Strengthening of U-6 Bunkers at CHP NPTPS</v>
      </c>
      <c r="C1272" s="1396" t="str">
        <f t="shared" si="181"/>
        <v>Yet to be approved</v>
      </c>
      <c r="D1272" s="1378" t="str">
        <f t="shared" si="181"/>
        <v>-</v>
      </c>
      <c r="E1272" s="1505">
        <f t="shared" si="181"/>
        <v>0</v>
      </c>
      <c r="F1272" s="1509">
        <f t="shared" si="174"/>
        <v>0</v>
      </c>
      <c r="G1272" s="1509">
        <f t="shared" si="175"/>
        <v>0</v>
      </c>
      <c r="H1272" s="1509">
        <f t="shared" si="176"/>
        <v>0</v>
      </c>
      <c r="I1272" s="1509">
        <v>8.7899999999999991</v>
      </c>
      <c r="J1272" s="1509">
        <v>8.7899999999999991</v>
      </c>
      <c r="K1272" s="1509"/>
      <c r="L1272" s="1509"/>
      <c r="M1272" s="1509">
        <f t="shared" si="177"/>
        <v>8.7899999999999991</v>
      </c>
      <c r="N1272" s="1509">
        <f t="shared" si="178"/>
        <v>0</v>
      </c>
    </row>
    <row r="1273" spans="1:14" customFormat="1" ht="29" outlineLevel="1" x14ac:dyDescent="0.25">
      <c r="A1273" s="1511">
        <f t="shared" ref="A1273:E1288" si="182">A916</f>
        <v>15.7</v>
      </c>
      <c r="B1273" s="1515" t="str">
        <f t="shared" si="182"/>
        <v>Supply and commissioning of Suspended Magnets for U-6,7 CHP NPTPS</v>
      </c>
      <c r="C1273" s="1396" t="str">
        <f t="shared" si="182"/>
        <v>Yet to be approved</v>
      </c>
      <c r="D1273" s="1378" t="str">
        <f t="shared" si="182"/>
        <v>-</v>
      </c>
      <c r="E1273" s="1505">
        <f t="shared" si="182"/>
        <v>0</v>
      </c>
      <c r="F1273" s="1509">
        <f t="shared" ref="F1273:F1336" si="183">F916+I916</f>
        <v>0</v>
      </c>
      <c r="G1273" s="1509">
        <f t="shared" ref="G1273:G1336" si="184">G916+M916</f>
        <v>0</v>
      </c>
      <c r="H1273" s="1509">
        <f t="shared" si="176"/>
        <v>0</v>
      </c>
      <c r="I1273" s="1509">
        <v>2.5499999999999998</v>
      </c>
      <c r="J1273" s="1509">
        <v>2.5499999999999998</v>
      </c>
      <c r="K1273" s="1509"/>
      <c r="L1273" s="1509"/>
      <c r="M1273" s="1509">
        <f t="shared" si="177"/>
        <v>2.5499999999999998</v>
      </c>
      <c r="N1273" s="1509">
        <f t="shared" si="178"/>
        <v>0</v>
      </c>
    </row>
    <row r="1274" spans="1:14" customFormat="1" ht="29" outlineLevel="1" x14ac:dyDescent="0.25">
      <c r="A1274" s="1511">
        <f t="shared" si="182"/>
        <v>15.8</v>
      </c>
      <c r="B1274" s="1515" t="str">
        <f t="shared" si="182"/>
        <v>Modification of 60 KG rail track with laying crossover turnout at NMVP sliding CHP NPTPS</v>
      </c>
      <c r="C1274" s="1396" t="str">
        <f t="shared" si="182"/>
        <v>Yet to be approved</v>
      </c>
      <c r="D1274" s="1378" t="str">
        <f t="shared" si="182"/>
        <v>-</v>
      </c>
      <c r="E1274" s="1505">
        <f t="shared" si="182"/>
        <v>0</v>
      </c>
      <c r="F1274" s="1509">
        <f t="shared" si="183"/>
        <v>0</v>
      </c>
      <c r="G1274" s="1509">
        <f t="shared" si="184"/>
        <v>0</v>
      </c>
      <c r="H1274" s="1509">
        <f t="shared" ref="H1274:H1337" si="185">F1274-G1274</f>
        <v>0</v>
      </c>
      <c r="I1274" s="1509">
        <v>4.75</v>
      </c>
      <c r="J1274" s="1509">
        <v>4.75</v>
      </c>
      <c r="K1274" s="1509"/>
      <c r="L1274" s="1509"/>
      <c r="M1274" s="1509">
        <f t="shared" ref="M1274:M1337" si="186">SUM(J1274:L1274)</f>
        <v>4.75</v>
      </c>
      <c r="N1274" s="1509">
        <f t="shared" ref="N1274:N1337" si="187">H1274+I1274-M1274</f>
        <v>0</v>
      </c>
    </row>
    <row r="1275" spans="1:14" customFormat="1" outlineLevel="1" x14ac:dyDescent="0.25">
      <c r="A1275" s="1511">
        <f t="shared" si="182"/>
        <v>0</v>
      </c>
      <c r="B1275" s="1515" t="str">
        <f t="shared" si="182"/>
        <v>IDC</v>
      </c>
      <c r="C1275" s="1396" t="str">
        <f t="shared" si="182"/>
        <v>Yet to be approved</v>
      </c>
      <c r="D1275" s="1378" t="str">
        <f t="shared" si="182"/>
        <v>-</v>
      </c>
      <c r="E1275" s="1505">
        <f t="shared" si="182"/>
        <v>0</v>
      </c>
      <c r="F1275" s="1509">
        <f t="shared" si="183"/>
        <v>0</v>
      </c>
      <c r="G1275" s="1509">
        <f t="shared" si="184"/>
        <v>0</v>
      </c>
      <c r="H1275" s="1509">
        <f t="shared" si="185"/>
        <v>0</v>
      </c>
      <c r="I1275" s="1509">
        <v>0</v>
      </c>
      <c r="J1275" s="1509">
        <v>0</v>
      </c>
      <c r="K1275" s="1509"/>
      <c r="L1275" s="1509"/>
      <c r="M1275" s="1509">
        <f t="shared" si="186"/>
        <v>0</v>
      </c>
      <c r="N1275" s="1509">
        <f t="shared" si="187"/>
        <v>0</v>
      </c>
    </row>
    <row r="1276" spans="1:14" customFormat="1" ht="29" outlineLevel="1" x14ac:dyDescent="0.25">
      <c r="A1276" s="1506">
        <f t="shared" si="182"/>
        <v>16</v>
      </c>
      <c r="B1276" s="1507" t="str">
        <f t="shared" si="182"/>
        <v>DPR for normalization and stabilization of coal handling plant performance at Parli TPS</v>
      </c>
      <c r="C1276" s="1506">
        <f t="shared" si="182"/>
        <v>0</v>
      </c>
      <c r="D1276" s="1507" t="str">
        <f t="shared" si="182"/>
        <v>-</v>
      </c>
      <c r="E1276" s="1506">
        <f t="shared" si="182"/>
        <v>0</v>
      </c>
      <c r="F1276" s="1509">
        <f t="shared" si="183"/>
        <v>0</v>
      </c>
      <c r="G1276" s="1509">
        <f t="shared" si="184"/>
        <v>0</v>
      </c>
      <c r="H1276" s="1509">
        <f t="shared" si="185"/>
        <v>0</v>
      </c>
      <c r="I1276" s="1509">
        <v>0</v>
      </c>
      <c r="J1276" s="1509">
        <v>0</v>
      </c>
      <c r="K1276" s="1509"/>
      <c r="L1276" s="1509"/>
      <c r="M1276" s="1509">
        <f t="shared" si="186"/>
        <v>0</v>
      </c>
      <c r="N1276" s="1509">
        <f t="shared" si="187"/>
        <v>0</v>
      </c>
    </row>
    <row r="1277" spans="1:14" customFormat="1" outlineLevel="1" x14ac:dyDescent="0.25">
      <c r="A1277" s="1511">
        <f t="shared" si="182"/>
        <v>16.100000000000001</v>
      </c>
      <c r="B1277" s="1515" t="str">
        <f t="shared" si="182"/>
        <v>Procurement of U-6,7 W/T Major spares</v>
      </c>
      <c r="C1277" s="1396" t="str">
        <f t="shared" si="182"/>
        <v>Yet to be approved</v>
      </c>
      <c r="D1277" s="1378" t="str">
        <f t="shared" si="182"/>
        <v>-</v>
      </c>
      <c r="E1277" s="1505">
        <f t="shared" si="182"/>
        <v>0</v>
      </c>
      <c r="F1277" s="1509">
        <f t="shared" si="183"/>
        <v>0</v>
      </c>
      <c r="G1277" s="1509">
        <f t="shared" si="184"/>
        <v>0</v>
      </c>
      <c r="H1277" s="1509">
        <f t="shared" si="185"/>
        <v>0</v>
      </c>
      <c r="I1277" s="1509">
        <v>0</v>
      </c>
      <c r="J1277" s="1509">
        <v>0</v>
      </c>
      <c r="K1277" s="1509"/>
      <c r="L1277" s="1509"/>
      <c r="M1277" s="1509">
        <f t="shared" si="186"/>
        <v>0</v>
      </c>
      <c r="N1277" s="1509">
        <f t="shared" si="187"/>
        <v>0</v>
      </c>
    </row>
    <row r="1278" spans="1:14" customFormat="1" outlineLevel="1" x14ac:dyDescent="0.25">
      <c r="A1278" s="1511">
        <f t="shared" si="182"/>
        <v>16.2</v>
      </c>
      <c r="B1278" s="1515" t="str">
        <f t="shared" si="182"/>
        <v>Supply of impact crusher major spares for CHP U-6/7</v>
      </c>
      <c r="C1278" s="1396" t="str">
        <f t="shared" si="182"/>
        <v>Yet to be approved</v>
      </c>
      <c r="D1278" s="1378" t="str">
        <f t="shared" si="182"/>
        <v>-</v>
      </c>
      <c r="E1278" s="1505">
        <f t="shared" si="182"/>
        <v>0</v>
      </c>
      <c r="F1278" s="1509">
        <f t="shared" si="183"/>
        <v>0</v>
      </c>
      <c r="G1278" s="1509">
        <f t="shared" si="184"/>
        <v>0</v>
      </c>
      <c r="H1278" s="1509">
        <f t="shared" si="185"/>
        <v>0</v>
      </c>
      <c r="I1278" s="1509">
        <v>0</v>
      </c>
      <c r="J1278" s="1509">
        <v>0</v>
      </c>
      <c r="K1278" s="1509"/>
      <c r="L1278" s="1509"/>
      <c r="M1278" s="1509">
        <f t="shared" si="186"/>
        <v>0</v>
      </c>
      <c r="N1278" s="1509">
        <f t="shared" si="187"/>
        <v>0</v>
      </c>
    </row>
    <row r="1279" spans="1:14" customFormat="1" outlineLevel="1" x14ac:dyDescent="0.25">
      <c r="A1279" s="1511">
        <f t="shared" si="182"/>
        <v>16.3</v>
      </c>
      <c r="B1279" s="1515" t="str">
        <f t="shared" si="182"/>
        <v>Provision of Soft starter / VFD for Various conveyor</v>
      </c>
      <c r="C1279" s="1396" t="str">
        <f t="shared" si="182"/>
        <v>Yet to be approved</v>
      </c>
      <c r="D1279" s="1378" t="str">
        <f t="shared" si="182"/>
        <v>-</v>
      </c>
      <c r="E1279" s="1505">
        <f t="shared" si="182"/>
        <v>0</v>
      </c>
      <c r="F1279" s="1509">
        <f t="shared" si="183"/>
        <v>0</v>
      </c>
      <c r="G1279" s="1509">
        <f t="shared" si="184"/>
        <v>0</v>
      </c>
      <c r="H1279" s="1509">
        <f t="shared" si="185"/>
        <v>0</v>
      </c>
      <c r="I1279" s="1509">
        <v>0</v>
      </c>
      <c r="J1279" s="1509">
        <v>0</v>
      </c>
      <c r="K1279" s="1509"/>
      <c r="L1279" s="1509"/>
      <c r="M1279" s="1509">
        <f t="shared" si="186"/>
        <v>0</v>
      </c>
      <c r="N1279" s="1509">
        <f t="shared" si="187"/>
        <v>0</v>
      </c>
    </row>
    <row r="1280" spans="1:14" customFormat="1" outlineLevel="1" x14ac:dyDescent="0.25">
      <c r="A1280" s="1511">
        <f t="shared" si="182"/>
        <v>16.399999999999999</v>
      </c>
      <c r="B1280" s="1515" t="str">
        <f t="shared" si="182"/>
        <v>Upgradation of siemens make PLC at U-6/7.</v>
      </c>
      <c r="C1280" s="1396" t="str">
        <f t="shared" si="182"/>
        <v>Yet to be approved</v>
      </c>
      <c r="D1280" s="1378" t="str">
        <f t="shared" si="182"/>
        <v>-</v>
      </c>
      <c r="E1280" s="1505">
        <f t="shared" si="182"/>
        <v>0</v>
      </c>
      <c r="F1280" s="1509">
        <f t="shared" si="183"/>
        <v>0</v>
      </c>
      <c r="G1280" s="1509">
        <f t="shared" si="184"/>
        <v>0</v>
      </c>
      <c r="H1280" s="1509">
        <f t="shared" si="185"/>
        <v>0</v>
      </c>
      <c r="I1280" s="1509">
        <v>0</v>
      </c>
      <c r="J1280" s="1509">
        <v>0</v>
      </c>
      <c r="K1280" s="1509"/>
      <c r="L1280" s="1509"/>
      <c r="M1280" s="1509">
        <f t="shared" si="186"/>
        <v>0</v>
      </c>
      <c r="N1280" s="1509">
        <f t="shared" si="187"/>
        <v>0</v>
      </c>
    </row>
    <row r="1281" spans="1:14" customFormat="1" outlineLevel="1" x14ac:dyDescent="0.25">
      <c r="A1281" s="1511">
        <f t="shared" si="182"/>
        <v>16.5</v>
      </c>
      <c r="B1281" s="1515" t="str">
        <f t="shared" si="182"/>
        <v>Procurement of U-6/7 Stacker reclaimer major spares</v>
      </c>
      <c r="C1281" s="1396" t="str">
        <f t="shared" si="182"/>
        <v>Yet to be approved</v>
      </c>
      <c r="D1281" s="1378" t="str">
        <f t="shared" si="182"/>
        <v>-</v>
      </c>
      <c r="E1281" s="1505">
        <f t="shared" si="182"/>
        <v>0</v>
      </c>
      <c r="F1281" s="1509">
        <f t="shared" si="183"/>
        <v>0</v>
      </c>
      <c r="G1281" s="1509">
        <f t="shared" si="184"/>
        <v>0</v>
      </c>
      <c r="H1281" s="1509">
        <f t="shared" si="185"/>
        <v>0</v>
      </c>
      <c r="I1281" s="1509">
        <v>0</v>
      </c>
      <c r="J1281" s="1509">
        <v>0</v>
      </c>
      <c r="K1281" s="1509"/>
      <c r="L1281" s="1509"/>
      <c r="M1281" s="1509">
        <f t="shared" si="186"/>
        <v>0</v>
      </c>
      <c r="N1281" s="1509">
        <f t="shared" si="187"/>
        <v>0</v>
      </c>
    </row>
    <row r="1282" spans="1:14" customFormat="1" ht="29" outlineLevel="1" x14ac:dyDescent="0.25">
      <c r="A1282" s="1511">
        <f t="shared" si="182"/>
        <v>16.600000000000001</v>
      </c>
      <c r="B1282" s="1515" t="str">
        <f t="shared" si="182"/>
        <v>Design, supply and commissioning of solar operated lighting system in CHP  U-6,7</v>
      </c>
      <c r="C1282" s="1396" t="str">
        <f t="shared" si="182"/>
        <v>Yet to be approved</v>
      </c>
      <c r="D1282" s="1378" t="str">
        <f t="shared" si="182"/>
        <v>-</v>
      </c>
      <c r="E1282" s="1505">
        <f t="shared" si="182"/>
        <v>0</v>
      </c>
      <c r="F1282" s="1509">
        <f t="shared" si="183"/>
        <v>0</v>
      </c>
      <c r="G1282" s="1509">
        <f t="shared" si="184"/>
        <v>0</v>
      </c>
      <c r="H1282" s="1509">
        <f t="shared" si="185"/>
        <v>0</v>
      </c>
      <c r="I1282" s="1509">
        <v>0</v>
      </c>
      <c r="J1282" s="1509">
        <v>0</v>
      </c>
      <c r="K1282" s="1509"/>
      <c r="L1282" s="1509"/>
      <c r="M1282" s="1509">
        <f t="shared" si="186"/>
        <v>0</v>
      </c>
      <c r="N1282" s="1509">
        <f t="shared" si="187"/>
        <v>0</v>
      </c>
    </row>
    <row r="1283" spans="1:14" customFormat="1" outlineLevel="1" x14ac:dyDescent="0.25">
      <c r="A1283" s="1511">
        <f t="shared" si="182"/>
        <v>16.7</v>
      </c>
      <c r="B1283" s="1515" t="str">
        <f t="shared" si="182"/>
        <v>Installation of CCTV survillance system alongwith all conveyors.</v>
      </c>
      <c r="C1283" s="1396" t="str">
        <f t="shared" si="182"/>
        <v>Yet to be approved</v>
      </c>
      <c r="D1283" s="1378" t="str">
        <f t="shared" si="182"/>
        <v>-</v>
      </c>
      <c r="E1283" s="1505">
        <f t="shared" si="182"/>
        <v>0</v>
      </c>
      <c r="F1283" s="1509">
        <f t="shared" si="183"/>
        <v>0</v>
      </c>
      <c r="G1283" s="1509">
        <f t="shared" si="184"/>
        <v>0</v>
      </c>
      <c r="H1283" s="1509">
        <f t="shared" si="185"/>
        <v>0</v>
      </c>
      <c r="I1283" s="1509">
        <v>0</v>
      </c>
      <c r="J1283" s="1509">
        <v>0</v>
      </c>
      <c r="K1283" s="1509"/>
      <c r="L1283" s="1509"/>
      <c r="M1283" s="1509">
        <f t="shared" si="186"/>
        <v>0</v>
      </c>
      <c r="N1283" s="1509">
        <f t="shared" si="187"/>
        <v>0</v>
      </c>
    </row>
    <row r="1284" spans="1:14" customFormat="1" ht="29" outlineLevel="1" x14ac:dyDescent="0.25">
      <c r="A1284" s="1511">
        <f t="shared" si="182"/>
        <v>16.8</v>
      </c>
      <c r="B1284" s="1515" t="str">
        <f t="shared" si="182"/>
        <v xml:space="preserve"> Upgradation / Retrofication of Bunker Lifts of Unit-6 &amp; Unit-7 at CHP TPS Parli-V.</v>
      </c>
      <c r="C1284" s="1396" t="str">
        <f t="shared" si="182"/>
        <v>Yet to be approved</v>
      </c>
      <c r="D1284" s="1378" t="str">
        <f t="shared" si="182"/>
        <v>-</v>
      </c>
      <c r="E1284" s="1505">
        <f t="shared" si="182"/>
        <v>0</v>
      </c>
      <c r="F1284" s="1509">
        <f t="shared" si="183"/>
        <v>0</v>
      </c>
      <c r="G1284" s="1509">
        <f t="shared" si="184"/>
        <v>0</v>
      </c>
      <c r="H1284" s="1509">
        <f t="shared" si="185"/>
        <v>0</v>
      </c>
      <c r="I1284" s="1509">
        <v>0</v>
      </c>
      <c r="J1284" s="1509">
        <v>0</v>
      </c>
      <c r="K1284" s="1509"/>
      <c r="L1284" s="1509"/>
      <c r="M1284" s="1509">
        <f t="shared" si="186"/>
        <v>0</v>
      </c>
      <c r="N1284" s="1509">
        <f t="shared" si="187"/>
        <v>0</v>
      </c>
    </row>
    <row r="1285" spans="1:14" customFormat="1" outlineLevel="1" x14ac:dyDescent="0.25">
      <c r="A1285" s="1511">
        <f t="shared" si="182"/>
        <v>0</v>
      </c>
      <c r="B1285" s="1515" t="str">
        <f t="shared" si="182"/>
        <v>IDC</v>
      </c>
      <c r="C1285" s="1396" t="str">
        <f t="shared" si="182"/>
        <v>Yet to be approved</v>
      </c>
      <c r="D1285" s="1378" t="str">
        <f t="shared" si="182"/>
        <v>-</v>
      </c>
      <c r="E1285" s="1505">
        <f t="shared" si="182"/>
        <v>0</v>
      </c>
      <c r="F1285" s="1509">
        <f t="shared" si="183"/>
        <v>0</v>
      </c>
      <c r="G1285" s="1509">
        <f t="shared" si="184"/>
        <v>0</v>
      </c>
      <c r="H1285" s="1509">
        <f t="shared" si="185"/>
        <v>0</v>
      </c>
      <c r="I1285" s="1509">
        <v>0</v>
      </c>
      <c r="J1285" s="1509">
        <v>0</v>
      </c>
      <c r="K1285" s="1509"/>
      <c r="L1285" s="1509"/>
      <c r="M1285" s="1509">
        <f t="shared" si="186"/>
        <v>0</v>
      </c>
      <c r="N1285" s="1509">
        <f t="shared" si="187"/>
        <v>0</v>
      </c>
    </row>
    <row r="1286" spans="1:14" customFormat="1" outlineLevel="1" x14ac:dyDescent="0.25">
      <c r="A1286" s="1506">
        <f t="shared" si="182"/>
        <v>17</v>
      </c>
      <c r="B1286" s="1507" t="str">
        <f t="shared" si="182"/>
        <v>DPR for maximiation of Coal Handling Plant efficiency.</v>
      </c>
      <c r="C1286" s="1506" t="str">
        <f t="shared" si="182"/>
        <v>Yet to be approved</v>
      </c>
      <c r="D1286" s="1507" t="str">
        <f t="shared" si="182"/>
        <v>-</v>
      </c>
      <c r="E1286" s="1506">
        <f t="shared" si="182"/>
        <v>0</v>
      </c>
      <c r="F1286" s="1509">
        <f t="shared" si="183"/>
        <v>0</v>
      </c>
      <c r="G1286" s="1509">
        <f t="shared" si="184"/>
        <v>0</v>
      </c>
      <c r="H1286" s="1509">
        <f t="shared" si="185"/>
        <v>0</v>
      </c>
      <c r="I1286" s="1509">
        <v>0</v>
      </c>
      <c r="J1286" s="1509">
        <v>0</v>
      </c>
      <c r="K1286" s="1509"/>
      <c r="L1286" s="1509"/>
      <c r="M1286" s="1509">
        <f t="shared" si="186"/>
        <v>0</v>
      </c>
      <c r="N1286" s="1509">
        <f t="shared" si="187"/>
        <v>0</v>
      </c>
    </row>
    <row r="1287" spans="1:14" customFormat="1" outlineLevel="1" x14ac:dyDescent="0.25">
      <c r="A1287" s="1511">
        <f t="shared" si="182"/>
        <v>17.100000000000001</v>
      </c>
      <c r="B1287" s="1515" t="str">
        <f t="shared" si="182"/>
        <v>W/T control room &amp; bunker house battery &amp; UPS upgradation</v>
      </c>
      <c r="C1287" s="1396" t="str">
        <f t="shared" si="182"/>
        <v>Yet to be approved</v>
      </c>
      <c r="D1287" s="1378" t="str">
        <f t="shared" si="182"/>
        <v>-</v>
      </c>
      <c r="E1287" s="1505">
        <f t="shared" si="182"/>
        <v>0</v>
      </c>
      <c r="F1287" s="1509">
        <f t="shared" si="183"/>
        <v>0</v>
      </c>
      <c r="G1287" s="1509">
        <f t="shared" si="184"/>
        <v>0</v>
      </c>
      <c r="H1287" s="1509">
        <f t="shared" si="185"/>
        <v>0</v>
      </c>
      <c r="I1287" s="1509">
        <v>0</v>
      </c>
      <c r="J1287" s="1509">
        <v>0</v>
      </c>
      <c r="K1287" s="1509"/>
      <c r="L1287" s="1509"/>
      <c r="M1287" s="1509">
        <f t="shared" si="186"/>
        <v>0</v>
      </c>
      <c r="N1287" s="1509">
        <f t="shared" si="187"/>
        <v>0</v>
      </c>
    </row>
    <row r="1288" spans="1:14" customFormat="1" outlineLevel="1" x14ac:dyDescent="0.25">
      <c r="A1288" s="1511">
        <f t="shared" si="182"/>
        <v>17.2</v>
      </c>
      <c r="B1288" s="1515" t="str">
        <f t="shared" si="182"/>
        <v>Provision of Soft starter / VFD for Various conveyor</v>
      </c>
      <c r="C1288" s="1396" t="str">
        <f t="shared" si="182"/>
        <v>Yet to be approved</v>
      </c>
      <c r="D1288" s="1378" t="str">
        <f t="shared" si="182"/>
        <v>-</v>
      </c>
      <c r="E1288" s="1505">
        <f t="shared" si="182"/>
        <v>0</v>
      </c>
      <c r="F1288" s="1509">
        <f t="shared" si="183"/>
        <v>0</v>
      </c>
      <c r="G1288" s="1509">
        <f t="shared" si="184"/>
        <v>0</v>
      </c>
      <c r="H1288" s="1509">
        <f t="shared" si="185"/>
        <v>0</v>
      </c>
      <c r="I1288" s="1509">
        <v>0</v>
      </c>
      <c r="J1288" s="1509">
        <v>0</v>
      </c>
      <c r="K1288" s="1509"/>
      <c r="L1288" s="1509"/>
      <c r="M1288" s="1509">
        <f t="shared" si="186"/>
        <v>0</v>
      </c>
      <c r="N1288" s="1509">
        <f t="shared" si="187"/>
        <v>0</v>
      </c>
    </row>
    <row r="1289" spans="1:14" customFormat="1" ht="29" outlineLevel="1" x14ac:dyDescent="0.25">
      <c r="A1289" s="1511">
        <f t="shared" ref="A1289:E1304" si="188">A932</f>
        <v>17.3</v>
      </c>
      <c r="B1289" s="1515" t="str">
        <f t="shared" si="188"/>
        <v>Structure Strengthening of Conveyor NO. 3 and Stacker Reclaimer Rail at U-6/7 CHP</v>
      </c>
      <c r="C1289" s="1396" t="str">
        <f t="shared" si="188"/>
        <v>Yet to be approved</v>
      </c>
      <c r="D1289" s="1378" t="str">
        <f t="shared" si="188"/>
        <v>-</v>
      </c>
      <c r="E1289" s="1505">
        <f t="shared" si="188"/>
        <v>0</v>
      </c>
      <c r="F1289" s="1509">
        <f t="shared" si="183"/>
        <v>0</v>
      </c>
      <c r="G1289" s="1509">
        <f t="shared" si="184"/>
        <v>0</v>
      </c>
      <c r="H1289" s="1509">
        <f t="shared" si="185"/>
        <v>0</v>
      </c>
      <c r="I1289" s="1509">
        <v>0</v>
      </c>
      <c r="J1289" s="1509">
        <v>0</v>
      </c>
      <c r="K1289" s="1509"/>
      <c r="L1289" s="1509"/>
      <c r="M1289" s="1509">
        <f t="shared" si="186"/>
        <v>0</v>
      </c>
      <c r="N1289" s="1509">
        <f t="shared" si="187"/>
        <v>0</v>
      </c>
    </row>
    <row r="1290" spans="1:14" customFormat="1" outlineLevel="1" x14ac:dyDescent="0.25">
      <c r="A1290" s="1511">
        <f t="shared" si="188"/>
        <v>17.399999999999999</v>
      </c>
      <c r="B1290" s="1515" t="str">
        <f t="shared" si="188"/>
        <v>Modernization/modification of Conveyor HT/LT cables at U-6/7 CHP.</v>
      </c>
      <c r="C1290" s="1396" t="str">
        <f t="shared" si="188"/>
        <v>Yet to be approved</v>
      </c>
      <c r="D1290" s="1378" t="str">
        <f t="shared" si="188"/>
        <v>-</v>
      </c>
      <c r="E1290" s="1505">
        <f t="shared" si="188"/>
        <v>0</v>
      </c>
      <c r="F1290" s="1509">
        <f t="shared" si="183"/>
        <v>0</v>
      </c>
      <c r="G1290" s="1509">
        <f t="shared" si="184"/>
        <v>0</v>
      </c>
      <c r="H1290" s="1509">
        <f t="shared" si="185"/>
        <v>0</v>
      </c>
      <c r="I1290" s="1509">
        <v>0</v>
      </c>
      <c r="J1290" s="1509">
        <v>0</v>
      </c>
      <c r="K1290" s="1509"/>
      <c r="L1290" s="1509"/>
      <c r="M1290" s="1509">
        <f t="shared" si="186"/>
        <v>0</v>
      </c>
      <c r="N1290" s="1509">
        <f t="shared" si="187"/>
        <v>0</v>
      </c>
    </row>
    <row r="1291" spans="1:14" customFormat="1" ht="29" outlineLevel="1" x14ac:dyDescent="0.25">
      <c r="A1291" s="1511">
        <f t="shared" si="188"/>
        <v>17.5</v>
      </c>
      <c r="B1291" s="1515" t="str">
        <f t="shared" si="188"/>
        <v>Modernization of EOT cranes and Hoist at various junction tower and various location of CHP U-6/7</v>
      </c>
      <c r="C1291" s="1396" t="str">
        <f t="shared" si="188"/>
        <v>Yet to be approved</v>
      </c>
      <c r="D1291" s="1378" t="str">
        <f t="shared" si="188"/>
        <v>-</v>
      </c>
      <c r="E1291" s="1505">
        <f t="shared" si="188"/>
        <v>0</v>
      </c>
      <c r="F1291" s="1509">
        <f t="shared" si="183"/>
        <v>0</v>
      </c>
      <c r="G1291" s="1509">
        <f t="shared" si="184"/>
        <v>0</v>
      </c>
      <c r="H1291" s="1509">
        <f t="shared" si="185"/>
        <v>0</v>
      </c>
      <c r="I1291" s="1509">
        <v>0</v>
      </c>
      <c r="J1291" s="1509">
        <v>0</v>
      </c>
      <c r="K1291" s="1509"/>
      <c r="L1291" s="1509"/>
      <c r="M1291" s="1509">
        <f t="shared" si="186"/>
        <v>0</v>
      </c>
      <c r="N1291" s="1509">
        <f t="shared" si="187"/>
        <v>0</v>
      </c>
    </row>
    <row r="1292" spans="1:14" customFormat="1" outlineLevel="1" x14ac:dyDescent="0.25">
      <c r="A1292" s="1511">
        <f t="shared" si="188"/>
        <v>17.600000000000001</v>
      </c>
      <c r="B1292" s="1515" t="str">
        <f t="shared" si="188"/>
        <v>Renovation / retrofitting of shuttle conveyor at CHP U-6/7.</v>
      </c>
      <c r="C1292" s="1396" t="str">
        <f t="shared" si="188"/>
        <v>Yet to be approved</v>
      </c>
      <c r="D1292" s="1378" t="str">
        <f t="shared" si="188"/>
        <v>-</v>
      </c>
      <c r="E1292" s="1505">
        <f t="shared" si="188"/>
        <v>0</v>
      </c>
      <c r="F1292" s="1509">
        <f t="shared" si="183"/>
        <v>0</v>
      </c>
      <c r="G1292" s="1509">
        <f t="shared" si="184"/>
        <v>0</v>
      </c>
      <c r="H1292" s="1509">
        <f t="shared" si="185"/>
        <v>0</v>
      </c>
      <c r="I1292" s="1509">
        <v>0</v>
      </c>
      <c r="J1292" s="1509">
        <v>0</v>
      </c>
      <c r="K1292" s="1509"/>
      <c r="L1292" s="1509"/>
      <c r="M1292" s="1509">
        <f t="shared" si="186"/>
        <v>0</v>
      </c>
      <c r="N1292" s="1509">
        <f t="shared" si="187"/>
        <v>0</v>
      </c>
    </row>
    <row r="1293" spans="1:14" customFormat="1" outlineLevel="1" x14ac:dyDescent="0.25">
      <c r="A1293" s="1511">
        <f t="shared" si="188"/>
        <v>17.7</v>
      </c>
      <c r="B1293" s="1515" t="str">
        <f t="shared" si="188"/>
        <v>Upgradation/renovation of bunker lift at RSC-6 &amp; 7 of CHP U-6/7</v>
      </c>
      <c r="C1293" s="1396" t="str">
        <f t="shared" si="188"/>
        <v>Yet to be approved</v>
      </c>
      <c r="D1293" s="1378" t="str">
        <f t="shared" si="188"/>
        <v>-</v>
      </c>
      <c r="E1293" s="1505">
        <f t="shared" si="188"/>
        <v>0</v>
      </c>
      <c r="F1293" s="1509">
        <f t="shared" si="183"/>
        <v>0</v>
      </c>
      <c r="G1293" s="1509">
        <f t="shared" si="184"/>
        <v>0</v>
      </c>
      <c r="H1293" s="1509">
        <f t="shared" si="185"/>
        <v>0</v>
      </c>
      <c r="I1293" s="1509">
        <v>0</v>
      </c>
      <c r="J1293" s="1509">
        <v>0</v>
      </c>
      <c r="K1293" s="1509"/>
      <c r="L1293" s="1509"/>
      <c r="M1293" s="1509">
        <f t="shared" si="186"/>
        <v>0</v>
      </c>
      <c r="N1293" s="1509">
        <f t="shared" si="187"/>
        <v>0</v>
      </c>
    </row>
    <row r="1294" spans="1:14" customFormat="1" outlineLevel="1" x14ac:dyDescent="0.25">
      <c r="A1294" s="1511">
        <f t="shared" si="188"/>
        <v>0</v>
      </c>
      <c r="B1294" s="1515" t="str">
        <f t="shared" si="188"/>
        <v>IDC</v>
      </c>
      <c r="C1294" s="1396" t="str">
        <f t="shared" si="188"/>
        <v>Yet to be approved</v>
      </c>
      <c r="D1294" s="1378" t="str">
        <f t="shared" si="188"/>
        <v>-</v>
      </c>
      <c r="E1294" s="1505">
        <f t="shared" si="188"/>
        <v>0</v>
      </c>
      <c r="F1294" s="1509">
        <f t="shared" si="183"/>
        <v>0</v>
      </c>
      <c r="G1294" s="1509">
        <f t="shared" si="184"/>
        <v>0</v>
      </c>
      <c r="H1294" s="1509">
        <f t="shared" si="185"/>
        <v>0</v>
      </c>
      <c r="I1294" s="1509">
        <v>0</v>
      </c>
      <c r="J1294" s="1509">
        <v>0</v>
      </c>
      <c r="K1294" s="1509"/>
      <c r="L1294" s="1509"/>
      <c r="M1294" s="1509">
        <f t="shared" si="186"/>
        <v>0</v>
      </c>
      <c r="N1294" s="1509">
        <f t="shared" si="187"/>
        <v>0</v>
      </c>
    </row>
    <row r="1295" spans="1:14" customFormat="1" outlineLevel="1" x14ac:dyDescent="0.25">
      <c r="A1295" s="1506">
        <f t="shared" si="188"/>
        <v>18</v>
      </c>
      <c r="B1295" s="1507" t="str">
        <f t="shared" si="188"/>
        <v>DPR on life enhancement of Coal Handling Plant</v>
      </c>
      <c r="C1295" s="1506" t="str">
        <f t="shared" si="188"/>
        <v>Yet to be approved</v>
      </c>
      <c r="D1295" s="1507" t="str">
        <f t="shared" si="188"/>
        <v>-</v>
      </c>
      <c r="E1295" s="1506">
        <f t="shared" si="188"/>
        <v>0</v>
      </c>
      <c r="F1295" s="1509">
        <f t="shared" si="183"/>
        <v>0</v>
      </c>
      <c r="G1295" s="1509">
        <f t="shared" si="184"/>
        <v>0</v>
      </c>
      <c r="H1295" s="1509">
        <f t="shared" si="185"/>
        <v>0</v>
      </c>
      <c r="I1295" s="1509">
        <v>0</v>
      </c>
      <c r="J1295" s="1509">
        <v>0</v>
      </c>
      <c r="K1295" s="1509"/>
      <c r="L1295" s="1509"/>
      <c r="M1295" s="1509">
        <f t="shared" si="186"/>
        <v>0</v>
      </c>
      <c r="N1295" s="1509">
        <f t="shared" si="187"/>
        <v>0</v>
      </c>
    </row>
    <row r="1296" spans="1:14" customFormat="1" ht="29" outlineLevel="1" x14ac:dyDescent="0.25">
      <c r="A1296" s="1511">
        <f t="shared" si="188"/>
        <v>18.100000000000001</v>
      </c>
      <c r="B1296" s="1515" t="str">
        <f t="shared" si="188"/>
        <v>Renovation, upgradation  &amp; capacity enhancement of LT switch gear panels at W/T, S/R and CHP control Switch board at CHP U-6/7.</v>
      </c>
      <c r="C1296" s="1396" t="str">
        <f t="shared" si="188"/>
        <v>Yet to be approved</v>
      </c>
      <c r="D1296" s="1378" t="str">
        <f t="shared" si="188"/>
        <v>-</v>
      </c>
      <c r="E1296" s="1505">
        <f t="shared" si="188"/>
        <v>0</v>
      </c>
      <c r="F1296" s="1509">
        <f t="shared" si="183"/>
        <v>0</v>
      </c>
      <c r="G1296" s="1509">
        <f t="shared" si="184"/>
        <v>0</v>
      </c>
      <c r="H1296" s="1509">
        <f t="shared" si="185"/>
        <v>0</v>
      </c>
      <c r="I1296" s="1509">
        <v>0</v>
      </c>
      <c r="J1296" s="1509">
        <v>0</v>
      </c>
      <c r="K1296" s="1509"/>
      <c r="L1296" s="1509"/>
      <c r="M1296" s="1509">
        <f t="shared" si="186"/>
        <v>0</v>
      </c>
      <c r="N1296" s="1509">
        <f t="shared" si="187"/>
        <v>0</v>
      </c>
    </row>
    <row r="1297" spans="1:14" customFormat="1" outlineLevel="1" x14ac:dyDescent="0.25">
      <c r="A1297" s="1511">
        <f t="shared" si="188"/>
        <v>18.2</v>
      </c>
      <c r="B1297" s="1515" t="str">
        <f t="shared" si="188"/>
        <v>Procurement &amp; installation of Belt tear detection system</v>
      </c>
      <c r="C1297" s="1396" t="str">
        <f t="shared" si="188"/>
        <v>Yet to be approved</v>
      </c>
      <c r="D1297" s="1378" t="str">
        <f t="shared" si="188"/>
        <v>-</v>
      </c>
      <c r="E1297" s="1505">
        <f t="shared" si="188"/>
        <v>0</v>
      </c>
      <c r="F1297" s="1509">
        <f t="shared" si="183"/>
        <v>0</v>
      </c>
      <c r="G1297" s="1509">
        <f t="shared" si="184"/>
        <v>0</v>
      </c>
      <c r="H1297" s="1509">
        <f t="shared" si="185"/>
        <v>0</v>
      </c>
      <c r="I1297" s="1509">
        <v>0</v>
      </c>
      <c r="J1297" s="1509">
        <v>0</v>
      </c>
      <c r="K1297" s="1509"/>
      <c r="L1297" s="1509"/>
      <c r="M1297" s="1509">
        <f t="shared" si="186"/>
        <v>0</v>
      </c>
      <c r="N1297" s="1509">
        <f t="shared" si="187"/>
        <v>0</v>
      </c>
    </row>
    <row r="1298" spans="1:14" customFormat="1" outlineLevel="1" x14ac:dyDescent="0.25">
      <c r="A1298" s="1511">
        <f t="shared" si="188"/>
        <v>18.3</v>
      </c>
      <c r="B1298" s="1515" t="str">
        <f t="shared" si="188"/>
        <v>Conveyor gravity takeup infrastructure strengthening work</v>
      </c>
      <c r="C1298" s="1396" t="str">
        <f t="shared" si="188"/>
        <v>Yet to be approved</v>
      </c>
      <c r="D1298" s="1378" t="str">
        <f t="shared" si="188"/>
        <v>-</v>
      </c>
      <c r="E1298" s="1505">
        <f t="shared" si="188"/>
        <v>0</v>
      </c>
      <c r="F1298" s="1509">
        <f t="shared" si="183"/>
        <v>0</v>
      </c>
      <c r="G1298" s="1509">
        <f t="shared" si="184"/>
        <v>0</v>
      </c>
      <c r="H1298" s="1509">
        <f t="shared" si="185"/>
        <v>0</v>
      </c>
      <c r="I1298" s="1509">
        <v>0</v>
      </c>
      <c r="J1298" s="1509">
        <v>0</v>
      </c>
      <c r="K1298" s="1509"/>
      <c r="L1298" s="1509"/>
      <c r="M1298" s="1509">
        <f t="shared" si="186"/>
        <v>0</v>
      </c>
      <c r="N1298" s="1509">
        <f t="shared" si="187"/>
        <v>0</v>
      </c>
    </row>
    <row r="1299" spans="1:14" customFormat="1" outlineLevel="1" x14ac:dyDescent="0.25">
      <c r="A1299" s="1511">
        <f t="shared" si="188"/>
        <v>18.399999999999999</v>
      </c>
      <c r="B1299" s="1515" t="str">
        <f t="shared" si="188"/>
        <v>Replacement of vibrating feeder-I with Apron Feeder at CHP U-6/7.</v>
      </c>
      <c r="C1299" s="1396" t="str">
        <f t="shared" si="188"/>
        <v>Yet to be approved</v>
      </c>
      <c r="D1299" s="1378" t="str">
        <f t="shared" si="188"/>
        <v>-</v>
      </c>
      <c r="E1299" s="1505">
        <f t="shared" si="188"/>
        <v>0</v>
      </c>
      <c r="F1299" s="1509">
        <f t="shared" si="183"/>
        <v>0</v>
      </c>
      <c r="G1299" s="1509">
        <f t="shared" si="184"/>
        <v>0</v>
      </c>
      <c r="H1299" s="1509">
        <f t="shared" si="185"/>
        <v>0</v>
      </c>
      <c r="I1299" s="1509">
        <v>0</v>
      </c>
      <c r="J1299" s="1509">
        <v>0</v>
      </c>
      <c r="K1299" s="1509"/>
      <c r="L1299" s="1509"/>
      <c r="M1299" s="1509">
        <f t="shared" si="186"/>
        <v>0</v>
      </c>
      <c r="N1299" s="1509">
        <f t="shared" si="187"/>
        <v>0</v>
      </c>
    </row>
    <row r="1300" spans="1:14" customFormat="1" outlineLevel="1" x14ac:dyDescent="0.25">
      <c r="A1300" s="1511">
        <f t="shared" si="188"/>
        <v>0</v>
      </c>
      <c r="B1300" s="1515" t="str">
        <f t="shared" si="188"/>
        <v>IDC</v>
      </c>
      <c r="C1300" s="1396" t="str">
        <f t="shared" si="188"/>
        <v>Yet to be approved</v>
      </c>
      <c r="D1300" s="1378" t="str">
        <f t="shared" si="188"/>
        <v>-</v>
      </c>
      <c r="E1300" s="1505">
        <f t="shared" si="188"/>
        <v>0</v>
      </c>
      <c r="F1300" s="1509">
        <f t="shared" si="183"/>
        <v>0</v>
      </c>
      <c r="G1300" s="1509">
        <f t="shared" si="184"/>
        <v>0</v>
      </c>
      <c r="H1300" s="1509">
        <f t="shared" si="185"/>
        <v>0</v>
      </c>
      <c r="I1300" s="1509">
        <v>0</v>
      </c>
      <c r="J1300" s="1509">
        <v>0</v>
      </c>
      <c r="K1300" s="1509"/>
      <c r="L1300" s="1509"/>
      <c r="M1300" s="1509">
        <f t="shared" si="186"/>
        <v>0</v>
      </c>
      <c r="N1300" s="1509">
        <f t="shared" si="187"/>
        <v>0</v>
      </c>
    </row>
    <row r="1301" spans="1:14" customFormat="1" outlineLevel="1" x14ac:dyDescent="0.25">
      <c r="A1301" s="1506">
        <f t="shared" si="188"/>
        <v>19</v>
      </c>
      <c r="B1301" s="1507" t="str">
        <f t="shared" si="188"/>
        <v>DPR for stabiliazation of Coal Handling Performance.</v>
      </c>
      <c r="C1301" s="1506" t="str">
        <f t="shared" si="188"/>
        <v>Yet to be approved</v>
      </c>
      <c r="D1301" s="1507" t="str">
        <f t="shared" si="188"/>
        <v>-</v>
      </c>
      <c r="E1301" s="1506">
        <f t="shared" si="188"/>
        <v>0</v>
      </c>
      <c r="F1301" s="1509">
        <f t="shared" si="183"/>
        <v>0</v>
      </c>
      <c r="G1301" s="1509">
        <f t="shared" si="184"/>
        <v>0</v>
      </c>
      <c r="H1301" s="1509">
        <f t="shared" si="185"/>
        <v>0</v>
      </c>
      <c r="I1301" s="1509">
        <v>0</v>
      </c>
      <c r="J1301" s="1509">
        <v>0</v>
      </c>
      <c r="K1301" s="1509"/>
      <c r="L1301" s="1509"/>
      <c r="M1301" s="1509">
        <f t="shared" si="186"/>
        <v>0</v>
      </c>
      <c r="N1301" s="1509">
        <f t="shared" si="187"/>
        <v>0</v>
      </c>
    </row>
    <row r="1302" spans="1:14" customFormat="1" outlineLevel="1" x14ac:dyDescent="0.25">
      <c r="A1302" s="1511">
        <f t="shared" si="188"/>
        <v>19.100000000000001</v>
      </c>
      <c r="B1302" s="1515" t="str">
        <f t="shared" si="188"/>
        <v>Drive modification of Stacker Reclaimer slewing system.</v>
      </c>
      <c r="C1302" s="1396" t="str">
        <f t="shared" si="188"/>
        <v>Yet to be approved</v>
      </c>
      <c r="D1302" s="1378" t="str">
        <f t="shared" si="188"/>
        <v>-</v>
      </c>
      <c r="E1302" s="1505">
        <f t="shared" si="188"/>
        <v>0</v>
      </c>
      <c r="F1302" s="1509">
        <f t="shared" si="183"/>
        <v>0</v>
      </c>
      <c r="G1302" s="1509">
        <f t="shared" si="184"/>
        <v>0</v>
      </c>
      <c r="H1302" s="1509">
        <f t="shared" si="185"/>
        <v>0</v>
      </c>
      <c r="I1302" s="1509">
        <v>0</v>
      </c>
      <c r="J1302" s="1509">
        <v>0</v>
      </c>
      <c r="K1302" s="1509"/>
      <c r="L1302" s="1509"/>
      <c r="M1302" s="1509">
        <f t="shared" si="186"/>
        <v>0</v>
      </c>
      <c r="N1302" s="1509">
        <f t="shared" si="187"/>
        <v>0</v>
      </c>
    </row>
    <row r="1303" spans="1:14" customFormat="1" outlineLevel="1" x14ac:dyDescent="0.25">
      <c r="A1303" s="1511">
        <f t="shared" si="188"/>
        <v>19.2</v>
      </c>
      <c r="B1303" s="1515" t="str">
        <f t="shared" si="188"/>
        <v>Retrofitting of Side Arm Charger-I &amp; II at CHP U-6,7</v>
      </c>
      <c r="C1303" s="1396" t="str">
        <f t="shared" si="188"/>
        <v>Yet to be approved</v>
      </c>
      <c r="D1303" s="1378" t="str">
        <f t="shared" si="188"/>
        <v>-</v>
      </c>
      <c r="E1303" s="1505">
        <f t="shared" si="188"/>
        <v>0</v>
      </c>
      <c r="F1303" s="1509">
        <f t="shared" si="183"/>
        <v>0</v>
      </c>
      <c r="G1303" s="1509">
        <f t="shared" si="184"/>
        <v>0</v>
      </c>
      <c r="H1303" s="1509">
        <f t="shared" si="185"/>
        <v>0</v>
      </c>
      <c r="I1303" s="1509">
        <v>0</v>
      </c>
      <c r="J1303" s="1509">
        <v>0</v>
      </c>
      <c r="K1303" s="1509"/>
      <c r="L1303" s="1509"/>
      <c r="M1303" s="1509">
        <f t="shared" si="186"/>
        <v>0</v>
      </c>
      <c r="N1303" s="1509">
        <f t="shared" si="187"/>
        <v>0</v>
      </c>
    </row>
    <row r="1304" spans="1:14" customFormat="1" outlineLevel="1" x14ac:dyDescent="0.25">
      <c r="A1304" s="1511">
        <f t="shared" si="188"/>
        <v>19.3</v>
      </c>
      <c r="B1304" s="1515" t="str">
        <f t="shared" si="188"/>
        <v>Provision of open Wagon Tippler at CHP U-6/7</v>
      </c>
      <c r="C1304" s="1396" t="str">
        <f t="shared" si="188"/>
        <v>Yet to be approved</v>
      </c>
      <c r="D1304" s="1378" t="str">
        <f t="shared" si="188"/>
        <v>-</v>
      </c>
      <c r="E1304" s="1505">
        <f t="shared" si="188"/>
        <v>0</v>
      </c>
      <c r="F1304" s="1509">
        <f t="shared" si="183"/>
        <v>0</v>
      </c>
      <c r="G1304" s="1509">
        <f t="shared" si="184"/>
        <v>0</v>
      </c>
      <c r="H1304" s="1509">
        <f t="shared" si="185"/>
        <v>0</v>
      </c>
      <c r="I1304" s="1509">
        <v>0</v>
      </c>
      <c r="J1304" s="1509">
        <v>0</v>
      </c>
      <c r="K1304" s="1509"/>
      <c r="L1304" s="1509"/>
      <c r="M1304" s="1509">
        <f t="shared" si="186"/>
        <v>0</v>
      </c>
      <c r="N1304" s="1509">
        <f t="shared" si="187"/>
        <v>0</v>
      </c>
    </row>
    <row r="1305" spans="1:14" customFormat="1" outlineLevel="1" x14ac:dyDescent="0.25">
      <c r="A1305" s="1511">
        <f t="shared" ref="A1305:E1320" si="189">A948</f>
        <v>19.399999999999999</v>
      </c>
      <c r="B1305" s="1515" t="str">
        <f t="shared" si="189"/>
        <v>Refurbishment of Apron Feeder at CHP U-6,7</v>
      </c>
      <c r="C1305" s="1396" t="str">
        <f t="shared" si="189"/>
        <v>Yet to be approved</v>
      </c>
      <c r="D1305" s="1378" t="str">
        <f t="shared" si="189"/>
        <v>-</v>
      </c>
      <c r="E1305" s="1505">
        <f t="shared" si="189"/>
        <v>0</v>
      </c>
      <c r="F1305" s="1509">
        <f t="shared" si="183"/>
        <v>0</v>
      </c>
      <c r="G1305" s="1509">
        <f t="shared" si="184"/>
        <v>0</v>
      </c>
      <c r="H1305" s="1509">
        <f t="shared" si="185"/>
        <v>0</v>
      </c>
      <c r="I1305" s="1509">
        <v>0</v>
      </c>
      <c r="J1305" s="1509">
        <v>0</v>
      </c>
      <c r="K1305" s="1509"/>
      <c r="L1305" s="1509"/>
      <c r="M1305" s="1509">
        <f t="shared" si="186"/>
        <v>0</v>
      </c>
      <c r="N1305" s="1509">
        <f t="shared" si="187"/>
        <v>0</v>
      </c>
    </row>
    <row r="1306" spans="1:14" customFormat="1" outlineLevel="1" x14ac:dyDescent="0.25">
      <c r="A1306" s="1511">
        <f t="shared" si="189"/>
        <v>0</v>
      </c>
      <c r="B1306" s="1515" t="str">
        <f t="shared" si="189"/>
        <v>IDC</v>
      </c>
      <c r="C1306" s="1396" t="str">
        <f t="shared" si="189"/>
        <v>Yet to be approved</v>
      </c>
      <c r="D1306" s="1378" t="str">
        <f t="shared" si="189"/>
        <v>-</v>
      </c>
      <c r="E1306" s="1505">
        <f t="shared" si="189"/>
        <v>0</v>
      </c>
      <c r="F1306" s="1509">
        <f t="shared" si="183"/>
        <v>0</v>
      </c>
      <c r="G1306" s="1509">
        <f t="shared" si="184"/>
        <v>0</v>
      </c>
      <c r="H1306" s="1509">
        <f t="shared" si="185"/>
        <v>0</v>
      </c>
      <c r="I1306" s="1509">
        <v>0</v>
      </c>
      <c r="J1306" s="1509">
        <v>0</v>
      </c>
      <c r="K1306" s="1509"/>
      <c r="L1306" s="1509"/>
      <c r="M1306" s="1509">
        <f t="shared" si="186"/>
        <v>0</v>
      </c>
      <c r="N1306" s="1509">
        <f t="shared" si="187"/>
        <v>0</v>
      </c>
    </row>
    <row r="1307" spans="1:14" customFormat="1" ht="29" outlineLevel="1" x14ac:dyDescent="0.25">
      <c r="A1307" s="1506">
        <f t="shared" si="189"/>
        <v>20</v>
      </c>
      <c r="B1307" s="1507" t="str">
        <f t="shared" si="189"/>
        <v>Procurement &amp; Replacement of 220V station batteries, 360V UPS batteries, 24V DCS batteries , 360V UPS AHP batteries at U6 &amp; U7 NPTPS</v>
      </c>
      <c r="C1307" s="1506" t="str">
        <f t="shared" si="189"/>
        <v>Yet to be approved</v>
      </c>
      <c r="D1307" s="1507" t="str">
        <f t="shared" si="189"/>
        <v>-</v>
      </c>
      <c r="E1307" s="1506">
        <f t="shared" si="189"/>
        <v>0</v>
      </c>
      <c r="F1307" s="1509">
        <f t="shared" si="183"/>
        <v>0</v>
      </c>
      <c r="G1307" s="1509">
        <f t="shared" si="184"/>
        <v>0</v>
      </c>
      <c r="H1307" s="1509">
        <f t="shared" si="185"/>
        <v>0</v>
      </c>
      <c r="I1307" s="1509">
        <v>0</v>
      </c>
      <c r="J1307" s="1509">
        <v>0</v>
      </c>
      <c r="K1307" s="1509"/>
      <c r="L1307" s="1509"/>
      <c r="M1307" s="1509">
        <f t="shared" si="186"/>
        <v>0</v>
      </c>
      <c r="N1307" s="1509">
        <f t="shared" si="187"/>
        <v>0</v>
      </c>
    </row>
    <row r="1308" spans="1:14" customFormat="1" ht="43.5" outlineLevel="1" x14ac:dyDescent="0.25">
      <c r="A1308" s="1511">
        <f t="shared" si="189"/>
        <v>20.100000000000001</v>
      </c>
      <c r="B1308" s="1515" t="str">
        <f t="shared" si="189"/>
        <v>Procurement &amp; Replacement of 220V station batteries, 360V UPS batteries, 24V DCS batteries , 360V UPS AHP batteries at U6 &amp; U7 NPTPS</v>
      </c>
      <c r="C1308" s="1396" t="str">
        <f t="shared" si="189"/>
        <v>Yet to be approved</v>
      </c>
      <c r="D1308" s="1378" t="str">
        <f t="shared" si="189"/>
        <v>-</v>
      </c>
      <c r="E1308" s="1505">
        <f t="shared" si="189"/>
        <v>0</v>
      </c>
      <c r="F1308" s="1509">
        <f t="shared" si="183"/>
        <v>0</v>
      </c>
      <c r="G1308" s="1509">
        <f t="shared" si="184"/>
        <v>0</v>
      </c>
      <c r="H1308" s="1509">
        <f t="shared" si="185"/>
        <v>0</v>
      </c>
      <c r="I1308" s="1509">
        <v>0</v>
      </c>
      <c r="J1308" s="1509">
        <v>0</v>
      </c>
      <c r="K1308" s="1509"/>
      <c r="L1308" s="1509"/>
      <c r="M1308" s="1509">
        <f t="shared" si="186"/>
        <v>0</v>
      </c>
      <c r="N1308" s="1509">
        <f t="shared" si="187"/>
        <v>0</v>
      </c>
    </row>
    <row r="1309" spans="1:14" customFormat="1" outlineLevel="1" x14ac:dyDescent="0.25">
      <c r="A1309" s="1511">
        <f t="shared" si="189"/>
        <v>0</v>
      </c>
      <c r="B1309" s="1515" t="str">
        <f t="shared" si="189"/>
        <v>IDC</v>
      </c>
      <c r="C1309" s="1396" t="str">
        <f t="shared" si="189"/>
        <v>Yet to be approved</v>
      </c>
      <c r="D1309" s="1378" t="str">
        <f t="shared" si="189"/>
        <v>-</v>
      </c>
      <c r="E1309" s="1505">
        <f t="shared" si="189"/>
        <v>0</v>
      </c>
      <c r="F1309" s="1509">
        <f t="shared" si="183"/>
        <v>0</v>
      </c>
      <c r="G1309" s="1509">
        <f t="shared" si="184"/>
        <v>0</v>
      </c>
      <c r="H1309" s="1509">
        <f t="shared" si="185"/>
        <v>0</v>
      </c>
      <c r="I1309" s="1509">
        <v>0</v>
      </c>
      <c r="J1309" s="1509">
        <v>0</v>
      </c>
      <c r="K1309" s="1509"/>
      <c r="L1309" s="1509"/>
      <c r="M1309" s="1509">
        <f t="shared" si="186"/>
        <v>0</v>
      </c>
      <c r="N1309" s="1509">
        <f t="shared" si="187"/>
        <v>0</v>
      </c>
    </row>
    <row r="1310" spans="1:14" customFormat="1" ht="29" outlineLevel="1" x14ac:dyDescent="0.25">
      <c r="A1310" s="1506">
        <f t="shared" si="189"/>
        <v>21</v>
      </c>
      <c r="B1310" s="1507" t="str">
        <f t="shared" si="189"/>
        <v>DPR on Various electricle maintenance schemes at Unit 6,7 NPTPS Parli-V</v>
      </c>
      <c r="C1310" s="1506" t="str">
        <f t="shared" si="189"/>
        <v>Yet to be approved</v>
      </c>
      <c r="D1310" s="1507" t="str">
        <f t="shared" si="189"/>
        <v>-</v>
      </c>
      <c r="E1310" s="1506">
        <f t="shared" si="189"/>
        <v>0</v>
      </c>
      <c r="F1310" s="1509">
        <f t="shared" si="183"/>
        <v>0</v>
      </c>
      <c r="G1310" s="1509">
        <f t="shared" si="184"/>
        <v>0</v>
      </c>
      <c r="H1310" s="1509">
        <f t="shared" si="185"/>
        <v>0</v>
      </c>
      <c r="I1310" s="1509">
        <v>0</v>
      </c>
      <c r="J1310" s="1509">
        <v>0</v>
      </c>
      <c r="K1310" s="1509"/>
      <c r="L1310" s="1509"/>
      <c r="M1310" s="1509">
        <f t="shared" si="186"/>
        <v>0</v>
      </c>
      <c r="N1310" s="1509">
        <f t="shared" si="187"/>
        <v>0</v>
      </c>
    </row>
    <row r="1311" spans="1:14" customFormat="1" ht="29" outlineLevel="1" x14ac:dyDescent="0.25">
      <c r="A1311" s="1511">
        <f t="shared" si="189"/>
        <v>21.1</v>
      </c>
      <c r="B1311" s="1515" t="str">
        <f t="shared" si="189"/>
        <v>Rennovation of Khadka &amp; Naikota switchyard including replacement of Transformer and 33 KV outdoor type VCBs</v>
      </c>
      <c r="C1311" s="1396" t="str">
        <f t="shared" si="189"/>
        <v>Yet to be approved</v>
      </c>
      <c r="D1311" s="1378" t="str">
        <f t="shared" si="189"/>
        <v>-</v>
      </c>
      <c r="E1311" s="1505">
        <f t="shared" si="189"/>
        <v>0</v>
      </c>
      <c r="F1311" s="1509">
        <f t="shared" si="183"/>
        <v>0</v>
      </c>
      <c r="G1311" s="1509">
        <f t="shared" si="184"/>
        <v>0</v>
      </c>
      <c r="H1311" s="1509">
        <f t="shared" si="185"/>
        <v>0</v>
      </c>
      <c r="I1311" s="1509">
        <v>0</v>
      </c>
      <c r="J1311" s="1509">
        <v>0</v>
      </c>
      <c r="K1311" s="1509"/>
      <c r="L1311" s="1509"/>
      <c r="M1311" s="1509">
        <f t="shared" si="186"/>
        <v>0</v>
      </c>
      <c r="N1311" s="1509">
        <f t="shared" si="187"/>
        <v>0</v>
      </c>
    </row>
    <row r="1312" spans="1:14" customFormat="1" ht="29" outlineLevel="1" x14ac:dyDescent="0.25">
      <c r="A1312" s="1511">
        <f t="shared" si="189"/>
        <v>21.2</v>
      </c>
      <c r="B1312" s="1515" t="str">
        <f t="shared" si="189"/>
        <v>Replacement of Khadka ,naikota 6.6 KV HT Breaker Panel , breaker trolleys and control cabinet</v>
      </c>
      <c r="C1312" s="1396" t="str">
        <f t="shared" si="189"/>
        <v>Yet to be approved</v>
      </c>
      <c r="D1312" s="1378" t="str">
        <f t="shared" si="189"/>
        <v>-</v>
      </c>
      <c r="E1312" s="1505">
        <f t="shared" si="189"/>
        <v>0</v>
      </c>
      <c r="F1312" s="1509">
        <f t="shared" si="183"/>
        <v>0</v>
      </c>
      <c r="G1312" s="1509">
        <f t="shared" si="184"/>
        <v>0</v>
      </c>
      <c r="H1312" s="1509">
        <f t="shared" si="185"/>
        <v>0</v>
      </c>
      <c r="I1312" s="1509">
        <v>5</v>
      </c>
      <c r="J1312" s="1509">
        <v>5</v>
      </c>
      <c r="K1312" s="1509"/>
      <c r="L1312" s="1509"/>
      <c r="M1312" s="1509">
        <f t="shared" si="186"/>
        <v>5</v>
      </c>
      <c r="N1312" s="1509">
        <f t="shared" si="187"/>
        <v>0</v>
      </c>
    </row>
    <row r="1313" spans="1:14" customFormat="1" outlineLevel="1" x14ac:dyDescent="0.25">
      <c r="A1313" s="1511">
        <f t="shared" si="189"/>
        <v>21.3</v>
      </c>
      <c r="B1313" s="1515" t="str">
        <f t="shared" si="189"/>
        <v>Replacement of LT breakers &amp; modules at Unit 7</v>
      </c>
      <c r="C1313" s="1396" t="str">
        <f t="shared" si="189"/>
        <v>Yet to be approved</v>
      </c>
      <c r="D1313" s="1378" t="str">
        <f t="shared" si="189"/>
        <v>-</v>
      </c>
      <c r="E1313" s="1505">
        <f t="shared" si="189"/>
        <v>0</v>
      </c>
      <c r="F1313" s="1509">
        <f t="shared" si="183"/>
        <v>0</v>
      </c>
      <c r="G1313" s="1509">
        <f t="shared" si="184"/>
        <v>0</v>
      </c>
      <c r="H1313" s="1509">
        <f t="shared" si="185"/>
        <v>0</v>
      </c>
      <c r="I1313" s="1509">
        <v>10</v>
      </c>
      <c r="J1313" s="1509">
        <v>10</v>
      </c>
      <c r="K1313" s="1509"/>
      <c r="L1313" s="1509"/>
      <c r="M1313" s="1509">
        <f t="shared" si="186"/>
        <v>10</v>
      </c>
      <c r="N1313" s="1509">
        <f t="shared" si="187"/>
        <v>0</v>
      </c>
    </row>
    <row r="1314" spans="1:14" customFormat="1" ht="29" outlineLevel="1" x14ac:dyDescent="0.25">
      <c r="A1314" s="1511">
        <f t="shared" si="189"/>
        <v>21.4</v>
      </c>
      <c r="B1314" s="1515" t="str">
        <f t="shared" si="189"/>
        <v>Rennovation/Replacement  of Boiler &amp; Turbine side lighting by energy efficient LED lighting at unit 6&amp;7, NPTPS, Parli vaijnath</v>
      </c>
      <c r="C1314" s="1396" t="str">
        <f t="shared" si="189"/>
        <v>Yet to be approved</v>
      </c>
      <c r="D1314" s="1378" t="str">
        <f t="shared" si="189"/>
        <v>-</v>
      </c>
      <c r="E1314" s="1505">
        <f t="shared" si="189"/>
        <v>0</v>
      </c>
      <c r="F1314" s="1509">
        <f t="shared" si="183"/>
        <v>0</v>
      </c>
      <c r="G1314" s="1509">
        <f t="shared" si="184"/>
        <v>0</v>
      </c>
      <c r="H1314" s="1509">
        <f t="shared" si="185"/>
        <v>0</v>
      </c>
      <c r="I1314" s="1509">
        <v>3</v>
      </c>
      <c r="J1314" s="1509">
        <v>3</v>
      </c>
      <c r="K1314" s="1509"/>
      <c r="L1314" s="1509"/>
      <c r="M1314" s="1509">
        <f t="shared" si="186"/>
        <v>3</v>
      </c>
      <c r="N1314" s="1509">
        <f t="shared" si="187"/>
        <v>0</v>
      </c>
    </row>
    <row r="1315" spans="1:14" customFormat="1" ht="29" outlineLevel="1" x14ac:dyDescent="0.25">
      <c r="A1315" s="1511">
        <f t="shared" si="189"/>
        <v>21.5</v>
      </c>
      <c r="B1315" s="1515" t="str">
        <f t="shared" si="189"/>
        <v>nstallation of VFD for CEP, FD Fan, Seal Air Fan &amp; HFO pump motors at unit 6&amp;7, NPTPS, Parli Vaijnath</v>
      </c>
      <c r="C1315" s="1396" t="str">
        <f t="shared" si="189"/>
        <v>Yet to be approved</v>
      </c>
      <c r="D1315" s="1378" t="str">
        <f t="shared" si="189"/>
        <v>-</v>
      </c>
      <c r="E1315" s="1505">
        <f t="shared" si="189"/>
        <v>0</v>
      </c>
      <c r="F1315" s="1509">
        <f t="shared" si="183"/>
        <v>0</v>
      </c>
      <c r="G1315" s="1509">
        <f t="shared" si="184"/>
        <v>0</v>
      </c>
      <c r="H1315" s="1509">
        <f t="shared" si="185"/>
        <v>0</v>
      </c>
      <c r="I1315" s="1509">
        <v>0</v>
      </c>
      <c r="J1315" s="1509">
        <v>0</v>
      </c>
      <c r="K1315" s="1509"/>
      <c r="L1315" s="1509"/>
      <c r="M1315" s="1509">
        <f t="shared" si="186"/>
        <v>0</v>
      </c>
      <c r="N1315" s="1509">
        <f t="shared" si="187"/>
        <v>0</v>
      </c>
    </row>
    <row r="1316" spans="1:14" customFormat="1" outlineLevel="1" x14ac:dyDescent="0.25">
      <c r="A1316" s="1511">
        <f t="shared" si="189"/>
        <v>0</v>
      </c>
      <c r="B1316" s="1515" t="str">
        <f t="shared" si="189"/>
        <v>IDC</v>
      </c>
      <c r="C1316" s="1396" t="str">
        <f t="shared" si="189"/>
        <v>Yet to be approved</v>
      </c>
      <c r="D1316" s="1378" t="str">
        <f t="shared" si="189"/>
        <v>-</v>
      </c>
      <c r="E1316" s="1505">
        <f t="shared" si="189"/>
        <v>0</v>
      </c>
      <c r="F1316" s="1509">
        <f t="shared" si="183"/>
        <v>0</v>
      </c>
      <c r="G1316" s="1509">
        <f t="shared" si="184"/>
        <v>0</v>
      </c>
      <c r="H1316" s="1509">
        <f t="shared" si="185"/>
        <v>0</v>
      </c>
      <c r="I1316" s="1509">
        <v>0</v>
      </c>
      <c r="J1316" s="1509">
        <v>0</v>
      </c>
      <c r="K1316" s="1509"/>
      <c r="L1316" s="1509"/>
      <c r="M1316" s="1509">
        <f t="shared" si="186"/>
        <v>0</v>
      </c>
      <c r="N1316" s="1509">
        <f t="shared" si="187"/>
        <v>0</v>
      </c>
    </row>
    <row r="1317" spans="1:14" customFormat="1" ht="29" outlineLevel="1" x14ac:dyDescent="0.25">
      <c r="A1317" s="1506">
        <f t="shared" si="189"/>
        <v>22</v>
      </c>
      <c r="B1317" s="1507" t="str">
        <f t="shared" si="189"/>
        <v>Renovation of Colony Electrical supply system &amp; also replacement of wiring of all Types of buildings ,street light,highmast etc</v>
      </c>
      <c r="C1317" s="1506" t="str">
        <f t="shared" si="189"/>
        <v>Yet to be approved</v>
      </c>
      <c r="D1317" s="1507" t="str">
        <f t="shared" si="189"/>
        <v>-</v>
      </c>
      <c r="E1317" s="1506">
        <f t="shared" si="189"/>
        <v>0</v>
      </c>
      <c r="F1317" s="1509">
        <f t="shared" si="183"/>
        <v>0</v>
      </c>
      <c r="G1317" s="1509">
        <f t="shared" si="184"/>
        <v>0</v>
      </c>
      <c r="H1317" s="1509">
        <f t="shared" si="185"/>
        <v>0</v>
      </c>
      <c r="I1317" s="1509">
        <v>0</v>
      </c>
      <c r="J1317" s="1509">
        <v>0</v>
      </c>
      <c r="K1317" s="1509"/>
      <c r="L1317" s="1509"/>
      <c r="M1317" s="1509">
        <f t="shared" si="186"/>
        <v>0</v>
      </c>
      <c r="N1317" s="1509">
        <f t="shared" si="187"/>
        <v>0</v>
      </c>
    </row>
    <row r="1318" spans="1:14" customFormat="1" ht="29" outlineLevel="1" x14ac:dyDescent="0.25">
      <c r="A1318" s="1511">
        <f t="shared" si="189"/>
        <v>22.1</v>
      </c>
      <c r="B1318" s="1515" t="str">
        <f t="shared" si="189"/>
        <v>Renovation of Colony Electrical supply system &amp; also replacement of wiring of all Types of buildings ,street light,highmast etc</v>
      </c>
      <c r="C1318" s="1396" t="str">
        <f t="shared" si="189"/>
        <v>Yet to be approved</v>
      </c>
      <c r="D1318" s="1378" t="str">
        <f t="shared" si="189"/>
        <v>-</v>
      </c>
      <c r="E1318" s="1505">
        <f t="shared" si="189"/>
        <v>0</v>
      </c>
      <c r="F1318" s="1509">
        <f t="shared" si="183"/>
        <v>0</v>
      </c>
      <c r="G1318" s="1509">
        <f t="shared" si="184"/>
        <v>0</v>
      </c>
      <c r="H1318" s="1509">
        <f t="shared" si="185"/>
        <v>0</v>
      </c>
      <c r="I1318" s="1509">
        <v>25</v>
      </c>
      <c r="J1318" s="1509">
        <v>25</v>
      </c>
      <c r="K1318" s="1509"/>
      <c r="L1318" s="1509"/>
      <c r="M1318" s="1509">
        <f t="shared" si="186"/>
        <v>25</v>
      </c>
      <c r="N1318" s="1509">
        <f t="shared" si="187"/>
        <v>0</v>
      </c>
    </row>
    <row r="1319" spans="1:14" customFormat="1" outlineLevel="1" x14ac:dyDescent="0.25">
      <c r="A1319" s="1511">
        <f t="shared" si="189"/>
        <v>0</v>
      </c>
      <c r="B1319" s="1515" t="str">
        <f t="shared" si="189"/>
        <v>IDC</v>
      </c>
      <c r="C1319" s="1396" t="str">
        <f t="shared" si="189"/>
        <v>Yet to be approved</v>
      </c>
      <c r="D1319" s="1378" t="str">
        <f t="shared" si="189"/>
        <v>-</v>
      </c>
      <c r="E1319" s="1505">
        <f t="shared" si="189"/>
        <v>0</v>
      </c>
      <c r="F1319" s="1509">
        <f t="shared" si="183"/>
        <v>0</v>
      </c>
      <c r="G1319" s="1509">
        <f t="shared" si="184"/>
        <v>0</v>
      </c>
      <c r="H1319" s="1509">
        <f t="shared" si="185"/>
        <v>0</v>
      </c>
      <c r="I1319" s="1509">
        <v>0</v>
      </c>
      <c r="J1319" s="1509">
        <v>0</v>
      </c>
      <c r="K1319" s="1509"/>
      <c r="L1319" s="1509"/>
      <c r="M1319" s="1509">
        <f t="shared" si="186"/>
        <v>0</v>
      </c>
      <c r="N1319" s="1509">
        <f t="shared" si="187"/>
        <v>0</v>
      </c>
    </row>
    <row r="1320" spans="1:14" customFormat="1" ht="58" outlineLevel="1" x14ac:dyDescent="0.25">
      <c r="A1320" s="1506">
        <f t="shared" si="189"/>
        <v>23</v>
      </c>
      <c r="B1320" s="1507" t="str">
        <f t="shared" si="189"/>
        <v xml:space="preserve"> UPGRADATION OF EXPIRED AND VULNERABLE Scada, operating system and hardware to improve life and communication system of IAC,OHP &amp; PTP plant UNIT 6&amp;7 250MW at NPTPS PARLI V" &amp; Emission Monitoring &amp; Water Quality Analysers system Upgradation Schemes</v>
      </c>
      <c r="C1320" s="1506" t="str">
        <f t="shared" si="189"/>
        <v>Yet to be approved</v>
      </c>
      <c r="D1320" s="1507" t="str">
        <f t="shared" si="189"/>
        <v>-</v>
      </c>
      <c r="E1320" s="1506">
        <f t="shared" si="189"/>
        <v>0</v>
      </c>
      <c r="F1320" s="1509">
        <f t="shared" si="183"/>
        <v>0</v>
      </c>
      <c r="G1320" s="1509">
        <f t="shared" si="184"/>
        <v>0</v>
      </c>
      <c r="H1320" s="1509">
        <f t="shared" si="185"/>
        <v>0</v>
      </c>
      <c r="I1320" s="1509">
        <v>0</v>
      </c>
      <c r="J1320" s="1509">
        <v>0</v>
      </c>
      <c r="K1320" s="1509"/>
      <c r="L1320" s="1509"/>
      <c r="M1320" s="1509">
        <f t="shared" si="186"/>
        <v>0</v>
      </c>
      <c r="N1320" s="1509">
        <f t="shared" si="187"/>
        <v>0</v>
      </c>
    </row>
    <row r="1321" spans="1:14" customFormat="1" ht="43.5" outlineLevel="1" x14ac:dyDescent="0.25">
      <c r="A1321" s="1511">
        <f t="shared" ref="A1321:E1336" si="190">A964</f>
        <v>23.1</v>
      </c>
      <c r="B1321" s="1515" t="str">
        <f t="shared" si="190"/>
        <v>UPGRADATION OF EXPIRED AND VULNERABLE Scada, operating system and hardware to improve life and communication system of IAC,OHP &amp; PTP plant UNIT 6&amp;7 250MW at NPTPS PARLI V".</v>
      </c>
      <c r="C1321" s="1396" t="str">
        <f t="shared" si="190"/>
        <v>Yet to be approved</v>
      </c>
      <c r="D1321" s="1378" t="str">
        <f t="shared" si="190"/>
        <v>-</v>
      </c>
      <c r="E1321" s="1505">
        <f t="shared" si="190"/>
        <v>0</v>
      </c>
      <c r="F1321" s="1509">
        <f t="shared" si="183"/>
        <v>0</v>
      </c>
      <c r="G1321" s="1509">
        <f t="shared" si="184"/>
        <v>0</v>
      </c>
      <c r="H1321" s="1509">
        <f t="shared" si="185"/>
        <v>0</v>
      </c>
      <c r="I1321" s="1509">
        <v>0</v>
      </c>
      <c r="J1321" s="1509">
        <v>0</v>
      </c>
      <c r="K1321" s="1509"/>
      <c r="L1321" s="1509"/>
      <c r="M1321" s="1509">
        <f t="shared" si="186"/>
        <v>0</v>
      </c>
      <c r="N1321" s="1509">
        <f t="shared" si="187"/>
        <v>0</v>
      </c>
    </row>
    <row r="1322" spans="1:14" customFormat="1" outlineLevel="1" x14ac:dyDescent="0.25">
      <c r="A1322" s="1511">
        <f t="shared" si="190"/>
        <v>23.2</v>
      </c>
      <c r="B1322" s="1515" t="str">
        <f t="shared" si="190"/>
        <v>Up gradation of SWAS system at U 7,NPTPS</v>
      </c>
      <c r="C1322" s="1396" t="str">
        <f t="shared" si="190"/>
        <v>Yet to be approved</v>
      </c>
      <c r="D1322" s="1378" t="str">
        <f t="shared" si="190"/>
        <v>-</v>
      </c>
      <c r="E1322" s="1505">
        <f t="shared" si="190"/>
        <v>0</v>
      </c>
      <c r="F1322" s="1509">
        <f t="shared" si="183"/>
        <v>0</v>
      </c>
      <c r="G1322" s="1509">
        <f t="shared" si="184"/>
        <v>0</v>
      </c>
      <c r="H1322" s="1509">
        <f t="shared" si="185"/>
        <v>0</v>
      </c>
      <c r="I1322" s="1509">
        <v>3</v>
      </c>
      <c r="J1322" s="1509">
        <v>3</v>
      </c>
      <c r="K1322" s="1509"/>
      <c r="L1322" s="1509"/>
      <c r="M1322" s="1509">
        <f t="shared" si="186"/>
        <v>3</v>
      </c>
      <c r="N1322" s="1509">
        <f t="shared" si="187"/>
        <v>0</v>
      </c>
    </row>
    <row r="1323" spans="1:14" customFormat="1" outlineLevel="1" x14ac:dyDescent="0.25">
      <c r="A1323" s="1511">
        <f t="shared" si="190"/>
        <v>23.3</v>
      </c>
      <c r="B1323" s="1515" t="str">
        <f t="shared" si="190"/>
        <v>Oxygen measurement  APH and at ID outlet</v>
      </c>
      <c r="C1323" s="1396" t="str">
        <f t="shared" si="190"/>
        <v>Yet to be approved</v>
      </c>
      <c r="D1323" s="1378" t="str">
        <f t="shared" si="190"/>
        <v>-</v>
      </c>
      <c r="E1323" s="1505">
        <f t="shared" si="190"/>
        <v>0</v>
      </c>
      <c r="F1323" s="1509">
        <f t="shared" si="183"/>
        <v>0</v>
      </c>
      <c r="G1323" s="1509">
        <f t="shared" si="184"/>
        <v>0</v>
      </c>
      <c r="H1323" s="1509">
        <f t="shared" si="185"/>
        <v>0</v>
      </c>
      <c r="I1323" s="1509">
        <v>1</v>
      </c>
      <c r="J1323" s="1509">
        <v>1</v>
      </c>
      <c r="K1323" s="1509"/>
      <c r="L1323" s="1509"/>
      <c r="M1323" s="1509">
        <f t="shared" si="186"/>
        <v>1</v>
      </c>
      <c r="N1323" s="1509">
        <f t="shared" si="187"/>
        <v>0</v>
      </c>
    </row>
    <row r="1324" spans="1:14" customFormat="1" ht="29" outlineLevel="1" x14ac:dyDescent="0.25">
      <c r="A1324" s="1511">
        <f t="shared" si="190"/>
        <v>23.4</v>
      </c>
      <c r="B1324" s="1515" t="str">
        <f t="shared" si="190"/>
        <v>Up gradation of  Drum level measurement system at Unit – 6 &amp;7 New Parli TPS, Parli-V</v>
      </c>
      <c r="C1324" s="1396" t="str">
        <f t="shared" si="190"/>
        <v>Yet to be approved</v>
      </c>
      <c r="D1324" s="1378" t="str">
        <f t="shared" si="190"/>
        <v>-</v>
      </c>
      <c r="E1324" s="1505">
        <f t="shared" si="190"/>
        <v>0</v>
      </c>
      <c r="F1324" s="1509">
        <f t="shared" si="183"/>
        <v>0</v>
      </c>
      <c r="G1324" s="1509">
        <f t="shared" si="184"/>
        <v>0</v>
      </c>
      <c r="H1324" s="1509">
        <f t="shared" si="185"/>
        <v>0</v>
      </c>
      <c r="I1324" s="1509">
        <v>0</v>
      </c>
      <c r="J1324" s="1509">
        <v>0</v>
      </c>
      <c r="K1324" s="1509"/>
      <c r="L1324" s="1509"/>
      <c r="M1324" s="1509">
        <f t="shared" si="186"/>
        <v>0</v>
      </c>
      <c r="N1324" s="1509">
        <f t="shared" si="187"/>
        <v>0</v>
      </c>
    </row>
    <row r="1325" spans="1:14" customFormat="1" outlineLevel="1" x14ac:dyDescent="0.25">
      <c r="A1325" s="1511">
        <f t="shared" si="190"/>
        <v>23.5</v>
      </c>
      <c r="B1325" s="1515" t="str">
        <f t="shared" si="190"/>
        <v>OLCC SYSTEM UPGRADATION U6 &amp; U7</v>
      </c>
      <c r="C1325" s="1396" t="str">
        <f t="shared" si="190"/>
        <v>Yet to be approved</v>
      </c>
      <c r="D1325" s="1378" t="str">
        <f t="shared" si="190"/>
        <v>-</v>
      </c>
      <c r="E1325" s="1505">
        <f t="shared" si="190"/>
        <v>0</v>
      </c>
      <c r="F1325" s="1509">
        <f t="shared" si="183"/>
        <v>0</v>
      </c>
      <c r="G1325" s="1509">
        <f t="shared" si="184"/>
        <v>0</v>
      </c>
      <c r="H1325" s="1509">
        <f t="shared" si="185"/>
        <v>0</v>
      </c>
      <c r="I1325" s="1509">
        <v>0</v>
      </c>
      <c r="J1325" s="1509">
        <v>0</v>
      </c>
      <c r="K1325" s="1509"/>
      <c r="L1325" s="1509"/>
      <c r="M1325" s="1509">
        <f t="shared" si="186"/>
        <v>0</v>
      </c>
      <c r="N1325" s="1509">
        <f t="shared" si="187"/>
        <v>0</v>
      </c>
    </row>
    <row r="1326" spans="1:14" customFormat="1" ht="43.5" outlineLevel="1" x14ac:dyDescent="0.25">
      <c r="A1326" s="1511">
        <f t="shared" si="190"/>
        <v>23.6</v>
      </c>
      <c r="B1326" s="1515" t="str">
        <f t="shared" si="190"/>
        <v>Up gradation of  Boiler tubes leakage detection system &amp; Furnace flame mapping with video camera at Unit – 6 &amp;7 New Parli TPS, Parli-V</v>
      </c>
      <c r="C1326" s="1396" t="str">
        <f t="shared" si="190"/>
        <v>Yet to be approved</v>
      </c>
      <c r="D1326" s="1378" t="str">
        <f t="shared" si="190"/>
        <v>-</v>
      </c>
      <c r="E1326" s="1505">
        <f t="shared" si="190"/>
        <v>0</v>
      </c>
      <c r="F1326" s="1509">
        <f t="shared" si="183"/>
        <v>0</v>
      </c>
      <c r="G1326" s="1509">
        <f t="shared" si="184"/>
        <v>0</v>
      </c>
      <c r="H1326" s="1509">
        <f t="shared" si="185"/>
        <v>0</v>
      </c>
      <c r="I1326" s="1509">
        <v>0</v>
      </c>
      <c r="J1326" s="1509">
        <v>0</v>
      </c>
      <c r="K1326" s="1509"/>
      <c r="L1326" s="1509"/>
      <c r="M1326" s="1509">
        <f t="shared" si="186"/>
        <v>0</v>
      </c>
      <c r="N1326" s="1509">
        <f t="shared" si="187"/>
        <v>0</v>
      </c>
    </row>
    <row r="1327" spans="1:14" customFormat="1" outlineLevel="1" x14ac:dyDescent="0.25">
      <c r="A1327" s="1511">
        <f t="shared" si="190"/>
        <v>23.7</v>
      </c>
      <c r="B1327" s="1515" t="str">
        <f t="shared" si="190"/>
        <v>Unit7 LVS system SCADA/HMI  upgradation</v>
      </c>
      <c r="C1327" s="1396" t="str">
        <f t="shared" si="190"/>
        <v>Yet to be approved</v>
      </c>
      <c r="D1327" s="1378" t="str">
        <f t="shared" si="190"/>
        <v>-</v>
      </c>
      <c r="E1327" s="1505">
        <f t="shared" si="190"/>
        <v>0</v>
      </c>
      <c r="F1327" s="1509">
        <f t="shared" si="183"/>
        <v>0</v>
      </c>
      <c r="G1327" s="1509">
        <f t="shared" si="184"/>
        <v>0</v>
      </c>
      <c r="H1327" s="1509">
        <f t="shared" si="185"/>
        <v>0</v>
      </c>
      <c r="I1327" s="1509">
        <v>0</v>
      </c>
      <c r="J1327" s="1509">
        <v>0</v>
      </c>
      <c r="K1327" s="1509"/>
      <c r="L1327" s="1509"/>
      <c r="M1327" s="1509">
        <f t="shared" si="186"/>
        <v>0</v>
      </c>
      <c r="N1327" s="1509">
        <f t="shared" si="187"/>
        <v>0</v>
      </c>
    </row>
    <row r="1328" spans="1:14" customFormat="1" outlineLevel="1" x14ac:dyDescent="0.25">
      <c r="A1328" s="1511">
        <f t="shared" si="190"/>
        <v>23.8</v>
      </c>
      <c r="B1328" s="1515" t="str">
        <f t="shared" si="190"/>
        <v>Upgradation of Instrumentation &amp; control lab</v>
      </c>
      <c r="C1328" s="1396" t="str">
        <f t="shared" si="190"/>
        <v>Yet to be approved</v>
      </c>
      <c r="D1328" s="1378" t="str">
        <f t="shared" si="190"/>
        <v>-</v>
      </c>
      <c r="E1328" s="1505">
        <f t="shared" si="190"/>
        <v>0</v>
      </c>
      <c r="F1328" s="1509">
        <f t="shared" si="183"/>
        <v>0</v>
      </c>
      <c r="G1328" s="1509">
        <f t="shared" si="184"/>
        <v>0</v>
      </c>
      <c r="H1328" s="1509">
        <f t="shared" si="185"/>
        <v>0</v>
      </c>
      <c r="I1328" s="1509">
        <v>0</v>
      </c>
      <c r="J1328" s="1509">
        <v>0</v>
      </c>
      <c r="K1328" s="1509"/>
      <c r="L1328" s="1509"/>
      <c r="M1328" s="1509">
        <f t="shared" si="186"/>
        <v>0</v>
      </c>
      <c r="N1328" s="1509">
        <f t="shared" si="187"/>
        <v>0</v>
      </c>
    </row>
    <row r="1329" spans="1:14" customFormat="1" outlineLevel="1" x14ac:dyDescent="0.25">
      <c r="A1329" s="1511">
        <f t="shared" si="190"/>
        <v>0</v>
      </c>
      <c r="B1329" s="1515" t="str">
        <f t="shared" si="190"/>
        <v>IDC</v>
      </c>
      <c r="C1329" s="1396" t="str">
        <f t="shared" si="190"/>
        <v>Yet to be approved</v>
      </c>
      <c r="D1329" s="1378" t="str">
        <f t="shared" si="190"/>
        <v>-</v>
      </c>
      <c r="E1329" s="1505">
        <f t="shared" si="190"/>
        <v>0</v>
      </c>
      <c r="F1329" s="1509">
        <f t="shared" si="183"/>
        <v>0</v>
      </c>
      <c r="G1329" s="1509">
        <f t="shared" si="184"/>
        <v>0</v>
      </c>
      <c r="H1329" s="1509">
        <f t="shared" si="185"/>
        <v>0</v>
      </c>
      <c r="I1329" s="1509">
        <v>0</v>
      </c>
      <c r="J1329" s="1509">
        <v>0</v>
      </c>
      <c r="K1329" s="1509"/>
      <c r="L1329" s="1509"/>
      <c r="M1329" s="1509">
        <f t="shared" si="186"/>
        <v>0</v>
      </c>
      <c r="N1329" s="1509">
        <f t="shared" si="187"/>
        <v>0</v>
      </c>
    </row>
    <row r="1330" spans="1:14" customFormat="1" ht="29" outlineLevel="1" x14ac:dyDescent="0.25">
      <c r="A1330" s="1506">
        <f t="shared" si="190"/>
        <v>24</v>
      </c>
      <c r="B1330" s="1507" t="str">
        <f t="shared" si="190"/>
        <v>Control and monitoring system upgradation at U6&amp;7 NPTPS &amp; Various Instrumentation schemes at Unit 6,7, NPTPS Parli-V</v>
      </c>
      <c r="C1330" s="1506" t="str">
        <f t="shared" si="190"/>
        <v>Yet to be approved</v>
      </c>
      <c r="D1330" s="1507" t="str">
        <f t="shared" si="190"/>
        <v>-</v>
      </c>
      <c r="E1330" s="1506">
        <f t="shared" si="190"/>
        <v>0</v>
      </c>
      <c r="F1330" s="1509">
        <f t="shared" si="183"/>
        <v>0</v>
      </c>
      <c r="G1330" s="1509">
        <f t="shared" si="184"/>
        <v>0</v>
      </c>
      <c r="H1330" s="1509">
        <f t="shared" si="185"/>
        <v>0</v>
      </c>
      <c r="I1330" s="1509">
        <v>0</v>
      </c>
      <c r="J1330" s="1509">
        <v>0</v>
      </c>
      <c r="K1330" s="1509"/>
      <c r="L1330" s="1509"/>
      <c r="M1330" s="1509">
        <f t="shared" si="186"/>
        <v>0</v>
      </c>
      <c r="N1330" s="1509">
        <f t="shared" si="187"/>
        <v>0</v>
      </c>
    </row>
    <row r="1331" spans="1:14" customFormat="1" outlineLevel="1" x14ac:dyDescent="0.25">
      <c r="A1331" s="1511">
        <f t="shared" si="190"/>
        <v>24.1</v>
      </c>
      <c r="B1331" s="1515" t="str">
        <f t="shared" si="190"/>
        <v>Upgradation of level, flow &amp; pressure measurement system</v>
      </c>
      <c r="C1331" s="1396" t="str">
        <f t="shared" si="190"/>
        <v>Yet to be approved</v>
      </c>
      <c r="D1331" s="1378" t="str">
        <f t="shared" si="190"/>
        <v>-</v>
      </c>
      <c r="E1331" s="1505">
        <f t="shared" si="190"/>
        <v>0</v>
      </c>
      <c r="F1331" s="1509">
        <f t="shared" si="183"/>
        <v>0</v>
      </c>
      <c r="G1331" s="1509">
        <f t="shared" si="184"/>
        <v>0</v>
      </c>
      <c r="H1331" s="1509">
        <f t="shared" si="185"/>
        <v>0</v>
      </c>
      <c r="I1331" s="1509">
        <v>0</v>
      </c>
      <c r="J1331" s="1509">
        <v>0</v>
      </c>
      <c r="K1331" s="1509"/>
      <c r="L1331" s="1509"/>
      <c r="M1331" s="1509">
        <f t="shared" si="186"/>
        <v>0</v>
      </c>
      <c r="N1331" s="1509">
        <f t="shared" si="187"/>
        <v>0</v>
      </c>
    </row>
    <row r="1332" spans="1:14" customFormat="1" ht="29" outlineLevel="1" x14ac:dyDescent="0.25">
      <c r="A1332" s="1511">
        <f t="shared" si="190"/>
        <v>24.2</v>
      </c>
      <c r="B1332" s="1515" t="str">
        <f t="shared" si="190"/>
        <v>Up gradation of  Vibration Monitoring System(VMS) at Unit – 6 &amp;7 Parli TPS, Parli-V</v>
      </c>
      <c r="C1332" s="1396" t="str">
        <f t="shared" si="190"/>
        <v>Yet to be approved</v>
      </c>
      <c r="D1332" s="1378" t="str">
        <f t="shared" si="190"/>
        <v>-</v>
      </c>
      <c r="E1332" s="1505">
        <f t="shared" si="190"/>
        <v>0</v>
      </c>
      <c r="F1332" s="1509">
        <f t="shared" si="183"/>
        <v>0</v>
      </c>
      <c r="G1332" s="1509">
        <f t="shared" si="184"/>
        <v>0</v>
      </c>
      <c r="H1332" s="1509">
        <f t="shared" si="185"/>
        <v>0</v>
      </c>
      <c r="I1332" s="1509">
        <v>0</v>
      </c>
      <c r="J1332" s="1509">
        <v>0</v>
      </c>
      <c r="K1332" s="1509"/>
      <c r="L1332" s="1509"/>
      <c r="M1332" s="1509">
        <f t="shared" si="186"/>
        <v>0</v>
      </c>
      <c r="N1332" s="1509">
        <f t="shared" si="187"/>
        <v>0</v>
      </c>
    </row>
    <row r="1333" spans="1:14" customFormat="1" outlineLevel="1" x14ac:dyDescent="0.25">
      <c r="A1333" s="1511">
        <f t="shared" si="190"/>
        <v>24.3</v>
      </c>
      <c r="B1333" s="1515" t="str">
        <f t="shared" si="190"/>
        <v>Upgradation of feedstation valve contol instruments.</v>
      </c>
      <c r="C1333" s="1396" t="str">
        <f t="shared" si="190"/>
        <v>Yet to be approved</v>
      </c>
      <c r="D1333" s="1378" t="str">
        <f t="shared" si="190"/>
        <v>-</v>
      </c>
      <c r="E1333" s="1505">
        <f t="shared" si="190"/>
        <v>0</v>
      </c>
      <c r="F1333" s="1509">
        <f t="shared" si="183"/>
        <v>0</v>
      </c>
      <c r="G1333" s="1509">
        <f t="shared" si="184"/>
        <v>0</v>
      </c>
      <c r="H1333" s="1509">
        <f t="shared" si="185"/>
        <v>0</v>
      </c>
      <c r="I1333" s="1509">
        <v>0</v>
      </c>
      <c r="J1333" s="1509">
        <v>0</v>
      </c>
      <c r="K1333" s="1509"/>
      <c r="L1333" s="1509"/>
      <c r="M1333" s="1509">
        <f t="shared" si="186"/>
        <v>0</v>
      </c>
      <c r="N1333" s="1509">
        <f t="shared" si="187"/>
        <v>0</v>
      </c>
    </row>
    <row r="1334" spans="1:14" customFormat="1" ht="58" outlineLevel="1" x14ac:dyDescent="0.25">
      <c r="A1334" s="1511">
        <f t="shared" si="190"/>
        <v>24.4</v>
      </c>
      <c r="B1334" s="1515" t="str">
        <f t="shared" si="190"/>
        <v>Supply of various instuments like H2 Dew point measurement system spares, Hydrogen analyzer, H2 leak detection system spares etc.Critical/Non-Critical Spares sub-assembly for performance improvement</v>
      </c>
      <c r="C1334" s="1396" t="str">
        <f t="shared" si="190"/>
        <v>Yet to be approved</v>
      </c>
      <c r="D1334" s="1378" t="str">
        <f t="shared" si="190"/>
        <v>-</v>
      </c>
      <c r="E1334" s="1505">
        <f t="shared" si="190"/>
        <v>0</v>
      </c>
      <c r="F1334" s="1509">
        <f t="shared" si="183"/>
        <v>0</v>
      </c>
      <c r="G1334" s="1509">
        <f t="shared" si="184"/>
        <v>0</v>
      </c>
      <c r="H1334" s="1509">
        <f t="shared" si="185"/>
        <v>0</v>
      </c>
      <c r="I1334" s="1509">
        <v>0</v>
      </c>
      <c r="J1334" s="1509">
        <v>0</v>
      </c>
      <c r="K1334" s="1509"/>
      <c r="L1334" s="1509"/>
      <c r="M1334" s="1509">
        <f t="shared" si="186"/>
        <v>0</v>
      </c>
      <c r="N1334" s="1509">
        <f t="shared" si="187"/>
        <v>0</v>
      </c>
    </row>
    <row r="1335" spans="1:14" customFormat="1" outlineLevel="1" x14ac:dyDescent="0.25">
      <c r="A1335" s="1511">
        <f t="shared" si="190"/>
        <v>24.5</v>
      </c>
      <c r="B1335" s="1515" t="str">
        <f t="shared" si="190"/>
        <v>Online Water flow Monitoring System at Khadka</v>
      </c>
      <c r="C1335" s="1396" t="str">
        <f t="shared" si="190"/>
        <v>Yet to be approved</v>
      </c>
      <c r="D1335" s="1378" t="str">
        <f t="shared" si="190"/>
        <v>-</v>
      </c>
      <c r="E1335" s="1505">
        <f t="shared" si="190"/>
        <v>0</v>
      </c>
      <c r="F1335" s="1509">
        <f t="shared" si="183"/>
        <v>0</v>
      </c>
      <c r="G1335" s="1509">
        <f t="shared" si="184"/>
        <v>0</v>
      </c>
      <c r="H1335" s="1509">
        <f t="shared" si="185"/>
        <v>0</v>
      </c>
      <c r="I1335" s="1509">
        <v>0</v>
      </c>
      <c r="J1335" s="1509">
        <v>0</v>
      </c>
      <c r="K1335" s="1509"/>
      <c r="L1335" s="1509"/>
      <c r="M1335" s="1509">
        <f t="shared" si="186"/>
        <v>0</v>
      </c>
      <c r="N1335" s="1509">
        <f t="shared" si="187"/>
        <v>0</v>
      </c>
    </row>
    <row r="1336" spans="1:14" customFormat="1" ht="43.5" outlineLevel="1" x14ac:dyDescent="0.25">
      <c r="A1336" s="1511">
        <f t="shared" si="190"/>
        <v>24.6</v>
      </c>
      <c r="B1336" s="1515" t="str">
        <f t="shared" si="190"/>
        <v xml:space="preserve"> Upgradation of CO analyser at APH  inlete and SOX NOX gas analyser installed at ID discharge along with remote calibration facility and connectivity to CPCB and MPCB as per latest CPCB Guidelines </v>
      </c>
      <c r="C1336" s="1396" t="str">
        <f t="shared" si="190"/>
        <v>Yet to be approved</v>
      </c>
      <c r="D1336" s="1378" t="str">
        <f t="shared" si="190"/>
        <v>-</v>
      </c>
      <c r="E1336" s="1505">
        <f t="shared" si="190"/>
        <v>0</v>
      </c>
      <c r="F1336" s="1509">
        <f t="shared" si="183"/>
        <v>0</v>
      </c>
      <c r="G1336" s="1509">
        <f t="shared" si="184"/>
        <v>0</v>
      </c>
      <c r="H1336" s="1509">
        <f t="shared" si="185"/>
        <v>0</v>
      </c>
      <c r="I1336" s="1509">
        <v>0</v>
      </c>
      <c r="J1336" s="1509">
        <v>0</v>
      </c>
      <c r="K1336" s="1509"/>
      <c r="L1336" s="1509"/>
      <c r="M1336" s="1509">
        <f t="shared" si="186"/>
        <v>0</v>
      </c>
      <c r="N1336" s="1509">
        <f t="shared" si="187"/>
        <v>0</v>
      </c>
    </row>
    <row r="1337" spans="1:14" customFormat="1" ht="43.5" outlineLevel="1" x14ac:dyDescent="0.25">
      <c r="A1337" s="1511">
        <f t="shared" ref="A1337:E1352" si="191">A980</f>
        <v>24.7</v>
      </c>
      <c r="B1337" s="1515" t="str">
        <f t="shared" si="191"/>
        <v>Supply, Erection and Commissioning of Effluent Analyser for the parameters like COD, BOD, TSS &amp; PH installed at ETP &amp; STP outlet of the NPTPS, Parli.       complying CPCB / MPCB Guidelines.</v>
      </c>
      <c r="C1337" s="1396" t="str">
        <f t="shared" si="191"/>
        <v>Yet to be approved</v>
      </c>
      <c r="D1337" s="1378" t="str">
        <f t="shared" si="191"/>
        <v>-</v>
      </c>
      <c r="E1337" s="1505">
        <f t="shared" si="191"/>
        <v>0</v>
      </c>
      <c r="F1337" s="1509">
        <f t="shared" ref="F1337:F1400" si="192">F980+I980</f>
        <v>0</v>
      </c>
      <c r="G1337" s="1509">
        <f t="shared" ref="G1337:G1400" si="193">G980+M980</f>
        <v>0</v>
      </c>
      <c r="H1337" s="1509">
        <f t="shared" si="185"/>
        <v>0</v>
      </c>
      <c r="I1337" s="1509">
        <v>0</v>
      </c>
      <c r="J1337" s="1509">
        <v>0</v>
      </c>
      <c r="K1337" s="1509"/>
      <c r="L1337" s="1509"/>
      <c r="M1337" s="1509">
        <f t="shared" si="186"/>
        <v>0</v>
      </c>
      <c r="N1337" s="1509">
        <f t="shared" si="187"/>
        <v>0</v>
      </c>
    </row>
    <row r="1338" spans="1:14" customFormat="1" outlineLevel="1" x14ac:dyDescent="0.25">
      <c r="A1338" s="1511">
        <f t="shared" si="191"/>
        <v>0</v>
      </c>
      <c r="B1338" s="1515" t="str">
        <f t="shared" si="191"/>
        <v>IDC</v>
      </c>
      <c r="C1338" s="1396" t="str">
        <f t="shared" si="191"/>
        <v>Yet to be approved</v>
      </c>
      <c r="D1338" s="1378" t="str">
        <f t="shared" si="191"/>
        <v>-</v>
      </c>
      <c r="E1338" s="1505">
        <f t="shared" si="191"/>
        <v>0</v>
      </c>
      <c r="F1338" s="1509">
        <f t="shared" si="192"/>
        <v>0</v>
      </c>
      <c r="G1338" s="1509">
        <f t="shared" si="193"/>
        <v>0</v>
      </c>
      <c r="H1338" s="1509">
        <f t="shared" ref="H1338:H1401" si="194">F1338-G1338</f>
        <v>0</v>
      </c>
      <c r="I1338" s="1509">
        <v>0</v>
      </c>
      <c r="J1338" s="1509">
        <v>0</v>
      </c>
      <c r="K1338" s="1509"/>
      <c r="L1338" s="1509"/>
      <c r="M1338" s="1509">
        <f t="shared" ref="M1338:M1401" si="195">SUM(J1338:L1338)</f>
        <v>0</v>
      </c>
      <c r="N1338" s="1509">
        <f t="shared" ref="N1338:N1401" si="196">H1338+I1338-M1338</f>
        <v>0</v>
      </c>
    </row>
    <row r="1339" spans="1:14" customFormat="1" ht="87" outlineLevel="1" x14ac:dyDescent="0.25">
      <c r="A1339" s="1506">
        <f t="shared" si="191"/>
        <v>25</v>
      </c>
      <c r="B1339" s="1507" t="str">
        <f t="shared" si="191"/>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1339" s="1506" t="str">
        <f t="shared" si="191"/>
        <v>Yet to be approved</v>
      </c>
      <c r="D1339" s="1507" t="str">
        <f t="shared" si="191"/>
        <v>-</v>
      </c>
      <c r="E1339" s="1506">
        <f t="shared" si="191"/>
        <v>0</v>
      </c>
      <c r="F1339" s="1509">
        <f t="shared" si="192"/>
        <v>0</v>
      </c>
      <c r="G1339" s="1509">
        <f t="shared" si="193"/>
        <v>0</v>
      </c>
      <c r="H1339" s="1509">
        <f t="shared" si="194"/>
        <v>0</v>
      </c>
      <c r="I1339" s="1509">
        <v>0</v>
      </c>
      <c r="J1339" s="1509">
        <v>0</v>
      </c>
      <c r="K1339" s="1509"/>
      <c r="L1339" s="1509"/>
      <c r="M1339" s="1509">
        <f t="shared" si="195"/>
        <v>0</v>
      </c>
      <c r="N1339" s="1509">
        <f t="shared" si="196"/>
        <v>0</v>
      </c>
    </row>
    <row r="1340" spans="1:14" customFormat="1" ht="58" outlineLevel="1" x14ac:dyDescent="0.25">
      <c r="A1340" s="1511">
        <f t="shared" si="191"/>
        <v>25.1</v>
      </c>
      <c r="B1340" s="1515" t="str">
        <f t="shared" si="191"/>
        <v>Work of replacement of damaged/leaky underground Fire Water Pipelines and Static Fire water Pumps at Plant (Unit-6, 7 &amp; 8) and ODP area of Parli TPS including required material viz. MSERW Pipes/Steel, etc.</v>
      </c>
      <c r="C1340" s="1396" t="str">
        <f t="shared" si="191"/>
        <v>Yet to be approved</v>
      </c>
      <c r="D1340" s="1378" t="str">
        <f t="shared" si="191"/>
        <v>-</v>
      </c>
      <c r="E1340" s="1505">
        <f t="shared" si="191"/>
        <v>0</v>
      </c>
      <c r="F1340" s="1509">
        <f t="shared" si="192"/>
        <v>0</v>
      </c>
      <c r="G1340" s="1509">
        <f t="shared" si="193"/>
        <v>0</v>
      </c>
      <c r="H1340" s="1509">
        <f t="shared" si="194"/>
        <v>0</v>
      </c>
      <c r="I1340" s="1509">
        <v>17</v>
      </c>
      <c r="J1340" s="1509">
        <v>17</v>
      </c>
      <c r="K1340" s="1509"/>
      <c r="L1340" s="1509"/>
      <c r="M1340" s="1509">
        <f t="shared" si="195"/>
        <v>17</v>
      </c>
      <c r="N1340" s="1509">
        <f t="shared" si="196"/>
        <v>0</v>
      </c>
    </row>
    <row r="1341" spans="1:14" customFormat="1" ht="58" outlineLevel="1" x14ac:dyDescent="0.25">
      <c r="A1341" s="1511">
        <f t="shared" si="191"/>
        <v>25.2</v>
      </c>
      <c r="B1341" s="1515" t="str">
        <f t="shared" si="191"/>
        <v>Restoration of Deluge Valve system along with work of repairing/reconstruction (with relocation for safe operation) of damaged Deluge Valve Houses at Plant &amp; ODP area of Parli TPS Unit#6, 7 &amp; 8.</v>
      </c>
      <c r="C1341" s="1396" t="str">
        <f t="shared" si="191"/>
        <v>Yet to be approved</v>
      </c>
      <c r="D1341" s="1378" t="str">
        <f t="shared" si="191"/>
        <v>-</v>
      </c>
      <c r="E1341" s="1505">
        <f t="shared" si="191"/>
        <v>0</v>
      </c>
      <c r="F1341" s="1509">
        <f t="shared" si="192"/>
        <v>0</v>
      </c>
      <c r="G1341" s="1509">
        <f t="shared" si="193"/>
        <v>0</v>
      </c>
      <c r="H1341" s="1509">
        <f t="shared" si="194"/>
        <v>0</v>
      </c>
      <c r="I1341" s="1509">
        <v>10</v>
      </c>
      <c r="J1341" s="1509">
        <v>10</v>
      </c>
      <c r="K1341" s="1509"/>
      <c r="L1341" s="1509"/>
      <c r="M1341" s="1509">
        <f t="shared" si="195"/>
        <v>10</v>
      </c>
      <c r="N1341" s="1509">
        <f t="shared" si="196"/>
        <v>0</v>
      </c>
    </row>
    <row r="1342" spans="1:14" customFormat="1" ht="29" outlineLevel="1" x14ac:dyDescent="0.25">
      <c r="A1342" s="1511">
        <f t="shared" si="191"/>
        <v>25.3</v>
      </c>
      <c r="B1342" s="1515" t="str">
        <f t="shared" si="191"/>
        <v>Supply, Rectification and Installation of addressable fire alarm system and Fire suppression system at unit 6 &amp; 7,Parli TPS.</v>
      </c>
      <c r="C1342" s="1396" t="str">
        <f t="shared" si="191"/>
        <v>Yet to be approved</v>
      </c>
      <c r="D1342" s="1378" t="str">
        <f t="shared" si="191"/>
        <v>-</v>
      </c>
      <c r="E1342" s="1505">
        <f t="shared" si="191"/>
        <v>0</v>
      </c>
      <c r="F1342" s="1509">
        <f t="shared" si="192"/>
        <v>0</v>
      </c>
      <c r="G1342" s="1509">
        <f t="shared" si="193"/>
        <v>0</v>
      </c>
      <c r="H1342" s="1509">
        <f t="shared" si="194"/>
        <v>0</v>
      </c>
      <c r="I1342" s="1509">
        <v>7</v>
      </c>
      <c r="J1342" s="1509">
        <v>7</v>
      </c>
      <c r="K1342" s="1509"/>
      <c r="L1342" s="1509"/>
      <c r="M1342" s="1509">
        <f t="shared" si="195"/>
        <v>7</v>
      </c>
      <c r="N1342" s="1509">
        <f t="shared" si="196"/>
        <v>0</v>
      </c>
    </row>
    <row r="1343" spans="1:14" customFormat="1" outlineLevel="1" x14ac:dyDescent="0.25">
      <c r="A1343" s="1511">
        <f t="shared" si="191"/>
        <v>0</v>
      </c>
      <c r="B1343" s="1515" t="str">
        <f t="shared" si="191"/>
        <v>IDC</v>
      </c>
      <c r="C1343" s="1396" t="str">
        <f t="shared" si="191"/>
        <v>Yet to be approved</v>
      </c>
      <c r="D1343" s="1378" t="str">
        <f t="shared" si="191"/>
        <v>-</v>
      </c>
      <c r="E1343" s="1505">
        <f t="shared" si="191"/>
        <v>0</v>
      </c>
      <c r="F1343" s="1509">
        <f t="shared" si="192"/>
        <v>0</v>
      </c>
      <c r="G1343" s="1509">
        <f t="shared" si="193"/>
        <v>0</v>
      </c>
      <c r="H1343" s="1509">
        <f t="shared" si="194"/>
        <v>0</v>
      </c>
      <c r="I1343" s="1509">
        <v>0</v>
      </c>
      <c r="J1343" s="1509">
        <v>0</v>
      </c>
      <c r="K1343" s="1509"/>
      <c r="L1343" s="1509"/>
      <c r="M1343" s="1509">
        <f t="shared" si="195"/>
        <v>0</v>
      </c>
      <c r="N1343" s="1509">
        <f t="shared" si="196"/>
        <v>0</v>
      </c>
    </row>
    <row r="1344" spans="1:14" customFormat="1" ht="29" outlineLevel="1" x14ac:dyDescent="0.25">
      <c r="A1344" s="1506">
        <f t="shared" si="191"/>
        <v>26</v>
      </c>
      <c r="B1344" s="1507" t="str">
        <f t="shared" si="191"/>
        <v>ASH  EVACUATION  IMPROVEMENT  AND  PERFORMANCE &amp; EFFICIENCY OF ASH HANDLING SYSTEM At NPTPS Parli-V AT TPS PARLI-V.</v>
      </c>
      <c r="C1344" s="1506" t="str">
        <f t="shared" si="191"/>
        <v>Yet to be approved</v>
      </c>
      <c r="D1344" s="1507" t="str">
        <f t="shared" si="191"/>
        <v>-</v>
      </c>
      <c r="E1344" s="1506">
        <f t="shared" si="191"/>
        <v>0</v>
      </c>
      <c r="F1344" s="1509">
        <f t="shared" si="192"/>
        <v>0</v>
      </c>
      <c r="G1344" s="1509">
        <f t="shared" si="193"/>
        <v>0</v>
      </c>
      <c r="H1344" s="1509">
        <f t="shared" si="194"/>
        <v>0</v>
      </c>
      <c r="I1344" s="1509">
        <v>0</v>
      </c>
      <c r="J1344" s="1509">
        <v>0</v>
      </c>
      <c r="K1344" s="1509"/>
      <c r="L1344" s="1509"/>
      <c r="M1344" s="1509">
        <f t="shared" si="195"/>
        <v>0</v>
      </c>
      <c r="N1344" s="1509">
        <f t="shared" si="196"/>
        <v>0</v>
      </c>
    </row>
    <row r="1345" spans="1:14" customFormat="1" ht="29" outlineLevel="1" x14ac:dyDescent="0.25">
      <c r="A1345" s="1511">
        <f t="shared" si="191"/>
        <v>26.1</v>
      </c>
      <c r="B1345" s="1515" t="str">
        <f t="shared" si="191"/>
        <v>DESIGN , SUPPLY &amp; REPLCEMENT OF  ASH DISPOSAL SLURRY PUMP  COMPLTE ASSEMBLY ALONG WITH GEAR BOX, MOTORS U-6</v>
      </c>
      <c r="C1345" s="1396" t="str">
        <f t="shared" si="191"/>
        <v>Yet to be approved</v>
      </c>
      <c r="D1345" s="1378" t="str">
        <f t="shared" si="191"/>
        <v>-</v>
      </c>
      <c r="E1345" s="1505">
        <f t="shared" si="191"/>
        <v>0</v>
      </c>
      <c r="F1345" s="1509">
        <f t="shared" si="192"/>
        <v>0</v>
      </c>
      <c r="G1345" s="1509">
        <f t="shared" si="193"/>
        <v>0</v>
      </c>
      <c r="H1345" s="1509">
        <f t="shared" si="194"/>
        <v>0</v>
      </c>
      <c r="I1345" s="1509">
        <v>1.24</v>
      </c>
      <c r="J1345" s="1509">
        <v>1.24</v>
      </c>
      <c r="K1345" s="1509"/>
      <c r="L1345" s="1509"/>
      <c r="M1345" s="1509">
        <f t="shared" si="195"/>
        <v>1.24</v>
      </c>
      <c r="N1345" s="1509">
        <f t="shared" si="196"/>
        <v>0</v>
      </c>
    </row>
    <row r="1346" spans="1:14" customFormat="1" ht="29" outlineLevel="1" x14ac:dyDescent="0.25">
      <c r="A1346" s="1511">
        <f t="shared" si="191"/>
        <v>26.2</v>
      </c>
      <c r="B1346" s="1515" t="str">
        <f t="shared" si="191"/>
        <v>DESIGN , SUPPLY &amp; REPLCEMENT OF  HP WATER PUMP COMPLTE ASSEMBLY ALONG WITH GEAR BOX, MOTORS U-6</v>
      </c>
      <c r="C1346" s="1396" t="str">
        <f t="shared" si="191"/>
        <v>Yet to be approved</v>
      </c>
      <c r="D1346" s="1378" t="str">
        <f t="shared" si="191"/>
        <v>-</v>
      </c>
      <c r="E1346" s="1505">
        <f t="shared" si="191"/>
        <v>0</v>
      </c>
      <c r="F1346" s="1509">
        <f t="shared" si="192"/>
        <v>0</v>
      </c>
      <c r="G1346" s="1509">
        <f t="shared" si="193"/>
        <v>0</v>
      </c>
      <c r="H1346" s="1509">
        <f t="shared" si="194"/>
        <v>0</v>
      </c>
      <c r="I1346" s="1509">
        <v>1.17</v>
      </c>
      <c r="J1346" s="1509">
        <v>1.17</v>
      </c>
      <c r="K1346" s="1509"/>
      <c r="L1346" s="1509"/>
      <c r="M1346" s="1509">
        <f t="shared" si="195"/>
        <v>1.17</v>
      </c>
      <c r="N1346" s="1509">
        <f t="shared" si="196"/>
        <v>0</v>
      </c>
    </row>
    <row r="1347" spans="1:14" customFormat="1" ht="29" outlineLevel="1" x14ac:dyDescent="0.25">
      <c r="A1347" s="1511">
        <f t="shared" si="191"/>
        <v>26.3</v>
      </c>
      <c r="B1347" s="1515" t="str">
        <f t="shared" si="191"/>
        <v>Upgradation of reciprocating  Conveying Air compressor into screw compressor  at U#6</v>
      </c>
      <c r="C1347" s="1396" t="str">
        <f t="shared" si="191"/>
        <v>Yet to be approved</v>
      </c>
      <c r="D1347" s="1378" t="str">
        <f t="shared" si="191"/>
        <v>-</v>
      </c>
      <c r="E1347" s="1505">
        <f t="shared" si="191"/>
        <v>0</v>
      </c>
      <c r="F1347" s="1509">
        <f t="shared" si="192"/>
        <v>0</v>
      </c>
      <c r="G1347" s="1509">
        <f t="shared" si="193"/>
        <v>0</v>
      </c>
      <c r="H1347" s="1509">
        <f t="shared" si="194"/>
        <v>0</v>
      </c>
      <c r="I1347" s="1509">
        <v>5.98</v>
      </c>
      <c r="J1347" s="1509">
        <v>5.98</v>
      </c>
      <c r="K1347" s="1509"/>
      <c r="L1347" s="1509"/>
      <c r="M1347" s="1509">
        <f t="shared" si="195"/>
        <v>5.98</v>
      </c>
      <c r="N1347" s="1509">
        <f t="shared" si="196"/>
        <v>0</v>
      </c>
    </row>
    <row r="1348" spans="1:14" customFormat="1" ht="29" outlineLevel="1" x14ac:dyDescent="0.25">
      <c r="A1348" s="1511">
        <f t="shared" si="191"/>
        <v>26.4</v>
      </c>
      <c r="B1348" s="1515" t="str">
        <f t="shared" si="191"/>
        <v>Upgradation of reciprocating  Instrument  Air compressor into screw compressor  at U#6</v>
      </c>
      <c r="C1348" s="1396" t="str">
        <f t="shared" si="191"/>
        <v>Yet to be approved</v>
      </c>
      <c r="D1348" s="1378" t="str">
        <f t="shared" si="191"/>
        <v>-</v>
      </c>
      <c r="E1348" s="1505">
        <f t="shared" si="191"/>
        <v>0</v>
      </c>
      <c r="F1348" s="1509">
        <f t="shared" si="192"/>
        <v>0</v>
      </c>
      <c r="G1348" s="1509">
        <f t="shared" si="193"/>
        <v>0</v>
      </c>
      <c r="H1348" s="1509">
        <f t="shared" si="194"/>
        <v>0</v>
      </c>
      <c r="I1348" s="1509">
        <v>3.98</v>
      </c>
      <c r="J1348" s="1509">
        <v>3.98</v>
      </c>
      <c r="K1348" s="1509"/>
      <c r="L1348" s="1509"/>
      <c r="M1348" s="1509">
        <f t="shared" si="195"/>
        <v>3.98</v>
      </c>
      <c r="N1348" s="1509">
        <f t="shared" si="196"/>
        <v>0</v>
      </c>
    </row>
    <row r="1349" spans="1:14" customFormat="1" ht="43.5" outlineLevel="1" x14ac:dyDescent="0.25">
      <c r="A1349" s="1511">
        <f t="shared" si="191"/>
        <v>26.5</v>
      </c>
      <c r="B1349" s="1515" t="str">
        <f t="shared" si="191"/>
        <v>Procurement &amp; replacement of 300 NB,200NB Cash Basalt Pipelines with the existing MSERW pipe of ash disposal system of Unit #6&amp;  7 at Parli TPS, Parli V .</v>
      </c>
      <c r="C1349" s="1396" t="str">
        <f t="shared" si="191"/>
        <v>Yet to be approved</v>
      </c>
      <c r="D1349" s="1378" t="str">
        <f t="shared" si="191"/>
        <v>-</v>
      </c>
      <c r="E1349" s="1505">
        <f t="shared" si="191"/>
        <v>0</v>
      </c>
      <c r="F1349" s="1509">
        <f t="shared" si="192"/>
        <v>0</v>
      </c>
      <c r="G1349" s="1509">
        <f t="shared" si="193"/>
        <v>0</v>
      </c>
      <c r="H1349" s="1509">
        <f t="shared" si="194"/>
        <v>0</v>
      </c>
      <c r="I1349" s="1509">
        <v>6.61</v>
      </c>
      <c r="J1349" s="1509">
        <v>6.61</v>
      </c>
      <c r="K1349" s="1509"/>
      <c r="L1349" s="1509"/>
      <c r="M1349" s="1509">
        <f t="shared" si="195"/>
        <v>6.61</v>
      </c>
      <c r="N1349" s="1509">
        <f t="shared" si="196"/>
        <v>0</v>
      </c>
    </row>
    <row r="1350" spans="1:14" customFormat="1" outlineLevel="1" x14ac:dyDescent="0.25">
      <c r="A1350" s="1511">
        <f t="shared" si="191"/>
        <v>26.6</v>
      </c>
      <c r="B1350" s="1515" t="str">
        <f t="shared" si="191"/>
        <v>DESIGN , SUPPLY &amp; REPLCEMENT  VACUUM PUMP U6</v>
      </c>
      <c r="C1350" s="1396" t="str">
        <f t="shared" si="191"/>
        <v>Yet to be approved</v>
      </c>
      <c r="D1350" s="1378" t="str">
        <f t="shared" si="191"/>
        <v>-</v>
      </c>
      <c r="E1350" s="1505">
        <f t="shared" si="191"/>
        <v>0</v>
      </c>
      <c r="F1350" s="1509">
        <f t="shared" si="192"/>
        <v>0</v>
      </c>
      <c r="G1350" s="1509">
        <f t="shared" si="193"/>
        <v>0</v>
      </c>
      <c r="H1350" s="1509">
        <f t="shared" si="194"/>
        <v>0</v>
      </c>
      <c r="I1350" s="1509">
        <v>1.41</v>
      </c>
      <c r="J1350" s="1509">
        <v>1.41</v>
      </c>
      <c r="K1350" s="1509"/>
      <c r="L1350" s="1509"/>
      <c r="M1350" s="1509">
        <f t="shared" si="195"/>
        <v>1.41</v>
      </c>
      <c r="N1350" s="1509">
        <f t="shared" si="196"/>
        <v>0</v>
      </c>
    </row>
    <row r="1351" spans="1:14" customFormat="1" ht="43.5" outlineLevel="1" x14ac:dyDescent="0.25">
      <c r="A1351" s="1511">
        <f t="shared" si="191"/>
        <v>26.7</v>
      </c>
      <c r="B1351" s="1515" t="str">
        <f t="shared" si="191"/>
        <v>Work of Repairing &amp; Reconditioning of Single Roll Clinker Grinder assembly from OEM on as and when required basis at AHP(2X250),Unit-6&amp;7 Parli TPS,Parli-V.</v>
      </c>
      <c r="C1351" s="1396" t="str">
        <f t="shared" si="191"/>
        <v>Yet to be approved</v>
      </c>
      <c r="D1351" s="1378" t="str">
        <f t="shared" si="191"/>
        <v>-</v>
      </c>
      <c r="E1351" s="1505">
        <f t="shared" si="191"/>
        <v>0</v>
      </c>
      <c r="F1351" s="1509">
        <f t="shared" si="192"/>
        <v>0</v>
      </c>
      <c r="G1351" s="1509">
        <f t="shared" si="193"/>
        <v>0</v>
      </c>
      <c r="H1351" s="1509">
        <f t="shared" si="194"/>
        <v>0</v>
      </c>
      <c r="I1351" s="1509">
        <v>0.65</v>
      </c>
      <c r="J1351" s="1509">
        <v>0.65</v>
      </c>
      <c r="K1351" s="1509"/>
      <c r="L1351" s="1509"/>
      <c r="M1351" s="1509">
        <f t="shared" si="195"/>
        <v>0.65</v>
      </c>
      <c r="N1351" s="1509">
        <f t="shared" si="196"/>
        <v>0</v>
      </c>
    </row>
    <row r="1352" spans="1:14" customFormat="1" ht="29" outlineLevel="1" x14ac:dyDescent="0.25">
      <c r="A1352" s="1511">
        <f t="shared" si="191"/>
        <v>26.8</v>
      </c>
      <c r="B1352" s="1515" t="str">
        <f t="shared" si="191"/>
        <v>Work of complete Reconditioning and refurbishment of various spares in Unit 6&amp;7, Parli TPS, Parli-V</v>
      </c>
      <c r="C1352" s="1396" t="str">
        <f t="shared" si="191"/>
        <v>Yet to be approved</v>
      </c>
      <c r="D1352" s="1378" t="str">
        <f t="shared" si="191"/>
        <v>-</v>
      </c>
      <c r="E1352" s="1505">
        <f t="shared" si="191"/>
        <v>0</v>
      </c>
      <c r="F1352" s="1509">
        <f t="shared" si="192"/>
        <v>0</v>
      </c>
      <c r="G1352" s="1509">
        <f t="shared" si="193"/>
        <v>0</v>
      </c>
      <c r="H1352" s="1509">
        <f t="shared" si="194"/>
        <v>0</v>
      </c>
      <c r="I1352" s="1509">
        <v>0.73</v>
      </c>
      <c r="J1352" s="1509">
        <v>0.73</v>
      </c>
      <c r="K1352" s="1509"/>
      <c r="L1352" s="1509"/>
      <c r="M1352" s="1509">
        <f t="shared" si="195"/>
        <v>0.73</v>
      </c>
      <c r="N1352" s="1509">
        <f t="shared" si="196"/>
        <v>0</v>
      </c>
    </row>
    <row r="1353" spans="1:14" customFormat="1" outlineLevel="1" x14ac:dyDescent="0.25">
      <c r="A1353" s="1511">
        <f t="shared" ref="A1353:E1368" si="197">A996</f>
        <v>26.9</v>
      </c>
      <c r="B1353" s="1515" t="str">
        <f t="shared" si="197"/>
        <v>Transmission drive system &amp; Fluid coupling replacements.</v>
      </c>
      <c r="C1353" s="1396" t="str">
        <f t="shared" si="197"/>
        <v>Yet to be approved</v>
      </c>
      <c r="D1353" s="1378" t="str">
        <f t="shared" si="197"/>
        <v>-</v>
      </c>
      <c r="E1353" s="1505">
        <f t="shared" si="197"/>
        <v>0</v>
      </c>
      <c r="F1353" s="1509">
        <f t="shared" si="192"/>
        <v>0</v>
      </c>
      <c r="G1353" s="1509">
        <f t="shared" si="193"/>
        <v>0</v>
      </c>
      <c r="H1353" s="1509">
        <f t="shared" si="194"/>
        <v>0</v>
      </c>
      <c r="I1353" s="1509">
        <v>2.92</v>
      </c>
      <c r="J1353" s="1509">
        <v>2.92</v>
      </c>
      <c r="K1353" s="1509"/>
      <c r="L1353" s="1509"/>
      <c r="M1353" s="1509">
        <f t="shared" si="195"/>
        <v>2.92</v>
      </c>
      <c r="N1353" s="1509">
        <f t="shared" si="196"/>
        <v>0</v>
      </c>
    </row>
    <row r="1354" spans="1:14" customFormat="1" ht="29" outlineLevel="1" x14ac:dyDescent="0.25">
      <c r="A1354" s="1511">
        <f t="shared" si="197"/>
        <v>26.1</v>
      </c>
      <c r="B1354" s="1515" t="str">
        <f t="shared" si="197"/>
        <v>DESIGN , SUPPLY &amp; REPLCEMENT OF ASH INLET VALVE COMPLETE ASSEBLY U6</v>
      </c>
      <c r="C1354" s="1396" t="str">
        <f t="shared" si="197"/>
        <v>Yet to be approved</v>
      </c>
      <c r="D1354" s="1378" t="str">
        <f t="shared" si="197"/>
        <v>-</v>
      </c>
      <c r="E1354" s="1505">
        <f t="shared" si="197"/>
        <v>0</v>
      </c>
      <c r="F1354" s="1509">
        <f t="shared" si="192"/>
        <v>0</v>
      </c>
      <c r="G1354" s="1509">
        <f t="shared" si="193"/>
        <v>0</v>
      </c>
      <c r="H1354" s="1509">
        <f t="shared" si="194"/>
        <v>0</v>
      </c>
      <c r="I1354" s="1509">
        <v>2.6</v>
      </c>
      <c r="J1354" s="1509">
        <v>2.6</v>
      </c>
      <c r="K1354" s="1509"/>
      <c r="L1354" s="1509"/>
      <c r="M1354" s="1509">
        <f t="shared" si="195"/>
        <v>2.6</v>
      </c>
      <c r="N1354" s="1509">
        <f t="shared" si="196"/>
        <v>0</v>
      </c>
    </row>
    <row r="1355" spans="1:14" customFormat="1" ht="43.5" outlineLevel="1" x14ac:dyDescent="0.25">
      <c r="A1355" s="1511">
        <f t="shared" si="197"/>
        <v>26.11</v>
      </c>
      <c r="B1355" s="1515" t="str">
        <f t="shared" si="197"/>
        <v>UPGRADATION OF EXPIRED AND VULNERABLE Scada, operating system and hardware to improve life and communication system of Ash handling plant UNIT 6&amp;7 250MW at NPTPS PARLI V".</v>
      </c>
      <c r="C1355" s="1396" t="str">
        <f t="shared" si="197"/>
        <v>Yet to be approved</v>
      </c>
      <c r="D1355" s="1378" t="str">
        <f t="shared" si="197"/>
        <v>-</v>
      </c>
      <c r="E1355" s="1505">
        <f t="shared" si="197"/>
        <v>0</v>
      </c>
      <c r="F1355" s="1509">
        <f t="shared" si="192"/>
        <v>0</v>
      </c>
      <c r="G1355" s="1509">
        <f t="shared" si="193"/>
        <v>0</v>
      </c>
      <c r="H1355" s="1509">
        <f t="shared" si="194"/>
        <v>0</v>
      </c>
      <c r="I1355" s="1509">
        <v>3</v>
      </c>
      <c r="J1355" s="1509">
        <v>3</v>
      </c>
      <c r="K1355" s="1509"/>
      <c r="L1355" s="1509"/>
      <c r="M1355" s="1509">
        <f t="shared" si="195"/>
        <v>3</v>
      </c>
      <c r="N1355" s="1509">
        <f t="shared" si="196"/>
        <v>0</v>
      </c>
    </row>
    <row r="1356" spans="1:14" customFormat="1" outlineLevel="1" x14ac:dyDescent="0.25">
      <c r="A1356" s="1511">
        <f t="shared" si="197"/>
        <v>0</v>
      </c>
      <c r="B1356" s="1515" t="str">
        <f t="shared" si="197"/>
        <v>IDC</v>
      </c>
      <c r="C1356" s="1396" t="str">
        <f t="shared" si="197"/>
        <v>Yet to be approved</v>
      </c>
      <c r="D1356" s="1378" t="str">
        <f t="shared" si="197"/>
        <v>-</v>
      </c>
      <c r="E1356" s="1505">
        <f t="shared" si="197"/>
        <v>0</v>
      </c>
      <c r="F1356" s="1509">
        <f t="shared" si="192"/>
        <v>0</v>
      </c>
      <c r="G1356" s="1509">
        <f t="shared" si="193"/>
        <v>0</v>
      </c>
      <c r="H1356" s="1509">
        <f t="shared" si="194"/>
        <v>0</v>
      </c>
      <c r="I1356" s="1509">
        <v>0</v>
      </c>
      <c r="J1356" s="1509">
        <v>0</v>
      </c>
      <c r="K1356" s="1509"/>
      <c r="L1356" s="1509"/>
      <c r="M1356" s="1509">
        <f t="shared" si="195"/>
        <v>0</v>
      </c>
      <c r="N1356" s="1509">
        <f t="shared" si="196"/>
        <v>0</v>
      </c>
    </row>
    <row r="1357" spans="1:14" customFormat="1" ht="29" outlineLevel="1" x14ac:dyDescent="0.25">
      <c r="A1357" s="1506">
        <f t="shared" si="197"/>
        <v>27</v>
      </c>
      <c r="B1357" s="1507" t="str">
        <f t="shared" si="197"/>
        <v>ASH  EVACUATION  IMPROVEMENT  AND  PERFORMANCE &amp; EFFICIENCY OF ASH HANDLING SYSTEM At NPTPS Parli-V AT TPS PARLI-V.</v>
      </c>
      <c r="C1357" s="1506" t="str">
        <f t="shared" si="197"/>
        <v>Yet to be approved</v>
      </c>
      <c r="D1357" s="1507" t="str">
        <f t="shared" si="197"/>
        <v>-</v>
      </c>
      <c r="E1357" s="1506">
        <f t="shared" si="197"/>
        <v>0</v>
      </c>
      <c r="F1357" s="1509">
        <f t="shared" si="192"/>
        <v>0</v>
      </c>
      <c r="G1357" s="1509">
        <f t="shared" si="193"/>
        <v>0</v>
      </c>
      <c r="H1357" s="1509">
        <f t="shared" si="194"/>
        <v>0</v>
      </c>
      <c r="I1357" s="1509">
        <v>0</v>
      </c>
      <c r="J1357" s="1509">
        <v>0</v>
      </c>
      <c r="K1357" s="1509"/>
      <c r="L1357" s="1509"/>
      <c r="M1357" s="1509">
        <f t="shared" si="195"/>
        <v>0</v>
      </c>
      <c r="N1357" s="1509">
        <f t="shared" si="196"/>
        <v>0</v>
      </c>
    </row>
    <row r="1358" spans="1:14" customFormat="1" ht="29" outlineLevel="1" x14ac:dyDescent="0.25">
      <c r="A1358" s="1511">
        <f t="shared" si="197"/>
        <v>27.1</v>
      </c>
      <c r="B1358" s="1515" t="str">
        <f t="shared" si="197"/>
        <v>Upgradation of reciprocating  Conveying Air compressor into screw compressor  at U#7</v>
      </c>
      <c r="C1358" s="1396" t="str">
        <f t="shared" si="197"/>
        <v>Yet to be approved</v>
      </c>
      <c r="D1358" s="1378" t="str">
        <f t="shared" si="197"/>
        <v>-</v>
      </c>
      <c r="E1358" s="1505">
        <f t="shared" si="197"/>
        <v>0</v>
      </c>
      <c r="F1358" s="1509">
        <f t="shared" si="192"/>
        <v>0</v>
      </c>
      <c r="G1358" s="1509">
        <f t="shared" si="193"/>
        <v>0</v>
      </c>
      <c r="H1358" s="1509">
        <f t="shared" si="194"/>
        <v>0</v>
      </c>
      <c r="I1358" s="1509">
        <v>0</v>
      </c>
      <c r="J1358" s="1509">
        <v>0</v>
      </c>
      <c r="K1358" s="1509"/>
      <c r="L1358" s="1509"/>
      <c r="M1358" s="1509">
        <f t="shared" si="195"/>
        <v>0</v>
      </c>
      <c r="N1358" s="1509">
        <f t="shared" si="196"/>
        <v>0</v>
      </c>
    </row>
    <row r="1359" spans="1:14" customFormat="1" ht="29" outlineLevel="1" x14ac:dyDescent="0.25">
      <c r="A1359" s="1511">
        <f t="shared" si="197"/>
        <v>27.2</v>
      </c>
      <c r="B1359" s="1515" t="str">
        <f t="shared" si="197"/>
        <v>Upgradation of reciprocating  Instrument  Air compressor into screw compressor  at U#7</v>
      </c>
      <c r="C1359" s="1396" t="str">
        <f t="shared" si="197"/>
        <v>Yet to be approved</v>
      </c>
      <c r="D1359" s="1378" t="str">
        <f t="shared" si="197"/>
        <v>-</v>
      </c>
      <c r="E1359" s="1505">
        <f t="shared" si="197"/>
        <v>0</v>
      </c>
      <c r="F1359" s="1509">
        <f t="shared" si="192"/>
        <v>0</v>
      </c>
      <c r="G1359" s="1509">
        <f t="shared" si="193"/>
        <v>0</v>
      </c>
      <c r="H1359" s="1509">
        <f t="shared" si="194"/>
        <v>0</v>
      </c>
      <c r="I1359" s="1509">
        <v>0</v>
      </c>
      <c r="J1359" s="1509">
        <v>0</v>
      </c>
      <c r="K1359" s="1509"/>
      <c r="L1359" s="1509"/>
      <c r="M1359" s="1509">
        <f t="shared" si="195"/>
        <v>0</v>
      </c>
      <c r="N1359" s="1509">
        <f t="shared" si="196"/>
        <v>0</v>
      </c>
    </row>
    <row r="1360" spans="1:14" customFormat="1" ht="29" outlineLevel="1" x14ac:dyDescent="0.25">
      <c r="A1360" s="1511">
        <f t="shared" si="197"/>
        <v>27.3</v>
      </c>
      <c r="B1360" s="1515" t="str">
        <f t="shared" si="197"/>
        <v>DESIGN , SUPPLY &amp; REPLCEMENT OF  ASH DISPOSAL SLURRY PUMP  COMPLTE ASSEMBLY ALONG WITH GEAR BOX, MOTORS U-7</v>
      </c>
      <c r="C1360" s="1396" t="str">
        <f t="shared" si="197"/>
        <v>Yet to be approved</v>
      </c>
      <c r="D1360" s="1378" t="str">
        <f t="shared" si="197"/>
        <v>-</v>
      </c>
      <c r="E1360" s="1505">
        <f t="shared" si="197"/>
        <v>0</v>
      </c>
      <c r="F1360" s="1509">
        <f t="shared" si="192"/>
        <v>0</v>
      </c>
      <c r="G1360" s="1509">
        <f t="shared" si="193"/>
        <v>0</v>
      </c>
      <c r="H1360" s="1509">
        <f t="shared" si="194"/>
        <v>0</v>
      </c>
      <c r="I1360" s="1509">
        <v>0</v>
      </c>
      <c r="J1360" s="1509">
        <v>0</v>
      </c>
      <c r="K1360" s="1509"/>
      <c r="L1360" s="1509"/>
      <c r="M1360" s="1509">
        <f t="shared" si="195"/>
        <v>0</v>
      </c>
      <c r="N1360" s="1509">
        <f t="shared" si="196"/>
        <v>0</v>
      </c>
    </row>
    <row r="1361" spans="1:14" customFormat="1" ht="29" outlineLevel="1" x14ac:dyDescent="0.25">
      <c r="A1361" s="1511">
        <f t="shared" si="197"/>
        <v>27.4</v>
      </c>
      <c r="B1361" s="1515" t="str">
        <f t="shared" si="197"/>
        <v>DESIGN , SUPPLY &amp; REPLCEMENT OF  HP WATER PUMP COMPLTE ASSEMBLY ALONG WITH GEAR BOX, MOTORS U-7</v>
      </c>
      <c r="C1361" s="1396" t="str">
        <f t="shared" si="197"/>
        <v>Yet to be approved</v>
      </c>
      <c r="D1361" s="1378" t="str">
        <f t="shared" si="197"/>
        <v>-</v>
      </c>
      <c r="E1361" s="1505">
        <f t="shared" si="197"/>
        <v>0</v>
      </c>
      <c r="F1361" s="1509">
        <f t="shared" si="192"/>
        <v>0</v>
      </c>
      <c r="G1361" s="1509">
        <f t="shared" si="193"/>
        <v>0</v>
      </c>
      <c r="H1361" s="1509">
        <f t="shared" si="194"/>
        <v>0</v>
      </c>
      <c r="I1361" s="1509">
        <v>0</v>
      </c>
      <c r="J1361" s="1509">
        <v>0</v>
      </c>
      <c r="K1361" s="1509"/>
      <c r="L1361" s="1509"/>
      <c r="M1361" s="1509">
        <f t="shared" si="195"/>
        <v>0</v>
      </c>
      <c r="N1361" s="1509">
        <f t="shared" si="196"/>
        <v>0</v>
      </c>
    </row>
    <row r="1362" spans="1:14" customFormat="1" outlineLevel="1" x14ac:dyDescent="0.25">
      <c r="A1362" s="1511">
        <f t="shared" si="197"/>
        <v>27.5</v>
      </c>
      <c r="B1362" s="1515" t="str">
        <f t="shared" si="197"/>
        <v>DESIGN , SUPPLY &amp; REPLCEMENT  VACUUM PUMP U7.</v>
      </c>
      <c r="C1362" s="1396" t="str">
        <f t="shared" si="197"/>
        <v>Yet to be approved</v>
      </c>
      <c r="D1362" s="1378" t="str">
        <f t="shared" si="197"/>
        <v>-</v>
      </c>
      <c r="E1362" s="1505">
        <f t="shared" si="197"/>
        <v>0</v>
      </c>
      <c r="F1362" s="1509">
        <f t="shared" si="192"/>
        <v>0</v>
      </c>
      <c r="G1362" s="1509">
        <f t="shared" si="193"/>
        <v>0</v>
      </c>
      <c r="H1362" s="1509">
        <f t="shared" si="194"/>
        <v>0</v>
      </c>
      <c r="I1362" s="1509">
        <v>0</v>
      </c>
      <c r="J1362" s="1509">
        <v>0</v>
      </c>
      <c r="K1362" s="1509"/>
      <c r="L1362" s="1509"/>
      <c r="M1362" s="1509">
        <f t="shared" si="195"/>
        <v>0</v>
      </c>
      <c r="N1362" s="1509">
        <f t="shared" si="196"/>
        <v>0</v>
      </c>
    </row>
    <row r="1363" spans="1:14" customFormat="1" ht="29" outlineLevel="1" x14ac:dyDescent="0.25">
      <c r="A1363" s="1511">
        <f t="shared" si="197"/>
        <v>27.6</v>
      </c>
      <c r="B1363" s="1515" t="str">
        <f t="shared" si="197"/>
        <v>DESIGN , SUPPLY &amp; REPLCEMENT BRANCH SEGEGATION COMPLETE VALVE ASSEBLY U7</v>
      </c>
      <c r="C1363" s="1396" t="str">
        <f t="shared" si="197"/>
        <v>Yet to be approved</v>
      </c>
      <c r="D1363" s="1378" t="str">
        <f t="shared" si="197"/>
        <v>-</v>
      </c>
      <c r="E1363" s="1505">
        <f t="shared" si="197"/>
        <v>0</v>
      </c>
      <c r="F1363" s="1509">
        <f t="shared" si="192"/>
        <v>0</v>
      </c>
      <c r="G1363" s="1509">
        <f t="shared" si="193"/>
        <v>0</v>
      </c>
      <c r="H1363" s="1509">
        <f t="shared" si="194"/>
        <v>0</v>
      </c>
      <c r="I1363" s="1509">
        <v>0</v>
      </c>
      <c r="J1363" s="1509">
        <v>0</v>
      </c>
      <c r="K1363" s="1509"/>
      <c r="L1363" s="1509"/>
      <c r="M1363" s="1509">
        <f t="shared" si="195"/>
        <v>0</v>
      </c>
      <c r="N1363" s="1509">
        <f t="shared" si="196"/>
        <v>0</v>
      </c>
    </row>
    <row r="1364" spans="1:14" customFormat="1" ht="29" outlineLevel="1" x14ac:dyDescent="0.25">
      <c r="A1364" s="1511">
        <f t="shared" si="197"/>
        <v>27.7</v>
      </c>
      <c r="B1364" s="1515" t="str">
        <f t="shared" si="197"/>
        <v>DESIGN , SUPPLY &amp; REPLCEMENT BRANCH VALVE &amp; ASH INLET VALVE U7</v>
      </c>
      <c r="C1364" s="1396" t="str">
        <f t="shared" si="197"/>
        <v>Yet to be approved</v>
      </c>
      <c r="D1364" s="1378" t="str">
        <f t="shared" si="197"/>
        <v>-</v>
      </c>
      <c r="E1364" s="1505">
        <f t="shared" si="197"/>
        <v>0</v>
      </c>
      <c r="F1364" s="1509">
        <f t="shared" si="192"/>
        <v>0</v>
      </c>
      <c r="G1364" s="1509">
        <f t="shared" si="193"/>
        <v>0</v>
      </c>
      <c r="H1364" s="1509">
        <f t="shared" si="194"/>
        <v>0</v>
      </c>
      <c r="I1364" s="1509">
        <v>0</v>
      </c>
      <c r="J1364" s="1509">
        <v>0</v>
      </c>
      <c r="K1364" s="1509"/>
      <c r="L1364" s="1509"/>
      <c r="M1364" s="1509">
        <f t="shared" si="195"/>
        <v>0</v>
      </c>
      <c r="N1364" s="1509">
        <f t="shared" si="196"/>
        <v>0</v>
      </c>
    </row>
    <row r="1365" spans="1:14" customFormat="1" ht="43.5" outlineLevel="1" x14ac:dyDescent="0.25">
      <c r="A1365" s="1511">
        <f t="shared" si="197"/>
        <v>27.8</v>
      </c>
      <c r="B1365" s="1515" t="str">
        <f t="shared" si="197"/>
        <v>Procurement of MOTORS, RELAY ,BREAKERS &amp; RETROFITTING   for pumps , IAC/CAC to improve availability &amp; performance of Bottom ash,  Coarse Ash &amp;  fly ash system of AHP, unit -7</v>
      </c>
      <c r="C1365" s="1396" t="str">
        <f t="shared" si="197"/>
        <v>Yet to be approved</v>
      </c>
      <c r="D1365" s="1378" t="str">
        <f t="shared" si="197"/>
        <v>-</v>
      </c>
      <c r="E1365" s="1505">
        <f t="shared" si="197"/>
        <v>0</v>
      </c>
      <c r="F1365" s="1509">
        <f t="shared" si="192"/>
        <v>0</v>
      </c>
      <c r="G1365" s="1509">
        <f t="shared" si="193"/>
        <v>0</v>
      </c>
      <c r="H1365" s="1509">
        <f t="shared" si="194"/>
        <v>0</v>
      </c>
      <c r="I1365" s="1509">
        <v>0</v>
      </c>
      <c r="J1365" s="1509">
        <v>0</v>
      </c>
      <c r="K1365" s="1509"/>
      <c r="L1365" s="1509"/>
      <c r="M1365" s="1509">
        <f t="shared" si="195"/>
        <v>0</v>
      </c>
      <c r="N1365" s="1509">
        <f t="shared" si="196"/>
        <v>0</v>
      </c>
    </row>
    <row r="1366" spans="1:14" customFormat="1" outlineLevel="1" x14ac:dyDescent="0.25">
      <c r="A1366" s="1511">
        <f t="shared" si="197"/>
        <v>27.9</v>
      </c>
      <c r="B1366" s="1515" t="str">
        <f t="shared" si="197"/>
        <v>Procurement of Replcement Water valve, AUDCO valve</v>
      </c>
      <c r="C1366" s="1396" t="str">
        <f t="shared" si="197"/>
        <v>Yet to be approved</v>
      </c>
      <c r="D1366" s="1378" t="str">
        <f t="shared" si="197"/>
        <v>-</v>
      </c>
      <c r="E1366" s="1505">
        <f t="shared" si="197"/>
        <v>0</v>
      </c>
      <c r="F1366" s="1509">
        <f t="shared" si="192"/>
        <v>0</v>
      </c>
      <c r="G1366" s="1509">
        <f t="shared" si="193"/>
        <v>0</v>
      </c>
      <c r="H1366" s="1509">
        <f t="shared" si="194"/>
        <v>0</v>
      </c>
      <c r="I1366" s="1509">
        <v>0</v>
      </c>
      <c r="J1366" s="1509">
        <v>0</v>
      </c>
      <c r="K1366" s="1509"/>
      <c r="L1366" s="1509"/>
      <c r="M1366" s="1509">
        <f t="shared" si="195"/>
        <v>0</v>
      </c>
      <c r="N1366" s="1509">
        <f t="shared" si="196"/>
        <v>0</v>
      </c>
    </row>
    <row r="1367" spans="1:14" customFormat="1" outlineLevel="1" x14ac:dyDescent="0.25">
      <c r="A1367" s="1511">
        <f t="shared" si="197"/>
        <v>27.1</v>
      </c>
      <c r="B1367" s="1515" t="str">
        <f t="shared" si="197"/>
        <v>Procurement &amp; replacement of Bottom ash clinker grinder</v>
      </c>
      <c r="C1367" s="1396" t="str">
        <f t="shared" si="197"/>
        <v>Yet to be approved</v>
      </c>
      <c r="D1367" s="1378" t="str">
        <f t="shared" si="197"/>
        <v>-</v>
      </c>
      <c r="E1367" s="1505">
        <f t="shared" si="197"/>
        <v>0</v>
      </c>
      <c r="F1367" s="1509">
        <f t="shared" si="192"/>
        <v>0</v>
      </c>
      <c r="G1367" s="1509">
        <f t="shared" si="193"/>
        <v>0</v>
      </c>
      <c r="H1367" s="1509">
        <f t="shared" si="194"/>
        <v>0</v>
      </c>
      <c r="I1367" s="1509">
        <v>0</v>
      </c>
      <c r="J1367" s="1509">
        <v>0</v>
      </c>
      <c r="K1367" s="1509"/>
      <c r="L1367" s="1509"/>
      <c r="M1367" s="1509">
        <f t="shared" si="195"/>
        <v>0</v>
      </c>
      <c r="N1367" s="1509">
        <f t="shared" si="196"/>
        <v>0</v>
      </c>
    </row>
    <row r="1368" spans="1:14" customFormat="1" ht="43.5" outlineLevel="1" x14ac:dyDescent="0.25">
      <c r="A1368" s="1511">
        <f t="shared" si="197"/>
        <v>27.11</v>
      </c>
      <c r="B1368" s="1515" t="str">
        <f t="shared" si="197"/>
        <v>UPGRADATION OF EXPIRED AND VULNERABLE Scada, operating system and hardware to improve life and communication system of HCSD Ash handling plant UNIT 6&amp;7 250MW at NPTPS PARLI V"</v>
      </c>
      <c r="C1368" s="1396" t="str">
        <f t="shared" si="197"/>
        <v>Yet to be approved</v>
      </c>
      <c r="D1368" s="1378" t="str">
        <f t="shared" si="197"/>
        <v>-</v>
      </c>
      <c r="E1368" s="1505">
        <f t="shared" si="197"/>
        <v>0</v>
      </c>
      <c r="F1368" s="1509">
        <f t="shared" si="192"/>
        <v>0</v>
      </c>
      <c r="G1368" s="1509">
        <f t="shared" si="193"/>
        <v>0</v>
      </c>
      <c r="H1368" s="1509">
        <f t="shared" si="194"/>
        <v>0</v>
      </c>
      <c r="I1368" s="1509">
        <v>0</v>
      </c>
      <c r="J1368" s="1509">
        <v>0</v>
      </c>
      <c r="K1368" s="1509"/>
      <c r="L1368" s="1509"/>
      <c r="M1368" s="1509">
        <f t="shared" si="195"/>
        <v>0</v>
      </c>
      <c r="N1368" s="1509">
        <f t="shared" si="196"/>
        <v>0</v>
      </c>
    </row>
    <row r="1369" spans="1:14" customFormat="1" outlineLevel="1" x14ac:dyDescent="0.25">
      <c r="A1369" s="1511">
        <f t="shared" ref="A1369:E1384" si="198">A1012</f>
        <v>0</v>
      </c>
      <c r="B1369" s="1515" t="str">
        <f t="shared" si="198"/>
        <v>IDC</v>
      </c>
      <c r="C1369" s="1396" t="str">
        <f t="shared" si="198"/>
        <v>Yet to be approved</v>
      </c>
      <c r="D1369" s="1378" t="str">
        <f t="shared" si="198"/>
        <v>-</v>
      </c>
      <c r="E1369" s="1505">
        <f t="shared" si="198"/>
        <v>0</v>
      </c>
      <c r="F1369" s="1509">
        <f t="shared" si="192"/>
        <v>0</v>
      </c>
      <c r="G1369" s="1509">
        <f t="shared" si="193"/>
        <v>0</v>
      </c>
      <c r="H1369" s="1509">
        <f t="shared" si="194"/>
        <v>0</v>
      </c>
      <c r="I1369" s="1509">
        <v>0</v>
      </c>
      <c r="J1369" s="1509">
        <v>0</v>
      </c>
      <c r="K1369" s="1509"/>
      <c r="L1369" s="1509"/>
      <c r="M1369" s="1509">
        <f t="shared" si="195"/>
        <v>0</v>
      </c>
      <c r="N1369" s="1509">
        <f t="shared" si="196"/>
        <v>0</v>
      </c>
    </row>
    <row r="1370" spans="1:14" customFormat="1" ht="29" outlineLevel="1" x14ac:dyDescent="0.25">
      <c r="A1370" s="1506">
        <f t="shared" si="198"/>
        <v>28</v>
      </c>
      <c r="B1370" s="1507" t="str">
        <f t="shared" si="198"/>
        <v>ASH  EVACUATION  IMPROVEMENT  AND  PERFORMANCE &amp; EFFICIENCY OF ASH HANDLING SYSTEM At NPTPS Parli-V AT TPS PARLI-V.</v>
      </c>
      <c r="C1370" s="1506" t="str">
        <f t="shared" si="198"/>
        <v>Yet to be approved</v>
      </c>
      <c r="D1370" s="1507" t="str">
        <f t="shared" si="198"/>
        <v>-</v>
      </c>
      <c r="E1370" s="1506">
        <f t="shared" si="198"/>
        <v>0</v>
      </c>
      <c r="F1370" s="1509">
        <f t="shared" si="192"/>
        <v>0</v>
      </c>
      <c r="G1370" s="1509">
        <f t="shared" si="193"/>
        <v>0</v>
      </c>
      <c r="H1370" s="1509">
        <f t="shared" si="194"/>
        <v>0</v>
      </c>
      <c r="I1370" s="1509">
        <v>0</v>
      </c>
      <c r="J1370" s="1509">
        <v>0</v>
      </c>
      <c r="K1370" s="1509"/>
      <c r="L1370" s="1509"/>
      <c r="M1370" s="1509">
        <f t="shared" si="195"/>
        <v>0</v>
      </c>
      <c r="N1370" s="1509">
        <f t="shared" si="196"/>
        <v>0</v>
      </c>
    </row>
    <row r="1371" spans="1:14" customFormat="1" outlineLevel="1" x14ac:dyDescent="0.25">
      <c r="A1371" s="1511">
        <f t="shared" si="198"/>
        <v>28.1</v>
      </c>
      <c r="B1371" s="1515" t="str">
        <f t="shared" si="198"/>
        <v>GEHO pump critical assemblies replacement.</v>
      </c>
      <c r="C1371" s="1396" t="str">
        <f t="shared" si="198"/>
        <v>Yet to be approved</v>
      </c>
      <c r="D1371" s="1378" t="str">
        <f t="shared" si="198"/>
        <v>-</v>
      </c>
      <c r="E1371" s="1505">
        <f t="shared" si="198"/>
        <v>0</v>
      </c>
      <c r="F1371" s="1509">
        <f t="shared" si="192"/>
        <v>0</v>
      </c>
      <c r="G1371" s="1509">
        <f t="shared" si="193"/>
        <v>0</v>
      </c>
      <c r="H1371" s="1509">
        <f t="shared" si="194"/>
        <v>0</v>
      </c>
      <c r="I1371" s="1509">
        <v>0</v>
      </c>
      <c r="J1371" s="1509">
        <v>0</v>
      </c>
      <c r="K1371" s="1509"/>
      <c r="L1371" s="1509"/>
      <c r="M1371" s="1509">
        <f t="shared" si="195"/>
        <v>0</v>
      </c>
      <c r="N1371" s="1509">
        <f t="shared" si="196"/>
        <v>0</v>
      </c>
    </row>
    <row r="1372" spans="1:14" customFormat="1" ht="29" outlineLevel="1" x14ac:dyDescent="0.25">
      <c r="A1372" s="1511">
        <f t="shared" si="198"/>
        <v>28.2</v>
      </c>
      <c r="B1372" s="1515" t="str">
        <f t="shared" si="198"/>
        <v xml:space="preserve">DESIGN , SUPPLY &amp; REPLCEMENT OF  HP WATER PUMP COMPLTE ASSEMBLY ALONG WITH GEAR BOX, MOTORS </v>
      </c>
      <c r="C1372" s="1396" t="str">
        <f t="shared" si="198"/>
        <v>Yet to be approved</v>
      </c>
      <c r="D1372" s="1378" t="str">
        <f t="shared" si="198"/>
        <v>-</v>
      </c>
      <c r="E1372" s="1505">
        <f t="shared" si="198"/>
        <v>0</v>
      </c>
      <c r="F1372" s="1509">
        <f t="shared" si="192"/>
        <v>0</v>
      </c>
      <c r="G1372" s="1509">
        <f t="shared" si="193"/>
        <v>0</v>
      </c>
      <c r="H1372" s="1509">
        <f t="shared" si="194"/>
        <v>0</v>
      </c>
      <c r="I1372" s="1509">
        <v>0</v>
      </c>
      <c r="J1372" s="1509">
        <v>0</v>
      </c>
      <c r="K1372" s="1509"/>
      <c r="L1372" s="1509"/>
      <c r="M1372" s="1509">
        <f t="shared" si="195"/>
        <v>0</v>
      </c>
      <c r="N1372" s="1509">
        <f t="shared" si="196"/>
        <v>0</v>
      </c>
    </row>
    <row r="1373" spans="1:14" customFormat="1" outlineLevel="1" x14ac:dyDescent="0.25">
      <c r="A1373" s="1511">
        <f t="shared" si="198"/>
        <v>28.3</v>
      </c>
      <c r="B1373" s="1515" t="str">
        <f t="shared" si="198"/>
        <v>Upgradation of BA clinker grinder  at U#6/7</v>
      </c>
      <c r="C1373" s="1396" t="str">
        <f t="shared" si="198"/>
        <v>Yet to be approved</v>
      </c>
      <c r="D1373" s="1378" t="str">
        <f t="shared" si="198"/>
        <v>-</v>
      </c>
      <c r="E1373" s="1505">
        <f t="shared" si="198"/>
        <v>0</v>
      </c>
      <c r="F1373" s="1509">
        <f t="shared" si="192"/>
        <v>0</v>
      </c>
      <c r="G1373" s="1509">
        <f t="shared" si="193"/>
        <v>0</v>
      </c>
      <c r="H1373" s="1509">
        <f t="shared" si="194"/>
        <v>0</v>
      </c>
      <c r="I1373" s="1509">
        <v>0</v>
      </c>
      <c r="J1373" s="1509">
        <v>0</v>
      </c>
      <c r="K1373" s="1509"/>
      <c r="L1373" s="1509"/>
      <c r="M1373" s="1509">
        <f t="shared" si="195"/>
        <v>0</v>
      </c>
      <c r="N1373" s="1509">
        <f t="shared" si="196"/>
        <v>0</v>
      </c>
    </row>
    <row r="1374" spans="1:14" customFormat="1" ht="29" outlineLevel="1" x14ac:dyDescent="0.25">
      <c r="A1374" s="1511">
        <f t="shared" si="198"/>
        <v>28.4</v>
      </c>
      <c r="B1374" s="1515" t="str">
        <f t="shared" si="198"/>
        <v>Scheme 4: Spares for premium make ash mixer gear box H1-160 5.06/1, P2 O No.160106, Sr No.2RF 12629 &amp; H1-180 1.35/1</v>
      </c>
      <c r="C1374" s="1396" t="str">
        <f t="shared" si="198"/>
        <v>Yet to be approved</v>
      </c>
      <c r="D1374" s="1378" t="str">
        <f t="shared" si="198"/>
        <v>-</v>
      </c>
      <c r="E1374" s="1505">
        <f t="shared" si="198"/>
        <v>0</v>
      </c>
      <c r="F1374" s="1509">
        <f t="shared" si="192"/>
        <v>0</v>
      </c>
      <c r="G1374" s="1509">
        <f t="shared" si="193"/>
        <v>0</v>
      </c>
      <c r="H1374" s="1509">
        <f t="shared" si="194"/>
        <v>0</v>
      </c>
      <c r="I1374" s="1509">
        <v>0</v>
      </c>
      <c r="J1374" s="1509">
        <v>0</v>
      </c>
      <c r="K1374" s="1509"/>
      <c r="L1374" s="1509"/>
      <c r="M1374" s="1509">
        <f t="shared" si="195"/>
        <v>0</v>
      </c>
      <c r="N1374" s="1509">
        <f t="shared" si="196"/>
        <v>0</v>
      </c>
    </row>
    <row r="1375" spans="1:14" customFormat="1" outlineLevel="1" x14ac:dyDescent="0.25">
      <c r="A1375" s="1511">
        <f t="shared" si="198"/>
        <v>28.5</v>
      </c>
      <c r="B1375" s="1515" t="str">
        <f t="shared" si="198"/>
        <v>Spares for premium make ash mixer gear box  VB2SA-225 17.1/1p1</v>
      </c>
      <c r="C1375" s="1396" t="str">
        <f t="shared" si="198"/>
        <v>Yet to be approved</v>
      </c>
      <c r="D1375" s="1378" t="str">
        <f t="shared" si="198"/>
        <v>-</v>
      </c>
      <c r="E1375" s="1505">
        <f t="shared" si="198"/>
        <v>0</v>
      </c>
      <c r="F1375" s="1509">
        <f t="shared" si="192"/>
        <v>0</v>
      </c>
      <c r="G1375" s="1509">
        <f t="shared" si="193"/>
        <v>0</v>
      </c>
      <c r="H1375" s="1509">
        <f t="shared" si="194"/>
        <v>0</v>
      </c>
      <c r="I1375" s="1509">
        <v>0</v>
      </c>
      <c r="J1375" s="1509">
        <v>0</v>
      </c>
      <c r="K1375" s="1509"/>
      <c r="L1375" s="1509"/>
      <c r="M1375" s="1509">
        <f t="shared" si="195"/>
        <v>0</v>
      </c>
      <c r="N1375" s="1509">
        <f t="shared" si="196"/>
        <v>0</v>
      </c>
    </row>
    <row r="1376" spans="1:14" customFormat="1" outlineLevel="1" x14ac:dyDescent="0.25">
      <c r="A1376" s="1511">
        <f t="shared" si="198"/>
        <v>28.6</v>
      </c>
      <c r="B1376" s="1515" t="str">
        <f t="shared" si="198"/>
        <v xml:space="preserve">DESIGN , SUPPLY &amp; REPLCEMENT  VACUUM PUMP  </v>
      </c>
      <c r="C1376" s="1396" t="str">
        <f t="shared" si="198"/>
        <v>Yet to be approved</v>
      </c>
      <c r="D1376" s="1378" t="str">
        <f t="shared" si="198"/>
        <v>-</v>
      </c>
      <c r="E1376" s="1505">
        <f t="shared" si="198"/>
        <v>0</v>
      </c>
      <c r="F1376" s="1509">
        <f t="shared" si="192"/>
        <v>0</v>
      </c>
      <c r="G1376" s="1509">
        <f t="shared" si="193"/>
        <v>0</v>
      </c>
      <c r="H1376" s="1509">
        <f t="shared" si="194"/>
        <v>0</v>
      </c>
      <c r="I1376" s="1509">
        <v>0</v>
      </c>
      <c r="J1376" s="1509">
        <v>0</v>
      </c>
      <c r="K1376" s="1509"/>
      <c r="L1376" s="1509"/>
      <c r="M1376" s="1509">
        <f t="shared" si="195"/>
        <v>0</v>
      </c>
      <c r="N1376" s="1509">
        <f t="shared" si="196"/>
        <v>0</v>
      </c>
    </row>
    <row r="1377" spans="1:14" customFormat="1" outlineLevel="1" x14ac:dyDescent="0.25">
      <c r="A1377" s="1511">
        <f t="shared" si="198"/>
        <v>0</v>
      </c>
      <c r="B1377" s="1515" t="str">
        <f t="shared" si="198"/>
        <v>IDC</v>
      </c>
      <c r="C1377" s="1396" t="str">
        <f t="shared" si="198"/>
        <v>Yet to be approved</v>
      </c>
      <c r="D1377" s="1378" t="str">
        <f t="shared" si="198"/>
        <v>-</v>
      </c>
      <c r="E1377" s="1505">
        <f t="shared" si="198"/>
        <v>0</v>
      </c>
      <c r="F1377" s="1509">
        <f t="shared" si="192"/>
        <v>0</v>
      </c>
      <c r="G1377" s="1509">
        <f t="shared" si="193"/>
        <v>0</v>
      </c>
      <c r="H1377" s="1509">
        <f t="shared" si="194"/>
        <v>0</v>
      </c>
      <c r="I1377" s="1509">
        <v>0</v>
      </c>
      <c r="J1377" s="1509">
        <v>0</v>
      </c>
      <c r="K1377" s="1509"/>
      <c r="L1377" s="1509"/>
      <c r="M1377" s="1509">
        <f t="shared" si="195"/>
        <v>0</v>
      </c>
      <c r="N1377" s="1509">
        <f t="shared" si="196"/>
        <v>0</v>
      </c>
    </row>
    <row r="1378" spans="1:14" customFormat="1" ht="29" outlineLevel="1" x14ac:dyDescent="0.25">
      <c r="A1378" s="1506">
        <f t="shared" si="198"/>
        <v>29</v>
      </c>
      <c r="B1378" s="1507" t="str">
        <f t="shared" si="198"/>
        <v>ASH  EVACUATION  IMPROVEMENT  AND  PERFORMANCE &amp; EFFICIENCY OF ASH HANDLING SYSTEM At NPTPS Parli-V AT TPS PARLI-V.</v>
      </c>
      <c r="C1378" s="1506" t="str">
        <f t="shared" si="198"/>
        <v>Yet to be approved</v>
      </c>
      <c r="D1378" s="1507" t="str">
        <f t="shared" si="198"/>
        <v>-</v>
      </c>
      <c r="E1378" s="1506">
        <f t="shared" si="198"/>
        <v>0</v>
      </c>
      <c r="F1378" s="1509">
        <f t="shared" si="192"/>
        <v>0</v>
      </c>
      <c r="G1378" s="1509">
        <f t="shared" si="193"/>
        <v>0</v>
      </c>
      <c r="H1378" s="1509">
        <f t="shared" si="194"/>
        <v>0</v>
      </c>
      <c r="I1378" s="1509">
        <v>0</v>
      </c>
      <c r="J1378" s="1509">
        <v>0</v>
      </c>
      <c r="K1378" s="1509"/>
      <c r="L1378" s="1509"/>
      <c r="M1378" s="1509">
        <f t="shared" si="195"/>
        <v>0</v>
      </c>
      <c r="N1378" s="1509">
        <f t="shared" si="196"/>
        <v>0</v>
      </c>
    </row>
    <row r="1379" spans="1:14" customFormat="1" ht="43.5" outlineLevel="1" x14ac:dyDescent="0.25">
      <c r="A1379" s="1511">
        <f t="shared" si="198"/>
        <v>29.1</v>
      </c>
      <c r="B1379" s="1515" t="str">
        <f t="shared" si="198"/>
        <v>Procurement &amp; replacement of 300 NB,200NB Cash Basalt Pipelines with the existing MSERW pipe of ash disposal system of Unit #6&amp;  7 at Parli TPS, Parli V .</v>
      </c>
      <c r="C1379" s="1396" t="str">
        <f t="shared" si="198"/>
        <v>Yet to be approved</v>
      </c>
      <c r="D1379" s="1378" t="str">
        <f t="shared" si="198"/>
        <v>-</v>
      </c>
      <c r="E1379" s="1505">
        <f t="shared" si="198"/>
        <v>0</v>
      </c>
      <c r="F1379" s="1509">
        <f t="shared" si="192"/>
        <v>0</v>
      </c>
      <c r="G1379" s="1509">
        <f t="shared" si="193"/>
        <v>0</v>
      </c>
      <c r="H1379" s="1509">
        <f t="shared" si="194"/>
        <v>0</v>
      </c>
      <c r="I1379" s="1509">
        <v>0</v>
      </c>
      <c r="J1379" s="1509">
        <v>0</v>
      </c>
      <c r="K1379" s="1509"/>
      <c r="L1379" s="1509"/>
      <c r="M1379" s="1509">
        <f t="shared" si="195"/>
        <v>0</v>
      </c>
      <c r="N1379" s="1509">
        <f t="shared" si="196"/>
        <v>0</v>
      </c>
    </row>
    <row r="1380" spans="1:14" customFormat="1" ht="43.5" outlineLevel="1" x14ac:dyDescent="0.25">
      <c r="A1380" s="1511">
        <f t="shared" si="198"/>
        <v>29.2</v>
      </c>
      <c r="B1380" s="1515" t="str">
        <f t="shared" si="198"/>
        <v>Procurement of MOTORS, RELAY ,BREAKERS &amp; RETROFITTING   for pumps , IAC/CAC to improve availability &amp; performance of Bottom ash,  Coarse Ash &amp;  fly ash system of AHP, unit 6</v>
      </c>
      <c r="C1380" s="1396" t="str">
        <f t="shared" si="198"/>
        <v>Yet to be approved</v>
      </c>
      <c r="D1380" s="1378" t="str">
        <f t="shared" si="198"/>
        <v>-</v>
      </c>
      <c r="E1380" s="1505">
        <f t="shared" si="198"/>
        <v>0</v>
      </c>
      <c r="F1380" s="1509">
        <f t="shared" si="192"/>
        <v>0</v>
      </c>
      <c r="G1380" s="1509">
        <f t="shared" si="193"/>
        <v>0</v>
      </c>
      <c r="H1380" s="1509">
        <f t="shared" si="194"/>
        <v>0</v>
      </c>
      <c r="I1380" s="1509">
        <v>0</v>
      </c>
      <c r="J1380" s="1509">
        <v>0</v>
      </c>
      <c r="K1380" s="1509"/>
      <c r="L1380" s="1509"/>
      <c r="M1380" s="1509">
        <f t="shared" si="195"/>
        <v>0</v>
      </c>
      <c r="N1380" s="1509">
        <f t="shared" si="196"/>
        <v>0</v>
      </c>
    </row>
    <row r="1381" spans="1:14" customFormat="1" outlineLevel="1" x14ac:dyDescent="0.25">
      <c r="A1381" s="1511">
        <f t="shared" si="198"/>
        <v>29.3</v>
      </c>
      <c r="B1381" s="1515" t="str">
        <f t="shared" si="198"/>
        <v>DESIGN , SUPPLY &amp; REPLCEMENT  VACUUM PUMP U#6</v>
      </c>
      <c r="C1381" s="1396" t="str">
        <f t="shared" si="198"/>
        <v>Yet to be approved</v>
      </c>
      <c r="D1381" s="1378" t="str">
        <f t="shared" si="198"/>
        <v>-</v>
      </c>
      <c r="E1381" s="1505">
        <f t="shared" si="198"/>
        <v>0</v>
      </c>
      <c r="F1381" s="1509">
        <f t="shared" si="192"/>
        <v>0</v>
      </c>
      <c r="G1381" s="1509">
        <f t="shared" si="193"/>
        <v>0</v>
      </c>
      <c r="H1381" s="1509">
        <f t="shared" si="194"/>
        <v>0</v>
      </c>
      <c r="I1381" s="1509">
        <v>0</v>
      </c>
      <c r="J1381" s="1509">
        <v>0</v>
      </c>
      <c r="K1381" s="1509"/>
      <c r="L1381" s="1509"/>
      <c r="M1381" s="1509">
        <f t="shared" si="195"/>
        <v>0</v>
      </c>
      <c r="N1381" s="1509">
        <f t="shared" si="196"/>
        <v>0</v>
      </c>
    </row>
    <row r="1382" spans="1:14" customFormat="1" outlineLevel="1" x14ac:dyDescent="0.25">
      <c r="A1382" s="1511">
        <f t="shared" si="198"/>
        <v>0</v>
      </c>
      <c r="B1382" s="1515" t="str">
        <f t="shared" si="198"/>
        <v>IDC</v>
      </c>
      <c r="C1382" s="1396" t="str">
        <f t="shared" si="198"/>
        <v>Yet to be approved</v>
      </c>
      <c r="D1382" s="1378" t="str">
        <f t="shared" si="198"/>
        <v>-</v>
      </c>
      <c r="E1382" s="1505">
        <f t="shared" si="198"/>
        <v>0</v>
      </c>
      <c r="F1382" s="1509">
        <f t="shared" si="192"/>
        <v>0</v>
      </c>
      <c r="G1382" s="1509">
        <f t="shared" si="193"/>
        <v>0</v>
      </c>
      <c r="H1382" s="1509">
        <f t="shared" si="194"/>
        <v>0</v>
      </c>
      <c r="I1382" s="1509">
        <v>0</v>
      </c>
      <c r="J1382" s="1509">
        <v>0</v>
      </c>
      <c r="K1382" s="1509"/>
      <c r="L1382" s="1509"/>
      <c r="M1382" s="1509">
        <f t="shared" si="195"/>
        <v>0</v>
      </c>
      <c r="N1382" s="1509">
        <f t="shared" si="196"/>
        <v>0</v>
      </c>
    </row>
    <row r="1383" spans="1:14" customFormat="1" ht="29" outlineLevel="1" x14ac:dyDescent="0.25">
      <c r="A1383" s="1506">
        <f t="shared" si="198"/>
        <v>30</v>
      </c>
      <c r="B1383" s="1507" t="str">
        <f t="shared" si="198"/>
        <v>ASH  EVACUATION  IMPROVEMENT  AND  PERFORMANCE &amp; EFFICIENCY OF ASH HANDLING SYSTEM At NPTPS Parli-V AT TPS PARLI-V.</v>
      </c>
      <c r="C1383" s="1506" t="str">
        <f t="shared" si="198"/>
        <v>Yet to be approved</v>
      </c>
      <c r="D1383" s="1507" t="str">
        <f t="shared" si="198"/>
        <v>-</v>
      </c>
      <c r="E1383" s="1506">
        <f t="shared" si="198"/>
        <v>0</v>
      </c>
      <c r="F1383" s="1509">
        <f t="shared" si="192"/>
        <v>0</v>
      </c>
      <c r="G1383" s="1509">
        <f t="shared" si="193"/>
        <v>0</v>
      </c>
      <c r="H1383" s="1509">
        <f t="shared" si="194"/>
        <v>0</v>
      </c>
      <c r="I1383" s="1509">
        <v>0</v>
      </c>
      <c r="J1383" s="1509">
        <v>0</v>
      </c>
      <c r="K1383" s="1509"/>
      <c r="L1383" s="1509"/>
      <c r="M1383" s="1509">
        <f t="shared" si="195"/>
        <v>0</v>
      </c>
      <c r="N1383" s="1509">
        <f t="shared" si="196"/>
        <v>0</v>
      </c>
    </row>
    <row r="1384" spans="1:14" customFormat="1" outlineLevel="1" x14ac:dyDescent="0.25">
      <c r="A1384" s="1511">
        <f t="shared" si="198"/>
        <v>30.1</v>
      </c>
      <c r="B1384" s="1515" t="str">
        <f t="shared" si="198"/>
        <v>DESIGN , SUPPLY &amp; REPLCEMENT  VACUUM PUMP</v>
      </c>
      <c r="C1384" s="1396" t="str">
        <f t="shared" si="198"/>
        <v>Yet to be approved</v>
      </c>
      <c r="D1384" s="1378" t="str">
        <f t="shared" si="198"/>
        <v>-</v>
      </c>
      <c r="E1384" s="1505">
        <f t="shared" si="198"/>
        <v>0</v>
      </c>
      <c r="F1384" s="1509">
        <f t="shared" si="192"/>
        <v>0</v>
      </c>
      <c r="G1384" s="1509">
        <f t="shared" si="193"/>
        <v>0</v>
      </c>
      <c r="H1384" s="1509">
        <f t="shared" si="194"/>
        <v>0</v>
      </c>
      <c r="I1384" s="1509">
        <v>0</v>
      </c>
      <c r="J1384" s="1509">
        <v>0</v>
      </c>
      <c r="K1384" s="1509"/>
      <c r="L1384" s="1509"/>
      <c r="M1384" s="1509">
        <f t="shared" si="195"/>
        <v>0</v>
      </c>
      <c r="N1384" s="1509">
        <f t="shared" si="196"/>
        <v>0</v>
      </c>
    </row>
    <row r="1385" spans="1:14" customFormat="1" ht="29" outlineLevel="1" x14ac:dyDescent="0.25">
      <c r="A1385" s="1511">
        <f t="shared" ref="A1385:E1400" si="199">A1028</f>
        <v>30.2</v>
      </c>
      <c r="B1385" s="1515" t="str">
        <f t="shared" si="199"/>
        <v>DESIGN , SUPPLY &amp; REPLCEMENT OF  ASH DISPOSAL SLURRY PUMP  COMPLTE ASSEMBLY ALONG WITH GEAR BOX, MOTORS U-6&amp; 7</v>
      </c>
      <c r="C1385" s="1396" t="str">
        <f t="shared" si="199"/>
        <v>Yet to be approved</v>
      </c>
      <c r="D1385" s="1378" t="str">
        <f t="shared" si="199"/>
        <v>-</v>
      </c>
      <c r="E1385" s="1505">
        <f t="shared" si="199"/>
        <v>0</v>
      </c>
      <c r="F1385" s="1509">
        <f t="shared" si="192"/>
        <v>0</v>
      </c>
      <c r="G1385" s="1509">
        <f t="shared" si="193"/>
        <v>0</v>
      </c>
      <c r="H1385" s="1509">
        <f t="shared" si="194"/>
        <v>0</v>
      </c>
      <c r="I1385" s="1509">
        <v>0</v>
      </c>
      <c r="J1385" s="1509">
        <v>0</v>
      </c>
      <c r="K1385" s="1509"/>
      <c r="L1385" s="1509"/>
      <c r="M1385" s="1509">
        <f t="shared" si="195"/>
        <v>0</v>
      </c>
      <c r="N1385" s="1509">
        <f t="shared" si="196"/>
        <v>0</v>
      </c>
    </row>
    <row r="1386" spans="1:14" customFormat="1" ht="29" outlineLevel="1" x14ac:dyDescent="0.25">
      <c r="A1386" s="1511">
        <f t="shared" si="199"/>
        <v>30.3</v>
      </c>
      <c r="B1386" s="1515" t="str">
        <f t="shared" si="199"/>
        <v>DESIGN , SUPPLY &amp; REPLCEMENT OF  HP WATER PUMP COMPLTE ASSEMBLY ALONG WITH GEAR BOX, MOTORS U-6&amp; 7</v>
      </c>
      <c r="C1386" s="1396" t="str">
        <f t="shared" si="199"/>
        <v>Yet to be approved</v>
      </c>
      <c r="D1386" s="1378" t="str">
        <f t="shared" si="199"/>
        <v>-</v>
      </c>
      <c r="E1386" s="1505">
        <f t="shared" si="199"/>
        <v>0</v>
      </c>
      <c r="F1386" s="1509">
        <f t="shared" si="192"/>
        <v>0</v>
      </c>
      <c r="G1386" s="1509">
        <f t="shared" si="193"/>
        <v>0</v>
      </c>
      <c r="H1386" s="1509">
        <f t="shared" si="194"/>
        <v>0</v>
      </c>
      <c r="I1386" s="1509">
        <v>0</v>
      </c>
      <c r="J1386" s="1509">
        <v>0</v>
      </c>
      <c r="K1386" s="1509"/>
      <c r="L1386" s="1509"/>
      <c r="M1386" s="1509">
        <f t="shared" si="195"/>
        <v>0</v>
      </c>
      <c r="N1386" s="1509">
        <f t="shared" si="196"/>
        <v>0</v>
      </c>
    </row>
    <row r="1387" spans="1:14" customFormat="1" ht="43.5" outlineLevel="1" x14ac:dyDescent="0.25">
      <c r="A1387" s="1511">
        <f t="shared" si="199"/>
        <v>30.4</v>
      </c>
      <c r="B1387" s="1515" t="str">
        <f t="shared" si="199"/>
        <v xml:space="preserve"> Procurement of MOTORS, RELAY ,BREAKERS &amp; RETROFITTING   for HCSD  to improve availability &amp; performance of Bottom ash,  Coarse Ash &amp;  fly ash system of AHP, unit 6</v>
      </c>
      <c r="C1387" s="1396" t="str">
        <f t="shared" si="199"/>
        <v>Yet to be approved</v>
      </c>
      <c r="D1387" s="1378" t="str">
        <f t="shared" si="199"/>
        <v>-</v>
      </c>
      <c r="E1387" s="1505">
        <f t="shared" si="199"/>
        <v>0</v>
      </c>
      <c r="F1387" s="1509">
        <f t="shared" si="192"/>
        <v>0</v>
      </c>
      <c r="G1387" s="1509">
        <f t="shared" si="193"/>
        <v>0</v>
      </c>
      <c r="H1387" s="1509">
        <f t="shared" si="194"/>
        <v>0</v>
      </c>
      <c r="I1387" s="1509">
        <v>0</v>
      </c>
      <c r="J1387" s="1509">
        <v>0</v>
      </c>
      <c r="K1387" s="1509"/>
      <c r="L1387" s="1509"/>
      <c r="M1387" s="1509">
        <f t="shared" si="195"/>
        <v>0</v>
      </c>
      <c r="N1387" s="1509">
        <f t="shared" si="196"/>
        <v>0</v>
      </c>
    </row>
    <row r="1388" spans="1:14" customFormat="1" ht="29" outlineLevel="1" x14ac:dyDescent="0.25">
      <c r="A1388" s="1511">
        <f t="shared" si="199"/>
        <v>30.5</v>
      </c>
      <c r="B1388" s="1515" t="str">
        <f t="shared" si="199"/>
        <v>Upgradation of reciprocating  Conveying Air compressor into screw compressor  at U#6</v>
      </c>
      <c r="C1388" s="1396" t="str">
        <f t="shared" si="199"/>
        <v>Yet to be approved</v>
      </c>
      <c r="D1388" s="1378" t="str">
        <f t="shared" si="199"/>
        <v>-</v>
      </c>
      <c r="E1388" s="1505">
        <f t="shared" si="199"/>
        <v>0</v>
      </c>
      <c r="F1388" s="1509">
        <f t="shared" si="192"/>
        <v>0</v>
      </c>
      <c r="G1388" s="1509">
        <f t="shared" si="193"/>
        <v>0</v>
      </c>
      <c r="H1388" s="1509">
        <f t="shared" si="194"/>
        <v>0</v>
      </c>
      <c r="I1388" s="1509">
        <v>0</v>
      </c>
      <c r="J1388" s="1509">
        <v>0</v>
      </c>
      <c r="K1388" s="1509"/>
      <c r="L1388" s="1509"/>
      <c r="M1388" s="1509">
        <f t="shared" si="195"/>
        <v>0</v>
      </c>
      <c r="N1388" s="1509">
        <f t="shared" si="196"/>
        <v>0</v>
      </c>
    </row>
    <row r="1389" spans="1:14" customFormat="1" ht="29" outlineLevel="1" x14ac:dyDescent="0.25">
      <c r="A1389" s="1511">
        <f t="shared" si="199"/>
        <v>30.6</v>
      </c>
      <c r="B1389" s="1515" t="str">
        <f t="shared" si="199"/>
        <v xml:space="preserve">Upgradation of reciprocating  Instrument  Air compressor into screw compressor  at U#6  </v>
      </c>
      <c r="C1389" s="1396" t="str">
        <f t="shared" si="199"/>
        <v>Yet to be approved</v>
      </c>
      <c r="D1389" s="1378" t="str">
        <f t="shared" si="199"/>
        <v>-</v>
      </c>
      <c r="E1389" s="1505">
        <f t="shared" si="199"/>
        <v>0</v>
      </c>
      <c r="F1389" s="1509">
        <f t="shared" si="192"/>
        <v>0</v>
      </c>
      <c r="G1389" s="1509">
        <f t="shared" si="193"/>
        <v>0</v>
      </c>
      <c r="H1389" s="1509">
        <f t="shared" si="194"/>
        <v>0</v>
      </c>
      <c r="I1389" s="1509">
        <v>0</v>
      </c>
      <c r="J1389" s="1509">
        <v>0</v>
      </c>
      <c r="K1389" s="1509"/>
      <c r="L1389" s="1509"/>
      <c r="M1389" s="1509">
        <f t="shared" si="195"/>
        <v>0</v>
      </c>
      <c r="N1389" s="1509">
        <f t="shared" si="196"/>
        <v>0</v>
      </c>
    </row>
    <row r="1390" spans="1:14" customFormat="1" outlineLevel="1" x14ac:dyDescent="0.25">
      <c r="A1390" s="1511">
        <f t="shared" si="199"/>
        <v>0</v>
      </c>
      <c r="B1390" s="1515" t="str">
        <f t="shared" si="199"/>
        <v>IDC</v>
      </c>
      <c r="C1390" s="1396" t="str">
        <f t="shared" si="199"/>
        <v>Yet to be approved</v>
      </c>
      <c r="D1390" s="1378" t="str">
        <f t="shared" si="199"/>
        <v>-</v>
      </c>
      <c r="E1390" s="1505">
        <f t="shared" si="199"/>
        <v>0</v>
      </c>
      <c r="F1390" s="1509">
        <f t="shared" si="192"/>
        <v>0</v>
      </c>
      <c r="G1390" s="1509">
        <f t="shared" si="193"/>
        <v>0</v>
      </c>
      <c r="H1390" s="1509">
        <f t="shared" si="194"/>
        <v>0</v>
      </c>
      <c r="I1390" s="1509">
        <v>0</v>
      </c>
      <c r="J1390" s="1509">
        <v>0</v>
      </c>
      <c r="K1390" s="1509"/>
      <c r="L1390" s="1509"/>
      <c r="M1390" s="1509">
        <f t="shared" si="195"/>
        <v>0</v>
      </c>
      <c r="N1390" s="1509">
        <f t="shared" si="196"/>
        <v>0</v>
      </c>
    </row>
    <row r="1391" spans="1:14" customFormat="1" outlineLevel="1" x14ac:dyDescent="0.25">
      <c r="A1391" s="1506">
        <f t="shared" si="199"/>
        <v>31</v>
      </c>
      <c r="B1391" s="1507" t="str">
        <f t="shared" si="199"/>
        <v xml:space="preserve">Construction of VIP guest house building at TPS Parli Vaijnath  </v>
      </c>
      <c r="C1391" s="1506" t="str">
        <f t="shared" si="199"/>
        <v>Yet to be approved</v>
      </c>
      <c r="D1391" s="1507" t="str">
        <f t="shared" si="199"/>
        <v>-</v>
      </c>
      <c r="E1391" s="1506">
        <f t="shared" si="199"/>
        <v>0</v>
      </c>
      <c r="F1391" s="1509">
        <f t="shared" si="192"/>
        <v>0</v>
      </c>
      <c r="G1391" s="1509">
        <f t="shared" si="193"/>
        <v>0</v>
      </c>
      <c r="H1391" s="1509">
        <f t="shared" si="194"/>
        <v>0</v>
      </c>
      <c r="I1391" s="1509">
        <v>0</v>
      </c>
      <c r="J1391" s="1509">
        <v>0</v>
      </c>
      <c r="K1391" s="1509"/>
      <c r="L1391" s="1509"/>
      <c r="M1391" s="1509">
        <f t="shared" si="195"/>
        <v>0</v>
      </c>
      <c r="N1391" s="1509">
        <f t="shared" si="196"/>
        <v>0</v>
      </c>
    </row>
    <row r="1392" spans="1:14" customFormat="1" outlineLevel="1" x14ac:dyDescent="0.25">
      <c r="A1392" s="1511">
        <f t="shared" si="199"/>
        <v>31.1</v>
      </c>
      <c r="B1392" s="1515" t="str">
        <f t="shared" si="199"/>
        <v xml:space="preserve">Construction of VIP guest house building at TPS Parli Vaijnath  </v>
      </c>
      <c r="C1392" s="1396" t="str">
        <f t="shared" si="199"/>
        <v>Yet to be approved</v>
      </c>
      <c r="D1392" s="1378" t="str">
        <f t="shared" si="199"/>
        <v>-</v>
      </c>
      <c r="E1392" s="1505">
        <f t="shared" si="199"/>
        <v>0</v>
      </c>
      <c r="F1392" s="1509">
        <f t="shared" si="192"/>
        <v>0</v>
      </c>
      <c r="G1392" s="1509">
        <f t="shared" si="193"/>
        <v>0</v>
      </c>
      <c r="H1392" s="1509">
        <f t="shared" si="194"/>
        <v>0</v>
      </c>
      <c r="I1392" s="1509">
        <v>10</v>
      </c>
      <c r="J1392" s="1509">
        <v>0</v>
      </c>
      <c r="K1392" s="1509"/>
      <c r="L1392" s="1509"/>
      <c r="M1392" s="1509">
        <f t="shared" si="195"/>
        <v>0</v>
      </c>
      <c r="N1392" s="1509">
        <f t="shared" si="196"/>
        <v>10</v>
      </c>
    </row>
    <row r="1393" spans="1:14" customFormat="1" ht="43.5" outlineLevel="1" x14ac:dyDescent="0.25">
      <c r="A1393" s="1506">
        <f t="shared" si="199"/>
        <v>32</v>
      </c>
      <c r="B1393" s="1507" t="str">
        <f t="shared" si="199"/>
        <v xml:space="preserve"> Permanent water supply scheme for parli TPS by lifting water from Dead storage of Majalgaon dam and supplying through enclosed pipe line at New TPS Parli Vaijnath.</v>
      </c>
      <c r="C1393" s="1506" t="str">
        <f t="shared" si="199"/>
        <v>Yet to be approved</v>
      </c>
      <c r="D1393" s="1507" t="str">
        <f t="shared" si="199"/>
        <v>-</v>
      </c>
      <c r="E1393" s="1506">
        <f t="shared" si="199"/>
        <v>0</v>
      </c>
      <c r="F1393" s="1509">
        <f t="shared" si="192"/>
        <v>0</v>
      </c>
      <c r="G1393" s="1509">
        <f t="shared" si="193"/>
        <v>0</v>
      </c>
      <c r="H1393" s="1509">
        <f t="shared" si="194"/>
        <v>0</v>
      </c>
      <c r="I1393" s="1509">
        <v>0</v>
      </c>
      <c r="J1393" s="1509">
        <v>0</v>
      </c>
      <c r="K1393" s="1509"/>
      <c r="L1393" s="1509"/>
      <c r="M1393" s="1509">
        <f t="shared" si="195"/>
        <v>0</v>
      </c>
      <c r="N1393" s="1509">
        <f t="shared" si="196"/>
        <v>0</v>
      </c>
    </row>
    <row r="1394" spans="1:14" customFormat="1" ht="43.5" outlineLevel="1" x14ac:dyDescent="0.25">
      <c r="A1394" s="1511">
        <f t="shared" si="199"/>
        <v>32.1</v>
      </c>
      <c r="B1394" s="1515" t="str">
        <f t="shared" si="199"/>
        <v xml:space="preserve"> Permanent water supply scheme for parli TPS by lifting water from Dead storage of Majalgaon dam and supplying through enclosed pipe line at New TPS Parli Vaijnath.</v>
      </c>
      <c r="C1394" s="1396" t="str">
        <f t="shared" si="199"/>
        <v>Yet to be approved</v>
      </c>
      <c r="D1394" s="1378" t="str">
        <f t="shared" si="199"/>
        <v>-</v>
      </c>
      <c r="E1394" s="1505">
        <f t="shared" si="199"/>
        <v>0</v>
      </c>
      <c r="F1394" s="1509">
        <f t="shared" si="192"/>
        <v>0</v>
      </c>
      <c r="G1394" s="1509">
        <f t="shared" si="193"/>
        <v>0</v>
      </c>
      <c r="H1394" s="1509">
        <f t="shared" si="194"/>
        <v>0</v>
      </c>
      <c r="I1394" s="1509">
        <v>100</v>
      </c>
      <c r="J1394" s="1509">
        <v>0</v>
      </c>
      <c r="K1394" s="1509"/>
      <c r="L1394" s="1509"/>
      <c r="M1394" s="1509">
        <f t="shared" si="195"/>
        <v>0</v>
      </c>
      <c r="N1394" s="1509">
        <f t="shared" si="196"/>
        <v>100</v>
      </c>
    </row>
    <row r="1395" spans="1:14" customFormat="1" ht="29" outlineLevel="1" x14ac:dyDescent="0.25">
      <c r="A1395" s="1511">
        <f t="shared" si="199"/>
        <v>32.200000000000003</v>
      </c>
      <c r="B1395" s="1515" t="str">
        <f t="shared" si="199"/>
        <v>Providing drinking water supply to GSR Tank of Shaktikunj Vasahat from Unit 6,7 and 8 premises new TPS Parli Vaijnath</v>
      </c>
      <c r="C1395" s="1396" t="str">
        <f t="shared" si="199"/>
        <v>Yet to be approved</v>
      </c>
      <c r="D1395" s="1378" t="str">
        <f t="shared" si="199"/>
        <v>-</v>
      </c>
      <c r="E1395" s="1505">
        <f t="shared" si="199"/>
        <v>0</v>
      </c>
      <c r="F1395" s="1509">
        <f t="shared" si="192"/>
        <v>0</v>
      </c>
      <c r="G1395" s="1509">
        <f t="shared" si="193"/>
        <v>0</v>
      </c>
      <c r="H1395" s="1509">
        <f t="shared" si="194"/>
        <v>0</v>
      </c>
      <c r="I1395" s="1509">
        <v>8.5</v>
      </c>
      <c r="J1395" s="1509">
        <v>0</v>
      </c>
      <c r="K1395" s="1509"/>
      <c r="L1395" s="1509"/>
      <c r="M1395" s="1509">
        <f t="shared" si="195"/>
        <v>0</v>
      </c>
      <c r="N1395" s="1509">
        <f t="shared" si="196"/>
        <v>8.5</v>
      </c>
    </row>
    <row r="1396" spans="1:14" customFormat="1" outlineLevel="1" x14ac:dyDescent="0.25">
      <c r="A1396" s="1506">
        <f t="shared" si="199"/>
        <v>33</v>
      </c>
      <c r="B1396" s="1507" t="str">
        <f t="shared" si="199"/>
        <v>DPR on Raw water leackage arresting</v>
      </c>
      <c r="C1396" s="1506" t="str">
        <f t="shared" si="199"/>
        <v>Yet to be approved</v>
      </c>
      <c r="D1396" s="1507" t="str">
        <f t="shared" si="199"/>
        <v>-</v>
      </c>
      <c r="E1396" s="1506">
        <f t="shared" si="199"/>
        <v>0</v>
      </c>
      <c r="F1396" s="1509">
        <f t="shared" si="192"/>
        <v>0</v>
      </c>
      <c r="G1396" s="1509">
        <f t="shared" si="193"/>
        <v>0</v>
      </c>
      <c r="H1396" s="1509">
        <f t="shared" si="194"/>
        <v>0</v>
      </c>
      <c r="I1396" s="1509">
        <v>0</v>
      </c>
      <c r="J1396" s="1509">
        <v>0</v>
      </c>
      <c r="K1396" s="1509"/>
      <c r="L1396" s="1509"/>
      <c r="M1396" s="1509">
        <f t="shared" si="195"/>
        <v>0</v>
      </c>
      <c r="N1396" s="1509">
        <f t="shared" si="196"/>
        <v>0</v>
      </c>
    </row>
    <row r="1397" spans="1:14" customFormat="1" outlineLevel="1" x14ac:dyDescent="0.25">
      <c r="A1397" s="1511">
        <f t="shared" si="199"/>
        <v>33.1</v>
      </c>
      <c r="B1397" s="1515" t="str">
        <f t="shared" si="199"/>
        <v xml:space="preserve">Raw water leackage arresting </v>
      </c>
      <c r="C1397" s="1396" t="str">
        <f t="shared" si="199"/>
        <v>Yet to be approved</v>
      </c>
      <c r="D1397" s="1378" t="str">
        <f t="shared" si="199"/>
        <v>-</v>
      </c>
      <c r="E1397" s="1505">
        <f t="shared" si="199"/>
        <v>0</v>
      </c>
      <c r="F1397" s="1509">
        <f t="shared" si="192"/>
        <v>0</v>
      </c>
      <c r="G1397" s="1509">
        <f t="shared" si="193"/>
        <v>0</v>
      </c>
      <c r="H1397" s="1509">
        <f t="shared" si="194"/>
        <v>0</v>
      </c>
      <c r="I1397" s="1509">
        <v>0</v>
      </c>
      <c r="J1397" s="1509">
        <v>0</v>
      </c>
      <c r="K1397" s="1509"/>
      <c r="L1397" s="1509"/>
      <c r="M1397" s="1509">
        <f t="shared" si="195"/>
        <v>0</v>
      </c>
      <c r="N1397" s="1509">
        <f t="shared" si="196"/>
        <v>0</v>
      </c>
    </row>
    <row r="1398" spans="1:14" customFormat="1" ht="29" outlineLevel="1" x14ac:dyDescent="0.25">
      <c r="A1398" s="1506">
        <f t="shared" si="199"/>
        <v>34</v>
      </c>
      <c r="B1398" s="1507" t="str">
        <f t="shared" si="199"/>
        <v>NDCT structural strenthing and leackage arresting througth  basin and CW channel of Unit 6,7</v>
      </c>
      <c r="C1398" s="1506" t="str">
        <f t="shared" si="199"/>
        <v>Yet to be approved</v>
      </c>
      <c r="D1398" s="1507" t="str">
        <f t="shared" si="199"/>
        <v>-</v>
      </c>
      <c r="E1398" s="1506">
        <f t="shared" si="199"/>
        <v>0</v>
      </c>
      <c r="F1398" s="1509">
        <f t="shared" si="192"/>
        <v>0</v>
      </c>
      <c r="G1398" s="1509">
        <f t="shared" si="193"/>
        <v>0</v>
      </c>
      <c r="H1398" s="1509">
        <f t="shared" si="194"/>
        <v>0</v>
      </c>
      <c r="I1398" s="1509">
        <v>0</v>
      </c>
      <c r="J1398" s="1509">
        <v>0</v>
      </c>
      <c r="K1398" s="1509"/>
      <c r="L1398" s="1509"/>
      <c r="M1398" s="1509">
        <f t="shared" si="195"/>
        <v>0</v>
      </c>
      <c r="N1398" s="1509">
        <f t="shared" si="196"/>
        <v>0</v>
      </c>
    </row>
    <row r="1399" spans="1:14" customFormat="1" outlineLevel="1" x14ac:dyDescent="0.25">
      <c r="A1399" s="1511">
        <f t="shared" si="199"/>
        <v>34.1</v>
      </c>
      <c r="B1399" s="1515" t="str">
        <f t="shared" si="199"/>
        <v xml:space="preserve">NDCT basin of unit 6&amp; 7 leackage arresing work </v>
      </c>
      <c r="C1399" s="1396" t="str">
        <f t="shared" si="199"/>
        <v>Yet to be approved</v>
      </c>
      <c r="D1399" s="1378" t="str">
        <f t="shared" si="199"/>
        <v>-</v>
      </c>
      <c r="E1399" s="1505">
        <f t="shared" si="199"/>
        <v>0</v>
      </c>
      <c r="F1399" s="1509">
        <f t="shared" si="192"/>
        <v>0</v>
      </c>
      <c r="G1399" s="1509">
        <f t="shared" si="193"/>
        <v>0</v>
      </c>
      <c r="H1399" s="1509">
        <f t="shared" si="194"/>
        <v>0</v>
      </c>
      <c r="I1399" s="1509">
        <v>10</v>
      </c>
      <c r="J1399" s="1509">
        <v>10</v>
      </c>
      <c r="K1399" s="1509"/>
      <c r="L1399" s="1509"/>
      <c r="M1399" s="1509">
        <f t="shared" si="195"/>
        <v>10</v>
      </c>
      <c r="N1399" s="1509">
        <f t="shared" si="196"/>
        <v>0</v>
      </c>
    </row>
    <row r="1400" spans="1:14" customFormat="1" outlineLevel="1" x14ac:dyDescent="0.25">
      <c r="A1400" s="1511">
        <f t="shared" si="199"/>
        <v>34.200000000000003</v>
      </c>
      <c r="B1400" s="1515" t="str">
        <f t="shared" si="199"/>
        <v>CW channel leackage arresting of  Unit 6 &amp;7</v>
      </c>
      <c r="C1400" s="1396" t="str">
        <f t="shared" si="199"/>
        <v>Yet to be approved</v>
      </c>
      <c r="D1400" s="1378" t="str">
        <f t="shared" si="199"/>
        <v>-</v>
      </c>
      <c r="E1400" s="1505">
        <f t="shared" si="199"/>
        <v>0</v>
      </c>
      <c r="F1400" s="1509">
        <f t="shared" si="192"/>
        <v>0</v>
      </c>
      <c r="G1400" s="1509">
        <f t="shared" si="193"/>
        <v>0</v>
      </c>
      <c r="H1400" s="1509">
        <f t="shared" si="194"/>
        <v>0</v>
      </c>
      <c r="I1400" s="1509">
        <v>10</v>
      </c>
      <c r="J1400" s="1509">
        <v>10</v>
      </c>
      <c r="K1400" s="1509"/>
      <c r="L1400" s="1509"/>
      <c r="M1400" s="1509">
        <f t="shared" si="195"/>
        <v>10</v>
      </c>
      <c r="N1400" s="1509">
        <f t="shared" si="196"/>
        <v>0</v>
      </c>
    </row>
    <row r="1401" spans="1:14" customFormat="1" ht="29" outlineLevel="1" x14ac:dyDescent="0.25">
      <c r="A1401" s="1511">
        <f t="shared" ref="A1401:E1416" si="200">A1044</f>
        <v>34.299999999999997</v>
      </c>
      <c r="B1401" s="1515" t="str">
        <f t="shared" si="200"/>
        <v>NDCT structural strenthing of intermadiate racker coloumn of Unit 6&amp;7</v>
      </c>
      <c r="C1401" s="1396" t="str">
        <f t="shared" si="200"/>
        <v>Yet to be approved</v>
      </c>
      <c r="D1401" s="1378" t="str">
        <f t="shared" si="200"/>
        <v>-</v>
      </c>
      <c r="E1401" s="1505">
        <f t="shared" si="200"/>
        <v>0</v>
      </c>
      <c r="F1401" s="1509">
        <f t="shared" ref="F1401:F1432" si="201">F1044+I1044</f>
        <v>0</v>
      </c>
      <c r="G1401" s="1509">
        <f t="shared" ref="G1401:G1432" si="202">G1044+M1044</f>
        <v>0</v>
      </c>
      <c r="H1401" s="1509">
        <f t="shared" si="194"/>
        <v>0</v>
      </c>
      <c r="I1401" s="1509">
        <v>15</v>
      </c>
      <c r="J1401" s="1509">
        <v>15</v>
      </c>
      <c r="K1401" s="1509"/>
      <c r="L1401" s="1509"/>
      <c r="M1401" s="1509">
        <f t="shared" si="195"/>
        <v>15</v>
      </c>
      <c r="N1401" s="1509">
        <f t="shared" si="196"/>
        <v>0</v>
      </c>
    </row>
    <row r="1402" spans="1:14" customFormat="1" ht="29" outlineLevel="1" x14ac:dyDescent="0.25">
      <c r="A1402" s="1511">
        <f t="shared" si="200"/>
        <v>34.4</v>
      </c>
      <c r="B1402" s="1515" t="str">
        <f t="shared" si="200"/>
        <v>Construction of Store shed's at Major store in Unit No.6,7 NPTPS Parli V</v>
      </c>
      <c r="C1402" s="1396" t="str">
        <f t="shared" si="200"/>
        <v>Yet to be approved</v>
      </c>
      <c r="D1402" s="1378" t="str">
        <f t="shared" si="200"/>
        <v>-</v>
      </c>
      <c r="E1402" s="1505">
        <f t="shared" si="200"/>
        <v>0</v>
      </c>
      <c r="F1402" s="1509">
        <f t="shared" si="201"/>
        <v>0</v>
      </c>
      <c r="G1402" s="1509">
        <f t="shared" si="202"/>
        <v>0</v>
      </c>
      <c r="H1402" s="1509">
        <f t="shared" ref="H1402:H1432" si="203">F1402-G1402</f>
        <v>0</v>
      </c>
      <c r="I1402" s="1509">
        <v>1.35</v>
      </c>
      <c r="J1402" s="1509">
        <v>1.35</v>
      </c>
      <c r="K1402" s="1509"/>
      <c r="L1402" s="1509"/>
      <c r="M1402" s="1509">
        <f t="shared" ref="M1402:M1432" si="204">SUM(J1402:L1402)</f>
        <v>1.35</v>
      </c>
      <c r="N1402" s="1509">
        <f t="shared" ref="N1402:N1432" si="205">H1402+I1402-M1402</f>
        <v>0</v>
      </c>
    </row>
    <row r="1403" spans="1:14" customFormat="1" ht="29" outlineLevel="1" x14ac:dyDescent="0.25">
      <c r="A1403" s="1506">
        <f t="shared" si="200"/>
        <v>35</v>
      </c>
      <c r="B1403" s="1507" t="str">
        <f t="shared" si="200"/>
        <v>DPR on road work &amp;   rennovation work of colony buildings Parli -V at TPS Parli -V</v>
      </c>
      <c r="C1403" s="1506" t="str">
        <f t="shared" si="200"/>
        <v>Yet to be approved</v>
      </c>
      <c r="D1403" s="1507" t="str">
        <f t="shared" si="200"/>
        <v>-</v>
      </c>
      <c r="E1403" s="1506">
        <f t="shared" si="200"/>
        <v>0</v>
      </c>
      <c r="F1403" s="1509">
        <f t="shared" si="201"/>
        <v>0</v>
      </c>
      <c r="G1403" s="1509">
        <f t="shared" si="202"/>
        <v>0</v>
      </c>
      <c r="H1403" s="1509">
        <f t="shared" si="203"/>
        <v>0</v>
      </c>
      <c r="I1403" s="1509">
        <v>0</v>
      </c>
      <c r="J1403" s="1509">
        <v>0</v>
      </c>
      <c r="K1403" s="1509"/>
      <c r="L1403" s="1509"/>
      <c r="M1403" s="1509">
        <f t="shared" si="204"/>
        <v>0</v>
      </c>
      <c r="N1403" s="1509">
        <f t="shared" si="205"/>
        <v>0</v>
      </c>
    </row>
    <row r="1404" spans="1:14" customFormat="1" ht="43.5" outlineLevel="1" x14ac:dyDescent="0.25">
      <c r="A1404" s="1511">
        <f t="shared" si="200"/>
        <v>35.1</v>
      </c>
      <c r="B1404" s="1515" t="str">
        <f t="shared" si="200"/>
        <v xml:space="preserve">contruction of roads of few roads in clusters and main road repairs ,carpet laying,seal coats, strips on road &amp; indicators on roads with rumbble strips at TPS colony Parli V </v>
      </c>
      <c r="C1404" s="1396" t="str">
        <f t="shared" si="200"/>
        <v>Yet to be approved</v>
      </c>
      <c r="D1404" s="1378" t="str">
        <f t="shared" si="200"/>
        <v>-</v>
      </c>
      <c r="E1404" s="1505">
        <f t="shared" si="200"/>
        <v>0</v>
      </c>
      <c r="F1404" s="1509">
        <f t="shared" si="201"/>
        <v>0</v>
      </c>
      <c r="G1404" s="1509">
        <f t="shared" si="202"/>
        <v>0</v>
      </c>
      <c r="H1404" s="1509">
        <f t="shared" si="203"/>
        <v>0</v>
      </c>
      <c r="I1404" s="1509">
        <v>5</v>
      </c>
      <c r="J1404" s="1509">
        <v>0</v>
      </c>
      <c r="K1404" s="1509"/>
      <c r="L1404" s="1509"/>
      <c r="M1404" s="1509">
        <f t="shared" si="204"/>
        <v>0</v>
      </c>
      <c r="N1404" s="1509">
        <f t="shared" si="205"/>
        <v>5</v>
      </c>
    </row>
    <row r="1405" spans="1:14" customFormat="1" ht="43.5" outlineLevel="1" x14ac:dyDescent="0.25">
      <c r="A1405" s="1511">
        <f t="shared" si="200"/>
        <v>35.200000000000003</v>
      </c>
      <c r="B1405" s="1515" t="str">
        <f t="shared" si="200"/>
        <v xml:space="preserve"> In ABC colony ( Putty work,plastic emulsion paint,oil paint plaster etc) ,In DEF &amp; New colony ( internal &amp; external paint  ,oil paint etc) at TPS colony Parli-V.</v>
      </c>
      <c r="C1405" s="1396" t="str">
        <f t="shared" si="200"/>
        <v>Yet to be approved</v>
      </c>
      <c r="D1405" s="1378" t="str">
        <f t="shared" si="200"/>
        <v>-</v>
      </c>
      <c r="E1405" s="1505">
        <f t="shared" si="200"/>
        <v>0</v>
      </c>
      <c r="F1405" s="1509">
        <f t="shared" si="201"/>
        <v>0</v>
      </c>
      <c r="G1405" s="1509">
        <f t="shared" si="202"/>
        <v>0</v>
      </c>
      <c r="H1405" s="1509">
        <f t="shared" si="203"/>
        <v>0</v>
      </c>
      <c r="I1405" s="1509">
        <v>2.5</v>
      </c>
      <c r="J1405" s="1509">
        <v>0</v>
      </c>
      <c r="K1405" s="1509"/>
      <c r="L1405" s="1509"/>
      <c r="M1405" s="1509">
        <f t="shared" si="204"/>
        <v>0</v>
      </c>
      <c r="N1405" s="1509">
        <f t="shared" si="205"/>
        <v>2.5</v>
      </c>
    </row>
    <row r="1406" spans="1:14" customFormat="1" ht="29" outlineLevel="1" x14ac:dyDescent="0.25">
      <c r="A1406" s="1511">
        <f t="shared" si="200"/>
        <v>35.299999999999997</v>
      </c>
      <c r="B1406" s="1515" t="str">
        <f t="shared" si="200"/>
        <v xml:space="preserve"> In ABC,DEF &amp; New colony ( chember ,300 m dia rcc pipe,150mm  rcc pipe etc)at tps colony Parli V </v>
      </c>
      <c r="C1406" s="1396" t="str">
        <f t="shared" si="200"/>
        <v>Yet to be approved</v>
      </c>
      <c r="D1406" s="1378" t="str">
        <f t="shared" si="200"/>
        <v>-</v>
      </c>
      <c r="E1406" s="1505">
        <f t="shared" si="200"/>
        <v>0</v>
      </c>
      <c r="F1406" s="1509">
        <f t="shared" si="201"/>
        <v>0</v>
      </c>
      <c r="G1406" s="1509">
        <f t="shared" si="202"/>
        <v>0</v>
      </c>
      <c r="H1406" s="1509">
        <f t="shared" si="203"/>
        <v>0</v>
      </c>
      <c r="I1406" s="1509">
        <v>3</v>
      </c>
      <c r="J1406" s="1509">
        <v>0</v>
      </c>
      <c r="K1406" s="1509"/>
      <c r="L1406" s="1509"/>
      <c r="M1406" s="1509">
        <f t="shared" si="204"/>
        <v>0</v>
      </c>
      <c r="N1406" s="1509">
        <f t="shared" si="205"/>
        <v>3</v>
      </c>
    </row>
    <row r="1407" spans="1:14" customFormat="1" ht="29" outlineLevel="1" x14ac:dyDescent="0.25">
      <c r="A1407" s="1511">
        <f t="shared" si="200"/>
        <v>35.4</v>
      </c>
      <c r="B1407" s="1515" t="str">
        <f t="shared" si="200"/>
        <v>Plinth protection along the building and providing and placing rcc bench infront of all buildings etc at tps colony Parli v</v>
      </c>
      <c r="C1407" s="1396" t="str">
        <f t="shared" si="200"/>
        <v>Yet to be approved</v>
      </c>
      <c r="D1407" s="1378" t="str">
        <f t="shared" si="200"/>
        <v>-</v>
      </c>
      <c r="E1407" s="1505">
        <f t="shared" si="200"/>
        <v>0</v>
      </c>
      <c r="F1407" s="1509">
        <f t="shared" si="201"/>
        <v>0</v>
      </c>
      <c r="G1407" s="1509">
        <f t="shared" si="202"/>
        <v>0</v>
      </c>
      <c r="H1407" s="1509">
        <f t="shared" si="203"/>
        <v>0</v>
      </c>
      <c r="I1407" s="1509">
        <v>2</v>
      </c>
      <c r="J1407" s="1509">
        <v>2</v>
      </c>
      <c r="K1407" s="1509"/>
      <c r="L1407" s="1509"/>
      <c r="M1407" s="1509">
        <f t="shared" si="204"/>
        <v>2</v>
      </c>
      <c r="N1407" s="1509">
        <f t="shared" si="205"/>
        <v>0</v>
      </c>
    </row>
    <row r="1408" spans="1:14" customFormat="1" ht="58" outlineLevel="1" x14ac:dyDescent="0.25">
      <c r="A1408" s="1511">
        <f t="shared" si="200"/>
        <v>35.5</v>
      </c>
      <c r="B1408" s="1515" t="str">
        <f t="shared" si="200"/>
        <v xml:space="preserve">changing all internal qtrs pipeline from gi pipeline to Upvc pipeline and replacing existing damaged gi pipe by new one and also providing water tank  over single qtrs and buildings at ABC, DEF, &amp; New colony TPS Parli v </v>
      </c>
      <c r="C1408" s="1396" t="str">
        <f t="shared" si="200"/>
        <v>Yet to be approved</v>
      </c>
      <c r="D1408" s="1378" t="str">
        <f t="shared" si="200"/>
        <v>-</v>
      </c>
      <c r="E1408" s="1505">
        <f t="shared" si="200"/>
        <v>0</v>
      </c>
      <c r="F1408" s="1509">
        <f t="shared" si="201"/>
        <v>0</v>
      </c>
      <c r="G1408" s="1509">
        <f t="shared" si="202"/>
        <v>0</v>
      </c>
      <c r="H1408" s="1509">
        <f t="shared" si="203"/>
        <v>0</v>
      </c>
      <c r="I1408" s="1509">
        <v>2.5</v>
      </c>
      <c r="J1408" s="1509">
        <v>0</v>
      </c>
      <c r="K1408" s="1509"/>
      <c r="L1408" s="1509"/>
      <c r="M1408" s="1509">
        <f t="shared" si="204"/>
        <v>0</v>
      </c>
      <c r="N1408" s="1509">
        <f t="shared" si="205"/>
        <v>2.5</v>
      </c>
    </row>
    <row r="1409" spans="1:14" customFormat="1" outlineLevel="1" x14ac:dyDescent="0.25">
      <c r="A1409" s="1511">
        <f t="shared" si="200"/>
        <v>35.6</v>
      </c>
      <c r="B1409" s="1515" t="str">
        <f t="shared" si="200"/>
        <v>Carpentary works  at ABC,DEF &amp; New colony TPS  , Parli -V</v>
      </c>
      <c r="C1409" s="1396" t="str">
        <f t="shared" si="200"/>
        <v>Yet to be approved</v>
      </c>
      <c r="D1409" s="1378" t="str">
        <f t="shared" si="200"/>
        <v>-</v>
      </c>
      <c r="E1409" s="1505">
        <f t="shared" si="200"/>
        <v>0</v>
      </c>
      <c r="F1409" s="1509">
        <f t="shared" si="201"/>
        <v>0</v>
      </c>
      <c r="G1409" s="1509">
        <f t="shared" si="202"/>
        <v>0</v>
      </c>
      <c r="H1409" s="1509">
        <f t="shared" si="203"/>
        <v>0</v>
      </c>
      <c r="I1409" s="1509">
        <v>2</v>
      </c>
      <c r="J1409" s="1509">
        <v>0</v>
      </c>
      <c r="K1409" s="1509"/>
      <c r="L1409" s="1509"/>
      <c r="M1409" s="1509">
        <f t="shared" si="204"/>
        <v>0</v>
      </c>
      <c r="N1409" s="1509">
        <f t="shared" si="205"/>
        <v>2</v>
      </c>
    </row>
    <row r="1410" spans="1:14" customFormat="1" outlineLevel="1" x14ac:dyDescent="0.25">
      <c r="A1410" s="1511">
        <f t="shared" si="200"/>
        <v>35.700000000000003</v>
      </c>
      <c r="B1410" s="1515" t="str">
        <f t="shared" si="200"/>
        <v>Flooring work  at ABC,DEF &amp; New colony TPS  , Parli -V</v>
      </c>
      <c r="C1410" s="1396" t="str">
        <f t="shared" si="200"/>
        <v>Yet to be approved</v>
      </c>
      <c r="D1410" s="1378" t="str">
        <f t="shared" si="200"/>
        <v>-</v>
      </c>
      <c r="E1410" s="1505">
        <f t="shared" si="200"/>
        <v>0</v>
      </c>
      <c r="F1410" s="1509">
        <f t="shared" si="201"/>
        <v>0</v>
      </c>
      <c r="G1410" s="1509">
        <f t="shared" si="202"/>
        <v>0</v>
      </c>
      <c r="H1410" s="1509">
        <f t="shared" si="203"/>
        <v>0</v>
      </c>
      <c r="I1410" s="1509">
        <v>2.5</v>
      </c>
      <c r="J1410" s="1509">
        <v>0</v>
      </c>
      <c r="K1410" s="1509"/>
      <c r="L1410" s="1509"/>
      <c r="M1410" s="1509">
        <f t="shared" si="204"/>
        <v>0</v>
      </c>
      <c r="N1410" s="1509">
        <f t="shared" si="205"/>
        <v>2.5</v>
      </c>
    </row>
    <row r="1411" spans="1:14" customFormat="1" ht="29" outlineLevel="1" x14ac:dyDescent="0.25">
      <c r="A1411" s="1511">
        <f t="shared" si="200"/>
        <v>35.799999999999997</v>
      </c>
      <c r="B1411" s="1515" t="str">
        <f t="shared" si="200"/>
        <v>construction of new ESR and GSR  at ABC,DEF &amp; New colony TPS  , Parli -V</v>
      </c>
      <c r="C1411" s="1396" t="str">
        <f t="shared" si="200"/>
        <v>Yet to be approved</v>
      </c>
      <c r="D1411" s="1378" t="str">
        <f t="shared" si="200"/>
        <v>-</v>
      </c>
      <c r="E1411" s="1505">
        <f t="shared" si="200"/>
        <v>0</v>
      </c>
      <c r="F1411" s="1509">
        <f t="shared" si="201"/>
        <v>0</v>
      </c>
      <c r="G1411" s="1509">
        <f t="shared" si="202"/>
        <v>0</v>
      </c>
      <c r="H1411" s="1509">
        <f t="shared" si="203"/>
        <v>0</v>
      </c>
      <c r="I1411" s="1509">
        <v>2</v>
      </c>
      <c r="J1411" s="1509">
        <v>0</v>
      </c>
      <c r="K1411" s="1509"/>
      <c r="L1411" s="1509"/>
      <c r="M1411" s="1509">
        <f t="shared" si="204"/>
        <v>0</v>
      </c>
      <c r="N1411" s="1509">
        <f t="shared" si="205"/>
        <v>2</v>
      </c>
    </row>
    <row r="1412" spans="1:14" customFormat="1" ht="29" outlineLevel="1" x14ac:dyDescent="0.25">
      <c r="A1412" s="1511">
        <f t="shared" si="200"/>
        <v>35.9</v>
      </c>
      <c r="B1412" s="1515" t="str">
        <f t="shared" si="200"/>
        <v>refurbishment of qtrs by strenthening structurein ABC ,DEF &amp; New colony tps parli v</v>
      </c>
      <c r="C1412" s="1396" t="str">
        <f t="shared" si="200"/>
        <v>Yet to be approved</v>
      </c>
      <c r="D1412" s="1378" t="str">
        <f t="shared" si="200"/>
        <v>-</v>
      </c>
      <c r="E1412" s="1505">
        <f t="shared" si="200"/>
        <v>0</v>
      </c>
      <c r="F1412" s="1509">
        <f t="shared" si="201"/>
        <v>0</v>
      </c>
      <c r="G1412" s="1509">
        <f t="shared" si="202"/>
        <v>0</v>
      </c>
      <c r="H1412" s="1509">
        <f t="shared" si="203"/>
        <v>0</v>
      </c>
      <c r="I1412" s="1509">
        <v>5</v>
      </c>
      <c r="J1412" s="1509">
        <v>0</v>
      </c>
      <c r="K1412" s="1509"/>
      <c r="L1412" s="1509"/>
      <c r="M1412" s="1509">
        <f t="shared" si="204"/>
        <v>0</v>
      </c>
      <c r="N1412" s="1509">
        <f t="shared" si="205"/>
        <v>5</v>
      </c>
    </row>
    <row r="1413" spans="1:14" customFormat="1" ht="29" outlineLevel="1" x14ac:dyDescent="0.25">
      <c r="A1413" s="1511">
        <f t="shared" si="200"/>
        <v>35.1</v>
      </c>
      <c r="B1413" s="1515" t="str">
        <f t="shared" si="200"/>
        <v>Devolpment of garden and providing child friendly equiment in ABC ,DEF &amp; New colony tps parli v</v>
      </c>
      <c r="C1413" s="1396" t="str">
        <f t="shared" si="200"/>
        <v>Yet to be approved</v>
      </c>
      <c r="D1413" s="1378" t="str">
        <f t="shared" si="200"/>
        <v>-</v>
      </c>
      <c r="E1413" s="1505">
        <f t="shared" si="200"/>
        <v>0</v>
      </c>
      <c r="F1413" s="1509">
        <f t="shared" si="201"/>
        <v>0</v>
      </c>
      <c r="G1413" s="1509">
        <f t="shared" si="202"/>
        <v>0</v>
      </c>
      <c r="H1413" s="1509">
        <f t="shared" si="203"/>
        <v>0</v>
      </c>
      <c r="I1413" s="1509">
        <v>2</v>
      </c>
      <c r="J1413" s="1509">
        <v>0</v>
      </c>
      <c r="K1413" s="1509"/>
      <c r="L1413" s="1509"/>
      <c r="M1413" s="1509">
        <f t="shared" si="204"/>
        <v>0</v>
      </c>
      <c r="N1413" s="1509">
        <f t="shared" si="205"/>
        <v>2</v>
      </c>
    </row>
    <row r="1414" spans="1:14" customFormat="1" outlineLevel="1" x14ac:dyDescent="0.25">
      <c r="A1414" s="1506">
        <f t="shared" si="200"/>
        <v>36</v>
      </c>
      <c r="B1414" s="1507" t="str">
        <f t="shared" si="200"/>
        <v xml:space="preserve">CHP improvement schemes at 2 x 250 MW Unit </v>
      </c>
      <c r="C1414" s="1506">
        <f t="shared" si="200"/>
        <v>0</v>
      </c>
      <c r="D1414" s="1507" t="str">
        <f t="shared" si="200"/>
        <v>-</v>
      </c>
      <c r="E1414" s="1506">
        <f t="shared" si="200"/>
        <v>0</v>
      </c>
      <c r="F1414" s="1509">
        <f t="shared" si="201"/>
        <v>0</v>
      </c>
      <c r="G1414" s="1509">
        <f t="shared" si="202"/>
        <v>0</v>
      </c>
      <c r="H1414" s="1509">
        <f t="shared" si="203"/>
        <v>0</v>
      </c>
      <c r="I1414" s="1509">
        <v>0</v>
      </c>
      <c r="J1414" s="1509">
        <v>0</v>
      </c>
      <c r="K1414" s="1509"/>
      <c r="L1414" s="1509"/>
      <c r="M1414" s="1509">
        <f t="shared" si="204"/>
        <v>0</v>
      </c>
      <c r="N1414" s="1509">
        <f t="shared" si="205"/>
        <v>0</v>
      </c>
    </row>
    <row r="1415" spans="1:14" customFormat="1" outlineLevel="1" x14ac:dyDescent="0.25">
      <c r="A1415" s="1511">
        <f t="shared" si="200"/>
        <v>36.1</v>
      </c>
      <c r="B1415" s="1515" t="str">
        <f t="shared" si="200"/>
        <v xml:space="preserve">CHP improvement schemes at 2 x 250 MW Unit </v>
      </c>
      <c r="C1415" s="1396">
        <f t="shared" si="200"/>
        <v>0</v>
      </c>
      <c r="D1415" s="1378" t="str">
        <f t="shared" si="200"/>
        <v>-</v>
      </c>
      <c r="E1415" s="1505">
        <f t="shared" si="200"/>
        <v>0</v>
      </c>
      <c r="F1415" s="1509">
        <f t="shared" si="201"/>
        <v>0</v>
      </c>
      <c r="G1415" s="1509">
        <f t="shared" si="202"/>
        <v>0</v>
      </c>
      <c r="H1415" s="1509">
        <f t="shared" si="203"/>
        <v>0</v>
      </c>
      <c r="I1415" s="1509">
        <v>0</v>
      </c>
      <c r="J1415" s="1509">
        <v>0</v>
      </c>
      <c r="K1415" s="1509"/>
      <c r="L1415" s="1509"/>
      <c r="M1415" s="1509">
        <f t="shared" si="204"/>
        <v>0</v>
      </c>
      <c r="N1415" s="1509">
        <f t="shared" si="205"/>
        <v>0</v>
      </c>
    </row>
    <row r="1416" spans="1:14" customFormat="1" outlineLevel="1" x14ac:dyDescent="0.25">
      <c r="A1416" s="1506">
        <f t="shared" si="200"/>
        <v>37</v>
      </c>
      <c r="B1416" s="1507" t="str">
        <f t="shared" si="200"/>
        <v>Flexible Operation work at U#6,7</v>
      </c>
      <c r="C1416" s="1506" t="str">
        <f t="shared" si="200"/>
        <v>Yet to be approved</v>
      </c>
      <c r="D1416" s="1507" t="str">
        <f t="shared" si="200"/>
        <v>-</v>
      </c>
      <c r="E1416" s="1506">
        <f t="shared" si="200"/>
        <v>0</v>
      </c>
      <c r="F1416" s="1509">
        <f t="shared" si="201"/>
        <v>0</v>
      </c>
      <c r="G1416" s="1509">
        <f t="shared" si="202"/>
        <v>0</v>
      </c>
      <c r="H1416" s="1509">
        <f t="shared" si="203"/>
        <v>0</v>
      </c>
      <c r="I1416" s="1509">
        <v>0</v>
      </c>
      <c r="J1416" s="1509">
        <v>0</v>
      </c>
      <c r="K1416" s="1509"/>
      <c r="L1416" s="1509"/>
      <c r="M1416" s="1509">
        <f t="shared" si="204"/>
        <v>0</v>
      </c>
      <c r="N1416" s="1509">
        <f t="shared" si="205"/>
        <v>0</v>
      </c>
    </row>
    <row r="1417" spans="1:14" customFormat="1" outlineLevel="1" x14ac:dyDescent="0.25">
      <c r="A1417" s="1511">
        <f t="shared" ref="A1417:E1432" si="206">A1060</f>
        <v>37.1</v>
      </c>
      <c r="B1417" s="1515" t="str">
        <f t="shared" si="206"/>
        <v>Flexible Operation work at U#6,7</v>
      </c>
      <c r="C1417" s="1396" t="str">
        <f t="shared" si="206"/>
        <v>Yet to be approved</v>
      </c>
      <c r="D1417" s="1378" t="str">
        <f t="shared" si="206"/>
        <v>-</v>
      </c>
      <c r="E1417" s="1505">
        <f t="shared" si="206"/>
        <v>0</v>
      </c>
      <c r="F1417" s="1509">
        <f t="shared" si="201"/>
        <v>0</v>
      </c>
      <c r="G1417" s="1509">
        <f t="shared" si="202"/>
        <v>0</v>
      </c>
      <c r="H1417" s="1509">
        <f t="shared" si="203"/>
        <v>0</v>
      </c>
      <c r="I1417" s="1509">
        <v>0</v>
      </c>
      <c r="J1417" s="1509">
        <v>0</v>
      </c>
      <c r="K1417" s="1509"/>
      <c r="L1417" s="1509"/>
      <c r="M1417" s="1509">
        <f t="shared" si="204"/>
        <v>0</v>
      </c>
      <c r="N1417" s="1509">
        <f t="shared" si="205"/>
        <v>0</v>
      </c>
    </row>
    <row r="1418" spans="1:14" customFormat="1" outlineLevel="1" x14ac:dyDescent="0.25">
      <c r="A1418" s="1511">
        <f t="shared" si="206"/>
        <v>0</v>
      </c>
      <c r="B1418" s="1515">
        <f t="shared" si="206"/>
        <v>0</v>
      </c>
      <c r="C1418" s="1396">
        <f t="shared" si="206"/>
        <v>0</v>
      </c>
      <c r="D1418" s="1378" t="str">
        <f t="shared" si="206"/>
        <v>-</v>
      </c>
      <c r="E1418" s="1505">
        <f t="shared" si="206"/>
        <v>0</v>
      </c>
      <c r="F1418" s="1509">
        <f t="shared" si="201"/>
        <v>0</v>
      </c>
      <c r="G1418" s="1509">
        <f t="shared" si="202"/>
        <v>0</v>
      </c>
      <c r="H1418" s="1509">
        <f t="shared" si="203"/>
        <v>0</v>
      </c>
      <c r="I1418" s="1509">
        <v>0</v>
      </c>
      <c r="J1418" s="1509">
        <v>0</v>
      </c>
      <c r="K1418" s="1509"/>
      <c r="L1418" s="1509"/>
      <c r="M1418" s="1509">
        <f t="shared" si="204"/>
        <v>0</v>
      </c>
      <c r="N1418" s="1509">
        <f t="shared" si="205"/>
        <v>0</v>
      </c>
    </row>
    <row r="1419" spans="1:14" customFormat="1" outlineLevel="1" x14ac:dyDescent="0.25">
      <c r="A1419" s="1511">
        <f t="shared" si="206"/>
        <v>0</v>
      </c>
      <c r="B1419" s="1515">
        <f t="shared" si="206"/>
        <v>0</v>
      </c>
      <c r="C1419" s="1396">
        <f t="shared" si="206"/>
        <v>0</v>
      </c>
      <c r="D1419" s="1378" t="str">
        <f t="shared" si="206"/>
        <v>-</v>
      </c>
      <c r="E1419" s="1505">
        <f t="shared" si="206"/>
        <v>0</v>
      </c>
      <c r="F1419" s="1509">
        <f t="shared" si="201"/>
        <v>0</v>
      </c>
      <c r="G1419" s="1509">
        <f t="shared" si="202"/>
        <v>0</v>
      </c>
      <c r="H1419" s="1509">
        <f t="shared" si="203"/>
        <v>0</v>
      </c>
      <c r="I1419" s="1509">
        <v>0</v>
      </c>
      <c r="J1419" s="1509">
        <v>0</v>
      </c>
      <c r="K1419" s="1509"/>
      <c r="L1419" s="1509"/>
      <c r="M1419" s="1509">
        <f t="shared" si="204"/>
        <v>0</v>
      </c>
      <c r="N1419" s="1509">
        <f t="shared" si="205"/>
        <v>0</v>
      </c>
    </row>
    <row r="1420" spans="1:14" customFormat="1" ht="18.5" outlineLevel="1" x14ac:dyDescent="0.25">
      <c r="A1420" s="1339" t="str">
        <f t="shared" si="206"/>
        <v>D</v>
      </c>
      <c r="B1420" s="1339" t="str">
        <f t="shared" si="206"/>
        <v>Non-DPR Schemes</v>
      </c>
      <c r="C1420" s="1396">
        <f t="shared" si="206"/>
        <v>0</v>
      </c>
      <c r="D1420" s="1378" t="str">
        <f t="shared" si="206"/>
        <v>-</v>
      </c>
      <c r="E1420" s="1505">
        <f t="shared" si="206"/>
        <v>0</v>
      </c>
      <c r="F1420" s="1509">
        <f t="shared" si="201"/>
        <v>0</v>
      </c>
      <c r="G1420" s="1509">
        <f t="shared" si="202"/>
        <v>0</v>
      </c>
      <c r="H1420" s="1509">
        <f t="shared" si="203"/>
        <v>0</v>
      </c>
      <c r="I1420" s="1509">
        <v>0</v>
      </c>
      <c r="J1420" s="1509">
        <v>0</v>
      </c>
      <c r="K1420" s="1509"/>
      <c r="L1420" s="1509"/>
      <c r="M1420" s="1509">
        <f t="shared" si="204"/>
        <v>0</v>
      </c>
      <c r="N1420" s="1509">
        <f t="shared" si="205"/>
        <v>0</v>
      </c>
    </row>
    <row r="1421" spans="1:14" customFormat="1" outlineLevel="1" x14ac:dyDescent="0.25">
      <c r="A1421" s="1511">
        <f t="shared" si="206"/>
        <v>1</v>
      </c>
      <c r="B1421" s="1515" t="str">
        <f t="shared" si="206"/>
        <v>SWAS Upgradation at U#6 NPTPS Parli-V</v>
      </c>
      <c r="C1421" s="1396" t="str">
        <f t="shared" si="206"/>
        <v>N.A.</v>
      </c>
      <c r="D1421" s="1378" t="str">
        <f t="shared" si="206"/>
        <v>-</v>
      </c>
      <c r="E1421" s="1505">
        <f t="shared" si="206"/>
        <v>0</v>
      </c>
      <c r="F1421" s="1509">
        <f t="shared" si="201"/>
        <v>2.2390500000000002</v>
      </c>
      <c r="G1421" s="1509">
        <f t="shared" si="202"/>
        <v>2.2390500000000002</v>
      </c>
      <c r="H1421" s="1509">
        <f t="shared" si="203"/>
        <v>0</v>
      </c>
      <c r="I1421" s="1509">
        <v>0</v>
      </c>
      <c r="J1421" s="1509">
        <v>0</v>
      </c>
      <c r="K1421" s="1509"/>
      <c r="L1421" s="1509"/>
      <c r="M1421" s="1509">
        <f t="shared" si="204"/>
        <v>0</v>
      </c>
      <c r="N1421" s="1509">
        <f t="shared" si="205"/>
        <v>0</v>
      </c>
    </row>
    <row r="1422" spans="1:14" customFormat="1" ht="30.75" customHeight="1" outlineLevel="1" x14ac:dyDescent="0.25">
      <c r="A1422" s="1511">
        <f t="shared" si="206"/>
        <v>2</v>
      </c>
      <c r="B1422" s="1515" t="str">
        <f t="shared" si="206"/>
        <v xml:space="preserve">Procurement of electro-machanical vibrating feeder at CHP NPTPS 6,7
</v>
      </c>
      <c r="C1422" s="1396" t="str">
        <f t="shared" si="206"/>
        <v>N.A.</v>
      </c>
      <c r="D1422" s="1378" t="str">
        <f t="shared" si="206"/>
        <v>-</v>
      </c>
      <c r="E1422" s="1505">
        <f t="shared" si="206"/>
        <v>0</v>
      </c>
      <c r="F1422" s="1509">
        <f t="shared" si="201"/>
        <v>0.89292959999999999</v>
      </c>
      <c r="G1422" s="1509">
        <f t="shared" si="202"/>
        <v>0.89292959999999999</v>
      </c>
      <c r="H1422" s="1509">
        <f t="shared" si="203"/>
        <v>0</v>
      </c>
      <c r="I1422" s="1509">
        <v>0</v>
      </c>
      <c r="J1422" s="1509">
        <v>0</v>
      </c>
      <c r="K1422" s="1509"/>
      <c r="L1422" s="1509"/>
      <c r="M1422" s="1509">
        <f t="shared" si="204"/>
        <v>0</v>
      </c>
      <c r="N1422" s="1509">
        <f t="shared" si="205"/>
        <v>0</v>
      </c>
    </row>
    <row r="1423" spans="1:14" customFormat="1" ht="43.5" outlineLevel="1" x14ac:dyDescent="0.25">
      <c r="A1423" s="1511">
        <f t="shared" si="206"/>
        <v>3</v>
      </c>
      <c r="B1423" s="1515" t="str">
        <f t="shared" si="206"/>
        <v xml:space="preserve">erection, commissioning of 6.6kv/33kv switch yard &amp; shifting of 2x7.5 MVA 6.6/33KV transformer from 210 MW to proposed switch yard for 33KV supply feeder to Khadka naikota at NPTPS Parli-V. </v>
      </c>
      <c r="C1423" s="1396" t="str">
        <f t="shared" si="206"/>
        <v>N.A.</v>
      </c>
      <c r="D1423" s="1378" t="str">
        <f t="shared" si="206"/>
        <v>-</v>
      </c>
      <c r="E1423" s="1505">
        <f t="shared" si="206"/>
        <v>0</v>
      </c>
      <c r="F1423" s="1509">
        <f t="shared" si="201"/>
        <v>2.1992632800000003</v>
      </c>
      <c r="G1423" s="1509">
        <f t="shared" si="202"/>
        <v>2.1992632800000003</v>
      </c>
      <c r="H1423" s="1509">
        <f t="shared" si="203"/>
        <v>0</v>
      </c>
      <c r="I1423" s="1509">
        <v>0</v>
      </c>
      <c r="J1423" s="1509">
        <v>0</v>
      </c>
      <c r="K1423" s="1509"/>
      <c r="L1423" s="1509"/>
      <c r="M1423" s="1509">
        <f t="shared" si="204"/>
        <v>0</v>
      </c>
      <c r="N1423" s="1509">
        <f t="shared" si="205"/>
        <v>0</v>
      </c>
    </row>
    <row r="1424" spans="1:14" customFormat="1" outlineLevel="1" x14ac:dyDescent="0.25">
      <c r="A1424" s="1511">
        <f t="shared" si="206"/>
        <v>4</v>
      </c>
      <c r="B1424" s="1515" t="str">
        <f t="shared" si="206"/>
        <v>IDC</v>
      </c>
      <c r="C1424" s="1396">
        <f t="shared" si="206"/>
        <v>0</v>
      </c>
      <c r="D1424" s="1378" t="str">
        <f t="shared" si="206"/>
        <v>-</v>
      </c>
      <c r="E1424" s="1505">
        <f t="shared" si="206"/>
        <v>0</v>
      </c>
      <c r="F1424" s="1509">
        <f t="shared" si="201"/>
        <v>7.2220000000000001E-3</v>
      </c>
      <c r="G1424" s="1509">
        <f t="shared" si="202"/>
        <v>7.2220000000000001E-3</v>
      </c>
      <c r="H1424" s="1509">
        <f t="shared" si="203"/>
        <v>0</v>
      </c>
      <c r="I1424" s="1509">
        <v>0</v>
      </c>
      <c r="J1424" s="1509">
        <v>0</v>
      </c>
      <c r="K1424" s="1509"/>
      <c r="L1424" s="1509"/>
      <c r="M1424" s="1509">
        <f t="shared" si="204"/>
        <v>0</v>
      </c>
      <c r="N1424" s="1509">
        <f t="shared" si="205"/>
        <v>0</v>
      </c>
    </row>
    <row r="1425" spans="1:16" customFormat="1" ht="43.5" outlineLevel="1" x14ac:dyDescent="0.25">
      <c r="A1425" s="1511">
        <f t="shared" si="206"/>
        <v>5</v>
      </c>
      <c r="B1425" s="1515" t="str">
        <f t="shared" si="206"/>
        <v xml:space="preserve"> Non-DPR scheme "Design, Supply, Installation &amp; Commissioning of High performance Energy Chain System for Stacker reclaimer, Shuttle Conveyors at U-6/7 CHP NPTPS – PARLI-Vaijnath.”</v>
      </c>
      <c r="C1425" s="1396" t="str">
        <f t="shared" si="206"/>
        <v>N.A.</v>
      </c>
      <c r="D1425" s="1378" t="str">
        <f t="shared" si="206"/>
        <v>-</v>
      </c>
      <c r="E1425" s="1505">
        <f t="shared" si="206"/>
        <v>0</v>
      </c>
      <c r="F1425" s="1509">
        <f t="shared" si="201"/>
        <v>2.8638599999999999</v>
      </c>
      <c r="G1425" s="1509">
        <f t="shared" si="202"/>
        <v>2.8638599999999999</v>
      </c>
      <c r="H1425" s="1509">
        <f t="shared" si="203"/>
        <v>0</v>
      </c>
      <c r="I1425" s="1509">
        <v>0</v>
      </c>
      <c r="J1425" s="1509">
        <v>0</v>
      </c>
      <c r="K1425" s="1509"/>
      <c r="L1425" s="1509"/>
      <c r="M1425" s="1509">
        <f t="shared" si="204"/>
        <v>0</v>
      </c>
      <c r="N1425" s="1509">
        <f t="shared" si="205"/>
        <v>0</v>
      </c>
    </row>
    <row r="1426" spans="1:16" customFormat="1" ht="29" outlineLevel="1" x14ac:dyDescent="0.25">
      <c r="A1426" s="1511">
        <f t="shared" si="206"/>
        <v>6</v>
      </c>
      <c r="B1426" s="1515" t="str">
        <f t="shared" si="206"/>
        <v>Refurbishment of Existing M/s Atlas Copco Make Air Compressors at Unit 7 Parli TPS</v>
      </c>
      <c r="C1426" s="1396" t="str">
        <f t="shared" si="206"/>
        <v>N.A.</v>
      </c>
      <c r="D1426" s="1378" t="str">
        <f t="shared" si="206"/>
        <v>-</v>
      </c>
      <c r="E1426" s="1505">
        <f t="shared" si="206"/>
        <v>0</v>
      </c>
      <c r="F1426" s="1509">
        <f t="shared" si="201"/>
        <v>2.9532406999999998</v>
      </c>
      <c r="G1426" s="1509">
        <f t="shared" si="202"/>
        <v>2.9532406999999998</v>
      </c>
      <c r="H1426" s="1509">
        <f t="shared" si="203"/>
        <v>0</v>
      </c>
      <c r="I1426" s="1509">
        <v>0</v>
      </c>
      <c r="J1426" s="1509">
        <v>0</v>
      </c>
      <c r="K1426" s="1509"/>
      <c r="L1426" s="1509"/>
      <c r="M1426" s="1509">
        <f t="shared" si="204"/>
        <v>0</v>
      </c>
      <c r="N1426" s="1509">
        <f t="shared" si="205"/>
        <v>0</v>
      </c>
    </row>
    <row r="1427" spans="1:16" customFormat="1" outlineLevel="1" x14ac:dyDescent="0.25">
      <c r="A1427" s="1511">
        <f t="shared" si="206"/>
        <v>7</v>
      </c>
      <c r="B1427" s="1515" t="str">
        <f t="shared" si="206"/>
        <v>Procurement of Fire Extinguisher</v>
      </c>
      <c r="C1427" s="1396" t="str">
        <f t="shared" si="206"/>
        <v>N.A.</v>
      </c>
      <c r="D1427" s="1378" t="str">
        <f t="shared" si="206"/>
        <v>-</v>
      </c>
      <c r="E1427" s="1505">
        <f t="shared" si="206"/>
        <v>0</v>
      </c>
      <c r="F1427" s="1509">
        <f t="shared" si="201"/>
        <v>0.68</v>
      </c>
      <c r="G1427" s="1509">
        <f t="shared" si="202"/>
        <v>0.67830000000000001</v>
      </c>
      <c r="H1427" s="1509">
        <f t="shared" si="203"/>
        <v>1.7000000000000348E-3</v>
      </c>
      <c r="I1427" s="1509">
        <v>0</v>
      </c>
      <c r="J1427" s="1509">
        <v>0</v>
      </c>
      <c r="K1427" s="1509"/>
      <c r="L1427" s="1509"/>
      <c r="M1427" s="1509">
        <f t="shared" si="204"/>
        <v>0</v>
      </c>
      <c r="N1427" s="1509">
        <f t="shared" si="205"/>
        <v>1.7000000000000348E-3</v>
      </c>
    </row>
    <row r="1428" spans="1:16" customFormat="1" ht="29" outlineLevel="1" x14ac:dyDescent="0.25">
      <c r="A1428" s="1511">
        <f t="shared" si="206"/>
        <v>8</v>
      </c>
      <c r="B1428" s="1515" t="str">
        <f t="shared" si="206"/>
        <v>Non DPR For Supply, Erection &amp; Commissioning, Testing of Coal Flow Management system for Coal Bunker at CHP NPTPS U-6.</v>
      </c>
      <c r="C1428" s="1396" t="str">
        <f t="shared" si="206"/>
        <v>N.A.</v>
      </c>
      <c r="D1428" s="1378" t="str">
        <f t="shared" si="206"/>
        <v>-</v>
      </c>
      <c r="E1428" s="1505">
        <f t="shared" si="206"/>
        <v>0</v>
      </c>
      <c r="F1428" s="1509">
        <f t="shared" si="201"/>
        <v>2.972</v>
      </c>
      <c r="G1428" s="1509">
        <f t="shared" si="202"/>
        <v>2.972</v>
      </c>
      <c r="H1428" s="1509">
        <f t="shared" si="203"/>
        <v>0</v>
      </c>
      <c r="I1428" s="1509">
        <v>0</v>
      </c>
      <c r="J1428" s="1509">
        <v>0</v>
      </c>
      <c r="K1428" s="1509"/>
      <c r="L1428" s="1509"/>
      <c r="M1428" s="1509">
        <f t="shared" si="204"/>
        <v>0</v>
      </c>
      <c r="N1428" s="1509">
        <f t="shared" si="205"/>
        <v>0</v>
      </c>
    </row>
    <row r="1429" spans="1:16" customFormat="1" ht="43.5" outlineLevel="1" x14ac:dyDescent="0.25">
      <c r="A1429" s="1511">
        <f t="shared" si="206"/>
        <v>9</v>
      </c>
      <c r="B1429" s="1515" t="str">
        <f t="shared" si="206"/>
        <v xml:space="preserve">Non DPR for Supply &amp; Installation of Coal Handling Plant critical equipment Major Spares like Wagon Tippler and Conveyors at CHP U6/7 ,T.P.S.Parli. </v>
      </c>
      <c r="C1429" s="1396" t="str">
        <f t="shared" si="206"/>
        <v>N.A.</v>
      </c>
      <c r="D1429" s="1378" t="str">
        <f t="shared" si="206"/>
        <v>-</v>
      </c>
      <c r="E1429" s="1505">
        <f t="shared" si="206"/>
        <v>0</v>
      </c>
      <c r="F1429" s="1509">
        <f t="shared" si="201"/>
        <v>2.79</v>
      </c>
      <c r="G1429" s="1509">
        <f t="shared" si="202"/>
        <v>2.79</v>
      </c>
      <c r="H1429" s="1509">
        <f t="shared" si="203"/>
        <v>0</v>
      </c>
      <c r="I1429" s="1509">
        <v>0</v>
      </c>
      <c r="J1429" s="1509">
        <v>0</v>
      </c>
      <c r="K1429" s="1509"/>
      <c r="L1429" s="1509"/>
      <c r="M1429" s="1509">
        <f t="shared" si="204"/>
        <v>0</v>
      </c>
      <c r="N1429" s="1509">
        <f t="shared" si="205"/>
        <v>0</v>
      </c>
    </row>
    <row r="1430" spans="1:16" customFormat="1" ht="43.5" outlineLevel="1" x14ac:dyDescent="0.25">
      <c r="A1430" s="1511">
        <f t="shared" si="206"/>
        <v>10</v>
      </c>
      <c r="B1430" s="1515" t="str">
        <f t="shared" si="206"/>
        <v>Design,Manufacture ,Supply &amp; Installation of Banana pattern and Modular chutes for various Conveyor discharge areas at CHP U 6/7,TPS Parli.</v>
      </c>
      <c r="C1430" s="1396" t="str">
        <f t="shared" si="206"/>
        <v>N.A.</v>
      </c>
      <c r="D1430" s="1378" t="str">
        <f t="shared" si="206"/>
        <v>-</v>
      </c>
      <c r="E1430" s="1505">
        <f t="shared" si="206"/>
        <v>0</v>
      </c>
      <c r="F1430" s="1509">
        <f t="shared" si="201"/>
        <v>2.94</v>
      </c>
      <c r="G1430" s="1509">
        <f t="shared" si="202"/>
        <v>2.94</v>
      </c>
      <c r="H1430" s="1509">
        <f t="shared" si="203"/>
        <v>0</v>
      </c>
      <c r="I1430" s="1509">
        <v>0</v>
      </c>
      <c r="J1430" s="1509">
        <v>0</v>
      </c>
      <c r="K1430" s="1509"/>
      <c r="L1430" s="1509"/>
      <c r="M1430" s="1509">
        <f t="shared" si="204"/>
        <v>0</v>
      </c>
      <c r="N1430" s="1509">
        <f t="shared" si="205"/>
        <v>0</v>
      </c>
    </row>
    <row r="1431" spans="1:16" customFormat="1" outlineLevel="1" x14ac:dyDescent="0.25">
      <c r="A1431" s="1511">
        <f t="shared" si="206"/>
        <v>11</v>
      </c>
      <c r="B1431" s="1515" t="str">
        <f t="shared" si="206"/>
        <v>Refrigeration Compressed Air Dryer at TM &amp; AHP, U#6,7 Parli TPS</v>
      </c>
      <c r="C1431" s="1396">
        <f t="shared" si="206"/>
        <v>0</v>
      </c>
      <c r="D1431" s="1378" t="str">
        <f t="shared" si="206"/>
        <v>-</v>
      </c>
      <c r="E1431" s="1505">
        <f t="shared" si="206"/>
        <v>0</v>
      </c>
      <c r="F1431" s="1509">
        <f t="shared" si="201"/>
        <v>1.57</v>
      </c>
      <c r="G1431" s="1509">
        <f t="shared" si="202"/>
        <v>1.57</v>
      </c>
      <c r="H1431" s="1509">
        <f t="shared" si="203"/>
        <v>0</v>
      </c>
      <c r="I1431" s="1509">
        <v>0</v>
      </c>
      <c r="J1431" s="1509">
        <v>0</v>
      </c>
      <c r="K1431" s="1509"/>
      <c r="L1431" s="1509"/>
      <c r="M1431" s="1509">
        <f t="shared" si="204"/>
        <v>0</v>
      </c>
      <c r="N1431" s="1509">
        <f t="shared" si="205"/>
        <v>0</v>
      </c>
    </row>
    <row r="1432" spans="1:16" customFormat="1" ht="15" customHeight="1" outlineLevel="1" thickBot="1" x14ac:dyDescent="0.3">
      <c r="A1432" s="1511">
        <f t="shared" si="206"/>
        <v>12</v>
      </c>
      <c r="B1432" s="1515" t="str">
        <f t="shared" si="206"/>
        <v>General Asset</v>
      </c>
      <c r="C1432" s="1396">
        <f t="shared" si="206"/>
        <v>0</v>
      </c>
      <c r="D1432" s="1378" t="str">
        <f t="shared" si="206"/>
        <v>-</v>
      </c>
      <c r="E1432" s="1505">
        <f t="shared" si="206"/>
        <v>0</v>
      </c>
      <c r="F1432" s="1509">
        <f t="shared" si="201"/>
        <v>3.459393849</v>
      </c>
      <c r="G1432" s="1509">
        <f t="shared" si="202"/>
        <v>3.2954596690000004</v>
      </c>
      <c r="H1432" s="1509">
        <f t="shared" si="203"/>
        <v>0.1639341799999996</v>
      </c>
      <c r="I1432" s="1509">
        <v>0.31</v>
      </c>
      <c r="J1432" s="1509">
        <v>0.31</v>
      </c>
      <c r="K1432" s="1509"/>
      <c r="L1432" s="1509"/>
      <c r="M1432" s="1509">
        <f t="shared" si="204"/>
        <v>0.31</v>
      </c>
      <c r="N1432" s="1509">
        <f t="shared" si="205"/>
        <v>0.1639341799999996</v>
      </c>
    </row>
    <row r="1433" spans="1:16" ht="15" thickBot="1" x14ac:dyDescent="0.3">
      <c r="A1433" s="1454"/>
      <c r="B1433" s="1455" t="str">
        <f>B1076</f>
        <v>Total</v>
      </c>
      <c r="C1433" s="1456"/>
      <c r="D1433" s="1457"/>
      <c r="E1433" s="1517"/>
      <c r="F1433" s="1517">
        <f>SUM(F1081:F1432)</f>
        <v>657.43565774900014</v>
      </c>
      <c r="G1433" s="1517">
        <f t="shared" ref="G1433:N1433" si="207">SUM(G1081:G1432)</f>
        <v>355.10586268899993</v>
      </c>
      <c r="H1433" s="1517">
        <f t="shared" si="207"/>
        <v>302.32979505999998</v>
      </c>
      <c r="I1433" s="1517">
        <f t="shared" si="207"/>
        <v>558.79830000000004</v>
      </c>
      <c r="J1433" s="1517">
        <f t="shared" si="207"/>
        <v>577.97829999999999</v>
      </c>
      <c r="K1433" s="1517">
        <f t="shared" si="207"/>
        <v>0</v>
      </c>
      <c r="L1433" s="1517">
        <f t="shared" si="207"/>
        <v>0</v>
      </c>
      <c r="M1433" s="1517">
        <f t="shared" si="207"/>
        <v>577.97829999999999</v>
      </c>
      <c r="N1433" s="1517">
        <f t="shared" si="207"/>
        <v>283.14979506000003</v>
      </c>
    </row>
    <row r="1435" spans="1:16" x14ac:dyDescent="0.25">
      <c r="A1435" s="1446"/>
      <c r="B1435" s="1447" t="s">
        <v>969</v>
      </c>
      <c r="C1435" s="1448"/>
      <c r="D1435" s="1449"/>
      <c r="E1435" s="1504"/>
      <c r="F1435" s="1504"/>
      <c r="G1435" s="1504"/>
      <c r="H1435" s="1504"/>
      <c r="I1435" s="1504"/>
      <c r="J1435" s="1504"/>
      <c r="K1435" s="1504"/>
      <c r="L1435" s="1504"/>
      <c r="M1435" s="1504"/>
      <c r="N1435" s="1504"/>
    </row>
    <row r="1436" spans="1:16" ht="18.5" outlineLevel="1" x14ac:dyDescent="0.25">
      <c r="A1436" s="1339" t="s">
        <v>171</v>
      </c>
      <c r="B1436" s="1339" t="s">
        <v>1575</v>
      </c>
      <c r="C1436" s="1448"/>
      <c r="D1436" s="1449"/>
      <c r="E1436" s="1504"/>
      <c r="F1436" s="1504"/>
      <c r="G1436" s="1504"/>
      <c r="H1436" s="1504"/>
      <c r="I1436" s="1504"/>
      <c r="J1436" s="1504"/>
      <c r="K1436" s="1504"/>
      <c r="L1436" s="1504"/>
      <c r="M1436" s="1504"/>
      <c r="N1436" s="1504"/>
    </row>
    <row r="1437" spans="1:16" outlineLevel="1" x14ac:dyDescent="0.25">
      <c r="A1437" s="1450"/>
      <c r="B1437" s="1450"/>
      <c r="C1437" s="1451"/>
      <c r="D1437" s="1452"/>
      <c r="E1437" s="1505"/>
      <c r="F1437" s="1505"/>
      <c r="G1437" s="1505"/>
      <c r="H1437" s="1505"/>
      <c r="I1437" s="1505"/>
      <c r="J1437" s="1505"/>
      <c r="K1437" s="1505"/>
      <c r="L1437" s="1505"/>
      <c r="M1437" s="1505"/>
      <c r="N1437" s="1505"/>
    </row>
    <row r="1438" spans="1:16" ht="43.5" outlineLevel="1" x14ac:dyDescent="0.25">
      <c r="A1438" s="1506">
        <f t="shared" ref="A1438:E1453" si="208">A1081</f>
        <v>6</v>
      </c>
      <c r="B1438" s="1507" t="str">
        <f t="shared" si="208"/>
        <v>Arrangement for permanent water supply scheme for Parli TPS from Majalgaon Dam through Majalgaon Lift Irrigation scheme (Loni / Savangi)</v>
      </c>
      <c r="C1438" s="1506" t="str">
        <f t="shared" si="208"/>
        <v>MERC/TECH 1/CAPEX/20122013/00500</v>
      </c>
      <c r="D1438" s="1508">
        <f t="shared" si="208"/>
        <v>41421</v>
      </c>
      <c r="E1438" s="1509">
        <f t="shared" si="208"/>
        <v>199.86</v>
      </c>
      <c r="F1438" s="1509">
        <f t="shared" ref="F1438:F1501" si="209">F1081+I1081</f>
        <v>142</v>
      </c>
      <c r="G1438" s="1509">
        <f t="shared" ref="G1438:G1501" si="210">G1081+M1081</f>
        <v>0</v>
      </c>
      <c r="H1438" s="1509">
        <f>F1438-G1438</f>
        <v>142</v>
      </c>
      <c r="I1438" s="1509">
        <v>0</v>
      </c>
      <c r="J1438" s="1509">
        <v>0</v>
      </c>
      <c r="K1438" s="1509"/>
      <c r="L1438" s="1509"/>
      <c r="M1438" s="1509">
        <f>SUM(J1438:L1438)</f>
        <v>0</v>
      </c>
      <c r="N1438" s="1509">
        <f>H1438+I1438-M1438</f>
        <v>142</v>
      </c>
      <c r="O1438" s="1510">
        <f t="shared" ref="O1438:O1490" si="211">MAX(0,IF(M1438=0,0,IF(G1438+M1438&lt;E1438,M1438,E1438-G1438)))</f>
        <v>0</v>
      </c>
      <c r="P1438" s="1453">
        <f t="shared" ref="P1438:P1490" si="212">M1438-O1438</f>
        <v>0</v>
      </c>
    </row>
    <row r="1439" spans="1:16" ht="29" outlineLevel="1" x14ac:dyDescent="0.25">
      <c r="A1439" s="1506">
        <f t="shared" si="208"/>
        <v>9</v>
      </c>
      <c r="B1439" s="1507" t="str">
        <f t="shared" si="208"/>
        <v>Procurement of 250 MW spare HPT Module, IPT Module &amp; LPT Rotor of New Parli TPS</v>
      </c>
      <c r="C1439" s="1506" t="str">
        <f t="shared" si="208"/>
        <v>MERC/TECH 1/CAPEX/20142015/00362</v>
      </c>
      <c r="D1439" s="1508">
        <f t="shared" si="208"/>
        <v>41779</v>
      </c>
      <c r="E1439" s="1509">
        <f t="shared" si="208"/>
        <v>22.059060828</v>
      </c>
      <c r="F1439" s="1509">
        <f t="shared" si="209"/>
        <v>0</v>
      </c>
      <c r="G1439" s="1509">
        <f t="shared" si="210"/>
        <v>0</v>
      </c>
      <c r="H1439" s="1509">
        <f t="shared" ref="H1439:H1502" si="213">F1439-G1439</f>
        <v>0</v>
      </c>
      <c r="I1439" s="1509">
        <v>0</v>
      </c>
      <c r="J1439" s="1509">
        <v>0</v>
      </c>
      <c r="K1439" s="1509"/>
      <c r="L1439" s="1509"/>
      <c r="M1439" s="1509">
        <f t="shared" ref="M1439:M1502" si="214">SUM(J1439:L1439)</f>
        <v>0</v>
      </c>
      <c r="N1439" s="1509">
        <f t="shared" ref="N1439:N1502" si="215">H1439+I1439-M1439</f>
        <v>0</v>
      </c>
      <c r="O1439" s="1510">
        <f t="shared" si="211"/>
        <v>0</v>
      </c>
      <c r="P1439" s="1453">
        <f t="shared" si="212"/>
        <v>0</v>
      </c>
    </row>
    <row r="1440" spans="1:16" outlineLevel="1" x14ac:dyDescent="0.25">
      <c r="A1440" s="1511">
        <f t="shared" si="208"/>
        <v>9.1</v>
      </c>
      <c r="B1440" s="1512" t="str">
        <f t="shared" si="208"/>
        <v>HP Module</v>
      </c>
      <c r="C1440" s="1511" t="str">
        <f t="shared" si="208"/>
        <v>MERC/TECH 1/CAPEX/20142015/00362</v>
      </c>
      <c r="D1440" s="1378">
        <f t="shared" si="208"/>
        <v>41779</v>
      </c>
      <c r="E1440" s="1513">
        <f t="shared" si="208"/>
        <v>22.059060828</v>
      </c>
      <c r="F1440" s="1509">
        <f t="shared" si="209"/>
        <v>21.53</v>
      </c>
      <c r="G1440" s="1509">
        <f t="shared" si="210"/>
        <v>21.53</v>
      </c>
      <c r="H1440" s="1509">
        <f t="shared" si="213"/>
        <v>0</v>
      </c>
      <c r="I1440" s="1509">
        <v>0</v>
      </c>
      <c r="J1440" s="1509">
        <v>0</v>
      </c>
      <c r="K1440" s="1509"/>
      <c r="L1440" s="1509"/>
      <c r="M1440" s="1509">
        <f t="shared" si="214"/>
        <v>0</v>
      </c>
      <c r="N1440" s="1509">
        <f t="shared" si="215"/>
        <v>0</v>
      </c>
      <c r="O1440" s="1510">
        <f t="shared" si="211"/>
        <v>0</v>
      </c>
      <c r="P1440" s="1453">
        <f t="shared" si="212"/>
        <v>0</v>
      </c>
    </row>
    <row r="1441" spans="1:16" outlineLevel="1" x14ac:dyDescent="0.25">
      <c r="A1441" s="1511">
        <f t="shared" si="208"/>
        <v>9.1999999999999993</v>
      </c>
      <c r="B1441" s="1512" t="str">
        <f t="shared" si="208"/>
        <v>IP Module</v>
      </c>
      <c r="C1441" s="1511" t="str">
        <f t="shared" si="208"/>
        <v>MERC/TECH 1/CAPEX/20142015/00362</v>
      </c>
      <c r="D1441" s="1378">
        <f t="shared" si="208"/>
        <v>41779</v>
      </c>
      <c r="E1441" s="1513">
        <f t="shared" si="208"/>
        <v>21.359824199999998</v>
      </c>
      <c r="F1441" s="1509">
        <f t="shared" si="209"/>
        <v>20.62</v>
      </c>
      <c r="G1441" s="1509">
        <f t="shared" si="210"/>
        <v>20.62</v>
      </c>
      <c r="H1441" s="1509">
        <f t="shared" si="213"/>
        <v>0</v>
      </c>
      <c r="I1441" s="1509">
        <v>0</v>
      </c>
      <c r="J1441" s="1509">
        <v>0</v>
      </c>
      <c r="K1441" s="1509"/>
      <c r="L1441" s="1509"/>
      <c r="M1441" s="1509">
        <f t="shared" si="214"/>
        <v>0</v>
      </c>
      <c r="N1441" s="1509">
        <f t="shared" si="215"/>
        <v>0</v>
      </c>
      <c r="O1441" s="1510">
        <f t="shared" si="211"/>
        <v>0</v>
      </c>
      <c r="P1441" s="1453">
        <f t="shared" si="212"/>
        <v>0</v>
      </c>
    </row>
    <row r="1442" spans="1:16" outlineLevel="1" x14ac:dyDescent="0.25">
      <c r="A1442" s="1511">
        <f t="shared" si="208"/>
        <v>9.3000000000000007</v>
      </c>
      <c r="B1442" s="1512" t="str">
        <f t="shared" si="208"/>
        <v>LP Rotor</v>
      </c>
      <c r="C1442" s="1511" t="str">
        <f t="shared" si="208"/>
        <v>MERC/TECH 1/CAPEX/20142015/00362</v>
      </c>
      <c r="D1442" s="1378">
        <f t="shared" si="208"/>
        <v>41779</v>
      </c>
      <c r="E1442" s="1513">
        <f t="shared" si="208"/>
        <v>38.724661685000001</v>
      </c>
      <c r="F1442" s="1509">
        <f t="shared" si="209"/>
        <v>38.72</v>
      </c>
      <c r="G1442" s="1509">
        <f t="shared" si="210"/>
        <v>38.72</v>
      </c>
      <c r="H1442" s="1509">
        <f t="shared" si="213"/>
        <v>0</v>
      </c>
      <c r="I1442" s="1509">
        <v>0</v>
      </c>
      <c r="J1442" s="1509">
        <v>0</v>
      </c>
      <c r="K1442" s="1509"/>
      <c r="L1442" s="1509"/>
      <c r="M1442" s="1509">
        <f t="shared" si="214"/>
        <v>0</v>
      </c>
      <c r="N1442" s="1509">
        <f t="shared" si="215"/>
        <v>0</v>
      </c>
      <c r="O1442" s="1510">
        <f t="shared" si="211"/>
        <v>0</v>
      </c>
      <c r="P1442" s="1453">
        <f t="shared" si="212"/>
        <v>0</v>
      </c>
    </row>
    <row r="1443" spans="1:16" outlineLevel="1" x14ac:dyDescent="0.25">
      <c r="A1443" s="1511">
        <f t="shared" si="208"/>
        <v>0</v>
      </c>
      <c r="B1443" s="1512" t="str">
        <f t="shared" si="208"/>
        <v>IDC</v>
      </c>
      <c r="C1443" s="1511" t="str">
        <f t="shared" si="208"/>
        <v>MERC/TECH 1/CAPEX/20142015/00362</v>
      </c>
      <c r="D1443" s="1378">
        <f t="shared" si="208"/>
        <v>41779</v>
      </c>
      <c r="E1443" s="1513">
        <f t="shared" si="208"/>
        <v>0</v>
      </c>
      <c r="F1443" s="1509">
        <f t="shared" si="209"/>
        <v>0</v>
      </c>
      <c r="G1443" s="1509">
        <f t="shared" si="210"/>
        <v>0</v>
      </c>
      <c r="H1443" s="1509">
        <f t="shared" si="213"/>
        <v>0</v>
      </c>
      <c r="I1443" s="1509">
        <v>0</v>
      </c>
      <c r="J1443" s="1509">
        <v>0</v>
      </c>
      <c r="K1443" s="1509"/>
      <c r="L1443" s="1509"/>
      <c r="M1443" s="1509">
        <f t="shared" si="214"/>
        <v>0</v>
      </c>
      <c r="N1443" s="1509">
        <f t="shared" si="215"/>
        <v>0</v>
      </c>
      <c r="O1443" s="1510">
        <f t="shared" si="211"/>
        <v>0</v>
      </c>
      <c r="P1443" s="1453">
        <f t="shared" si="212"/>
        <v>0</v>
      </c>
    </row>
    <row r="1444" spans="1:16" ht="29" outlineLevel="1" x14ac:dyDescent="0.25">
      <c r="A1444" s="1506">
        <f t="shared" si="208"/>
        <v>10</v>
      </c>
      <c r="B1444" s="1507" t="str">
        <f t="shared" si="208"/>
        <v xml:space="preserve">Procurement of 315 MVA Spare GTR for 250 MW sets at New Parli &amp; New Paras TPS </v>
      </c>
      <c r="C1444" s="1506" t="str">
        <f t="shared" si="208"/>
        <v>MERC/TECH 1/CAPEX/20142015/001</v>
      </c>
      <c r="D1444" s="1508">
        <f t="shared" si="208"/>
        <v>41913</v>
      </c>
      <c r="E1444" s="1509">
        <f t="shared" si="208"/>
        <v>11.32</v>
      </c>
      <c r="F1444" s="1509">
        <f t="shared" si="209"/>
        <v>0</v>
      </c>
      <c r="G1444" s="1509">
        <f t="shared" si="210"/>
        <v>0</v>
      </c>
      <c r="H1444" s="1509">
        <f t="shared" si="213"/>
        <v>0</v>
      </c>
      <c r="I1444" s="1509">
        <v>0</v>
      </c>
      <c r="J1444" s="1509">
        <v>0</v>
      </c>
      <c r="K1444" s="1509"/>
      <c r="L1444" s="1509"/>
      <c r="M1444" s="1509">
        <f t="shared" si="214"/>
        <v>0</v>
      </c>
      <c r="N1444" s="1509">
        <f t="shared" si="215"/>
        <v>0</v>
      </c>
      <c r="O1444" s="1510">
        <f t="shared" si="211"/>
        <v>0</v>
      </c>
      <c r="P1444" s="1453">
        <f t="shared" si="212"/>
        <v>0</v>
      </c>
    </row>
    <row r="1445" spans="1:16" outlineLevel="1" x14ac:dyDescent="0.25">
      <c r="A1445" s="1511">
        <f t="shared" si="208"/>
        <v>10.1</v>
      </c>
      <c r="B1445" s="1512" t="str">
        <f t="shared" si="208"/>
        <v>Procurement of 250 MVA Spare GTR</v>
      </c>
      <c r="C1445" s="1511" t="str">
        <f t="shared" si="208"/>
        <v>MERC/TECH 1/CAPEX/20142015/001</v>
      </c>
      <c r="D1445" s="1378">
        <f t="shared" si="208"/>
        <v>41913</v>
      </c>
      <c r="E1445" s="1513">
        <f t="shared" si="208"/>
        <v>11.32</v>
      </c>
      <c r="F1445" s="1509">
        <f t="shared" si="209"/>
        <v>13.4</v>
      </c>
      <c r="G1445" s="1509">
        <f t="shared" si="210"/>
        <v>13.4</v>
      </c>
      <c r="H1445" s="1509">
        <f t="shared" si="213"/>
        <v>0</v>
      </c>
      <c r="I1445" s="1509">
        <v>0</v>
      </c>
      <c r="J1445" s="1509">
        <v>0</v>
      </c>
      <c r="K1445" s="1509"/>
      <c r="L1445" s="1509"/>
      <c r="M1445" s="1509">
        <f t="shared" si="214"/>
        <v>0</v>
      </c>
      <c r="N1445" s="1509">
        <f t="shared" si="215"/>
        <v>0</v>
      </c>
      <c r="O1445" s="1510">
        <f t="shared" si="211"/>
        <v>0</v>
      </c>
      <c r="P1445" s="1453">
        <f t="shared" si="212"/>
        <v>0</v>
      </c>
    </row>
    <row r="1446" spans="1:16" ht="29" outlineLevel="1" x14ac:dyDescent="0.25">
      <c r="A1446" s="1506">
        <f t="shared" si="208"/>
        <v>13</v>
      </c>
      <c r="B1446" s="1507" t="str">
        <f t="shared" si="208"/>
        <v>Construction of Concrete Roads &amp; Spare Generator Transformer Foundation at Parli TPS</v>
      </c>
      <c r="C1446" s="1506" t="str">
        <f t="shared" si="208"/>
        <v>MERC/CAPEX/20162017/01172</v>
      </c>
      <c r="D1446" s="1508">
        <f t="shared" si="208"/>
        <v>42713</v>
      </c>
      <c r="E1446" s="1509">
        <f t="shared" si="208"/>
        <v>16.850000000000001</v>
      </c>
      <c r="F1446" s="1509">
        <f t="shared" si="209"/>
        <v>0</v>
      </c>
      <c r="G1446" s="1509">
        <f t="shared" si="210"/>
        <v>0</v>
      </c>
      <c r="H1446" s="1509">
        <f t="shared" si="213"/>
        <v>0</v>
      </c>
      <c r="I1446" s="1509">
        <v>0</v>
      </c>
      <c r="J1446" s="1509">
        <v>0</v>
      </c>
      <c r="K1446" s="1509"/>
      <c r="L1446" s="1509"/>
      <c r="M1446" s="1509">
        <f t="shared" si="214"/>
        <v>0</v>
      </c>
      <c r="N1446" s="1509">
        <f t="shared" si="215"/>
        <v>0</v>
      </c>
      <c r="O1446" s="1510">
        <f t="shared" si="211"/>
        <v>0</v>
      </c>
      <c r="P1446" s="1453">
        <f t="shared" si="212"/>
        <v>0</v>
      </c>
    </row>
    <row r="1447" spans="1:16" ht="29" outlineLevel="1" x14ac:dyDescent="0.25">
      <c r="A1447" s="1511">
        <f t="shared" si="208"/>
        <v>13.1</v>
      </c>
      <c r="B1447" s="1512" t="str">
        <f t="shared" si="208"/>
        <v>Construction of concrete road from Gangakhed road to entrance of unit no.6,7 at NPTPS Parli V.</v>
      </c>
      <c r="C1447" s="1511" t="str">
        <f t="shared" si="208"/>
        <v>MERC/CAPEX/20162017/01172</v>
      </c>
      <c r="D1447" s="1378">
        <f t="shared" si="208"/>
        <v>42713</v>
      </c>
      <c r="E1447" s="1513">
        <f t="shared" si="208"/>
        <v>7.02</v>
      </c>
      <c r="F1447" s="1509">
        <f t="shared" si="209"/>
        <v>6.8551506</v>
      </c>
      <c r="G1447" s="1509">
        <f t="shared" si="210"/>
        <v>6.8551506</v>
      </c>
      <c r="H1447" s="1509">
        <f t="shared" si="213"/>
        <v>0</v>
      </c>
      <c r="I1447" s="1509">
        <v>0</v>
      </c>
      <c r="J1447" s="1509">
        <v>0</v>
      </c>
      <c r="K1447" s="1509"/>
      <c r="L1447" s="1509"/>
      <c r="M1447" s="1509">
        <f t="shared" si="214"/>
        <v>0</v>
      </c>
      <c r="N1447" s="1509">
        <f t="shared" si="215"/>
        <v>0</v>
      </c>
      <c r="O1447" s="1510">
        <f t="shared" si="211"/>
        <v>0</v>
      </c>
      <c r="P1447" s="1453">
        <f t="shared" si="212"/>
        <v>0</v>
      </c>
    </row>
    <row r="1448" spans="1:16" ht="29" outlineLevel="1" x14ac:dyDescent="0.25">
      <c r="A1448" s="1511">
        <f t="shared" si="208"/>
        <v>13.2</v>
      </c>
      <c r="B1448" s="1512" t="str">
        <f t="shared" si="208"/>
        <v>Construction of internal concrete roads within premises of Unit 6 and 7.</v>
      </c>
      <c r="C1448" s="1511" t="str">
        <f t="shared" si="208"/>
        <v>MERC/CAPEX/20162017/01172</v>
      </c>
      <c r="D1448" s="1378">
        <f t="shared" si="208"/>
        <v>42713</v>
      </c>
      <c r="E1448" s="1513">
        <f t="shared" si="208"/>
        <v>7.55</v>
      </c>
      <c r="F1448" s="1509">
        <f t="shared" si="209"/>
        <v>5.9636063540000004</v>
      </c>
      <c r="G1448" s="1509">
        <f t="shared" si="210"/>
        <v>5.9636063540000004</v>
      </c>
      <c r="H1448" s="1509">
        <f t="shared" si="213"/>
        <v>0</v>
      </c>
      <c r="I1448" s="1509">
        <v>0</v>
      </c>
      <c r="J1448" s="1509">
        <v>0</v>
      </c>
      <c r="K1448" s="1509"/>
      <c r="L1448" s="1509"/>
      <c r="M1448" s="1509">
        <f t="shared" si="214"/>
        <v>0</v>
      </c>
      <c r="N1448" s="1509">
        <f t="shared" si="215"/>
        <v>0</v>
      </c>
      <c r="O1448" s="1510">
        <f t="shared" si="211"/>
        <v>0</v>
      </c>
      <c r="P1448" s="1453">
        <f t="shared" si="212"/>
        <v>0</v>
      </c>
    </row>
    <row r="1449" spans="1:16" ht="29" outlineLevel="1" x14ac:dyDescent="0.25">
      <c r="A1449" s="1511">
        <f t="shared" si="208"/>
        <v>13.3</v>
      </c>
      <c r="B1449" s="1512" t="str">
        <f t="shared" si="208"/>
        <v>Construction of spare generator transformer foundation of Unit No. 6,7 at NPTPS Parli-V &amp; Paras TPS</v>
      </c>
      <c r="C1449" s="1511" t="str">
        <f t="shared" si="208"/>
        <v>MERC/CAPEX/20162017/01172</v>
      </c>
      <c r="D1449" s="1378">
        <f t="shared" si="208"/>
        <v>42713</v>
      </c>
      <c r="E1449" s="1513">
        <f t="shared" si="208"/>
        <v>1.48</v>
      </c>
      <c r="F1449" s="1509">
        <f t="shared" si="209"/>
        <v>1.2847999999999999</v>
      </c>
      <c r="G1449" s="1509">
        <f t="shared" si="210"/>
        <v>1.2847999999999999</v>
      </c>
      <c r="H1449" s="1509">
        <f t="shared" si="213"/>
        <v>0</v>
      </c>
      <c r="I1449" s="1509">
        <v>0</v>
      </c>
      <c r="J1449" s="1509">
        <v>0</v>
      </c>
      <c r="K1449" s="1509"/>
      <c r="L1449" s="1509"/>
      <c r="M1449" s="1509">
        <f t="shared" si="214"/>
        <v>0</v>
      </c>
      <c r="N1449" s="1509">
        <f t="shared" si="215"/>
        <v>0</v>
      </c>
      <c r="O1449" s="1510">
        <f t="shared" si="211"/>
        <v>0</v>
      </c>
      <c r="P1449" s="1453">
        <f t="shared" si="212"/>
        <v>0</v>
      </c>
    </row>
    <row r="1450" spans="1:16" outlineLevel="1" x14ac:dyDescent="0.25">
      <c r="A1450" s="1511">
        <f t="shared" si="208"/>
        <v>0</v>
      </c>
      <c r="B1450" s="1515" t="str">
        <f t="shared" si="208"/>
        <v>IDC</v>
      </c>
      <c r="C1450" s="1511" t="str">
        <f t="shared" si="208"/>
        <v>MERC/CAPEX/20162017/01172</v>
      </c>
      <c r="D1450" s="1378">
        <f t="shared" si="208"/>
        <v>42713</v>
      </c>
      <c r="E1450" s="1513">
        <f t="shared" si="208"/>
        <v>0.8</v>
      </c>
      <c r="F1450" s="1509">
        <f t="shared" si="209"/>
        <v>0</v>
      </c>
      <c r="G1450" s="1509">
        <f t="shared" si="210"/>
        <v>0</v>
      </c>
      <c r="H1450" s="1509">
        <f t="shared" si="213"/>
        <v>0</v>
      </c>
      <c r="I1450" s="1509">
        <v>0</v>
      </c>
      <c r="J1450" s="1509">
        <v>0</v>
      </c>
      <c r="K1450" s="1509"/>
      <c r="L1450" s="1509"/>
      <c r="M1450" s="1509">
        <f t="shared" si="214"/>
        <v>0</v>
      </c>
      <c r="N1450" s="1509">
        <f t="shared" si="215"/>
        <v>0</v>
      </c>
      <c r="O1450" s="1510">
        <f t="shared" si="211"/>
        <v>0</v>
      </c>
      <c r="P1450" s="1453">
        <f t="shared" si="212"/>
        <v>0</v>
      </c>
    </row>
    <row r="1451" spans="1:16" outlineLevel="1" x14ac:dyDescent="0.25">
      <c r="A1451" s="1506">
        <f t="shared" si="208"/>
        <v>14</v>
      </c>
      <c r="B1451" s="1507" t="str">
        <f t="shared" si="208"/>
        <v>Procurement of battery breakers and weigh bridge for Parli Unit 6 &amp; 7</v>
      </c>
      <c r="C1451" s="1506" t="str">
        <f t="shared" si="208"/>
        <v>MERC/CAPEX/20172018/4711</v>
      </c>
      <c r="D1451" s="1508">
        <f t="shared" si="208"/>
        <v>43055</v>
      </c>
      <c r="E1451" s="1509">
        <f t="shared" si="208"/>
        <v>18.279999999999998</v>
      </c>
      <c r="F1451" s="1509">
        <f t="shared" si="209"/>
        <v>0</v>
      </c>
      <c r="G1451" s="1509">
        <f t="shared" si="210"/>
        <v>0</v>
      </c>
      <c r="H1451" s="1509">
        <f t="shared" si="213"/>
        <v>0</v>
      </c>
      <c r="I1451" s="1509">
        <v>0</v>
      </c>
      <c r="J1451" s="1509">
        <v>0</v>
      </c>
      <c r="K1451" s="1509"/>
      <c r="L1451" s="1509"/>
      <c r="M1451" s="1509">
        <f t="shared" si="214"/>
        <v>0</v>
      </c>
      <c r="N1451" s="1509">
        <f t="shared" si="215"/>
        <v>0</v>
      </c>
      <c r="O1451" s="1510">
        <f t="shared" si="211"/>
        <v>0</v>
      </c>
      <c r="P1451" s="1453">
        <f t="shared" si="212"/>
        <v>0</v>
      </c>
    </row>
    <row r="1452" spans="1:16" ht="29" outlineLevel="1" x14ac:dyDescent="0.25">
      <c r="A1452" s="1511">
        <f t="shared" si="208"/>
        <v>14.1</v>
      </c>
      <c r="B1452" s="1512" t="str">
        <f t="shared" si="208"/>
        <v>Replacement of 220V station batteries, 360V UPS batteries, 24V DCS batteries , 360V UPS AHP batteries at U6 &amp; U7 NPTPS</v>
      </c>
      <c r="C1452" s="1511" t="str">
        <f t="shared" si="208"/>
        <v>MERC/CAPEX/20172018/4711</v>
      </c>
      <c r="D1452" s="1378">
        <f t="shared" si="208"/>
        <v>43055</v>
      </c>
      <c r="E1452" s="1513">
        <f t="shared" si="208"/>
        <v>15.08</v>
      </c>
      <c r="F1452" s="1509">
        <f t="shared" si="209"/>
        <v>14.4772699</v>
      </c>
      <c r="G1452" s="1509">
        <f t="shared" si="210"/>
        <v>14.4772699</v>
      </c>
      <c r="H1452" s="1509">
        <f t="shared" si="213"/>
        <v>0</v>
      </c>
      <c r="I1452" s="1509">
        <v>0</v>
      </c>
      <c r="J1452" s="1509">
        <v>0</v>
      </c>
      <c r="K1452" s="1509"/>
      <c r="L1452" s="1509"/>
      <c r="M1452" s="1509">
        <f t="shared" si="214"/>
        <v>0</v>
      </c>
      <c r="N1452" s="1509">
        <f t="shared" si="215"/>
        <v>0</v>
      </c>
      <c r="O1452" s="1510">
        <f t="shared" si="211"/>
        <v>0</v>
      </c>
      <c r="P1452" s="1453">
        <f t="shared" si="212"/>
        <v>0</v>
      </c>
    </row>
    <row r="1453" spans="1:16" outlineLevel="1" x14ac:dyDescent="0.25">
      <c r="A1453" s="1511">
        <f t="shared" si="208"/>
        <v>14.2</v>
      </c>
      <c r="B1453" s="1512" t="str">
        <f t="shared" si="208"/>
        <v>Installation of Pit less weighbridge of 100 MT capacity.</v>
      </c>
      <c r="C1453" s="1511" t="str">
        <f t="shared" si="208"/>
        <v>MERC/CAPEX/20172018/4711</v>
      </c>
      <c r="D1453" s="1378">
        <f t="shared" si="208"/>
        <v>43055</v>
      </c>
      <c r="E1453" s="1513">
        <f t="shared" si="208"/>
        <v>0.3</v>
      </c>
      <c r="F1453" s="1509">
        <f t="shared" si="209"/>
        <v>0.29736000000000001</v>
      </c>
      <c r="G1453" s="1509">
        <f t="shared" si="210"/>
        <v>0.29736000000000001</v>
      </c>
      <c r="H1453" s="1509">
        <f t="shared" si="213"/>
        <v>0</v>
      </c>
      <c r="I1453" s="1509">
        <v>0</v>
      </c>
      <c r="J1453" s="1509">
        <v>0</v>
      </c>
      <c r="K1453" s="1509"/>
      <c r="L1453" s="1509"/>
      <c r="M1453" s="1509">
        <f t="shared" si="214"/>
        <v>0</v>
      </c>
      <c r="N1453" s="1509">
        <f t="shared" si="215"/>
        <v>0</v>
      </c>
      <c r="O1453" s="1510">
        <f t="shared" si="211"/>
        <v>0</v>
      </c>
      <c r="P1453" s="1453">
        <f t="shared" si="212"/>
        <v>0</v>
      </c>
    </row>
    <row r="1454" spans="1:16" outlineLevel="1" x14ac:dyDescent="0.25">
      <c r="A1454" s="1511">
        <f t="shared" ref="A1454:E1469" si="216">A1097</f>
        <v>14.3</v>
      </c>
      <c r="B1454" s="1512" t="str">
        <f t="shared" si="216"/>
        <v>Procurement of SF 6 Generator Circuit Breaker Type- FKG1X</v>
      </c>
      <c r="C1454" s="1511" t="str">
        <f t="shared" si="216"/>
        <v>MERC/CAPEX/20172018/4711</v>
      </c>
      <c r="D1454" s="1378">
        <f t="shared" si="216"/>
        <v>43055</v>
      </c>
      <c r="E1454" s="1513">
        <f t="shared" si="216"/>
        <v>2.46</v>
      </c>
      <c r="F1454" s="1509">
        <f t="shared" si="209"/>
        <v>2.46</v>
      </c>
      <c r="G1454" s="1509">
        <f t="shared" si="210"/>
        <v>2.46</v>
      </c>
      <c r="H1454" s="1509">
        <f t="shared" si="213"/>
        <v>0</v>
      </c>
      <c r="I1454" s="1509">
        <v>0</v>
      </c>
      <c r="J1454" s="1509">
        <v>0</v>
      </c>
      <c r="K1454" s="1509"/>
      <c r="L1454" s="1509"/>
      <c r="M1454" s="1509">
        <f t="shared" si="214"/>
        <v>0</v>
      </c>
      <c r="N1454" s="1509">
        <f t="shared" si="215"/>
        <v>0</v>
      </c>
      <c r="O1454" s="1510">
        <f t="shared" si="211"/>
        <v>0</v>
      </c>
      <c r="P1454" s="1453">
        <f t="shared" si="212"/>
        <v>0</v>
      </c>
    </row>
    <row r="1455" spans="1:16" outlineLevel="1" x14ac:dyDescent="0.25">
      <c r="A1455" s="1511">
        <f t="shared" si="216"/>
        <v>14.4</v>
      </c>
      <c r="B1455" s="1512" t="str">
        <f t="shared" si="216"/>
        <v>Procurement of spare VCB’s trolleys.</v>
      </c>
      <c r="C1455" s="1511" t="str">
        <f t="shared" si="216"/>
        <v>MERC/CAPEX/20172018/4711</v>
      </c>
      <c r="D1455" s="1378">
        <f t="shared" si="216"/>
        <v>43055</v>
      </c>
      <c r="E1455" s="1513">
        <f t="shared" si="216"/>
        <v>0.31</v>
      </c>
      <c r="F1455" s="1509">
        <f t="shared" si="209"/>
        <v>0.5057102</v>
      </c>
      <c r="G1455" s="1509">
        <f t="shared" si="210"/>
        <v>0.5057102</v>
      </c>
      <c r="H1455" s="1509">
        <f t="shared" si="213"/>
        <v>0</v>
      </c>
      <c r="I1455" s="1509">
        <v>0</v>
      </c>
      <c r="J1455" s="1509">
        <v>0</v>
      </c>
      <c r="K1455" s="1509"/>
      <c r="L1455" s="1509"/>
      <c r="M1455" s="1509">
        <f t="shared" si="214"/>
        <v>0</v>
      </c>
      <c r="N1455" s="1509">
        <f t="shared" si="215"/>
        <v>0</v>
      </c>
      <c r="O1455" s="1510">
        <f t="shared" si="211"/>
        <v>0</v>
      </c>
      <c r="P1455" s="1453">
        <f t="shared" si="212"/>
        <v>0</v>
      </c>
    </row>
    <row r="1456" spans="1:16" outlineLevel="1" x14ac:dyDescent="0.25">
      <c r="A1456" s="1511">
        <f t="shared" si="216"/>
        <v>0</v>
      </c>
      <c r="B1456" s="1512" t="str">
        <f t="shared" si="216"/>
        <v>IDC</v>
      </c>
      <c r="C1456" s="1511" t="str">
        <f t="shared" si="216"/>
        <v>MERC/CAPEX/20172018/4711</v>
      </c>
      <c r="D1456" s="1378">
        <f t="shared" si="216"/>
        <v>43055</v>
      </c>
      <c r="E1456" s="1513">
        <f t="shared" si="216"/>
        <v>0.13</v>
      </c>
      <c r="F1456" s="1509">
        <f t="shared" si="209"/>
        <v>0</v>
      </c>
      <c r="G1456" s="1509">
        <f t="shared" si="210"/>
        <v>0</v>
      </c>
      <c r="H1456" s="1509">
        <f t="shared" si="213"/>
        <v>0</v>
      </c>
      <c r="I1456" s="1509">
        <v>0</v>
      </c>
      <c r="J1456" s="1509">
        <v>0</v>
      </c>
      <c r="K1456" s="1509"/>
      <c r="L1456" s="1509"/>
      <c r="M1456" s="1509">
        <f t="shared" si="214"/>
        <v>0</v>
      </c>
      <c r="N1456" s="1509">
        <f t="shared" si="215"/>
        <v>0</v>
      </c>
      <c r="O1456" s="1510">
        <f t="shared" si="211"/>
        <v>0</v>
      </c>
      <c r="P1456" s="1453">
        <f t="shared" si="212"/>
        <v>0</v>
      </c>
    </row>
    <row r="1457" spans="1:16" ht="29" outlineLevel="1" x14ac:dyDescent="0.25">
      <c r="A1457" s="1506">
        <f t="shared" si="216"/>
        <v>15</v>
      </c>
      <c r="B1457" s="1507" t="str">
        <f t="shared" si="216"/>
        <v>First raising of ash bund from 426 Mtr. To 432 Mtr. Of Dautpur Ash Bund No. 2 for Unit No. 4, 6, 7 &amp; 8 at Parli TPS.</v>
      </c>
      <c r="C1457" s="1506" t="str">
        <f t="shared" si="216"/>
        <v>MERC/CAPEX/20172018/4703</v>
      </c>
      <c r="D1457" s="1508">
        <f t="shared" si="216"/>
        <v>43055</v>
      </c>
      <c r="E1457" s="1509">
        <f t="shared" si="216"/>
        <v>45.524777499999992</v>
      </c>
      <c r="F1457" s="1509">
        <f t="shared" si="209"/>
        <v>0</v>
      </c>
      <c r="G1457" s="1509">
        <f t="shared" si="210"/>
        <v>0</v>
      </c>
      <c r="H1457" s="1509">
        <f t="shared" si="213"/>
        <v>0</v>
      </c>
      <c r="I1457" s="1509">
        <v>0</v>
      </c>
      <c r="J1457" s="1509">
        <v>0</v>
      </c>
      <c r="K1457" s="1509"/>
      <c r="L1457" s="1509"/>
      <c r="M1457" s="1509">
        <f t="shared" si="214"/>
        <v>0</v>
      </c>
      <c r="N1457" s="1509">
        <f t="shared" si="215"/>
        <v>0</v>
      </c>
      <c r="O1457" s="1510">
        <f t="shared" si="211"/>
        <v>0</v>
      </c>
      <c r="P1457" s="1453">
        <f t="shared" si="212"/>
        <v>0</v>
      </c>
    </row>
    <row r="1458" spans="1:16" ht="29" outlineLevel="1" x14ac:dyDescent="0.25">
      <c r="A1458" s="1511">
        <f t="shared" si="216"/>
        <v>15.1</v>
      </c>
      <c r="B1458" s="1512" t="str">
        <f t="shared" si="216"/>
        <v>First raising of ash bund from 426 Mtr. To 432 Mtr. Of Dautpur Ash Bund No. 2 for Unit No. 4, 6, 7 &amp; 8 at Parli TPS.</v>
      </c>
      <c r="C1458" s="1511" t="str">
        <f t="shared" si="216"/>
        <v>MERC/CAPEX/20172018/4703</v>
      </c>
      <c r="D1458" s="1378">
        <f t="shared" si="216"/>
        <v>43055</v>
      </c>
      <c r="E1458" s="1513">
        <f t="shared" si="216"/>
        <v>44.154777499999994</v>
      </c>
      <c r="F1458" s="1509">
        <f t="shared" si="209"/>
        <v>43.094741947000003</v>
      </c>
      <c r="G1458" s="1509">
        <f t="shared" si="210"/>
        <v>43.094741947000003</v>
      </c>
      <c r="H1458" s="1509">
        <f t="shared" si="213"/>
        <v>0</v>
      </c>
      <c r="I1458" s="1509">
        <v>0</v>
      </c>
      <c r="J1458" s="1509">
        <v>0</v>
      </c>
      <c r="K1458" s="1509"/>
      <c r="L1458" s="1509"/>
      <c r="M1458" s="1509">
        <f t="shared" si="214"/>
        <v>0</v>
      </c>
      <c r="N1458" s="1509">
        <f t="shared" si="215"/>
        <v>0</v>
      </c>
      <c r="O1458" s="1510">
        <f t="shared" si="211"/>
        <v>0</v>
      </c>
      <c r="P1458" s="1453">
        <f t="shared" si="212"/>
        <v>0</v>
      </c>
    </row>
    <row r="1459" spans="1:16" outlineLevel="1" x14ac:dyDescent="0.25">
      <c r="A1459" s="1511">
        <f t="shared" si="216"/>
        <v>0</v>
      </c>
      <c r="B1459" s="1512" t="str">
        <f t="shared" si="216"/>
        <v>IDC</v>
      </c>
      <c r="C1459" s="1511" t="str">
        <f t="shared" si="216"/>
        <v>MERC/CAPEX/20172018/4703</v>
      </c>
      <c r="D1459" s="1378">
        <f t="shared" si="216"/>
        <v>43055</v>
      </c>
      <c r="E1459" s="1513">
        <f t="shared" si="216"/>
        <v>1.37</v>
      </c>
      <c r="F1459" s="1509">
        <f t="shared" si="209"/>
        <v>0</v>
      </c>
      <c r="G1459" s="1509">
        <f t="shared" si="210"/>
        <v>0</v>
      </c>
      <c r="H1459" s="1509">
        <f t="shared" si="213"/>
        <v>0</v>
      </c>
      <c r="I1459" s="1509">
        <v>0</v>
      </c>
      <c r="J1459" s="1509">
        <v>0</v>
      </c>
      <c r="K1459" s="1509"/>
      <c r="L1459" s="1509"/>
      <c r="M1459" s="1509">
        <f t="shared" si="214"/>
        <v>0</v>
      </c>
      <c r="N1459" s="1509">
        <f t="shared" si="215"/>
        <v>0</v>
      </c>
      <c r="O1459" s="1510">
        <f t="shared" si="211"/>
        <v>0</v>
      </c>
      <c r="P1459" s="1453">
        <f t="shared" si="212"/>
        <v>0</v>
      </c>
    </row>
    <row r="1460" spans="1:16" outlineLevel="1" x14ac:dyDescent="0.25">
      <c r="A1460" s="1506">
        <f t="shared" si="216"/>
        <v>16</v>
      </c>
      <c r="B1460" s="1507" t="str">
        <f t="shared" si="216"/>
        <v>Renovation works of colony at Parli TPS</v>
      </c>
      <c r="C1460" s="1506" t="str">
        <f t="shared" si="216"/>
        <v>MERC/CAPEX/2018-2019/065</v>
      </c>
      <c r="D1460" s="1508">
        <f t="shared" si="216"/>
        <v>43529</v>
      </c>
      <c r="E1460" s="1509">
        <f t="shared" si="216"/>
        <v>13.148149</v>
      </c>
      <c r="F1460" s="1509">
        <f t="shared" si="209"/>
        <v>0</v>
      </c>
      <c r="G1460" s="1509">
        <f t="shared" si="210"/>
        <v>0</v>
      </c>
      <c r="H1460" s="1509">
        <f t="shared" si="213"/>
        <v>0</v>
      </c>
      <c r="I1460" s="1509">
        <v>0</v>
      </c>
      <c r="J1460" s="1509">
        <v>0</v>
      </c>
      <c r="K1460" s="1509"/>
      <c r="L1460" s="1509"/>
      <c r="M1460" s="1509">
        <f t="shared" si="214"/>
        <v>0</v>
      </c>
      <c r="N1460" s="1509">
        <f t="shared" si="215"/>
        <v>0</v>
      </c>
      <c r="O1460" s="1510">
        <f t="shared" si="211"/>
        <v>0</v>
      </c>
      <c r="P1460" s="1453">
        <f t="shared" si="212"/>
        <v>0</v>
      </c>
    </row>
    <row r="1461" spans="1:16" outlineLevel="1" x14ac:dyDescent="0.25">
      <c r="A1461" s="1511">
        <f t="shared" si="216"/>
        <v>16.100000000000001</v>
      </c>
      <c r="B1461" s="1512" t="str">
        <f t="shared" si="216"/>
        <v>Colony Renovation / Garden and relation works</v>
      </c>
      <c r="C1461" s="1511" t="str">
        <f t="shared" si="216"/>
        <v>MERC/CAPEX/2018-2019/065</v>
      </c>
      <c r="D1461" s="1378">
        <f t="shared" si="216"/>
        <v>43529</v>
      </c>
      <c r="E1461" s="1513">
        <f t="shared" si="216"/>
        <v>8.0502839999999996</v>
      </c>
      <c r="F1461" s="1509">
        <f t="shared" si="209"/>
        <v>5.98991717</v>
      </c>
      <c r="G1461" s="1509">
        <f t="shared" si="210"/>
        <v>5.98991717</v>
      </c>
      <c r="H1461" s="1509">
        <f t="shared" si="213"/>
        <v>0</v>
      </c>
      <c r="I1461" s="1509">
        <v>0</v>
      </c>
      <c r="J1461" s="1509">
        <v>0</v>
      </c>
      <c r="K1461" s="1509"/>
      <c r="L1461" s="1509"/>
      <c r="M1461" s="1509">
        <f t="shared" si="214"/>
        <v>0</v>
      </c>
      <c r="N1461" s="1509">
        <f t="shared" si="215"/>
        <v>0</v>
      </c>
      <c r="O1461" s="1510">
        <f t="shared" si="211"/>
        <v>0</v>
      </c>
      <c r="P1461" s="1453">
        <f t="shared" si="212"/>
        <v>0</v>
      </c>
    </row>
    <row r="1462" spans="1:16" outlineLevel="1" x14ac:dyDescent="0.25">
      <c r="A1462" s="1511">
        <f t="shared" si="216"/>
        <v>16.2</v>
      </c>
      <c r="B1462" s="1512" t="str">
        <f t="shared" si="216"/>
        <v>Colony Road work</v>
      </c>
      <c r="C1462" s="1511" t="str">
        <f t="shared" si="216"/>
        <v>MERC/CAPEX/2018-2019/065</v>
      </c>
      <c r="D1462" s="1378">
        <f t="shared" si="216"/>
        <v>43529</v>
      </c>
      <c r="E1462" s="1513">
        <f t="shared" si="216"/>
        <v>2.3051249999999999</v>
      </c>
      <c r="F1462" s="1509">
        <f t="shared" si="209"/>
        <v>2.0084425239999999</v>
      </c>
      <c r="G1462" s="1509">
        <f t="shared" si="210"/>
        <v>2.0084425239999999</v>
      </c>
      <c r="H1462" s="1509">
        <f t="shared" si="213"/>
        <v>0</v>
      </c>
      <c r="I1462" s="1509">
        <v>0</v>
      </c>
      <c r="J1462" s="1509">
        <v>0</v>
      </c>
      <c r="K1462" s="1509"/>
      <c r="L1462" s="1509"/>
      <c r="M1462" s="1509">
        <f t="shared" si="214"/>
        <v>0</v>
      </c>
      <c r="N1462" s="1509">
        <f t="shared" si="215"/>
        <v>0</v>
      </c>
      <c r="O1462" s="1510">
        <f t="shared" si="211"/>
        <v>0</v>
      </c>
      <c r="P1462" s="1453">
        <f t="shared" si="212"/>
        <v>0</v>
      </c>
    </row>
    <row r="1463" spans="1:16" outlineLevel="1" x14ac:dyDescent="0.25">
      <c r="A1463" s="1511">
        <f t="shared" si="216"/>
        <v>16.3</v>
      </c>
      <c r="B1463" s="1512" t="str">
        <f t="shared" si="216"/>
        <v>Colony Water supply, Sanitary and drinage line work</v>
      </c>
      <c r="C1463" s="1511" t="str">
        <f t="shared" si="216"/>
        <v>MERC/CAPEX/2018-2019/065</v>
      </c>
      <c r="D1463" s="1378">
        <f t="shared" si="216"/>
        <v>43529</v>
      </c>
      <c r="E1463" s="1513">
        <f t="shared" si="216"/>
        <v>2.7927399999999998</v>
      </c>
      <c r="F1463" s="1509">
        <f t="shared" si="209"/>
        <v>2.514492449</v>
      </c>
      <c r="G1463" s="1509">
        <f t="shared" si="210"/>
        <v>2.514492449</v>
      </c>
      <c r="H1463" s="1509">
        <f t="shared" si="213"/>
        <v>0</v>
      </c>
      <c r="I1463" s="1509">
        <v>0</v>
      </c>
      <c r="J1463" s="1509">
        <v>0</v>
      </c>
      <c r="K1463" s="1509"/>
      <c r="L1463" s="1509"/>
      <c r="M1463" s="1509">
        <f t="shared" si="214"/>
        <v>0</v>
      </c>
      <c r="N1463" s="1509">
        <f t="shared" si="215"/>
        <v>0</v>
      </c>
      <c r="O1463" s="1510">
        <f t="shared" si="211"/>
        <v>0</v>
      </c>
      <c r="P1463" s="1453">
        <f t="shared" si="212"/>
        <v>0</v>
      </c>
    </row>
    <row r="1464" spans="1:16" outlineLevel="1" x14ac:dyDescent="0.25">
      <c r="A1464" s="1511">
        <f t="shared" si="216"/>
        <v>16.399999999999999</v>
      </c>
      <c r="B1464" s="1512" t="str">
        <f t="shared" si="216"/>
        <v>Mangal Karyalaya and Community Hall work</v>
      </c>
      <c r="C1464" s="1511" t="str">
        <f t="shared" si="216"/>
        <v>MERC/CAPEX/2018-2019/065</v>
      </c>
      <c r="D1464" s="1378">
        <f t="shared" si="216"/>
        <v>43529</v>
      </c>
      <c r="E1464" s="1513">
        <f t="shared" si="216"/>
        <v>0</v>
      </c>
      <c r="F1464" s="1509">
        <f t="shared" si="209"/>
        <v>0</v>
      </c>
      <c r="G1464" s="1509">
        <f t="shared" si="210"/>
        <v>0</v>
      </c>
      <c r="H1464" s="1509">
        <f t="shared" si="213"/>
        <v>0</v>
      </c>
      <c r="I1464" s="1509">
        <v>0</v>
      </c>
      <c r="J1464" s="1509">
        <v>0</v>
      </c>
      <c r="K1464" s="1509"/>
      <c r="L1464" s="1509"/>
      <c r="M1464" s="1509">
        <f t="shared" si="214"/>
        <v>0</v>
      </c>
      <c r="N1464" s="1509">
        <f t="shared" si="215"/>
        <v>0</v>
      </c>
      <c r="O1464" s="1510">
        <f t="shared" si="211"/>
        <v>0</v>
      </c>
      <c r="P1464" s="1453">
        <f t="shared" si="212"/>
        <v>0</v>
      </c>
    </row>
    <row r="1465" spans="1:16" outlineLevel="1" x14ac:dyDescent="0.25">
      <c r="A1465" s="1511">
        <f t="shared" si="216"/>
        <v>16.5</v>
      </c>
      <c r="B1465" s="1512" t="str">
        <f t="shared" si="216"/>
        <v>Other Civil  works</v>
      </c>
      <c r="C1465" s="1511" t="str">
        <f t="shared" si="216"/>
        <v>MERC/CAPEX/2018-2019/065</v>
      </c>
      <c r="D1465" s="1378">
        <f t="shared" si="216"/>
        <v>43529</v>
      </c>
      <c r="E1465" s="1513">
        <f t="shared" si="216"/>
        <v>0</v>
      </c>
      <c r="F1465" s="1509">
        <f t="shared" si="209"/>
        <v>0</v>
      </c>
      <c r="G1465" s="1509">
        <f t="shared" si="210"/>
        <v>0</v>
      </c>
      <c r="H1465" s="1509">
        <f t="shared" si="213"/>
        <v>0</v>
      </c>
      <c r="I1465" s="1509">
        <v>0</v>
      </c>
      <c r="J1465" s="1509">
        <v>0</v>
      </c>
      <c r="K1465" s="1509"/>
      <c r="L1465" s="1509"/>
      <c r="M1465" s="1509">
        <f t="shared" si="214"/>
        <v>0</v>
      </c>
      <c r="N1465" s="1509">
        <f t="shared" si="215"/>
        <v>0</v>
      </c>
      <c r="O1465" s="1510">
        <f t="shared" si="211"/>
        <v>0</v>
      </c>
      <c r="P1465" s="1453">
        <f t="shared" si="212"/>
        <v>0</v>
      </c>
    </row>
    <row r="1466" spans="1:16" outlineLevel="1" x14ac:dyDescent="0.25">
      <c r="A1466" s="1506">
        <f t="shared" si="216"/>
        <v>17</v>
      </c>
      <c r="B1466" s="1507" t="str">
        <f t="shared" si="216"/>
        <v>Various Civil Schemes at Parli TPS</v>
      </c>
      <c r="C1466" s="1506" t="str">
        <f t="shared" si="216"/>
        <v>MERC/CAPEX/20182019/020</v>
      </c>
      <c r="D1466" s="1508">
        <f t="shared" si="216"/>
        <v>43481</v>
      </c>
      <c r="E1466" s="1509">
        <f t="shared" si="216"/>
        <v>11.99868781</v>
      </c>
      <c r="F1466" s="1509">
        <f t="shared" si="209"/>
        <v>0</v>
      </c>
      <c r="G1466" s="1509">
        <f t="shared" si="210"/>
        <v>0</v>
      </c>
      <c r="H1466" s="1509">
        <f t="shared" si="213"/>
        <v>0</v>
      </c>
      <c r="I1466" s="1509">
        <v>0</v>
      </c>
      <c r="J1466" s="1509">
        <v>0</v>
      </c>
      <c r="K1466" s="1509"/>
      <c r="L1466" s="1509"/>
      <c r="M1466" s="1509">
        <f t="shared" si="214"/>
        <v>0</v>
      </c>
      <c r="N1466" s="1509">
        <f t="shared" si="215"/>
        <v>0</v>
      </c>
      <c r="O1466" s="1510">
        <f t="shared" si="211"/>
        <v>0</v>
      </c>
      <c r="P1466" s="1453">
        <f t="shared" si="212"/>
        <v>0</v>
      </c>
    </row>
    <row r="1467" spans="1:16" ht="43.5" outlineLevel="1" x14ac:dyDescent="0.25">
      <c r="A1467" s="1511">
        <f t="shared" si="216"/>
        <v>17.100000000000001</v>
      </c>
      <c r="B1467" s="1512" t="str">
        <f t="shared" si="216"/>
        <v>Repair work of Khadka road from Sangam T point TPS compound wall to Khadka pump house by providing and laying GSB and bituminous macadam surface on existing road at TPS Parli V</v>
      </c>
      <c r="C1467" s="1511" t="str">
        <f t="shared" si="216"/>
        <v>MERC/CAPEX/20182019/020</v>
      </c>
      <c r="D1467" s="1378">
        <f t="shared" si="216"/>
        <v>43481</v>
      </c>
      <c r="E1467" s="1513">
        <f t="shared" si="216"/>
        <v>6.1932861680000002</v>
      </c>
      <c r="F1467" s="1509">
        <f t="shared" si="209"/>
        <v>5.6459529719999999</v>
      </c>
      <c r="G1467" s="1509">
        <f t="shared" si="210"/>
        <v>5.6459529719999999</v>
      </c>
      <c r="H1467" s="1509">
        <f t="shared" si="213"/>
        <v>0</v>
      </c>
      <c r="I1467" s="1509">
        <v>0</v>
      </c>
      <c r="J1467" s="1509">
        <v>0</v>
      </c>
      <c r="K1467" s="1509"/>
      <c r="L1467" s="1509"/>
      <c r="M1467" s="1509">
        <f t="shared" si="214"/>
        <v>0</v>
      </c>
      <c r="N1467" s="1509">
        <f t="shared" si="215"/>
        <v>0</v>
      </c>
      <c r="O1467" s="1510">
        <f t="shared" si="211"/>
        <v>0</v>
      </c>
      <c r="P1467" s="1453">
        <f t="shared" si="212"/>
        <v>0</v>
      </c>
    </row>
    <row r="1468" spans="1:16" ht="29" outlineLevel="1" x14ac:dyDescent="0.25">
      <c r="A1468" s="1511">
        <f t="shared" si="216"/>
        <v>17.2</v>
      </c>
      <c r="B1468" s="1512" t="str">
        <f t="shared" si="216"/>
        <v xml:space="preserve">Replacement of old  A.C. / G.I. Sheets by new C.G.I. Sheets  at Unit 4 and 5  TPS Parli Vaijnath                         </v>
      </c>
      <c r="C1468" s="1511" t="str">
        <f t="shared" si="216"/>
        <v>MERC/CAPEX/20182019/020</v>
      </c>
      <c r="D1468" s="1378">
        <f t="shared" si="216"/>
        <v>43481</v>
      </c>
      <c r="E1468" s="1513">
        <f t="shared" si="216"/>
        <v>0.38584171</v>
      </c>
      <c r="F1468" s="1509">
        <f t="shared" si="209"/>
        <v>0.28061102900000001</v>
      </c>
      <c r="G1468" s="1509">
        <f t="shared" si="210"/>
        <v>0.28061102900000001</v>
      </c>
      <c r="H1468" s="1509">
        <f t="shared" si="213"/>
        <v>0</v>
      </c>
      <c r="I1468" s="1509">
        <v>0</v>
      </c>
      <c r="J1468" s="1509">
        <v>0</v>
      </c>
      <c r="K1468" s="1509"/>
      <c r="L1468" s="1509"/>
      <c r="M1468" s="1509">
        <f t="shared" si="214"/>
        <v>0</v>
      </c>
      <c r="N1468" s="1509">
        <f t="shared" si="215"/>
        <v>0</v>
      </c>
      <c r="O1468" s="1510">
        <f t="shared" si="211"/>
        <v>0</v>
      </c>
      <c r="P1468" s="1453">
        <f t="shared" si="212"/>
        <v>0</v>
      </c>
    </row>
    <row r="1469" spans="1:16" ht="29" outlineLevel="1" x14ac:dyDescent="0.25">
      <c r="A1469" s="1511">
        <f t="shared" si="216"/>
        <v>17.3</v>
      </c>
      <c r="B1469" s="1512" t="str">
        <f t="shared" si="216"/>
        <v xml:space="preserve">Water supply pipe line  from Way bridge to chummery gate at Old Power House premises TPS Parli   Vaijnath   </v>
      </c>
      <c r="C1469" s="1511" t="str">
        <f t="shared" si="216"/>
        <v>MERC/CAPEX/20182019/020</v>
      </c>
      <c r="D1469" s="1378">
        <f t="shared" si="216"/>
        <v>43481</v>
      </c>
      <c r="E1469" s="1513">
        <f t="shared" si="216"/>
        <v>1.490824862</v>
      </c>
      <c r="F1469" s="1509">
        <f t="shared" si="209"/>
        <v>1.49</v>
      </c>
      <c r="G1469" s="1509">
        <f t="shared" si="210"/>
        <v>1.49</v>
      </c>
      <c r="H1469" s="1509">
        <f t="shared" si="213"/>
        <v>0</v>
      </c>
      <c r="I1469" s="1509">
        <v>0</v>
      </c>
      <c r="J1469" s="1509">
        <v>0</v>
      </c>
      <c r="K1469" s="1509"/>
      <c r="L1469" s="1509"/>
      <c r="M1469" s="1509">
        <f t="shared" si="214"/>
        <v>0</v>
      </c>
      <c r="N1469" s="1509">
        <f t="shared" si="215"/>
        <v>0</v>
      </c>
      <c r="O1469" s="1510">
        <f t="shared" si="211"/>
        <v>0</v>
      </c>
      <c r="P1469" s="1453">
        <f t="shared" si="212"/>
        <v>0</v>
      </c>
    </row>
    <row r="1470" spans="1:16" ht="29" outlineLevel="1" x14ac:dyDescent="0.25">
      <c r="A1470" s="1511">
        <f t="shared" ref="A1470:E1485" si="217">A1113</f>
        <v>17.399999999999999</v>
      </c>
      <c r="B1470" s="1512" t="str">
        <f t="shared" si="217"/>
        <v>Providing and fixing colour coated sheets for roofing and cladding of Major Store godowns (3 Nos.) at NPTPS Parli Vaijnath.</v>
      </c>
      <c r="C1470" s="1511" t="str">
        <f t="shared" si="217"/>
        <v>MERC/CAPEX/20182019/020</v>
      </c>
      <c r="D1470" s="1378">
        <f t="shared" si="217"/>
        <v>43481</v>
      </c>
      <c r="E1470" s="1513">
        <f t="shared" si="217"/>
        <v>0.32052575999999999</v>
      </c>
      <c r="F1470" s="1509">
        <f t="shared" si="209"/>
        <v>0.23293444999999999</v>
      </c>
      <c r="G1470" s="1509">
        <f t="shared" si="210"/>
        <v>0.23293444999999999</v>
      </c>
      <c r="H1470" s="1509">
        <f t="shared" si="213"/>
        <v>0</v>
      </c>
      <c r="I1470" s="1509">
        <v>0</v>
      </c>
      <c r="J1470" s="1509">
        <v>0</v>
      </c>
      <c r="K1470" s="1509"/>
      <c r="L1470" s="1509"/>
      <c r="M1470" s="1509">
        <f t="shared" si="214"/>
        <v>0</v>
      </c>
      <c r="N1470" s="1509">
        <f t="shared" si="215"/>
        <v>0</v>
      </c>
      <c r="O1470" s="1510">
        <f t="shared" si="211"/>
        <v>0</v>
      </c>
      <c r="P1470" s="1453">
        <f t="shared" si="212"/>
        <v>0</v>
      </c>
    </row>
    <row r="1471" spans="1:16" ht="29" outlineLevel="1" x14ac:dyDescent="0.25">
      <c r="A1471" s="1511">
        <f t="shared" si="217"/>
        <v>17.5</v>
      </c>
      <c r="B1471" s="1512" t="str">
        <f t="shared" si="217"/>
        <v xml:space="preserve">Development of Major store unloading yard by providing RCC grade slab in unit 6 &amp; 7 premises at NPTPS Parli     V.                   </v>
      </c>
      <c r="C1471" s="1511" t="str">
        <f t="shared" si="217"/>
        <v>MERC/CAPEX/20182019/020</v>
      </c>
      <c r="D1471" s="1378">
        <f t="shared" si="217"/>
        <v>43481</v>
      </c>
      <c r="E1471" s="1513">
        <f t="shared" si="217"/>
        <v>2.7334139500000001</v>
      </c>
      <c r="F1471" s="1509">
        <f t="shared" si="209"/>
        <v>2.73</v>
      </c>
      <c r="G1471" s="1509">
        <f t="shared" si="210"/>
        <v>2.73</v>
      </c>
      <c r="H1471" s="1509">
        <f t="shared" si="213"/>
        <v>0</v>
      </c>
      <c r="I1471" s="1509">
        <v>0</v>
      </c>
      <c r="J1471" s="1509">
        <v>0</v>
      </c>
      <c r="K1471" s="1509"/>
      <c r="L1471" s="1509"/>
      <c r="M1471" s="1509">
        <f t="shared" si="214"/>
        <v>0</v>
      </c>
      <c r="N1471" s="1509">
        <f t="shared" si="215"/>
        <v>0</v>
      </c>
      <c r="O1471" s="1510">
        <f t="shared" si="211"/>
        <v>0</v>
      </c>
      <c r="P1471" s="1453">
        <f t="shared" si="212"/>
        <v>0</v>
      </c>
    </row>
    <row r="1472" spans="1:16" ht="43.5" outlineLevel="1" x14ac:dyDescent="0.25">
      <c r="A1472" s="1511">
        <f t="shared" si="217"/>
        <v>17.600000000000001</v>
      </c>
      <c r="B1472" s="1512" t="str">
        <f t="shared" si="217"/>
        <v xml:space="preserve">Work of painting to service building, Main plant building and various Auxillarey buildings of unit No. 6&amp;7 at New Parli Thermal Power Station.         </v>
      </c>
      <c r="C1472" s="1511" t="str">
        <f t="shared" si="217"/>
        <v>MERC/CAPEX/20182019/020</v>
      </c>
      <c r="D1472" s="1378">
        <f t="shared" si="217"/>
        <v>43481</v>
      </c>
      <c r="E1472" s="1513">
        <f t="shared" si="217"/>
        <v>0.58998525000000002</v>
      </c>
      <c r="F1472" s="1509">
        <f t="shared" si="209"/>
        <v>0.43154335300000002</v>
      </c>
      <c r="G1472" s="1509">
        <f t="shared" si="210"/>
        <v>0.43154335300000002</v>
      </c>
      <c r="H1472" s="1509">
        <f t="shared" si="213"/>
        <v>0</v>
      </c>
      <c r="I1472" s="1509">
        <v>0</v>
      </c>
      <c r="J1472" s="1509">
        <v>0</v>
      </c>
      <c r="K1472" s="1509"/>
      <c r="L1472" s="1509"/>
      <c r="M1472" s="1509">
        <f t="shared" si="214"/>
        <v>0</v>
      </c>
      <c r="N1472" s="1509">
        <f t="shared" si="215"/>
        <v>0</v>
      </c>
      <c r="O1472" s="1510">
        <f t="shared" si="211"/>
        <v>0</v>
      </c>
      <c r="P1472" s="1453">
        <f t="shared" si="212"/>
        <v>0</v>
      </c>
    </row>
    <row r="1473" spans="1:16" ht="29" outlineLevel="1" x14ac:dyDescent="0.25">
      <c r="A1473" s="1511">
        <f t="shared" si="217"/>
        <v>17.600000000000001</v>
      </c>
      <c r="B1473" s="1512" t="str">
        <f t="shared" si="217"/>
        <v>Construction of RCC cabins at various locations in unit No.6&amp;7 premises at NPTPS Parli - V.</v>
      </c>
      <c r="C1473" s="1511" t="str">
        <f t="shared" si="217"/>
        <v>MERC/CAPEX/20182019/020</v>
      </c>
      <c r="D1473" s="1378">
        <f t="shared" si="217"/>
        <v>43481</v>
      </c>
      <c r="E1473" s="1513">
        <f t="shared" si="217"/>
        <v>0.28481011000000001</v>
      </c>
      <c r="F1473" s="1509">
        <f t="shared" si="209"/>
        <v>0.20461170000000001</v>
      </c>
      <c r="G1473" s="1509">
        <f t="shared" si="210"/>
        <v>0.20461170000000001</v>
      </c>
      <c r="H1473" s="1509">
        <f t="shared" si="213"/>
        <v>0</v>
      </c>
      <c r="I1473" s="1509">
        <v>0</v>
      </c>
      <c r="J1473" s="1509">
        <v>0</v>
      </c>
      <c r="K1473" s="1509"/>
      <c r="L1473" s="1509"/>
      <c r="M1473" s="1509">
        <f t="shared" si="214"/>
        <v>0</v>
      </c>
      <c r="N1473" s="1509">
        <f t="shared" si="215"/>
        <v>0</v>
      </c>
      <c r="O1473" s="1510">
        <f t="shared" si="211"/>
        <v>0</v>
      </c>
      <c r="P1473" s="1453">
        <f t="shared" si="212"/>
        <v>0</v>
      </c>
    </row>
    <row r="1474" spans="1:16" outlineLevel="1" x14ac:dyDescent="0.25">
      <c r="A1474" s="1511">
        <f t="shared" si="217"/>
        <v>0</v>
      </c>
      <c r="B1474" s="1512" t="str">
        <f t="shared" si="217"/>
        <v>IDC</v>
      </c>
      <c r="C1474" s="1511" t="str">
        <f t="shared" si="217"/>
        <v>MERC/CAPEX/20182019/020</v>
      </c>
      <c r="D1474" s="1378">
        <f t="shared" si="217"/>
        <v>43481</v>
      </c>
      <c r="E1474" s="1513">
        <f t="shared" si="217"/>
        <v>0</v>
      </c>
      <c r="F1474" s="1509">
        <f t="shared" si="209"/>
        <v>0</v>
      </c>
      <c r="G1474" s="1509">
        <f t="shared" si="210"/>
        <v>0</v>
      </c>
      <c r="H1474" s="1509">
        <f t="shared" si="213"/>
        <v>0</v>
      </c>
      <c r="I1474" s="1509">
        <v>0</v>
      </c>
      <c r="J1474" s="1509">
        <v>0</v>
      </c>
      <c r="K1474" s="1509"/>
      <c r="L1474" s="1509"/>
      <c r="M1474" s="1509">
        <f t="shared" si="214"/>
        <v>0</v>
      </c>
      <c r="N1474" s="1509">
        <f t="shared" si="215"/>
        <v>0</v>
      </c>
      <c r="O1474" s="1510">
        <f t="shared" si="211"/>
        <v>0</v>
      </c>
      <c r="P1474" s="1453">
        <f t="shared" si="212"/>
        <v>0</v>
      </c>
    </row>
    <row r="1475" spans="1:16" ht="29" outlineLevel="1" x14ac:dyDescent="0.25">
      <c r="A1475" s="1506">
        <f t="shared" si="217"/>
        <v>18</v>
      </c>
      <c r="B1475" s="1507" t="str">
        <f t="shared" si="217"/>
        <v>Procurement &amp; replacement of complete set of Economizer and LTSH upper &amp; lower coils of Unit No. 6 &amp; 7 at Parli TPS</v>
      </c>
      <c r="C1475" s="1506" t="str">
        <f t="shared" si="217"/>
        <v>MERC/CAPEX/2019-2020/419</v>
      </c>
      <c r="D1475" s="1508">
        <f t="shared" si="217"/>
        <v>43672</v>
      </c>
      <c r="E1475" s="1509">
        <f t="shared" si="217"/>
        <v>22.72</v>
      </c>
      <c r="F1475" s="1509">
        <f t="shared" si="209"/>
        <v>0</v>
      </c>
      <c r="G1475" s="1509">
        <f t="shared" si="210"/>
        <v>0</v>
      </c>
      <c r="H1475" s="1509">
        <f t="shared" si="213"/>
        <v>0</v>
      </c>
      <c r="I1475" s="1509">
        <v>0</v>
      </c>
      <c r="J1475" s="1509">
        <v>0</v>
      </c>
      <c r="K1475" s="1509"/>
      <c r="L1475" s="1509"/>
      <c r="M1475" s="1509">
        <f t="shared" si="214"/>
        <v>0</v>
      </c>
      <c r="N1475" s="1509">
        <f t="shared" si="215"/>
        <v>0</v>
      </c>
      <c r="O1475" s="1510">
        <f t="shared" si="211"/>
        <v>0</v>
      </c>
      <c r="P1475" s="1453">
        <f t="shared" si="212"/>
        <v>0</v>
      </c>
    </row>
    <row r="1476" spans="1:16" ht="29" outlineLevel="1" x14ac:dyDescent="0.25">
      <c r="A1476" s="1511">
        <f t="shared" si="217"/>
        <v>18.100000000000001</v>
      </c>
      <c r="B1476" s="1512" t="str">
        <f t="shared" si="217"/>
        <v xml:space="preserve">Procurement &amp; replacement of complete set of economizer upper &amp; lower bank coils of Unit No. 6 </v>
      </c>
      <c r="C1476" s="1511" t="str">
        <f t="shared" si="217"/>
        <v>MERC/CAPEX/2019-2020/419</v>
      </c>
      <c r="D1476" s="1378">
        <f t="shared" si="217"/>
        <v>43672</v>
      </c>
      <c r="E1476" s="1513">
        <f t="shared" si="217"/>
        <v>10.6</v>
      </c>
      <c r="F1476" s="1509">
        <f t="shared" si="209"/>
        <v>12.505020100000001</v>
      </c>
      <c r="G1476" s="1509">
        <f t="shared" si="210"/>
        <v>12.505120100000001</v>
      </c>
      <c r="H1476" s="1509">
        <f t="shared" si="213"/>
        <v>-9.9999999999766942E-5</v>
      </c>
      <c r="I1476" s="1509">
        <v>0</v>
      </c>
      <c r="J1476" s="1509">
        <v>0</v>
      </c>
      <c r="K1476" s="1509"/>
      <c r="L1476" s="1509"/>
      <c r="M1476" s="1509">
        <f t="shared" si="214"/>
        <v>0</v>
      </c>
      <c r="N1476" s="1509">
        <f t="shared" si="215"/>
        <v>-9.9999999999766942E-5</v>
      </c>
      <c r="O1476" s="1510">
        <f t="shared" si="211"/>
        <v>0</v>
      </c>
      <c r="P1476" s="1453">
        <f t="shared" si="212"/>
        <v>0</v>
      </c>
    </row>
    <row r="1477" spans="1:16" ht="29" outlineLevel="1" x14ac:dyDescent="0.25">
      <c r="A1477" s="1511">
        <f t="shared" si="217"/>
        <v>18.2</v>
      </c>
      <c r="B1477" s="1512" t="str">
        <f t="shared" si="217"/>
        <v>Procurement &amp; replacement of complete set of LTSH upper &amp; lower bank coils for Parli TPS unit-7</v>
      </c>
      <c r="C1477" s="1511" t="str">
        <f t="shared" si="217"/>
        <v>MERC/CAPEX/2019-2020/419</v>
      </c>
      <c r="D1477" s="1378">
        <f t="shared" si="217"/>
        <v>43672</v>
      </c>
      <c r="E1477" s="1513">
        <f t="shared" si="217"/>
        <v>10.6</v>
      </c>
      <c r="F1477" s="1509">
        <f t="shared" si="209"/>
        <v>12.3255</v>
      </c>
      <c r="G1477" s="1509">
        <f t="shared" si="210"/>
        <v>12.328390300000001</v>
      </c>
      <c r="H1477" s="1509">
        <f t="shared" si="213"/>
        <v>-2.8903000000006784E-3</v>
      </c>
      <c r="I1477" s="1509">
        <v>0</v>
      </c>
      <c r="J1477" s="1509">
        <v>0</v>
      </c>
      <c r="K1477" s="1509"/>
      <c r="L1477" s="1509"/>
      <c r="M1477" s="1509">
        <f t="shared" si="214"/>
        <v>0</v>
      </c>
      <c r="N1477" s="1509">
        <f t="shared" si="215"/>
        <v>-2.8903000000006784E-3</v>
      </c>
      <c r="O1477" s="1510">
        <f t="shared" si="211"/>
        <v>0</v>
      </c>
      <c r="P1477" s="1453">
        <f t="shared" si="212"/>
        <v>0</v>
      </c>
    </row>
    <row r="1478" spans="1:16" outlineLevel="1" x14ac:dyDescent="0.25">
      <c r="A1478" s="1511">
        <f t="shared" si="217"/>
        <v>0</v>
      </c>
      <c r="B1478" s="1516" t="str">
        <f t="shared" si="217"/>
        <v>IDC</v>
      </c>
      <c r="C1478" s="1511" t="str">
        <f t="shared" si="217"/>
        <v>MERC/CAPEX/2019-2020/419</v>
      </c>
      <c r="D1478" s="1378">
        <f t="shared" si="217"/>
        <v>43672</v>
      </c>
      <c r="E1478" s="1513">
        <f t="shared" si="217"/>
        <v>1.52</v>
      </c>
      <c r="F1478" s="1509">
        <f t="shared" si="209"/>
        <v>0.81066607999999996</v>
      </c>
      <c r="G1478" s="1509">
        <f t="shared" si="210"/>
        <v>2.6306608000000002</v>
      </c>
      <c r="H1478" s="1509">
        <f t="shared" si="213"/>
        <v>-1.8199947200000004</v>
      </c>
      <c r="I1478" s="1509">
        <v>0</v>
      </c>
      <c r="J1478" s="1509">
        <v>0</v>
      </c>
      <c r="K1478" s="1509"/>
      <c r="L1478" s="1509"/>
      <c r="M1478" s="1509">
        <f t="shared" si="214"/>
        <v>0</v>
      </c>
      <c r="N1478" s="1509">
        <f t="shared" si="215"/>
        <v>-1.8199947200000004</v>
      </c>
      <c r="O1478" s="1510">
        <f t="shared" si="211"/>
        <v>0</v>
      </c>
      <c r="P1478" s="1453">
        <f t="shared" si="212"/>
        <v>0</v>
      </c>
    </row>
    <row r="1479" spans="1:16" ht="29" outlineLevel="1" x14ac:dyDescent="0.25">
      <c r="A1479" s="1506">
        <f t="shared" si="217"/>
        <v>19</v>
      </c>
      <c r="B1479" s="1507" t="str">
        <f t="shared" si="217"/>
        <v>Schemes related to enhance the performance of Coal Handling Plant (2 x 250 MW) at Parli TPS</v>
      </c>
      <c r="C1479" s="1506" t="str">
        <f t="shared" si="217"/>
        <v>MERC/CAPEX/2019-2020/451</v>
      </c>
      <c r="D1479" s="1508">
        <f t="shared" si="217"/>
        <v>43676</v>
      </c>
      <c r="E1479" s="1509">
        <f t="shared" si="217"/>
        <v>10.719999999999999</v>
      </c>
      <c r="F1479" s="1509">
        <f t="shared" si="209"/>
        <v>0</v>
      </c>
      <c r="G1479" s="1509">
        <f t="shared" si="210"/>
        <v>0</v>
      </c>
      <c r="H1479" s="1509">
        <f t="shared" si="213"/>
        <v>0</v>
      </c>
      <c r="I1479" s="1509">
        <v>0</v>
      </c>
      <c r="J1479" s="1509">
        <v>0</v>
      </c>
      <c r="K1479" s="1509"/>
      <c r="L1479" s="1509"/>
      <c r="M1479" s="1509">
        <f t="shared" si="214"/>
        <v>0</v>
      </c>
      <c r="N1479" s="1509">
        <f t="shared" si="215"/>
        <v>0</v>
      </c>
      <c r="O1479" s="1510">
        <f t="shared" si="211"/>
        <v>0</v>
      </c>
      <c r="P1479" s="1453">
        <f t="shared" si="212"/>
        <v>0</v>
      </c>
    </row>
    <row r="1480" spans="1:16" outlineLevel="1" x14ac:dyDescent="0.25">
      <c r="A1480" s="1511">
        <f t="shared" si="217"/>
        <v>19.100000000000001</v>
      </c>
      <c r="B1480" s="1512" t="str">
        <f t="shared" si="217"/>
        <v xml:space="preserve">Procurement of 02 Nos. of BD155 Bulldozers for Parli TPS    </v>
      </c>
      <c r="C1480" s="1511" t="str">
        <f t="shared" si="217"/>
        <v>MERC/CAPEX/2019-2020/451</v>
      </c>
      <c r="D1480" s="1378">
        <f t="shared" si="217"/>
        <v>43676</v>
      </c>
      <c r="E1480" s="1513">
        <f t="shared" si="217"/>
        <v>3.93</v>
      </c>
      <c r="F1480" s="1509">
        <f t="shared" si="209"/>
        <v>4.3292536000000004</v>
      </c>
      <c r="G1480" s="1509">
        <f t="shared" si="210"/>
        <v>4.3292536000000004</v>
      </c>
      <c r="H1480" s="1509">
        <f t="shared" si="213"/>
        <v>0</v>
      </c>
      <c r="I1480" s="1509">
        <v>0</v>
      </c>
      <c r="J1480" s="1509">
        <v>0</v>
      </c>
      <c r="K1480" s="1509"/>
      <c r="L1480" s="1509"/>
      <c r="M1480" s="1509">
        <f t="shared" si="214"/>
        <v>0</v>
      </c>
      <c r="N1480" s="1509">
        <f t="shared" si="215"/>
        <v>0</v>
      </c>
      <c r="O1480" s="1510">
        <f t="shared" si="211"/>
        <v>0</v>
      </c>
      <c r="P1480" s="1453">
        <f t="shared" si="212"/>
        <v>0</v>
      </c>
    </row>
    <row r="1481" spans="1:16" outlineLevel="1" x14ac:dyDescent="0.25">
      <c r="A1481" s="1511">
        <f t="shared" si="217"/>
        <v>19.2</v>
      </c>
      <c r="B1481" s="1512" t="str">
        <f t="shared" si="217"/>
        <v xml:space="preserve">Procurement of 02 Nos. of Locomotives(800 HP) for Parli TPS    </v>
      </c>
      <c r="C1481" s="1506" t="str">
        <f t="shared" si="217"/>
        <v>MERC/CAPEX/2019-2020/451</v>
      </c>
      <c r="D1481" s="1508">
        <f t="shared" si="217"/>
        <v>43676</v>
      </c>
      <c r="E1481" s="1509">
        <f t="shared" si="217"/>
        <v>6.25</v>
      </c>
      <c r="F1481" s="1509">
        <f t="shared" si="209"/>
        <v>6.4416200000000003</v>
      </c>
      <c r="G1481" s="1509">
        <f t="shared" si="210"/>
        <v>6.4416200000000003</v>
      </c>
      <c r="H1481" s="1509">
        <f t="shared" si="213"/>
        <v>0</v>
      </c>
      <c r="I1481" s="1509">
        <v>0</v>
      </c>
      <c r="J1481" s="1509">
        <v>0</v>
      </c>
      <c r="K1481" s="1509"/>
      <c r="L1481" s="1509"/>
      <c r="M1481" s="1509">
        <f t="shared" si="214"/>
        <v>0</v>
      </c>
      <c r="N1481" s="1509">
        <f t="shared" si="215"/>
        <v>0</v>
      </c>
      <c r="O1481" s="1510">
        <f t="shared" si="211"/>
        <v>0</v>
      </c>
      <c r="P1481" s="1453">
        <f t="shared" si="212"/>
        <v>0</v>
      </c>
    </row>
    <row r="1482" spans="1:16" outlineLevel="1" x14ac:dyDescent="0.25">
      <c r="A1482" s="1511">
        <f t="shared" si="217"/>
        <v>0</v>
      </c>
      <c r="B1482" s="1512" t="str">
        <f t="shared" si="217"/>
        <v>IDC</v>
      </c>
      <c r="C1482" s="1511" t="str">
        <f t="shared" si="217"/>
        <v>MERC/CAPEX/2019-2020/451</v>
      </c>
      <c r="D1482" s="1378">
        <f t="shared" si="217"/>
        <v>43676</v>
      </c>
      <c r="E1482" s="1513">
        <f t="shared" si="217"/>
        <v>0.54</v>
      </c>
      <c r="F1482" s="1509">
        <f t="shared" si="209"/>
        <v>0</v>
      </c>
      <c r="G1482" s="1509">
        <f t="shared" si="210"/>
        <v>0</v>
      </c>
      <c r="H1482" s="1509">
        <f t="shared" si="213"/>
        <v>0</v>
      </c>
      <c r="I1482" s="1509">
        <v>0</v>
      </c>
      <c r="J1482" s="1509">
        <v>0</v>
      </c>
      <c r="K1482" s="1509"/>
      <c r="L1482" s="1509"/>
      <c r="M1482" s="1509">
        <f t="shared" si="214"/>
        <v>0</v>
      </c>
      <c r="N1482" s="1509">
        <f t="shared" si="215"/>
        <v>0</v>
      </c>
      <c r="O1482" s="1510">
        <f t="shared" si="211"/>
        <v>0</v>
      </c>
      <c r="P1482" s="1453">
        <f t="shared" si="212"/>
        <v>0</v>
      </c>
    </row>
    <row r="1483" spans="1:16" ht="58" outlineLevel="1" x14ac:dyDescent="0.25">
      <c r="A1483" s="1506">
        <f t="shared" si="217"/>
        <v>20</v>
      </c>
      <c r="B1483" s="1507" t="str">
        <f t="shared" si="217"/>
        <v>Procurement of Energy Efficient Cartridges of boiler Feed Pumps at Unit # 6 &amp; 7, Girth Gear, Pinion for BBD-4772 Coal Mills &amp; Procurement, Installation, Commissioning of Variable Frequency Drive for Gravimetric Coal Feeders (2X250MW) at Parli TPS</v>
      </c>
      <c r="C1483" s="1506" t="str">
        <f t="shared" si="217"/>
        <v>MERC/CAPEX/2019-2020/476,
MERC/CAPEX/2019-2020/858</v>
      </c>
      <c r="D1483" s="1508" t="str">
        <f t="shared" si="217"/>
        <v>01-08-2019,
10-10-2019</v>
      </c>
      <c r="E1483" s="1509">
        <f t="shared" si="217"/>
        <v>21.26</v>
      </c>
      <c r="F1483" s="1509">
        <f t="shared" si="209"/>
        <v>0</v>
      </c>
      <c r="G1483" s="1509">
        <f t="shared" si="210"/>
        <v>0</v>
      </c>
      <c r="H1483" s="1509">
        <f t="shared" si="213"/>
        <v>0</v>
      </c>
      <c r="I1483" s="1509">
        <v>0</v>
      </c>
      <c r="J1483" s="1509">
        <v>0</v>
      </c>
      <c r="K1483" s="1509"/>
      <c r="L1483" s="1509"/>
      <c r="M1483" s="1509">
        <f t="shared" si="214"/>
        <v>0</v>
      </c>
      <c r="N1483" s="1509">
        <f t="shared" si="215"/>
        <v>0</v>
      </c>
      <c r="O1483" s="1510">
        <f t="shared" si="211"/>
        <v>0</v>
      </c>
      <c r="P1483" s="1453">
        <f t="shared" si="212"/>
        <v>0</v>
      </c>
    </row>
    <row r="1484" spans="1:16" ht="58" outlineLevel="1" x14ac:dyDescent="0.25">
      <c r="A1484" s="1511">
        <f t="shared" si="217"/>
        <v>20.100000000000001</v>
      </c>
      <c r="B1484" s="1512" t="str">
        <f t="shared" si="217"/>
        <v>Procurement &amp; replacement of complete BFP Cartridge for advance class pump model FK-3B-40.</v>
      </c>
      <c r="C1484" s="1511" t="str">
        <f t="shared" si="217"/>
        <v>MERC/CAPEX/2019-2020/476,
MERC/CAPEX/2019-2020/858</v>
      </c>
      <c r="D1484" s="1378" t="str">
        <f t="shared" si="217"/>
        <v>01-08-2019,
10-10-2019</v>
      </c>
      <c r="E1484" s="1513">
        <f t="shared" si="217"/>
        <v>14.39</v>
      </c>
      <c r="F1484" s="1509">
        <f t="shared" si="209"/>
        <v>14.1187</v>
      </c>
      <c r="G1484" s="1509">
        <f t="shared" si="210"/>
        <v>14.1187</v>
      </c>
      <c r="H1484" s="1509">
        <f t="shared" si="213"/>
        <v>0</v>
      </c>
      <c r="I1484" s="1509">
        <v>0</v>
      </c>
      <c r="J1484" s="1509">
        <v>0</v>
      </c>
      <c r="K1484" s="1509"/>
      <c r="L1484" s="1509"/>
      <c r="M1484" s="1509">
        <f t="shared" si="214"/>
        <v>0</v>
      </c>
      <c r="N1484" s="1509">
        <f t="shared" si="215"/>
        <v>0</v>
      </c>
      <c r="O1484" s="1510">
        <f t="shared" si="211"/>
        <v>0</v>
      </c>
      <c r="P1484" s="1453">
        <f t="shared" si="212"/>
        <v>0</v>
      </c>
    </row>
    <row r="1485" spans="1:16" ht="29" outlineLevel="1" x14ac:dyDescent="0.25">
      <c r="A1485" s="1511">
        <f t="shared" si="217"/>
        <v>20.2</v>
      </c>
      <c r="B1485" s="1512" t="str">
        <f t="shared" si="217"/>
        <v>Procurement of girth gear pinion for BBD-4772 coal mill at Parli TPS &amp; Work Cost for replacement of girth gear, pinion shaft bearing.</v>
      </c>
      <c r="C1485" s="1506">
        <f t="shared" si="217"/>
        <v>0</v>
      </c>
      <c r="D1485" s="1508" t="str">
        <f t="shared" si="217"/>
        <v>Not Approved</v>
      </c>
      <c r="E1485" s="1509">
        <f t="shared" si="217"/>
        <v>0</v>
      </c>
      <c r="F1485" s="1509">
        <f t="shared" si="209"/>
        <v>0</v>
      </c>
      <c r="G1485" s="1509">
        <f t="shared" si="210"/>
        <v>0</v>
      </c>
      <c r="H1485" s="1509">
        <f t="shared" si="213"/>
        <v>0</v>
      </c>
      <c r="I1485" s="1509">
        <v>0</v>
      </c>
      <c r="J1485" s="1509">
        <v>0</v>
      </c>
      <c r="K1485" s="1509"/>
      <c r="L1485" s="1509"/>
      <c r="M1485" s="1509">
        <f t="shared" si="214"/>
        <v>0</v>
      </c>
      <c r="N1485" s="1509">
        <f t="shared" si="215"/>
        <v>0</v>
      </c>
      <c r="O1485" s="1510">
        <f t="shared" si="211"/>
        <v>0</v>
      </c>
      <c r="P1485" s="1453">
        <f t="shared" si="212"/>
        <v>0</v>
      </c>
    </row>
    <row r="1486" spans="1:16" ht="58" outlineLevel="1" x14ac:dyDescent="0.25">
      <c r="A1486" s="1511">
        <f t="shared" ref="A1486:E1501" si="218">A1129</f>
        <v>20.3</v>
      </c>
      <c r="B1486" s="1512" t="str">
        <f t="shared" si="218"/>
        <v>Procurement of VFD up-grade kit for replacement of existing Eddy current clutch drive system.</v>
      </c>
      <c r="C1486" s="1511" t="str">
        <f t="shared" si="218"/>
        <v>MERC/CAPEX/2019-2020/476,
MERC/CAPEX/2019-2020/858</v>
      </c>
      <c r="D1486" s="1378" t="str">
        <f t="shared" si="218"/>
        <v>01-08-2019,
10-10-2019</v>
      </c>
      <c r="E1486" s="1513">
        <f t="shared" si="218"/>
        <v>5.94</v>
      </c>
      <c r="F1486" s="1509">
        <f t="shared" si="209"/>
        <v>5.9323319999999997</v>
      </c>
      <c r="G1486" s="1509">
        <f t="shared" si="210"/>
        <v>5.9323319999999997</v>
      </c>
      <c r="H1486" s="1509">
        <f t="shared" si="213"/>
        <v>0</v>
      </c>
      <c r="I1486" s="1509">
        <v>0</v>
      </c>
      <c r="J1486" s="1509">
        <v>0</v>
      </c>
      <c r="K1486" s="1509"/>
      <c r="L1486" s="1509"/>
      <c r="M1486" s="1509">
        <f t="shared" si="214"/>
        <v>0</v>
      </c>
      <c r="N1486" s="1509">
        <f t="shared" si="215"/>
        <v>0</v>
      </c>
      <c r="O1486" s="1510">
        <f t="shared" si="211"/>
        <v>0</v>
      </c>
      <c r="P1486" s="1453">
        <f t="shared" si="212"/>
        <v>0</v>
      </c>
    </row>
    <row r="1487" spans="1:16" ht="58" outlineLevel="1" x14ac:dyDescent="0.25">
      <c r="A1487" s="1511">
        <f t="shared" si="218"/>
        <v>20.399999999999999</v>
      </c>
      <c r="B1487" s="1512" t="str">
        <f t="shared" si="218"/>
        <v>Supervision of Installation, erection and commissioning for DT-9 &amp; VFD Upgrade system inclusive of travel charges Boarding and lodging.</v>
      </c>
      <c r="C1487" s="1511" t="str">
        <f t="shared" si="218"/>
        <v>MERC/CAPEX/2019-2020/476,
MERC/CAPEX/2019-2020/858</v>
      </c>
      <c r="D1487" s="1378" t="str">
        <f t="shared" si="218"/>
        <v>01-08-2019,
10-10-2019</v>
      </c>
      <c r="E1487" s="1513">
        <f t="shared" si="218"/>
        <v>0.28999999999999998</v>
      </c>
      <c r="F1487" s="1509">
        <f t="shared" si="209"/>
        <v>0.28320000000000001</v>
      </c>
      <c r="G1487" s="1509">
        <f t="shared" si="210"/>
        <v>0.28320000000000001</v>
      </c>
      <c r="H1487" s="1509">
        <f t="shared" si="213"/>
        <v>0</v>
      </c>
      <c r="I1487" s="1509">
        <v>0</v>
      </c>
      <c r="J1487" s="1509">
        <v>0</v>
      </c>
      <c r="K1487" s="1509"/>
      <c r="L1487" s="1509"/>
      <c r="M1487" s="1509">
        <f t="shared" si="214"/>
        <v>0</v>
      </c>
      <c r="N1487" s="1509">
        <f t="shared" si="215"/>
        <v>0</v>
      </c>
      <c r="O1487" s="1510">
        <f t="shared" si="211"/>
        <v>0</v>
      </c>
      <c r="P1487" s="1453">
        <f t="shared" si="212"/>
        <v>0</v>
      </c>
    </row>
    <row r="1488" spans="1:16" ht="58" outlineLevel="1" x14ac:dyDescent="0.25">
      <c r="A1488" s="1511">
        <f t="shared" si="218"/>
        <v>0</v>
      </c>
      <c r="B1488" s="1512" t="str">
        <f t="shared" si="218"/>
        <v>IDC</v>
      </c>
      <c r="C1488" s="1511" t="str">
        <f t="shared" si="218"/>
        <v>MERC/CAPEX/2019-2020/476,
MERC/CAPEX/2019-2020/858</v>
      </c>
      <c r="D1488" s="1378" t="str">
        <f t="shared" si="218"/>
        <v>01-08-2019,
10-10-2019</v>
      </c>
      <c r="E1488" s="1513">
        <f t="shared" si="218"/>
        <v>0.64</v>
      </c>
      <c r="F1488" s="1509">
        <f t="shared" si="209"/>
        <v>0.51657549999999997</v>
      </c>
      <c r="G1488" s="1509">
        <f t="shared" si="210"/>
        <v>0.51657549999999997</v>
      </c>
      <c r="H1488" s="1509">
        <f t="shared" si="213"/>
        <v>0</v>
      </c>
      <c r="I1488" s="1509">
        <v>0</v>
      </c>
      <c r="J1488" s="1509">
        <v>0</v>
      </c>
      <c r="K1488" s="1509"/>
      <c r="L1488" s="1509"/>
      <c r="M1488" s="1509">
        <f t="shared" si="214"/>
        <v>0</v>
      </c>
      <c r="N1488" s="1509">
        <f t="shared" si="215"/>
        <v>0</v>
      </c>
      <c r="O1488" s="1510">
        <f t="shared" si="211"/>
        <v>0</v>
      </c>
      <c r="P1488" s="1453">
        <f t="shared" si="212"/>
        <v>0</v>
      </c>
    </row>
    <row r="1489" spans="1:16" ht="43.5" outlineLevel="1" x14ac:dyDescent="0.25">
      <c r="A1489" s="1506">
        <f t="shared" si="218"/>
        <v>21</v>
      </c>
      <c r="B1489" s="1507" t="str">
        <f t="shared" si="218"/>
        <v>HMI up-gradation of DCS U-6 &amp; U-7 and Procurement of Assemblies for Reducer Gear box SZN-630 &amp; SBN-630 for BBD-4772 (2 x 250 MW) coal mills at Parli TPS</v>
      </c>
      <c r="C1489" s="1506" t="str">
        <f t="shared" si="218"/>
        <v>MERC/CAPEX/2019-2020/854</v>
      </c>
      <c r="D1489" s="1508">
        <f t="shared" si="218"/>
        <v>43748</v>
      </c>
      <c r="E1489" s="1509">
        <f t="shared" si="218"/>
        <v>13.2</v>
      </c>
      <c r="F1489" s="1509">
        <f t="shared" si="209"/>
        <v>0</v>
      </c>
      <c r="G1489" s="1509">
        <f t="shared" si="210"/>
        <v>0</v>
      </c>
      <c r="H1489" s="1509">
        <f t="shared" si="213"/>
        <v>0</v>
      </c>
      <c r="I1489" s="1509">
        <v>0</v>
      </c>
      <c r="J1489" s="1509">
        <v>0</v>
      </c>
      <c r="K1489" s="1509"/>
      <c r="L1489" s="1509"/>
      <c r="M1489" s="1509">
        <f t="shared" si="214"/>
        <v>0</v>
      </c>
      <c r="N1489" s="1509">
        <f t="shared" si="215"/>
        <v>0</v>
      </c>
      <c r="O1489" s="1510">
        <f t="shared" si="211"/>
        <v>0</v>
      </c>
      <c r="P1489" s="1453">
        <f t="shared" si="212"/>
        <v>0</v>
      </c>
    </row>
    <row r="1490" spans="1:16" outlineLevel="1" x14ac:dyDescent="0.25">
      <c r="A1490" s="1511">
        <f t="shared" si="218"/>
        <v>21.1</v>
      </c>
      <c r="B1490" s="1512" t="str">
        <f t="shared" si="218"/>
        <v>Up gradation of MaxDNA DCS system (HMI Up gradation).</v>
      </c>
      <c r="C1490" s="1511" t="str">
        <f t="shared" si="218"/>
        <v>MERC/CAPEX/2019-2020/854</v>
      </c>
      <c r="D1490" s="1378">
        <f t="shared" si="218"/>
        <v>43748</v>
      </c>
      <c r="E1490" s="1513">
        <f t="shared" si="218"/>
        <v>10.49</v>
      </c>
      <c r="F1490" s="1509">
        <f t="shared" si="209"/>
        <v>9.06</v>
      </c>
      <c r="G1490" s="1509">
        <f t="shared" si="210"/>
        <v>9.4502962000000004</v>
      </c>
      <c r="H1490" s="1509">
        <f t="shared" si="213"/>
        <v>-0.39029619999999987</v>
      </c>
      <c r="I1490" s="1509">
        <v>0</v>
      </c>
      <c r="J1490" s="1509">
        <v>0</v>
      </c>
      <c r="K1490" s="1509"/>
      <c r="L1490" s="1509"/>
      <c r="M1490" s="1509">
        <f t="shared" si="214"/>
        <v>0</v>
      </c>
      <c r="N1490" s="1509">
        <f t="shared" si="215"/>
        <v>-0.39029619999999987</v>
      </c>
      <c r="O1490" s="1510">
        <f t="shared" si="211"/>
        <v>0</v>
      </c>
      <c r="P1490" s="1453">
        <f t="shared" si="212"/>
        <v>0</v>
      </c>
    </row>
    <row r="1491" spans="1:16" outlineLevel="1" x14ac:dyDescent="0.25">
      <c r="A1491" s="1511">
        <f t="shared" si="218"/>
        <v>0</v>
      </c>
      <c r="B1491" s="1512" t="str">
        <f t="shared" si="218"/>
        <v>IDC</v>
      </c>
      <c r="C1491" s="1511">
        <f t="shared" si="218"/>
        <v>0</v>
      </c>
      <c r="D1491" s="1378" t="str">
        <f t="shared" si="218"/>
        <v>-</v>
      </c>
      <c r="E1491" s="1513">
        <f t="shared" si="218"/>
        <v>0</v>
      </c>
      <c r="F1491" s="1509">
        <f t="shared" si="209"/>
        <v>0.20089699999999999</v>
      </c>
      <c r="G1491" s="1509">
        <f t="shared" si="210"/>
        <v>0.72855489999999945</v>
      </c>
      <c r="H1491" s="1509">
        <f t="shared" si="213"/>
        <v>-0.52765789999999946</v>
      </c>
      <c r="I1491" s="1509">
        <v>0</v>
      </c>
      <c r="J1491" s="1509">
        <v>0</v>
      </c>
      <c r="K1491" s="1509"/>
      <c r="L1491" s="1509"/>
      <c r="M1491" s="1509">
        <f t="shared" si="214"/>
        <v>0</v>
      </c>
      <c r="N1491" s="1509">
        <f t="shared" si="215"/>
        <v>-0.52765789999999946</v>
      </c>
      <c r="O1491" s="1510"/>
      <c r="P1491" s="1453"/>
    </row>
    <row r="1492" spans="1:16" ht="29" outlineLevel="1" x14ac:dyDescent="0.25">
      <c r="A1492" s="1511">
        <f t="shared" si="218"/>
        <v>21.2</v>
      </c>
      <c r="B1492" s="1512" t="str">
        <f t="shared" si="218"/>
        <v xml:space="preserve">Procurement of Spares for Reducer Gear box SZN-630 for BBD-4772 Coal mills of 250MW at Unit 6 </v>
      </c>
      <c r="C1492" s="1506" t="str">
        <f t="shared" si="218"/>
        <v>MERC/CAPEX/2019-2020/854</v>
      </c>
      <c r="D1492" s="1508">
        <f t="shared" si="218"/>
        <v>43748</v>
      </c>
      <c r="E1492" s="1509">
        <f t="shared" si="218"/>
        <v>1.01</v>
      </c>
      <c r="F1492" s="1509">
        <f t="shared" si="209"/>
        <v>1.0442298999999999</v>
      </c>
      <c r="G1492" s="1509">
        <f t="shared" si="210"/>
        <v>1.0442298999999999</v>
      </c>
      <c r="H1492" s="1509">
        <f t="shared" si="213"/>
        <v>0</v>
      </c>
      <c r="I1492" s="1509">
        <v>0</v>
      </c>
      <c r="J1492" s="1509">
        <v>0</v>
      </c>
      <c r="K1492" s="1509"/>
      <c r="L1492" s="1509"/>
      <c r="M1492" s="1509">
        <f t="shared" si="214"/>
        <v>0</v>
      </c>
      <c r="N1492" s="1509">
        <f t="shared" si="215"/>
        <v>0</v>
      </c>
      <c r="O1492" s="1510">
        <f t="shared" ref="O1492:O1501" si="219">MAX(0,IF(M1492=0,0,IF(G1492+M1492&lt;E1492,M1492,E1492-G1492)))</f>
        <v>0</v>
      </c>
      <c r="P1492" s="1453">
        <f t="shared" ref="P1492:P1501" si="220">M1492-O1492</f>
        <v>0</v>
      </c>
    </row>
    <row r="1493" spans="1:16" ht="29" outlineLevel="1" x14ac:dyDescent="0.25">
      <c r="A1493" s="1511">
        <f t="shared" si="218"/>
        <v>21.3</v>
      </c>
      <c r="B1493" s="1512" t="str">
        <f t="shared" si="218"/>
        <v xml:space="preserve">Procurement of Spares for Reducer Gear box SBN-630 for BBD-4772 Coal mills of 250MW at Unit 7 </v>
      </c>
      <c r="C1493" s="1511" t="str">
        <f t="shared" si="218"/>
        <v>MERC/CAPEX/2019-2020/854</v>
      </c>
      <c r="D1493" s="1378">
        <f t="shared" si="218"/>
        <v>43748</v>
      </c>
      <c r="E1493" s="1513">
        <f t="shared" si="218"/>
        <v>1.7</v>
      </c>
      <c r="F1493" s="1509">
        <f t="shared" si="209"/>
        <v>1.6232219000000001</v>
      </c>
      <c r="G1493" s="1509">
        <f t="shared" si="210"/>
        <v>1.6232219000000001</v>
      </c>
      <c r="H1493" s="1509">
        <f t="shared" si="213"/>
        <v>0</v>
      </c>
      <c r="I1493" s="1509">
        <v>0</v>
      </c>
      <c r="J1493" s="1509">
        <v>0</v>
      </c>
      <c r="K1493" s="1509"/>
      <c r="L1493" s="1509"/>
      <c r="M1493" s="1509">
        <f t="shared" si="214"/>
        <v>0</v>
      </c>
      <c r="N1493" s="1509">
        <f t="shared" si="215"/>
        <v>0</v>
      </c>
      <c r="O1493" s="1510">
        <f t="shared" si="219"/>
        <v>0</v>
      </c>
      <c r="P1493" s="1453">
        <f t="shared" si="220"/>
        <v>0</v>
      </c>
    </row>
    <row r="1494" spans="1:16" outlineLevel="1" x14ac:dyDescent="0.25">
      <c r="A1494" s="1511">
        <f t="shared" si="218"/>
        <v>0</v>
      </c>
      <c r="B1494" s="1512" t="str">
        <f t="shared" si="218"/>
        <v>IDC</v>
      </c>
      <c r="C1494" s="1511" t="str">
        <f t="shared" si="218"/>
        <v>MERC/CAPEX/2019-2020/854</v>
      </c>
      <c r="D1494" s="1378">
        <f t="shared" si="218"/>
        <v>43748</v>
      </c>
      <c r="E1494" s="1513">
        <f t="shared" si="218"/>
        <v>0</v>
      </c>
      <c r="F1494" s="1509">
        <f t="shared" si="209"/>
        <v>0</v>
      </c>
      <c r="G1494" s="1509">
        <f t="shared" si="210"/>
        <v>0</v>
      </c>
      <c r="H1494" s="1509">
        <f t="shared" si="213"/>
        <v>0</v>
      </c>
      <c r="I1494" s="1509">
        <v>0</v>
      </c>
      <c r="J1494" s="1509">
        <v>0</v>
      </c>
      <c r="K1494" s="1509"/>
      <c r="L1494" s="1509"/>
      <c r="M1494" s="1509">
        <f t="shared" si="214"/>
        <v>0</v>
      </c>
      <c r="N1494" s="1509">
        <f t="shared" si="215"/>
        <v>0</v>
      </c>
      <c r="O1494" s="1510">
        <f t="shared" si="219"/>
        <v>0</v>
      </c>
      <c r="P1494" s="1453">
        <f t="shared" si="220"/>
        <v>0</v>
      </c>
    </row>
    <row r="1495" spans="1:16" outlineLevel="1" x14ac:dyDescent="0.25">
      <c r="A1495" s="1506">
        <f t="shared" si="218"/>
        <v>22</v>
      </c>
      <c r="B1495" s="1507" t="str">
        <f t="shared" si="218"/>
        <v>Flue Gas Desulphurization (FGD) System at Unit 6 &amp; 7 Parli TPS</v>
      </c>
      <c r="C1495" s="1506" t="str">
        <f t="shared" si="218"/>
        <v>MERC/CAPEX/2021-2022/0284</v>
      </c>
      <c r="D1495" s="1508">
        <f t="shared" si="218"/>
        <v>44739</v>
      </c>
      <c r="E1495" s="1509">
        <f t="shared" si="218"/>
        <v>145.01688209794372</v>
      </c>
      <c r="F1495" s="1509">
        <f t="shared" si="209"/>
        <v>0</v>
      </c>
      <c r="G1495" s="1509">
        <f t="shared" si="210"/>
        <v>0</v>
      </c>
      <c r="H1495" s="1509">
        <f t="shared" si="213"/>
        <v>0</v>
      </c>
      <c r="I1495" s="1509">
        <v>0</v>
      </c>
      <c r="J1495" s="1509">
        <v>0</v>
      </c>
      <c r="K1495" s="1509"/>
      <c r="L1495" s="1509"/>
      <c r="M1495" s="1509">
        <f t="shared" si="214"/>
        <v>0</v>
      </c>
      <c r="N1495" s="1509">
        <f t="shared" si="215"/>
        <v>0</v>
      </c>
      <c r="O1495" s="1510">
        <f t="shared" si="219"/>
        <v>0</v>
      </c>
      <c r="P1495" s="1453">
        <f t="shared" si="220"/>
        <v>0</v>
      </c>
    </row>
    <row r="1496" spans="1:16" outlineLevel="1" x14ac:dyDescent="0.25">
      <c r="A1496" s="1511">
        <f t="shared" si="218"/>
        <v>22.1</v>
      </c>
      <c r="B1496" s="1512" t="str">
        <f t="shared" si="218"/>
        <v xml:space="preserve">Flue Gas Desulphurization (FGD) System at Unit 6 &amp; 7 Parli TPS                    </v>
      </c>
      <c r="C1496" s="1511" t="str">
        <f t="shared" si="218"/>
        <v>MERC/CAPEX/2021-2022/0284</v>
      </c>
      <c r="D1496" s="1378">
        <f t="shared" si="218"/>
        <v>44739</v>
      </c>
      <c r="E1496" s="1513">
        <f t="shared" si="218"/>
        <v>138.44</v>
      </c>
      <c r="F1496" s="1509">
        <f t="shared" si="209"/>
        <v>154.85509999999999</v>
      </c>
      <c r="G1496" s="1509">
        <f t="shared" si="210"/>
        <v>163.28</v>
      </c>
      <c r="H1496" s="1509">
        <f t="shared" si="213"/>
        <v>-8.424900000000008</v>
      </c>
      <c r="I1496" s="1509">
        <v>0</v>
      </c>
      <c r="J1496" s="1509">
        <v>0</v>
      </c>
      <c r="K1496" s="1509"/>
      <c r="L1496" s="1509"/>
      <c r="M1496" s="1509">
        <f t="shared" si="214"/>
        <v>0</v>
      </c>
      <c r="N1496" s="1509">
        <f t="shared" si="215"/>
        <v>-8.424900000000008</v>
      </c>
      <c r="O1496" s="1510">
        <f t="shared" si="219"/>
        <v>0</v>
      </c>
      <c r="P1496" s="1453">
        <f t="shared" si="220"/>
        <v>0</v>
      </c>
    </row>
    <row r="1497" spans="1:16" outlineLevel="1" x14ac:dyDescent="0.25">
      <c r="A1497" s="1511">
        <f t="shared" si="218"/>
        <v>0</v>
      </c>
      <c r="B1497" s="1512" t="str">
        <f t="shared" si="218"/>
        <v>IDC</v>
      </c>
      <c r="C1497" s="1511" t="str">
        <f t="shared" si="218"/>
        <v>MERC/CAPEX/2021-2022/0284</v>
      </c>
      <c r="D1497" s="1378">
        <f t="shared" si="218"/>
        <v>44739</v>
      </c>
      <c r="E1497" s="1513">
        <f t="shared" si="218"/>
        <v>6.5768820979437104</v>
      </c>
      <c r="F1497" s="1509">
        <f t="shared" si="209"/>
        <v>7.15</v>
      </c>
      <c r="G1497" s="1509">
        <f t="shared" si="210"/>
        <v>0</v>
      </c>
      <c r="H1497" s="1509">
        <f t="shared" si="213"/>
        <v>7.15</v>
      </c>
      <c r="I1497" s="1509">
        <v>0</v>
      </c>
      <c r="J1497" s="1509">
        <v>0</v>
      </c>
      <c r="K1497" s="1509"/>
      <c r="L1497" s="1509"/>
      <c r="M1497" s="1509">
        <f t="shared" si="214"/>
        <v>0</v>
      </c>
      <c r="N1497" s="1509">
        <f t="shared" si="215"/>
        <v>7.15</v>
      </c>
      <c r="O1497" s="1510">
        <f t="shared" si="219"/>
        <v>0</v>
      </c>
      <c r="P1497" s="1453">
        <f t="shared" si="220"/>
        <v>0</v>
      </c>
    </row>
    <row r="1498" spans="1:16" ht="43.5" outlineLevel="1" x14ac:dyDescent="0.25">
      <c r="A1498" s="1506" t="str">
        <f t="shared" si="218"/>
        <v>HO
DPR-5</v>
      </c>
      <c r="B1498" s="1507" t="str">
        <f t="shared" si="218"/>
        <v>Procurement of energy efficient HT motors at Bhusawal TPS, Koradi TPS, Chandrapur TPS, khaperkheda TPS, Parli TPS &amp; Paras TPS as insurance spares</v>
      </c>
      <c r="C1498" s="1506" t="str">
        <f t="shared" si="218"/>
        <v>MERC/TECH 1/CAPEX/20142015/01218</v>
      </c>
      <c r="D1498" s="1508">
        <f t="shared" si="218"/>
        <v>41968</v>
      </c>
      <c r="E1498" s="1509">
        <f t="shared" si="218"/>
        <v>3.05</v>
      </c>
      <c r="F1498" s="1509">
        <f t="shared" si="209"/>
        <v>0</v>
      </c>
      <c r="G1498" s="1509">
        <f t="shared" si="210"/>
        <v>0</v>
      </c>
      <c r="H1498" s="1509">
        <f t="shared" si="213"/>
        <v>0</v>
      </c>
      <c r="I1498" s="1509">
        <v>0</v>
      </c>
      <c r="J1498" s="1509">
        <v>0</v>
      </c>
      <c r="K1498" s="1509"/>
      <c r="L1498" s="1509"/>
      <c r="M1498" s="1509">
        <f t="shared" si="214"/>
        <v>0</v>
      </c>
      <c r="N1498" s="1509">
        <f t="shared" si="215"/>
        <v>0</v>
      </c>
      <c r="O1498" s="1510">
        <f t="shared" si="219"/>
        <v>0</v>
      </c>
      <c r="P1498" s="1453">
        <f t="shared" si="220"/>
        <v>0</v>
      </c>
    </row>
    <row r="1499" spans="1:16" ht="43.5" outlineLevel="1" x14ac:dyDescent="0.25">
      <c r="A1499" s="1511" t="str">
        <f t="shared" si="218"/>
        <v>HO
DPR-5a</v>
      </c>
      <c r="B1499" s="1512" t="str">
        <f t="shared" si="218"/>
        <v>Parli: Procurement of HT Motors (CHP-I Phase and CEP/CW/ACW-II Phase)for NPTPS U-6&amp;7</v>
      </c>
      <c r="C1499" s="1511" t="str">
        <f t="shared" si="218"/>
        <v>MERC/TECH 1/CAPEX/20142015/01218</v>
      </c>
      <c r="D1499" s="1378">
        <f t="shared" si="218"/>
        <v>41968</v>
      </c>
      <c r="E1499" s="1513">
        <f t="shared" si="218"/>
        <v>3.05</v>
      </c>
      <c r="F1499" s="1509">
        <f t="shared" si="209"/>
        <v>1.409902</v>
      </c>
      <c r="G1499" s="1509">
        <f t="shared" si="210"/>
        <v>1.409902</v>
      </c>
      <c r="H1499" s="1509">
        <f t="shared" si="213"/>
        <v>0</v>
      </c>
      <c r="I1499" s="1509">
        <v>0</v>
      </c>
      <c r="J1499" s="1509">
        <v>0</v>
      </c>
      <c r="K1499" s="1509"/>
      <c r="L1499" s="1509"/>
      <c r="M1499" s="1509">
        <f t="shared" si="214"/>
        <v>0</v>
      </c>
      <c r="N1499" s="1509">
        <f t="shared" si="215"/>
        <v>0</v>
      </c>
      <c r="O1499" s="1510">
        <f t="shared" si="219"/>
        <v>0</v>
      </c>
      <c r="P1499" s="1453">
        <f t="shared" si="220"/>
        <v>0</v>
      </c>
    </row>
    <row r="1500" spans="1:16" ht="43.5" outlineLevel="1" x14ac:dyDescent="0.25">
      <c r="A1500" s="1506" t="str">
        <f t="shared" si="218"/>
        <v>HO
DPR-6</v>
      </c>
      <c r="B1500" s="1507" t="str">
        <f t="shared" si="218"/>
        <v>Supply, Installation, Commissioning and Operation &amp; Maintenance Services of Continuous Ambient Air Quality Monitoring Stations (CAAQMS) at various TPS</v>
      </c>
      <c r="C1500" s="1506" t="str">
        <f t="shared" si="218"/>
        <v>MERC/CAPEX/20162017/00423</v>
      </c>
      <c r="D1500" s="1508">
        <f t="shared" si="218"/>
        <v>42585</v>
      </c>
      <c r="E1500" s="1509">
        <f t="shared" si="218"/>
        <v>1.3257526714285699</v>
      </c>
      <c r="F1500" s="1509">
        <f t="shared" si="209"/>
        <v>0</v>
      </c>
      <c r="G1500" s="1509">
        <f t="shared" si="210"/>
        <v>0</v>
      </c>
      <c r="H1500" s="1509">
        <f t="shared" si="213"/>
        <v>0</v>
      </c>
      <c r="I1500" s="1509">
        <v>0</v>
      </c>
      <c r="J1500" s="1509">
        <v>0</v>
      </c>
      <c r="K1500" s="1509"/>
      <c r="L1500" s="1509"/>
      <c r="M1500" s="1509">
        <f t="shared" si="214"/>
        <v>0</v>
      </c>
      <c r="N1500" s="1509">
        <f t="shared" si="215"/>
        <v>0</v>
      </c>
      <c r="O1500" s="1510">
        <f t="shared" si="219"/>
        <v>0</v>
      </c>
      <c r="P1500" s="1453">
        <f t="shared" si="220"/>
        <v>0</v>
      </c>
    </row>
    <row r="1501" spans="1:16" ht="43.5" outlineLevel="1" x14ac:dyDescent="0.25">
      <c r="A1501" s="1511" t="str">
        <f t="shared" si="218"/>
        <v>HO
DPR-6a</v>
      </c>
      <c r="B1501" s="1512" t="str">
        <f t="shared" si="218"/>
        <v>NEW PARLI (U-6 &amp; 7)</v>
      </c>
      <c r="C1501" s="1511" t="str">
        <f t="shared" si="218"/>
        <v>MERC/CAPEX/20162017/00423</v>
      </c>
      <c r="D1501" s="1378">
        <f t="shared" si="218"/>
        <v>42585</v>
      </c>
      <c r="E1501" s="1513">
        <f t="shared" si="218"/>
        <v>1.3257526714285699</v>
      </c>
      <c r="F1501" s="1509">
        <f t="shared" si="209"/>
        <v>0.94127489999999991</v>
      </c>
      <c r="G1501" s="1509">
        <f t="shared" si="210"/>
        <v>0.94127489999999991</v>
      </c>
      <c r="H1501" s="1509">
        <f t="shared" si="213"/>
        <v>0</v>
      </c>
      <c r="I1501" s="1509">
        <v>0</v>
      </c>
      <c r="J1501" s="1509">
        <v>0</v>
      </c>
      <c r="K1501" s="1509"/>
      <c r="L1501" s="1509"/>
      <c r="M1501" s="1509">
        <f t="shared" si="214"/>
        <v>0</v>
      </c>
      <c r="N1501" s="1509">
        <f t="shared" si="215"/>
        <v>0</v>
      </c>
      <c r="O1501" s="1510">
        <f t="shared" si="219"/>
        <v>0</v>
      </c>
      <c r="P1501" s="1453">
        <f t="shared" si="220"/>
        <v>0</v>
      </c>
    </row>
    <row r="1502" spans="1:16" outlineLevel="1" x14ac:dyDescent="0.25">
      <c r="A1502" s="1511">
        <f t="shared" ref="A1502:E1517" si="221">A1145</f>
        <v>0</v>
      </c>
      <c r="B1502" s="1512" t="str">
        <f t="shared" si="221"/>
        <v>IDC</v>
      </c>
      <c r="C1502" s="1511">
        <f t="shared" si="221"/>
        <v>0</v>
      </c>
      <c r="D1502" s="1378" t="str">
        <f t="shared" si="221"/>
        <v>-</v>
      </c>
      <c r="E1502" s="1513">
        <f t="shared" si="221"/>
        <v>0</v>
      </c>
      <c r="F1502" s="1509">
        <f t="shared" ref="F1502:F1565" si="222">F1145+I1145</f>
        <v>3.9603800000000002E-2</v>
      </c>
      <c r="G1502" s="1509">
        <f t="shared" ref="G1502:G1565" si="223">G1145+M1145</f>
        <v>3.9603800000000002E-2</v>
      </c>
      <c r="H1502" s="1509">
        <f t="shared" si="213"/>
        <v>0</v>
      </c>
      <c r="I1502" s="1509">
        <v>0</v>
      </c>
      <c r="J1502" s="1509">
        <v>0</v>
      </c>
      <c r="K1502" s="1509"/>
      <c r="L1502" s="1509"/>
      <c r="M1502" s="1509">
        <f t="shared" si="214"/>
        <v>0</v>
      </c>
      <c r="N1502" s="1509">
        <f t="shared" si="215"/>
        <v>0</v>
      </c>
      <c r="O1502" s="1510"/>
      <c r="P1502" s="1453"/>
    </row>
    <row r="1503" spans="1:16" ht="43.5" outlineLevel="1" x14ac:dyDescent="0.25">
      <c r="A1503" s="1506" t="str">
        <f t="shared" si="221"/>
        <v>HO
DPR 7</v>
      </c>
      <c r="B1503" s="1507" t="str">
        <f t="shared" si="221"/>
        <v>Installation of Real Time Online Coal-Ash Analyzer at various TPS</v>
      </c>
      <c r="C1503" s="1506" t="str">
        <f t="shared" si="221"/>
        <v>MERC/CAPEX/20162017/00774</v>
      </c>
      <c r="D1503" s="1508">
        <f t="shared" si="221"/>
        <v>42643</v>
      </c>
      <c r="E1503" s="1509">
        <f t="shared" si="221"/>
        <v>7.0965999999999996</v>
      </c>
      <c r="F1503" s="1509">
        <f t="shared" si="222"/>
        <v>0</v>
      </c>
      <c r="G1503" s="1509">
        <f t="shared" si="223"/>
        <v>0</v>
      </c>
      <c r="H1503" s="1509">
        <f t="shared" ref="H1503:H1566" si="224">F1503-G1503</f>
        <v>0</v>
      </c>
      <c r="I1503" s="1509">
        <v>0</v>
      </c>
      <c r="J1503" s="1509">
        <v>0</v>
      </c>
      <c r="K1503" s="1509"/>
      <c r="L1503" s="1509"/>
      <c r="M1503" s="1509">
        <f t="shared" ref="M1503:M1566" si="225">SUM(J1503:L1503)</f>
        <v>0</v>
      </c>
      <c r="N1503" s="1509">
        <f t="shared" ref="N1503:N1566" si="226">H1503+I1503-M1503</f>
        <v>0</v>
      </c>
      <c r="O1503" s="1510">
        <f t="shared" ref="O1503:O1512" si="227">MAX(0,IF(M1503=0,0,IF(G1503+M1503&lt;E1503,M1503,E1503-G1503)))</f>
        <v>0</v>
      </c>
      <c r="P1503" s="1453">
        <f t="shared" ref="P1503:P1512" si="228">M1503-O1503</f>
        <v>0</v>
      </c>
    </row>
    <row r="1504" spans="1:16" ht="43.5" outlineLevel="1" x14ac:dyDescent="0.25">
      <c r="A1504" s="1511" t="str">
        <f t="shared" si="221"/>
        <v>HO
DPR 7a</v>
      </c>
      <c r="B1504" s="1512" t="str">
        <f t="shared" si="221"/>
        <v>NEW PARLI (U-6 &amp; 7)</v>
      </c>
      <c r="C1504" s="1511" t="str">
        <f t="shared" si="221"/>
        <v>MERC/CAPEX/20162017/00774</v>
      </c>
      <c r="D1504" s="1378">
        <f t="shared" si="221"/>
        <v>42643</v>
      </c>
      <c r="E1504" s="1513">
        <f t="shared" si="221"/>
        <v>7.0965999999999996</v>
      </c>
      <c r="F1504" s="1509">
        <f t="shared" si="222"/>
        <v>0</v>
      </c>
      <c r="G1504" s="1509">
        <f t="shared" si="223"/>
        <v>0</v>
      </c>
      <c r="H1504" s="1509">
        <f t="shared" si="224"/>
        <v>0</v>
      </c>
      <c r="I1504" s="1509">
        <v>0</v>
      </c>
      <c r="J1504" s="1509">
        <v>0</v>
      </c>
      <c r="K1504" s="1509"/>
      <c r="L1504" s="1509"/>
      <c r="M1504" s="1509">
        <f t="shared" si="225"/>
        <v>0</v>
      </c>
      <c r="N1504" s="1509">
        <f t="shared" si="226"/>
        <v>0</v>
      </c>
      <c r="O1504" s="1510">
        <f t="shared" si="227"/>
        <v>0</v>
      </c>
      <c r="P1504" s="1453">
        <f t="shared" si="228"/>
        <v>0</v>
      </c>
    </row>
    <row r="1505" spans="1:16" ht="43.5" outlineLevel="1" x14ac:dyDescent="0.25">
      <c r="A1505" s="1506" t="str">
        <f t="shared" si="221"/>
        <v>HO
DPR 8</v>
      </c>
      <c r="B1505" s="1507" t="str">
        <f t="shared" si="221"/>
        <v>Replacement of Fire Tenders at Various Power Stations of Mahagenco</v>
      </c>
      <c r="C1505" s="1506" t="str">
        <f t="shared" si="221"/>
        <v>MERC/CAPEX/20172018/4653</v>
      </c>
      <c r="D1505" s="1508">
        <f t="shared" si="221"/>
        <v>43052</v>
      </c>
      <c r="E1505" s="1509">
        <f t="shared" si="221"/>
        <v>3.97</v>
      </c>
      <c r="F1505" s="1509">
        <f t="shared" si="222"/>
        <v>0</v>
      </c>
      <c r="G1505" s="1509">
        <f t="shared" si="223"/>
        <v>0</v>
      </c>
      <c r="H1505" s="1509">
        <f t="shared" si="224"/>
        <v>0</v>
      </c>
      <c r="I1505" s="1509">
        <v>0</v>
      </c>
      <c r="J1505" s="1509">
        <v>0</v>
      </c>
      <c r="K1505" s="1509"/>
      <c r="L1505" s="1509"/>
      <c r="M1505" s="1509">
        <f t="shared" si="225"/>
        <v>0</v>
      </c>
      <c r="N1505" s="1509">
        <f t="shared" si="226"/>
        <v>0</v>
      </c>
      <c r="O1505" s="1510">
        <f t="shared" si="227"/>
        <v>0</v>
      </c>
      <c r="P1505" s="1453">
        <f t="shared" si="228"/>
        <v>0</v>
      </c>
    </row>
    <row r="1506" spans="1:16" ht="43.5" outlineLevel="1" x14ac:dyDescent="0.25">
      <c r="A1506" s="1511" t="str">
        <f t="shared" si="221"/>
        <v>HO
DPR 8.1</v>
      </c>
      <c r="B1506" s="1512" t="str">
        <f t="shared" si="221"/>
        <v>Advance Multipurpose Fire Tender for Parli 6-7</v>
      </c>
      <c r="C1506" s="1511" t="str">
        <f t="shared" si="221"/>
        <v>MERC/CAPEX/20172018/4653</v>
      </c>
      <c r="D1506" s="1378">
        <f t="shared" si="221"/>
        <v>43052</v>
      </c>
      <c r="E1506" s="1513">
        <f t="shared" si="221"/>
        <v>2.72</v>
      </c>
      <c r="F1506" s="1509">
        <f t="shared" si="222"/>
        <v>1.7765</v>
      </c>
      <c r="G1506" s="1509">
        <f t="shared" si="223"/>
        <v>1.7765</v>
      </c>
      <c r="H1506" s="1509">
        <f t="shared" si="224"/>
        <v>0</v>
      </c>
      <c r="I1506" s="1509">
        <v>0</v>
      </c>
      <c r="J1506" s="1509">
        <v>0</v>
      </c>
      <c r="K1506" s="1509"/>
      <c r="L1506" s="1509"/>
      <c r="M1506" s="1509">
        <f t="shared" si="225"/>
        <v>0</v>
      </c>
      <c r="N1506" s="1509">
        <f t="shared" si="226"/>
        <v>0</v>
      </c>
      <c r="O1506" s="1510">
        <f t="shared" si="227"/>
        <v>0</v>
      </c>
      <c r="P1506" s="1453">
        <f t="shared" si="228"/>
        <v>0</v>
      </c>
    </row>
    <row r="1507" spans="1:16" ht="43.5" outlineLevel="1" x14ac:dyDescent="0.25">
      <c r="A1507" s="1511" t="str">
        <f t="shared" si="221"/>
        <v>HO
DPR 8.2</v>
      </c>
      <c r="B1507" s="1512" t="str">
        <f t="shared" si="221"/>
        <v>Normal Multipurpose Fire Tender Parli 6-7</v>
      </c>
      <c r="C1507" s="1511" t="str">
        <f t="shared" si="221"/>
        <v>MERC/CAPEX/20172018/4653</v>
      </c>
      <c r="D1507" s="1378">
        <f t="shared" si="221"/>
        <v>43052</v>
      </c>
      <c r="E1507" s="1513">
        <f t="shared" si="221"/>
        <v>1.25</v>
      </c>
      <c r="F1507" s="1509">
        <f t="shared" si="222"/>
        <v>0</v>
      </c>
      <c r="G1507" s="1509">
        <f t="shared" si="223"/>
        <v>0</v>
      </c>
      <c r="H1507" s="1509">
        <f t="shared" si="224"/>
        <v>0</v>
      </c>
      <c r="I1507" s="1509">
        <v>0</v>
      </c>
      <c r="J1507" s="1509">
        <v>0</v>
      </c>
      <c r="K1507" s="1509"/>
      <c r="L1507" s="1509"/>
      <c r="M1507" s="1509">
        <f t="shared" si="225"/>
        <v>0</v>
      </c>
      <c r="N1507" s="1509">
        <f t="shared" si="226"/>
        <v>0</v>
      </c>
      <c r="O1507" s="1510">
        <f t="shared" si="227"/>
        <v>0</v>
      </c>
      <c r="P1507" s="1453">
        <f t="shared" si="228"/>
        <v>0</v>
      </c>
    </row>
    <row r="1508" spans="1:16" outlineLevel="1" x14ac:dyDescent="0.25">
      <c r="A1508" s="1511">
        <f t="shared" si="221"/>
        <v>0</v>
      </c>
      <c r="B1508" s="1512" t="str">
        <f t="shared" si="221"/>
        <v>IDC</v>
      </c>
      <c r="C1508" s="1511" t="str">
        <f t="shared" si="221"/>
        <v>MERC/CAPEX/20172018/4653</v>
      </c>
      <c r="D1508" s="1378">
        <f t="shared" si="221"/>
        <v>43052</v>
      </c>
      <c r="E1508" s="1513">
        <f t="shared" si="221"/>
        <v>0</v>
      </c>
      <c r="F1508" s="1509">
        <f t="shared" si="222"/>
        <v>0</v>
      </c>
      <c r="G1508" s="1509">
        <f t="shared" si="223"/>
        <v>0</v>
      </c>
      <c r="H1508" s="1509">
        <f t="shared" si="224"/>
        <v>0</v>
      </c>
      <c r="I1508" s="1509">
        <v>0</v>
      </c>
      <c r="J1508" s="1509">
        <v>0</v>
      </c>
      <c r="K1508" s="1509"/>
      <c r="L1508" s="1509"/>
      <c r="M1508" s="1509">
        <f t="shared" si="225"/>
        <v>0</v>
      </c>
      <c r="N1508" s="1509">
        <f t="shared" si="226"/>
        <v>0</v>
      </c>
      <c r="O1508" s="1510">
        <f t="shared" si="227"/>
        <v>0</v>
      </c>
      <c r="P1508" s="1453">
        <f t="shared" si="228"/>
        <v>0</v>
      </c>
    </row>
    <row r="1509" spans="1:16" ht="43.5" outlineLevel="1" x14ac:dyDescent="0.25">
      <c r="A1509" s="1506" t="str">
        <f t="shared" si="221"/>
        <v>HO
DPR 10</v>
      </c>
      <c r="B1509" s="1507" t="str">
        <f t="shared" si="221"/>
        <v>Implementation of IB recommendations- Civil works at various TPS of Mahagenco</v>
      </c>
      <c r="C1509" s="1506" t="str">
        <f t="shared" si="221"/>
        <v>MERC/CAPEX/20172018/0177</v>
      </c>
      <c r="D1509" s="1508">
        <f t="shared" si="221"/>
        <v>43137</v>
      </c>
      <c r="E1509" s="1509">
        <f t="shared" si="221"/>
        <v>2.36</v>
      </c>
      <c r="F1509" s="1509">
        <f t="shared" si="222"/>
        <v>0</v>
      </c>
      <c r="G1509" s="1509">
        <f t="shared" si="223"/>
        <v>0</v>
      </c>
      <c r="H1509" s="1509">
        <f t="shared" si="224"/>
        <v>0</v>
      </c>
      <c r="I1509" s="1509">
        <v>0</v>
      </c>
      <c r="J1509" s="1509">
        <v>0</v>
      </c>
      <c r="K1509" s="1509"/>
      <c r="L1509" s="1509"/>
      <c r="M1509" s="1509">
        <f t="shared" si="225"/>
        <v>0</v>
      </c>
      <c r="N1509" s="1509">
        <f t="shared" si="226"/>
        <v>0</v>
      </c>
      <c r="O1509" s="1510">
        <f t="shared" si="227"/>
        <v>0</v>
      </c>
      <c r="P1509" s="1453">
        <f t="shared" si="228"/>
        <v>0</v>
      </c>
    </row>
    <row r="1510" spans="1:16" ht="43.5" outlineLevel="1" x14ac:dyDescent="0.25">
      <c r="A1510" s="1511" t="str">
        <f t="shared" si="221"/>
        <v>HO
DPR 10a</v>
      </c>
      <c r="B1510" s="1512" t="str">
        <f t="shared" si="221"/>
        <v>NEW PARLI (U-6 &amp; 7)</v>
      </c>
      <c r="C1510" s="1511" t="str">
        <f t="shared" si="221"/>
        <v>MERC/CAPEX/20172018/0177</v>
      </c>
      <c r="D1510" s="1378">
        <f t="shared" si="221"/>
        <v>43137</v>
      </c>
      <c r="E1510" s="1513">
        <f t="shared" si="221"/>
        <v>2.36</v>
      </c>
      <c r="F1510" s="1509">
        <f t="shared" si="222"/>
        <v>2.584952667</v>
      </c>
      <c r="G1510" s="1509">
        <f t="shared" si="223"/>
        <v>2.584952667</v>
      </c>
      <c r="H1510" s="1509">
        <f t="shared" si="224"/>
        <v>0</v>
      </c>
      <c r="I1510" s="1509">
        <v>0</v>
      </c>
      <c r="J1510" s="1509">
        <v>0</v>
      </c>
      <c r="K1510" s="1509"/>
      <c r="L1510" s="1509"/>
      <c r="M1510" s="1509">
        <f t="shared" si="225"/>
        <v>0</v>
      </c>
      <c r="N1510" s="1509">
        <f t="shared" si="226"/>
        <v>0</v>
      </c>
      <c r="O1510" s="1510">
        <f t="shared" si="227"/>
        <v>0</v>
      </c>
      <c r="P1510" s="1453">
        <f t="shared" si="228"/>
        <v>0</v>
      </c>
    </row>
    <row r="1511" spans="1:16" ht="43.5" outlineLevel="1" x14ac:dyDescent="0.25">
      <c r="A1511" s="1506" t="str">
        <f t="shared" si="221"/>
        <v>HO
DPR 15</v>
      </c>
      <c r="B1511" s="1507" t="str">
        <f t="shared" si="221"/>
        <v>Procurement &amp; Replacement of Complete Sets of Air Pre-heater Baskets at Nashik, Parli &amp; Chandrapur TPS of Mahagenco</v>
      </c>
      <c r="C1511" s="1506" t="str">
        <f t="shared" si="221"/>
        <v>MERC/CAPEX/2019-2020/643</v>
      </c>
      <c r="D1511" s="1508">
        <f t="shared" si="221"/>
        <v>43703</v>
      </c>
      <c r="E1511" s="1509">
        <f t="shared" si="221"/>
        <v>2.12</v>
      </c>
      <c r="F1511" s="1509">
        <f t="shared" si="222"/>
        <v>0</v>
      </c>
      <c r="G1511" s="1509">
        <f t="shared" si="223"/>
        <v>0</v>
      </c>
      <c r="H1511" s="1509">
        <f t="shared" si="224"/>
        <v>0</v>
      </c>
      <c r="I1511" s="1509">
        <v>0</v>
      </c>
      <c r="J1511" s="1509">
        <v>0</v>
      </c>
      <c r="K1511" s="1509"/>
      <c r="L1511" s="1509"/>
      <c r="M1511" s="1509">
        <f t="shared" si="225"/>
        <v>0</v>
      </c>
      <c r="N1511" s="1509">
        <f t="shared" si="226"/>
        <v>0</v>
      </c>
      <c r="O1511" s="1510">
        <f t="shared" si="227"/>
        <v>0</v>
      </c>
      <c r="P1511" s="1453">
        <f t="shared" si="228"/>
        <v>0</v>
      </c>
    </row>
    <row r="1512" spans="1:16" ht="43.5" outlineLevel="1" x14ac:dyDescent="0.25">
      <c r="A1512" s="1511" t="str">
        <f t="shared" si="221"/>
        <v>HO
DPR 15a</v>
      </c>
      <c r="B1512" s="1512" t="str">
        <f t="shared" si="221"/>
        <v>Procurement and Replacement of Complete sets of assembly of baskets for air preheater of type tri-sector APH 27 VI(T) 74” in NTPS unit no. 4 &amp; 5 (210MW). (2 Sets Per Unit)</v>
      </c>
      <c r="C1512" s="1511" t="str">
        <f t="shared" si="221"/>
        <v>MERC/CAPEX/2019-2020/643</v>
      </c>
      <c r="D1512" s="1378">
        <f t="shared" si="221"/>
        <v>43703</v>
      </c>
      <c r="E1512" s="1513">
        <f t="shared" si="221"/>
        <v>2.12</v>
      </c>
      <c r="F1512" s="1509">
        <f t="shared" si="222"/>
        <v>2.4580069300000003</v>
      </c>
      <c r="G1512" s="1509">
        <f t="shared" si="223"/>
        <v>2.4580069300000003</v>
      </c>
      <c r="H1512" s="1509">
        <f t="shared" si="224"/>
        <v>0</v>
      </c>
      <c r="I1512" s="1509">
        <v>0</v>
      </c>
      <c r="J1512" s="1509">
        <v>0</v>
      </c>
      <c r="K1512" s="1509"/>
      <c r="L1512" s="1509"/>
      <c r="M1512" s="1509">
        <f t="shared" si="225"/>
        <v>0</v>
      </c>
      <c r="N1512" s="1509">
        <f t="shared" si="226"/>
        <v>0</v>
      </c>
      <c r="O1512" s="1510">
        <f t="shared" si="227"/>
        <v>0</v>
      </c>
      <c r="P1512" s="1453">
        <f t="shared" si="228"/>
        <v>0</v>
      </c>
    </row>
    <row r="1513" spans="1:16" ht="43.5" outlineLevel="1" x14ac:dyDescent="0.25">
      <c r="A1513" s="1511" t="str">
        <f t="shared" si="221"/>
        <v>HO
DPR 16</v>
      </c>
      <c r="B1513" s="1512" t="str">
        <f t="shared" si="221"/>
        <v>Construction of new Administrative Building for Mahagenco at Vidyut Bhawan, Katol Road, Nagpur</v>
      </c>
      <c r="C1513" s="1511" t="str">
        <f t="shared" si="221"/>
        <v>MERC/CAPEX/2021-2022/MSPGCL/063</v>
      </c>
      <c r="D1513" s="1378">
        <f t="shared" si="221"/>
        <v>44604</v>
      </c>
      <c r="E1513" s="1513">
        <f t="shared" si="221"/>
        <v>57</v>
      </c>
      <c r="F1513" s="1509">
        <f t="shared" si="222"/>
        <v>0</v>
      </c>
      <c r="G1513" s="1509">
        <f t="shared" si="223"/>
        <v>0</v>
      </c>
      <c r="H1513" s="1509">
        <f t="shared" si="224"/>
        <v>0</v>
      </c>
      <c r="I1513" s="1509">
        <v>0</v>
      </c>
      <c r="J1513" s="1509">
        <v>0</v>
      </c>
      <c r="K1513" s="1509"/>
      <c r="L1513" s="1509"/>
      <c r="M1513" s="1509">
        <f t="shared" si="225"/>
        <v>0</v>
      </c>
      <c r="N1513" s="1509">
        <f t="shared" si="226"/>
        <v>0</v>
      </c>
      <c r="O1513" s="1510"/>
      <c r="P1513" s="1453"/>
    </row>
    <row r="1514" spans="1:16" ht="43.5" outlineLevel="1" x14ac:dyDescent="0.25">
      <c r="A1514" s="1511" t="str">
        <f t="shared" si="221"/>
        <v>HO
DPR 16.1</v>
      </c>
      <c r="B1514" s="1512" t="str">
        <f t="shared" si="221"/>
        <v>Construction of new Administrative Building for Mahagenco at Vidyut Bhawan, Katol Road, Nagpur</v>
      </c>
      <c r="C1514" s="1511" t="str">
        <f t="shared" si="221"/>
        <v>MERC/CAPEX/2021-2022/MSPGCL/063</v>
      </c>
      <c r="D1514" s="1378">
        <f t="shared" si="221"/>
        <v>44604</v>
      </c>
      <c r="E1514" s="1513">
        <f t="shared" si="221"/>
        <v>54.24</v>
      </c>
      <c r="F1514" s="1509">
        <f t="shared" si="222"/>
        <v>0</v>
      </c>
      <c r="G1514" s="1509">
        <f t="shared" si="223"/>
        <v>0</v>
      </c>
      <c r="H1514" s="1509">
        <f t="shared" si="224"/>
        <v>0</v>
      </c>
      <c r="I1514" s="1509">
        <v>0</v>
      </c>
      <c r="J1514" s="1509">
        <v>0</v>
      </c>
      <c r="K1514" s="1509"/>
      <c r="L1514" s="1509"/>
      <c r="M1514" s="1509">
        <f t="shared" si="225"/>
        <v>0</v>
      </c>
      <c r="N1514" s="1509">
        <f t="shared" si="226"/>
        <v>0</v>
      </c>
      <c r="O1514" s="1510"/>
      <c r="P1514" s="1453"/>
    </row>
    <row r="1515" spans="1:16" outlineLevel="1" x14ac:dyDescent="0.25">
      <c r="A1515" s="1511">
        <f t="shared" si="221"/>
        <v>0</v>
      </c>
      <c r="B1515" s="1512" t="str">
        <f t="shared" si="221"/>
        <v>IDC</v>
      </c>
      <c r="C1515" s="1511" t="str">
        <f t="shared" si="221"/>
        <v>MERC/CAPEX/2021-2022/MSPGCL/063</v>
      </c>
      <c r="D1515" s="1378">
        <f t="shared" si="221"/>
        <v>44604</v>
      </c>
      <c r="E1515" s="1513">
        <f t="shared" si="221"/>
        <v>2.76</v>
      </c>
      <c r="F1515" s="1509">
        <f t="shared" si="222"/>
        <v>0</v>
      </c>
      <c r="G1515" s="1509">
        <f t="shared" si="223"/>
        <v>0</v>
      </c>
      <c r="H1515" s="1509">
        <f t="shared" si="224"/>
        <v>0</v>
      </c>
      <c r="I1515" s="1509">
        <v>0</v>
      </c>
      <c r="J1515" s="1509">
        <v>0</v>
      </c>
      <c r="K1515" s="1509"/>
      <c r="L1515" s="1509"/>
      <c r="M1515" s="1509">
        <f t="shared" si="225"/>
        <v>0</v>
      </c>
      <c r="N1515" s="1509">
        <f t="shared" si="226"/>
        <v>0</v>
      </c>
      <c r="O1515" s="1510"/>
      <c r="P1515" s="1453"/>
    </row>
    <row r="1516" spans="1:16" ht="43.5" outlineLevel="1" x14ac:dyDescent="0.25">
      <c r="A1516" s="1511" t="str">
        <f t="shared" si="221"/>
        <v>HO
DPR 17</v>
      </c>
      <c r="B1516" s="1512" t="str">
        <f t="shared" si="221"/>
        <v>Centralized Monitoring Solution</v>
      </c>
      <c r="C1516" s="1511" t="str">
        <f t="shared" si="221"/>
        <v>MERC/CAPEX/MSPGCL/2023-24/0576</v>
      </c>
      <c r="D1516" s="1378">
        <f t="shared" si="221"/>
        <v>45232</v>
      </c>
      <c r="E1516" s="1513">
        <f t="shared" si="221"/>
        <v>69.308999999999997</v>
      </c>
      <c r="F1516" s="1509">
        <f t="shared" si="222"/>
        <v>0</v>
      </c>
      <c r="G1516" s="1509">
        <f t="shared" si="223"/>
        <v>0</v>
      </c>
      <c r="H1516" s="1509">
        <f t="shared" si="224"/>
        <v>0</v>
      </c>
      <c r="I1516" s="1509">
        <v>0</v>
      </c>
      <c r="J1516" s="1509">
        <v>0</v>
      </c>
      <c r="K1516" s="1509"/>
      <c r="L1516" s="1509"/>
      <c r="M1516" s="1509">
        <f t="shared" si="225"/>
        <v>0</v>
      </c>
      <c r="N1516" s="1509">
        <f t="shared" si="226"/>
        <v>0</v>
      </c>
      <c r="O1516" s="1510"/>
      <c r="P1516" s="1453"/>
    </row>
    <row r="1517" spans="1:16" ht="43.5" outlineLevel="1" x14ac:dyDescent="0.25">
      <c r="A1517" s="1511" t="str">
        <f t="shared" si="221"/>
        <v>HO
DPR 17.1</v>
      </c>
      <c r="B1517" s="1512" t="str">
        <f t="shared" si="221"/>
        <v>Centralized Monitoring Solution</v>
      </c>
      <c r="C1517" s="1511" t="str">
        <f t="shared" si="221"/>
        <v>MERC/CAPEX/MSPGCL/2023-24/0576</v>
      </c>
      <c r="D1517" s="1378">
        <f t="shared" si="221"/>
        <v>45232</v>
      </c>
      <c r="E1517" s="1513">
        <f t="shared" si="221"/>
        <v>66.009</v>
      </c>
      <c r="F1517" s="1509">
        <f t="shared" si="222"/>
        <v>4.46</v>
      </c>
      <c r="G1517" s="1509">
        <f t="shared" si="223"/>
        <v>4.46</v>
      </c>
      <c r="H1517" s="1509">
        <f t="shared" si="224"/>
        <v>0</v>
      </c>
      <c r="I1517" s="1509">
        <v>0</v>
      </c>
      <c r="J1517" s="1509">
        <v>0</v>
      </c>
      <c r="K1517" s="1509"/>
      <c r="L1517" s="1509"/>
      <c r="M1517" s="1509">
        <f t="shared" si="225"/>
        <v>0</v>
      </c>
      <c r="N1517" s="1509">
        <f t="shared" si="226"/>
        <v>0</v>
      </c>
      <c r="O1517" s="1510"/>
      <c r="P1517" s="1453"/>
    </row>
    <row r="1518" spans="1:16" outlineLevel="1" x14ac:dyDescent="0.25">
      <c r="A1518" s="1511">
        <f t="shared" ref="A1518:E1533" si="229">A1161</f>
        <v>0</v>
      </c>
      <c r="B1518" s="1512" t="str">
        <f t="shared" si="229"/>
        <v>IDC</v>
      </c>
      <c r="C1518" s="1511" t="str">
        <f t="shared" si="229"/>
        <v>MERC/CAPEX/MSPGCL/2023-24/0576</v>
      </c>
      <c r="D1518" s="1378">
        <f t="shared" si="229"/>
        <v>45232</v>
      </c>
      <c r="E1518" s="1513">
        <f t="shared" si="229"/>
        <v>3.3</v>
      </c>
      <c r="F1518" s="1509">
        <f t="shared" si="222"/>
        <v>0</v>
      </c>
      <c r="G1518" s="1509">
        <f t="shared" si="223"/>
        <v>0</v>
      </c>
      <c r="H1518" s="1509">
        <f t="shared" si="224"/>
        <v>0</v>
      </c>
      <c r="I1518" s="1509">
        <v>0</v>
      </c>
      <c r="J1518" s="1509">
        <v>0</v>
      </c>
      <c r="K1518" s="1509"/>
      <c r="L1518" s="1509"/>
      <c r="M1518" s="1509">
        <f t="shared" si="225"/>
        <v>0</v>
      </c>
      <c r="N1518" s="1509">
        <f t="shared" si="226"/>
        <v>0</v>
      </c>
      <c r="O1518" s="1510"/>
      <c r="P1518" s="1453"/>
    </row>
    <row r="1519" spans="1:16" ht="29" outlineLevel="1" x14ac:dyDescent="0.25">
      <c r="A1519" s="1506">
        <f t="shared" si="229"/>
        <v>23</v>
      </c>
      <c r="B1519" s="1507" t="str">
        <f t="shared" si="229"/>
        <v>Coal Handling Plant Environment Improvement Schemes at U-6&amp;7 CHP (2X250MW) Parli TPS</v>
      </c>
      <c r="C1519" s="1506" t="str">
        <f t="shared" si="229"/>
        <v>Yet to be approve</v>
      </c>
      <c r="D1519" s="1378" t="str">
        <f t="shared" si="229"/>
        <v>-</v>
      </c>
      <c r="E1519" s="1513">
        <f t="shared" si="229"/>
        <v>0</v>
      </c>
      <c r="F1519" s="1509">
        <f t="shared" si="222"/>
        <v>0</v>
      </c>
      <c r="G1519" s="1509">
        <f t="shared" si="223"/>
        <v>0</v>
      </c>
      <c r="H1519" s="1509">
        <f t="shared" si="224"/>
        <v>0</v>
      </c>
      <c r="I1519" s="1509">
        <v>0</v>
      </c>
      <c r="J1519" s="1509">
        <v>0</v>
      </c>
      <c r="K1519" s="1509"/>
      <c r="L1519" s="1509"/>
      <c r="M1519" s="1509">
        <f t="shared" si="225"/>
        <v>0</v>
      </c>
      <c r="N1519" s="1509">
        <f t="shared" si="226"/>
        <v>0</v>
      </c>
      <c r="O1519" s="1510">
        <f t="shared" ref="O1519:O1527" si="230">MAX(0,IF(M1519=0,0,IF(G1519+M1519&lt;E1519,M1519,E1519-G1519)))</f>
        <v>0</v>
      </c>
      <c r="P1519" s="1453">
        <f t="shared" ref="P1519:P1527" si="231">M1519-O1519</f>
        <v>0</v>
      </c>
    </row>
    <row r="1520" spans="1:16" ht="43.5" outlineLevel="1" x14ac:dyDescent="0.25">
      <c r="A1520" s="1511">
        <f t="shared" si="229"/>
        <v>23.1</v>
      </c>
      <c r="B1520" s="1515" t="str">
        <f t="shared" si="229"/>
        <v>Scheme-1: Design, Engineering, Manufacturing, Supply, Installation and Commissioning of Dedusting System ( Dust Extraction System) for Crusher House and Bunker House at  Unit -6 &amp; 7 at CHP Parli  TPS.</v>
      </c>
      <c r="C1520" s="1511" t="str">
        <f t="shared" si="229"/>
        <v>Yet to be approve</v>
      </c>
      <c r="D1520" s="1378" t="str">
        <f t="shared" si="229"/>
        <v>-</v>
      </c>
      <c r="E1520" s="1513">
        <f t="shared" si="229"/>
        <v>0</v>
      </c>
      <c r="F1520" s="1509">
        <f t="shared" si="222"/>
        <v>12.96</v>
      </c>
      <c r="G1520" s="1509">
        <f t="shared" si="223"/>
        <v>12.96</v>
      </c>
      <c r="H1520" s="1509">
        <f t="shared" si="224"/>
        <v>0</v>
      </c>
      <c r="I1520" s="1509">
        <v>0</v>
      </c>
      <c r="J1520" s="1509">
        <v>0</v>
      </c>
      <c r="K1520" s="1509"/>
      <c r="L1520" s="1509"/>
      <c r="M1520" s="1509">
        <f t="shared" si="225"/>
        <v>0</v>
      </c>
      <c r="N1520" s="1509">
        <f t="shared" si="226"/>
        <v>0</v>
      </c>
      <c r="O1520" s="1510">
        <f t="shared" si="230"/>
        <v>0</v>
      </c>
      <c r="P1520" s="1453">
        <f t="shared" si="231"/>
        <v>0</v>
      </c>
    </row>
    <row r="1521" spans="1:16" ht="43.5" outlineLevel="1" x14ac:dyDescent="0.25">
      <c r="A1521" s="1511">
        <f t="shared" si="229"/>
        <v>23.2</v>
      </c>
      <c r="B1521" s="1515" t="str">
        <f t="shared" si="229"/>
        <v>Scheme-2: Supply, Installation, Erection &amp; Commissioning of medium velocity water spray dust suppression system at CHP U-6/7 coal yard Crusher house &amp; Link Conveyor at Parli TPS.</v>
      </c>
      <c r="C1521" s="1511" t="str">
        <f t="shared" si="229"/>
        <v>Yet to be approve</v>
      </c>
      <c r="D1521" s="1378" t="str">
        <f t="shared" si="229"/>
        <v>-</v>
      </c>
      <c r="E1521" s="1513">
        <f t="shared" si="229"/>
        <v>0</v>
      </c>
      <c r="F1521" s="1509">
        <f t="shared" si="222"/>
        <v>3.52</v>
      </c>
      <c r="G1521" s="1509">
        <f t="shared" si="223"/>
        <v>3.52</v>
      </c>
      <c r="H1521" s="1509">
        <f t="shared" si="224"/>
        <v>0</v>
      </c>
      <c r="I1521" s="1509">
        <v>0</v>
      </c>
      <c r="J1521" s="1509">
        <v>0</v>
      </c>
      <c r="K1521" s="1509"/>
      <c r="L1521" s="1509"/>
      <c r="M1521" s="1509">
        <f t="shared" si="225"/>
        <v>0</v>
      </c>
      <c r="N1521" s="1509">
        <f t="shared" si="226"/>
        <v>0</v>
      </c>
      <c r="O1521" s="1510">
        <f t="shared" si="230"/>
        <v>0</v>
      </c>
      <c r="P1521" s="1453">
        <f t="shared" si="231"/>
        <v>0</v>
      </c>
    </row>
    <row r="1522" spans="1:16" ht="58" outlineLevel="1" x14ac:dyDescent="0.25">
      <c r="A1522" s="1511">
        <f t="shared" si="229"/>
        <v>23.3</v>
      </c>
      <c r="B1522" s="1515" t="str">
        <f t="shared" si="229"/>
        <v>Scheme-3: Supply, Installation, Commissioning of Fire Hydrant &amp; Spray line above ground around  stacker yard and crusher house, wagon tippler through conveyor belt with DV &amp; DV Shed at CHP U-6/7.</v>
      </c>
      <c r="C1522" s="1506" t="str">
        <f t="shared" si="229"/>
        <v>Yet to be approve</v>
      </c>
      <c r="D1522" s="1378" t="str">
        <f t="shared" si="229"/>
        <v>-</v>
      </c>
      <c r="E1522" s="1513">
        <f t="shared" si="229"/>
        <v>0</v>
      </c>
      <c r="F1522" s="1509">
        <f t="shared" si="222"/>
        <v>3.54</v>
      </c>
      <c r="G1522" s="1509">
        <f t="shared" si="223"/>
        <v>3.54</v>
      </c>
      <c r="H1522" s="1509">
        <f t="shared" si="224"/>
        <v>0</v>
      </c>
      <c r="I1522" s="1509">
        <v>0</v>
      </c>
      <c r="J1522" s="1509">
        <v>0</v>
      </c>
      <c r="K1522" s="1509"/>
      <c r="L1522" s="1509"/>
      <c r="M1522" s="1509">
        <f t="shared" si="225"/>
        <v>0</v>
      </c>
      <c r="N1522" s="1509">
        <f t="shared" si="226"/>
        <v>0</v>
      </c>
      <c r="O1522" s="1510">
        <f t="shared" si="230"/>
        <v>0</v>
      </c>
      <c r="P1522" s="1453">
        <f t="shared" si="231"/>
        <v>0</v>
      </c>
    </row>
    <row r="1523" spans="1:16" ht="43.5" outlineLevel="1" x14ac:dyDescent="0.25">
      <c r="A1523" s="1511">
        <f t="shared" si="229"/>
        <v>23.4</v>
      </c>
      <c r="B1523" s="1515" t="str">
        <f t="shared" si="229"/>
        <v>Scheme-4: Design, Manufacturing, Supply, Erection and Commissioning of DRY FOG Dust Suppression system at Wagon Tippler, Conveyor Belt Transfer point at U-6/7 CHP Parli TPS.</v>
      </c>
      <c r="C1523" s="1511" t="str">
        <f t="shared" si="229"/>
        <v>Yet to be approve</v>
      </c>
      <c r="D1523" s="1378" t="str">
        <f t="shared" si="229"/>
        <v>-</v>
      </c>
      <c r="E1523" s="1513">
        <f t="shared" si="229"/>
        <v>0</v>
      </c>
      <c r="F1523" s="1509">
        <f t="shared" si="222"/>
        <v>7</v>
      </c>
      <c r="G1523" s="1509">
        <f t="shared" si="223"/>
        <v>7</v>
      </c>
      <c r="H1523" s="1509">
        <f t="shared" si="224"/>
        <v>0</v>
      </c>
      <c r="I1523" s="1509">
        <v>0</v>
      </c>
      <c r="J1523" s="1509">
        <v>0</v>
      </c>
      <c r="K1523" s="1509"/>
      <c r="L1523" s="1509"/>
      <c r="M1523" s="1509">
        <f t="shared" si="225"/>
        <v>0</v>
      </c>
      <c r="N1523" s="1509">
        <f t="shared" si="226"/>
        <v>0</v>
      </c>
      <c r="O1523" s="1510">
        <f t="shared" si="230"/>
        <v>0</v>
      </c>
      <c r="P1523" s="1453">
        <f t="shared" si="231"/>
        <v>0</v>
      </c>
    </row>
    <row r="1524" spans="1:16" outlineLevel="1" x14ac:dyDescent="0.25">
      <c r="A1524" s="1511">
        <f t="shared" si="229"/>
        <v>0</v>
      </c>
      <c r="B1524" s="1515" t="str">
        <f t="shared" si="229"/>
        <v>IDC</v>
      </c>
      <c r="C1524" s="1396" t="str">
        <f t="shared" si="229"/>
        <v>Yet to be approve</v>
      </c>
      <c r="D1524" s="1378" t="str">
        <f t="shared" si="229"/>
        <v>-</v>
      </c>
      <c r="E1524" s="1513">
        <f t="shared" si="229"/>
        <v>0</v>
      </c>
      <c r="F1524" s="1509">
        <f t="shared" si="222"/>
        <v>0</v>
      </c>
      <c r="G1524" s="1509">
        <f t="shared" si="223"/>
        <v>0</v>
      </c>
      <c r="H1524" s="1509">
        <f t="shared" si="224"/>
        <v>0</v>
      </c>
      <c r="I1524" s="1509">
        <v>0</v>
      </c>
      <c r="J1524" s="1509">
        <v>0</v>
      </c>
      <c r="K1524" s="1509"/>
      <c r="L1524" s="1509"/>
      <c r="M1524" s="1509">
        <f t="shared" si="225"/>
        <v>0</v>
      </c>
      <c r="N1524" s="1509">
        <f t="shared" si="226"/>
        <v>0</v>
      </c>
      <c r="O1524" s="1510">
        <f t="shared" si="230"/>
        <v>0</v>
      </c>
      <c r="P1524" s="1453">
        <f t="shared" si="231"/>
        <v>0</v>
      </c>
    </row>
    <row r="1525" spans="1:16" ht="29" outlineLevel="1" x14ac:dyDescent="0.25">
      <c r="A1525" s="1506">
        <f t="shared" si="229"/>
        <v>24</v>
      </c>
      <c r="B1525" s="1507" t="str">
        <f t="shared" si="229"/>
        <v>Coal Mill Performance Improvement Schemes at U-6 &amp; 7 (2 x 250 MW) Parli TPS</v>
      </c>
      <c r="C1525" s="1506" t="str">
        <f t="shared" si="229"/>
        <v>Yet to be approve</v>
      </c>
      <c r="D1525" s="1378" t="str">
        <f t="shared" si="229"/>
        <v>-</v>
      </c>
      <c r="E1525" s="1513">
        <f t="shared" si="229"/>
        <v>0</v>
      </c>
      <c r="F1525" s="1509">
        <f t="shared" si="222"/>
        <v>0</v>
      </c>
      <c r="G1525" s="1509">
        <f t="shared" si="223"/>
        <v>0</v>
      </c>
      <c r="H1525" s="1509">
        <f t="shared" si="224"/>
        <v>0</v>
      </c>
      <c r="I1525" s="1509">
        <v>0</v>
      </c>
      <c r="J1525" s="1509">
        <v>0</v>
      </c>
      <c r="K1525" s="1509"/>
      <c r="L1525" s="1509"/>
      <c r="M1525" s="1509">
        <f t="shared" si="225"/>
        <v>0</v>
      </c>
      <c r="N1525" s="1509">
        <f t="shared" si="226"/>
        <v>0</v>
      </c>
      <c r="O1525" s="1510">
        <f t="shared" si="230"/>
        <v>0</v>
      </c>
      <c r="P1525" s="1453">
        <f t="shared" si="231"/>
        <v>0</v>
      </c>
    </row>
    <row r="1526" spans="1:16" ht="43.5" outlineLevel="1" x14ac:dyDescent="0.25">
      <c r="A1526" s="1511">
        <f t="shared" si="229"/>
        <v>24.1</v>
      </c>
      <c r="B1526" s="1515" t="str">
        <f t="shared" si="229"/>
        <v xml:space="preserve">Scheme-1: Procurement And Replacement Of Internals For Reducer Gear Box Szn-630 &amp; Sbn-630 for Bbd-4772 Coal Mills Of 250mw At Unit 6,7  Parli </v>
      </c>
      <c r="C1526" s="1396" t="str">
        <f t="shared" si="229"/>
        <v>Yet to be approve</v>
      </c>
      <c r="D1526" s="1378" t="str">
        <f t="shared" si="229"/>
        <v>-</v>
      </c>
      <c r="E1526" s="1513">
        <f t="shared" si="229"/>
        <v>0</v>
      </c>
      <c r="F1526" s="1509">
        <f t="shared" si="222"/>
        <v>6.5</v>
      </c>
      <c r="G1526" s="1509">
        <f t="shared" si="223"/>
        <v>6.5</v>
      </c>
      <c r="H1526" s="1509">
        <f t="shared" si="224"/>
        <v>0</v>
      </c>
      <c r="I1526" s="1509">
        <v>0</v>
      </c>
      <c r="J1526" s="1509">
        <v>0</v>
      </c>
      <c r="K1526" s="1509"/>
      <c r="L1526" s="1509"/>
      <c r="M1526" s="1509">
        <f t="shared" si="225"/>
        <v>0</v>
      </c>
      <c r="N1526" s="1509">
        <f t="shared" si="226"/>
        <v>0</v>
      </c>
      <c r="O1526" s="1510">
        <f t="shared" si="230"/>
        <v>0</v>
      </c>
      <c r="P1526" s="1453">
        <f t="shared" si="231"/>
        <v>0</v>
      </c>
    </row>
    <row r="1527" spans="1:16" ht="43.5" outlineLevel="1" x14ac:dyDescent="0.25">
      <c r="A1527" s="1511">
        <f t="shared" si="229"/>
        <v>24.2</v>
      </c>
      <c r="B1527" s="1515" t="str">
        <f t="shared" si="229"/>
        <v>Scheme-2: Supply, Replacement, Erection And Installation Of Foundation Deck Springs Assembly (Vibration Isolation System) For Bbd-4772 Coal Mill Of For 250mw Unit-6&amp;7 At Parli Tps..</v>
      </c>
      <c r="C1527" s="1396" t="str">
        <f t="shared" si="229"/>
        <v>Yet to be approve</v>
      </c>
      <c r="D1527" s="1378" t="str">
        <f t="shared" si="229"/>
        <v>-</v>
      </c>
      <c r="E1527" s="1513">
        <f t="shared" si="229"/>
        <v>0</v>
      </c>
      <c r="F1527" s="1509">
        <f t="shared" si="222"/>
        <v>4.01</v>
      </c>
      <c r="G1527" s="1509">
        <f t="shared" si="223"/>
        <v>4.01</v>
      </c>
      <c r="H1527" s="1509">
        <f t="shared" si="224"/>
        <v>0</v>
      </c>
      <c r="I1527" s="1509">
        <v>0</v>
      </c>
      <c r="J1527" s="1509">
        <v>0</v>
      </c>
      <c r="K1527" s="1509"/>
      <c r="L1527" s="1509"/>
      <c r="M1527" s="1509">
        <f t="shared" si="225"/>
        <v>0</v>
      </c>
      <c r="N1527" s="1509">
        <f t="shared" si="226"/>
        <v>0</v>
      </c>
      <c r="O1527" s="1510">
        <f t="shared" si="230"/>
        <v>0</v>
      </c>
      <c r="P1527" s="1453">
        <f t="shared" si="231"/>
        <v>0</v>
      </c>
    </row>
    <row r="1528" spans="1:16" ht="29" outlineLevel="1" x14ac:dyDescent="0.25">
      <c r="A1528" s="1511">
        <f t="shared" si="229"/>
        <v>24.3</v>
      </c>
      <c r="B1528" s="1515" t="str">
        <f t="shared" si="229"/>
        <v>Scheme-3: Procurement And Installation of Girth Gear And Pinion Of Coal Mill Bbd-4772 For Unit-6,7 At Parli TPS.</v>
      </c>
      <c r="C1528" s="1396" t="str">
        <f t="shared" si="229"/>
        <v>Yet to be approve</v>
      </c>
      <c r="D1528" s="1378" t="str">
        <f t="shared" si="229"/>
        <v>-</v>
      </c>
      <c r="E1528" s="1513">
        <f t="shared" si="229"/>
        <v>0</v>
      </c>
      <c r="F1528" s="1509">
        <f t="shared" si="222"/>
        <v>14.24</v>
      </c>
      <c r="G1528" s="1509">
        <f t="shared" si="223"/>
        <v>14.24</v>
      </c>
      <c r="H1528" s="1509">
        <f t="shared" si="224"/>
        <v>0</v>
      </c>
      <c r="I1528" s="1509">
        <v>0</v>
      </c>
      <c r="J1528" s="1509">
        <v>0</v>
      </c>
      <c r="K1528" s="1509"/>
      <c r="L1528" s="1509"/>
      <c r="M1528" s="1509">
        <f t="shared" si="225"/>
        <v>0</v>
      </c>
      <c r="N1528" s="1509">
        <f t="shared" si="226"/>
        <v>0</v>
      </c>
    </row>
    <row r="1529" spans="1:16" ht="29" outlineLevel="1" x14ac:dyDescent="0.25">
      <c r="A1529" s="1511">
        <f t="shared" si="229"/>
        <v>24.4</v>
      </c>
      <c r="B1529" s="1515" t="str">
        <f t="shared" si="229"/>
        <v xml:space="preserve">Scheme-4: Procurement And Installation of Drive Shaft Assembly Of Coal Mill BBD-4772 For Unit-6 ,7 At Parli TPS. </v>
      </c>
      <c r="C1529" s="1396" t="str">
        <f t="shared" si="229"/>
        <v>Yet to be approve</v>
      </c>
      <c r="D1529" s="1378" t="str">
        <f t="shared" si="229"/>
        <v>-</v>
      </c>
      <c r="E1529" s="1513">
        <f t="shared" si="229"/>
        <v>0</v>
      </c>
      <c r="F1529" s="1509">
        <f t="shared" si="222"/>
        <v>9.18</v>
      </c>
      <c r="G1529" s="1509">
        <f t="shared" si="223"/>
        <v>9.18</v>
      </c>
      <c r="H1529" s="1509">
        <f t="shared" si="224"/>
        <v>0</v>
      </c>
      <c r="I1529" s="1509">
        <v>0</v>
      </c>
      <c r="J1529" s="1509">
        <v>0</v>
      </c>
      <c r="K1529" s="1509"/>
      <c r="L1529" s="1509"/>
      <c r="M1529" s="1509">
        <f t="shared" si="225"/>
        <v>0</v>
      </c>
      <c r="N1529" s="1509">
        <f t="shared" si="226"/>
        <v>0</v>
      </c>
    </row>
    <row r="1530" spans="1:16" ht="29" outlineLevel="1" x14ac:dyDescent="0.25">
      <c r="A1530" s="1511">
        <f t="shared" si="229"/>
        <v>24.5</v>
      </c>
      <c r="B1530" s="1515" t="str">
        <f t="shared" si="229"/>
        <v>Scheme-5: Procurement And Replacement of  Bearing Shell Liner For Bbd-4772 Coal Mills Of 250mw At Unit 6,7  Parli TPS.</v>
      </c>
      <c r="C1530" s="1396" t="str">
        <f t="shared" si="229"/>
        <v>Yet to be approve</v>
      </c>
      <c r="D1530" s="1378" t="str">
        <f t="shared" si="229"/>
        <v>-</v>
      </c>
      <c r="E1530" s="1513">
        <f t="shared" si="229"/>
        <v>0</v>
      </c>
      <c r="F1530" s="1509">
        <f t="shared" si="222"/>
        <v>8.19</v>
      </c>
      <c r="G1530" s="1509">
        <f t="shared" si="223"/>
        <v>8.19</v>
      </c>
      <c r="H1530" s="1509">
        <f t="shared" si="224"/>
        <v>0</v>
      </c>
      <c r="I1530" s="1509">
        <v>0</v>
      </c>
      <c r="J1530" s="1509">
        <v>0</v>
      </c>
      <c r="K1530" s="1509"/>
      <c r="L1530" s="1509"/>
      <c r="M1530" s="1509">
        <f t="shared" si="225"/>
        <v>0</v>
      </c>
      <c r="N1530" s="1509">
        <f t="shared" si="226"/>
        <v>0</v>
      </c>
    </row>
    <row r="1531" spans="1:16" outlineLevel="1" x14ac:dyDescent="0.25">
      <c r="A1531" s="1511">
        <f t="shared" si="229"/>
        <v>0</v>
      </c>
      <c r="B1531" s="1515" t="str">
        <f t="shared" si="229"/>
        <v>IDC</v>
      </c>
      <c r="C1531" s="1396" t="str">
        <f t="shared" si="229"/>
        <v>Yet to be approve</v>
      </c>
      <c r="D1531" s="1378" t="str">
        <f t="shared" si="229"/>
        <v>-</v>
      </c>
      <c r="E1531" s="1513">
        <f t="shared" si="229"/>
        <v>0</v>
      </c>
      <c r="F1531" s="1509">
        <f t="shared" si="222"/>
        <v>2</v>
      </c>
      <c r="G1531" s="1509">
        <f t="shared" si="223"/>
        <v>2</v>
      </c>
      <c r="H1531" s="1509">
        <f t="shared" si="224"/>
        <v>0</v>
      </c>
      <c r="I1531" s="1509">
        <v>0</v>
      </c>
      <c r="J1531" s="1509">
        <v>0</v>
      </c>
      <c r="K1531" s="1509"/>
      <c r="L1531" s="1509"/>
      <c r="M1531" s="1509">
        <f t="shared" si="225"/>
        <v>0</v>
      </c>
      <c r="N1531" s="1509">
        <f t="shared" si="226"/>
        <v>0</v>
      </c>
    </row>
    <row r="1532" spans="1:16" outlineLevel="1" x14ac:dyDescent="0.25">
      <c r="A1532" s="1506">
        <f t="shared" si="229"/>
        <v>25</v>
      </c>
      <c r="B1532" s="1507" t="str">
        <f t="shared" si="229"/>
        <v>Administrative building</v>
      </c>
      <c r="C1532" s="1506" t="str">
        <f t="shared" si="229"/>
        <v>Yet to be approved</v>
      </c>
      <c r="D1532" s="1378" t="str">
        <f t="shared" si="229"/>
        <v>-</v>
      </c>
      <c r="E1532" s="1513">
        <f t="shared" si="229"/>
        <v>0</v>
      </c>
      <c r="F1532" s="1509">
        <f t="shared" si="222"/>
        <v>0</v>
      </c>
      <c r="G1532" s="1509">
        <f t="shared" si="223"/>
        <v>0</v>
      </c>
      <c r="H1532" s="1509">
        <f t="shared" si="224"/>
        <v>0</v>
      </c>
      <c r="I1532" s="1509">
        <v>0</v>
      </c>
      <c r="J1532" s="1509">
        <v>0</v>
      </c>
      <c r="K1532" s="1509"/>
      <c r="L1532" s="1509"/>
      <c r="M1532" s="1509">
        <f t="shared" si="225"/>
        <v>0</v>
      </c>
      <c r="N1532" s="1509">
        <f t="shared" si="226"/>
        <v>0</v>
      </c>
      <c r="O1532" s="1510"/>
      <c r="P1532" s="1453"/>
    </row>
    <row r="1533" spans="1:16" outlineLevel="1" x14ac:dyDescent="0.25">
      <c r="A1533" s="1511">
        <f t="shared" si="229"/>
        <v>25.1</v>
      </c>
      <c r="B1533" s="1515" t="str">
        <f t="shared" si="229"/>
        <v>Administrative building</v>
      </c>
      <c r="C1533" s="1396" t="str">
        <f t="shared" si="229"/>
        <v>Yet to be approved</v>
      </c>
      <c r="D1533" s="1378" t="str">
        <f t="shared" si="229"/>
        <v>-</v>
      </c>
      <c r="E1533" s="1513">
        <f t="shared" si="229"/>
        <v>0</v>
      </c>
      <c r="F1533" s="1509">
        <f t="shared" si="222"/>
        <v>0</v>
      </c>
      <c r="G1533" s="1509">
        <f t="shared" si="223"/>
        <v>0</v>
      </c>
      <c r="H1533" s="1509">
        <f t="shared" si="224"/>
        <v>0</v>
      </c>
      <c r="I1533" s="1509">
        <v>0</v>
      </c>
      <c r="J1533" s="1509">
        <v>0</v>
      </c>
      <c r="K1533" s="1509"/>
      <c r="L1533" s="1509"/>
      <c r="M1533" s="1509">
        <f t="shared" si="225"/>
        <v>0</v>
      </c>
      <c r="N1533" s="1509">
        <f t="shared" si="226"/>
        <v>0</v>
      </c>
    </row>
    <row r="1534" spans="1:16" ht="72.5" outlineLevel="1" x14ac:dyDescent="0.25">
      <c r="A1534" s="1511">
        <f t="shared" ref="A1534:E1549" si="232">A1177</f>
        <v>26</v>
      </c>
      <c r="B1534" s="1515" t="str">
        <f t="shared" si="232"/>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1534" s="1396" t="str">
        <f t="shared" si="232"/>
        <v>Yet to be approved</v>
      </c>
      <c r="D1534" s="1378" t="str">
        <f t="shared" si="232"/>
        <v>-</v>
      </c>
      <c r="E1534" s="1513">
        <f t="shared" si="232"/>
        <v>0</v>
      </c>
      <c r="F1534" s="1509">
        <f t="shared" si="222"/>
        <v>0</v>
      </c>
      <c r="G1534" s="1509">
        <f t="shared" si="223"/>
        <v>0</v>
      </c>
      <c r="H1534" s="1509">
        <f t="shared" si="224"/>
        <v>0</v>
      </c>
      <c r="I1534" s="1509">
        <v>0</v>
      </c>
      <c r="J1534" s="1509">
        <v>0</v>
      </c>
      <c r="K1534" s="1509"/>
      <c r="L1534" s="1509"/>
      <c r="M1534" s="1509">
        <f t="shared" si="225"/>
        <v>0</v>
      </c>
      <c r="N1534" s="1509">
        <f t="shared" si="226"/>
        <v>0</v>
      </c>
    </row>
    <row r="1535" spans="1:16" ht="29" outlineLevel="1" x14ac:dyDescent="0.25">
      <c r="A1535" s="1511">
        <f t="shared" si="232"/>
        <v>26.1</v>
      </c>
      <c r="B1535" s="1515" t="str">
        <f t="shared" si="232"/>
        <v>Refurbishment of spare HPT module (Common pool item) at TM U#6,7 Parli TPS</v>
      </c>
      <c r="C1535" s="1396" t="str">
        <f t="shared" si="232"/>
        <v>Yet to be approved</v>
      </c>
      <c r="D1535" s="1378" t="str">
        <f t="shared" si="232"/>
        <v>-</v>
      </c>
      <c r="E1535" s="1513">
        <f t="shared" si="232"/>
        <v>0</v>
      </c>
      <c r="F1535" s="1509">
        <f t="shared" si="222"/>
        <v>9.2100000000000009</v>
      </c>
      <c r="G1535" s="1509">
        <f t="shared" si="223"/>
        <v>9.2100000000000009</v>
      </c>
      <c r="H1535" s="1509">
        <f t="shared" si="224"/>
        <v>0</v>
      </c>
      <c r="I1535" s="1509">
        <v>0</v>
      </c>
      <c r="J1535" s="1509">
        <v>0</v>
      </c>
      <c r="K1535" s="1509"/>
      <c r="L1535" s="1509"/>
      <c r="M1535" s="1509">
        <f t="shared" si="225"/>
        <v>0</v>
      </c>
      <c r="N1535" s="1509">
        <f t="shared" si="226"/>
        <v>0</v>
      </c>
    </row>
    <row r="1536" spans="1:16" ht="29" outlineLevel="1" x14ac:dyDescent="0.25">
      <c r="A1536" s="1511">
        <f t="shared" si="232"/>
        <v>26.2</v>
      </c>
      <c r="B1536" s="1515" t="str">
        <f t="shared" si="232"/>
        <v xml:space="preserve"> Design, Erection, Testing &amp; Commissioning of Energy Efficient Air Washer (cooling) System  at Unit 6&amp;7 NPTPS, Parli-V.</v>
      </c>
      <c r="C1536" s="1396" t="str">
        <f t="shared" si="232"/>
        <v>Yet to be approved</v>
      </c>
      <c r="D1536" s="1378" t="str">
        <f t="shared" si="232"/>
        <v>-</v>
      </c>
      <c r="E1536" s="1513">
        <f t="shared" si="232"/>
        <v>0</v>
      </c>
      <c r="F1536" s="1509">
        <f t="shared" si="222"/>
        <v>14.61</v>
      </c>
      <c r="G1536" s="1509">
        <f t="shared" si="223"/>
        <v>14.61</v>
      </c>
      <c r="H1536" s="1509">
        <f t="shared" si="224"/>
        <v>0</v>
      </c>
      <c r="I1536" s="1509">
        <v>0</v>
      </c>
      <c r="J1536" s="1509">
        <v>0</v>
      </c>
      <c r="K1536" s="1509"/>
      <c r="L1536" s="1509"/>
      <c r="M1536" s="1509">
        <f t="shared" si="225"/>
        <v>0</v>
      </c>
      <c r="N1536" s="1509">
        <f t="shared" si="226"/>
        <v>0</v>
      </c>
    </row>
    <row r="1537" spans="1:16" ht="29" outlineLevel="1" x14ac:dyDescent="0.25">
      <c r="A1537" s="1511">
        <f t="shared" si="232"/>
        <v>26.3</v>
      </c>
      <c r="B1537" s="1515" t="str">
        <f t="shared" si="232"/>
        <v>Upgradation of reciprocating compressor into screw compressor  at U#6</v>
      </c>
      <c r="C1537" s="1396" t="str">
        <f t="shared" si="232"/>
        <v>Yet to be approved</v>
      </c>
      <c r="D1537" s="1378" t="str">
        <f t="shared" si="232"/>
        <v>-</v>
      </c>
      <c r="E1537" s="1513">
        <f t="shared" si="232"/>
        <v>0</v>
      </c>
      <c r="F1537" s="1509">
        <f t="shared" si="222"/>
        <v>9.2100000000000009</v>
      </c>
      <c r="G1537" s="1509">
        <f t="shared" si="223"/>
        <v>9.2100000000000009</v>
      </c>
      <c r="H1537" s="1509">
        <f t="shared" si="224"/>
        <v>0</v>
      </c>
      <c r="I1537" s="1509">
        <v>0</v>
      </c>
      <c r="J1537" s="1509">
        <v>0</v>
      </c>
      <c r="K1537" s="1509"/>
      <c r="L1537" s="1509"/>
      <c r="M1537" s="1509">
        <f t="shared" si="225"/>
        <v>0</v>
      </c>
      <c r="N1537" s="1509">
        <f t="shared" si="226"/>
        <v>0</v>
      </c>
    </row>
    <row r="1538" spans="1:16" ht="29" outlineLevel="1" x14ac:dyDescent="0.25">
      <c r="A1538" s="1511">
        <f t="shared" si="232"/>
        <v>26.4</v>
      </c>
      <c r="B1538" s="1515" t="str">
        <f t="shared" si="232"/>
        <v>Upgradation of existing chiller AC plant for PCR,Service Building,VFD area at NPTPS Parli -V</v>
      </c>
      <c r="C1538" s="1396" t="str">
        <f t="shared" si="232"/>
        <v>Yet to be approved</v>
      </c>
      <c r="D1538" s="1378" t="str">
        <f t="shared" si="232"/>
        <v>-</v>
      </c>
      <c r="E1538" s="1513">
        <f t="shared" si="232"/>
        <v>0</v>
      </c>
      <c r="F1538" s="1509">
        <f t="shared" si="222"/>
        <v>8.6199999999999992</v>
      </c>
      <c r="G1538" s="1509">
        <f t="shared" si="223"/>
        <v>8.6199999999999992</v>
      </c>
      <c r="H1538" s="1509">
        <f t="shared" si="224"/>
        <v>0</v>
      </c>
      <c r="I1538" s="1509">
        <v>0</v>
      </c>
      <c r="J1538" s="1509">
        <v>0</v>
      </c>
      <c r="K1538" s="1509"/>
      <c r="L1538" s="1509"/>
      <c r="M1538" s="1509">
        <f t="shared" si="225"/>
        <v>0</v>
      </c>
      <c r="N1538" s="1509">
        <f t="shared" si="226"/>
        <v>0</v>
      </c>
    </row>
    <row r="1539" spans="1:16" outlineLevel="1" x14ac:dyDescent="0.25">
      <c r="A1539" s="1511">
        <f t="shared" si="232"/>
        <v>0</v>
      </c>
      <c r="B1539" s="1515" t="str">
        <f t="shared" si="232"/>
        <v>IDC</v>
      </c>
      <c r="C1539" s="1396">
        <f t="shared" si="232"/>
        <v>0</v>
      </c>
      <c r="D1539" s="1378" t="str">
        <f t="shared" si="232"/>
        <v>-</v>
      </c>
      <c r="E1539" s="1513">
        <f t="shared" si="232"/>
        <v>0</v>
      </c>
      <c r="F1539" s="1509">
        <f t="shared" si="222"/>
        <v>1.41</v>
      </c>
      <c r="G1539" s="1509">
        <f t="shared" si="223"/>
        <v>1.41</v>
      </c>
      <c r="H1539" s="1509">
        <f t="shared" si="224"/>
        <v>0</v>
      </c>
      <c r="I1539" s="1509">
        <v>0</v>
      </c>
      <c r="J1539" s="1509">
        <v>0</v>
      </c>
      <c r="K1539" s="1509"/>
      <c r="L1539" s="1509"/>
      <c r="M1539" s="1509">
        <f t="shared" si="225"/>
        <v>0</v>
      </c>
      <c r="N1539" s="1509">
        <f t="shared" si="226"/>
        <v>0</v>
      </c>
    </row>
    <row r="1540" spans="1:16" ht="58" outlineLevel="1" x14ac:dyDescent="0.25">
      <c r="A1540" s="1506" t="str">
        <f t="shared" si="232"/>
        <v>Covid Related Work</v>
      </c>
      <c r="B1540" s="1507" t="str">
        <f t="shared" si="232"/>
        <v>U#6,7 Medical02 Oxygen Gr&amp;Cyl Ozonization Plant501</v>
      </c>
      <c r="C1540" s="1506" t="str">
        <f t="shared" si="232"/>
        <v>N.A.</v>
      </c>
      <c r="D1540" s="1508" t="str">
        <f t="shared" si="232"/>
        <v>-</v>
      </c>
      <c r="E1540" s="1509">
        <f t="shared" si="232"/>
        <v>0</v>
      </c>
      <c r="F1540" s="1509">
        <f t="shared" si="222"/>
        <v>3.8414035910000002</v>
      </c>
      <c r="G1540" s="1509">
        <f t="shared" si="223"/>
        <v>3.8414035910000002</v>
      </c>
      <c r="H1540" s="1509">
        <f t="shared" si="224"/>
        <v>0</v>
      </c>
      <c r="I1540" s="1509">
        <v>0</v>
      </c>
      <c r="J1540" s="1509">
        <v>0</v>
      </c>
      <c r="K1540" s="1509"/>
      <c r="L1540" s="1509"/>
      <c r="M1540" s="1509">
        <f t="shared" si="225"/>
        <v>0</v>
      </c>
      <c r="N1540" s="1509">
        <f t="shared" si="226"/>
        <v>0</v>
      </c>
      <c r="O1540" s="1510"/>
      <c r="P1540" s="1453"/>
    </row>
    <row r="1541" spans="1:16" outlineLevel="1" x14ac:dyDescent="0.25">
      <c r="A1541" s="1511">
        <f t="shared" si="232"/>
        <v>0</v>
      </c>
      <c r="B1541" s="1515">
        <f t="shared" si="232"/>
        <v>0</v>
      </c>
      <c r="C1541" s="1396">
        <f t="shared" si="232"/>
        <v>0</v>
      </c>
      <c r="D1541" s="1378" t="str">
        <f t="shared" si="232"/>
        <v>-</v>
      </c>
      <c r="E1541" s="1505">
        <f t="shared" si="232"/>
        <v>0</v>
      </c>
      <c r="F1541" s="1509">
        <f t="shared" si="222"/>
        <v>0</v>
      </c>
      <c r="G1541" s="1509">
        <f t="shared" si="223"/>
        <v>0</v>
      </c>
      <c r="H1541" s="1509">
        <f t="shared" si="224"/>
        <v>0</v>
      </c>
      <c r="I1541" s="1509">
        <v>0</v>
      </c>
      <c r="J1541" s="1509">
        <v>0</v>
      </c>
      <c r="K1541" s="1509"/>
      <c r="L1541" s="1509"/>
      <c r="M1541" s="1509">
        <f t="shared" si="225"/>
        <v>0</v>
      </c>
      <c r="N1541" s="1509">
        <f t="shared" si="226"/>
        <v>0</v>
      </c>
    </row>
    <row r="1542" spans="1:16" ht="18.5" outlineLevel="1" x14ac:dyDescent="0.25">
      <c r="A1542" s="1339" t="str">
        <f t="shared" si="232"/>
        <v>B</v>
      </c>
      <c r="B1542" s="1339" t="str">
        <f t="shared" si="232"/>
        <v>Asset received from Project of 6-7</v>
      </c>
      <c r="C1542" s="1396">
        <f t="shared" si="232"/>
        <v>0</v>
      </c>
      <c r="D1542" s="1378" t="str">
        <f t="shared" si="232"/>
        <v>-</v>
      </c>
      <c r="E1542" s="1505">
        <f t="shared" si="232"/>
        <v>0</v>
      </c>
      <c r="F1542" s="1509">
        <f t="shared" si="222"/>
        <v>0</v>
      </c>
      <c r="G1542" s="1509">
        <f t="shared" si="223"/>
        <v>0</v>
      </c>
      <c r="H1542" s="1509">
        <f t="shared" si="224"/>
        <v>0</v>
      </c>
      <c r="I1542" s="1509">
        <v>0</v>
      </c>
      <c r="J1542" s="1509">
        <v>0</v>
      </c>
      <c r="K1542" s="1509"/>
      <c r="L1542" s="1509"/>
      <c r="M1542" s="1509">
        <f t="shared" si="225"/>
        <v>0</v>
      </c>
      <c r="N1542" s="1509">
        <f t="shared" si="226"/>
        <v>0</v>
      </c>
    </row>
    <row r="1543" spans="1:16" outlineLevel="1" x14ac:dyDescent="0.25">
      <c r="A1543" s="1511">
        <f t="shared" si="232"/>
        <v>1</v>
      </c>
      <c r="B1543" s="1515" t="str">
        <f t="shared" si="232"/>
        <v>Enhanced Land Compensation LAR No-127/2003</v>
      </c>
      <c r="C1543" s="1396" t="str">
        <f t="shared" si="232"/>
        <v>N.A.</v>
      </c>
      <c r="D1543" s="1378" t="str">
        <f t="shared" si="232"/>
        <v>-</v>
      </c>
      <c r="E1543" s="1505">
        <f t="shared" si="232"/>
        <v>0</v>
      </c>
      <c r="F1543" s="1509">
        <f t="shared" si="222"/>
        <v>0.72651449999999995</v>
      </c>
      <c r="G1543" s="1509">
        <f t="shared" si="223"/>
        <v>0.72651449999999995</v>
      </c>
      <c r="H1543" s="1509">
        <f t="shared" si="224"/>
        <v>0</v>
      </c>
      <c r="I1543" s="1509">
        <v>0</v>
      </c>
      <c r="J1543" s="1509">
        <v>0</v>
      </c>
      <c r="K1543" s="1509"/>
      <c r="L1543" s="1509"/>
      <c r="M1543" s="1509">
        <f t="shared" si="225"/>
        <v>0</v>
      </c>
      <c r="N1543" s="1509">
        <f t="shared" si="226"/>
        <v>0</v>
      </c>
    </row>
    <row r="1544" spans="1:16" outlineLevel="1" x14ac:dyDescent="0.25">
      <c r="A1544" s="1511">
        <f t="shared" si="232"/>
        <v>2</v>
      </c>
      <c r="B1544" s="1515" t="str">
        <f t="shared" si="232"/>
        <v>Assets rec. from Project Boiler Plant and Equipments</v>
      </c>
      <c r="C1544" s="1396" t="str">
        <f t="shared" si="232"/>
        <v>N.A.</v>
      </c>
      <c r="D1544" s="1378" t="str">
        <f t="shared" si="232"/>
        <v>-</v>
      </c>
      <c r="E1544" s="1505">
        <f t="shared" si="232"/>
        <v>0</v>
      </c>
      <c r="F1544" s="1509">
        <f t="shared" si="222"/>
        <v>14.2796416</v>
      </c>
      <c r="G1544" s="1509">
        <f t="shared" si="223"/>
        <v>14.2796416</v>
      </c>
      <c r="H1544" s="1509">
        <f t="shared" si="224"/>
        <v>0</v>
      </c>
      <c r="I1544" s="1509">
        <v>0</v>
      </c>
      <c r="J1544" s="1509">
        <v>0</v>
      </c>
      <c r="K1544" s="1509"/>
      <c r="L1544" s="1509"/>
      <c r="M1544" s="1509">
        <f t="shared" si="225"/>
        <v>0</v>
      </c>
      <c r="N1544" s="1509">
        <f t="shared" si="226"/>
        <v>0</v>
      </c>
    </row>
    <row r="1545" spans="1:16" outlineLevel="1" x14ac:dyDescent="0.25">
      <c r="A1545" s="1511">
        <f t="shared" si="232"/>
        <v>3</v>
      </c>
      <c r="B1545" s="1515" t="str">
        <f t="shared" si="232"/>
        <v>Assets rec. from Project &amp; CivilBoiler Plant and Equipments</v>
      </c>
      <c r="C1545" s="1396" t="str">
        <f t="shared" si="232"/>
        <v>N.A.</v>
      </c>
      <c r="D1545" s="1378" t="str">
        <f t="shared" si="232"/>
        <v>-</v>
      </c>
      <c r="E1545" s="1505">
        <f t="shared" si="232"/>
        <v>0</v>
      </c>
      <c r="F1545" s="1509">
        <f t="shared" si="222"/>
        <v>0.118890178</v>
      </c>
      <c r="G1545" s="1509">
        <f t="shared" si="223"/>
        <v>0.118890178</v>
      </c>
      <c r="H1545" s="1509">
        <f t="shared" si="224"/>
        <v>0</v>
      </c>
      <c r="I1545" s="1509">
        <v>0</v>
      </c>
      <c r="J1545" s="1509">
        <v>0</v>
      </c>
      <c r="K1545" s="1509"/>
      <c r="L1545" s="1509"/>
      <c r="M1545" s="1509">
        <f t="shared" si="225"/>
        <v>0</v>
      </c>
      <c r="N1545" s="1509">
        <f t="shared" si="226"/>
        <v>0</v>
      </c>
    </row>
    <row r="1546" spans="1:16" ht="29" outlineLevel="1" x14ac:dyDescent="0.25">
      <c r="A1546" s="1511">
        <f t="shared" si="232"/>
        <v>4</v>
      </c>
      <c r="B1546" s="1515" t="str">
        <f t="shared" si="232"/>
        <v>Received from project 2010-11 - mechanical works o f Boiler Plant and Equipments</v>
      </c>
      <c r="C1546" s="1396" t="str">
        <f t="shared" si="232"/>
        <v>N.A.</v>
      </c>
      <c r="D1546" s="1378" t="str">
        <f t="shared" si="232"/>
        <v>-</v>
      </c>
      <c r="E1546" s="1505">
        <f t="shared" si="232"/>
        <v>0</v>
      </c>
      <c r="F1546" s="1509">
        <f t="shared" si="222"/>
        <v>0.118890178</v>
      </c>
      <c r="G1546" s="1509">
        <f t="shared" si="223"/>
        <v>0.118890178</v>
      </c>
      <c r="H1546" s="1509">
        <f t="shared" si="224"/>
        <v>0</v>
      </c>
      <c r="I1546" s="1509">
        <v>0</v>
      </c>
      <c r="J1546" s="1509">
        <v>0</v>
      </c>
      <c r="K1546" s="1509"/>
      <c r="L1546" s="1509"/>
      <c r="M1546" s="1509">
        <f t="shared" si="225"/>
        <v>0</v>
      </c>
      <c r="N1546" s="1509">
        <f t="shared" si="226"/>
        <v>0</v>
      </c>
    </row>
    <row r="1547" spans="1:16" outlineLevel="1" x14ac:dyDescent="0.25">
      <c r="A1547" s="1511">
        <f t="shared" si="232"/>
        <v>5</v>
      </c>
      <c r="B1547" s="1515" t="str">
        <f t="shared" si="232"/>
        <v>Assets Received from project 2010-11 - Ash handling plant</v>
      </c>
      <c r="C1547" s="1396" t="str">
        <f t="shared" si="232"/>
        <v>N.A.</v>
      </c>
      <c r="D1547" s="1378" t="str">
        <f t="shared" si="232"/>
        <v>-</v>
      </c>
      <c r="E1547" s="1505">
        <f t="shared" si="232"/>
        <v>0</v>
      </c>
      <c r="F1547" s="1509">
        <f t="shared" si="222"/>
        <v>7.6350699999999994E-2</v>
      </c>
      <c r="G1547" s="1509">
        <f t="shared" si="223"/>
        <v>7.6350699999999994E-2</v>
      </c>
      <c r="H1547" s="1509">
        <f t="shared" si="224"/>
        <v>0</v>
      </c>
      <c r="I1547" s="1509">
        <v>0</v>
      </c>
      <c r="J1547" s="1509">
        <v>0</v>
      </c>
      <c r="K1547" s="1509"/>
      <c r="L1547" s="1509"/>
      <c r="M1547" s="1509">
        <f t="shared" si="225"/>
        <v>0</v>
      </c>
      <c r="N1547" s="1509">
        <f t="shared" si="226"/>
        <v>0</v>
      </c>
    </row>
    <row r="1548" spans="1:16" outlineLevel="1" x14ac:dyDescent="0.25">
      <c r="A1548" s="1511">
        <f t="shared" si="232"/>
        <v>6</v>
      </c>
      <c r="B1548" s="1515" t="str">
        <f t="shared" si="232"/>
        <v>Bolero Jeep MH 19 AE 6941</v>
      </c>
      <c r="C1548" s="1396" t="str">
        <f t="shared" si="232"/>
        <v>N.A.</v>
      </c>
      <c r="D1548" s="1378" t="str">
        <f t="shared" si="232"/>
        <v>-</v>
      </c>
      <c r="E1548" s="1505">
        <f t="shared" si="232"/>
        <v>0</v>
      </c>
      <c r="F1548" s="1509">
        <f t="shared" si="222"/>
        <v>4.2359800000000003E-2</v>
      </c>
      <c r="G1548" s="1509">
        <f t="shared" si="223"/>
        <v>4.2359800000000003E-2</v>
      </c>
      <c r="H1548" s="1509">
        <f t="shared" si="224"/>
        <v>0</v>
      </c>
      <c r="I1548" s="1509">
        <v>0</v>
      </c>
      <c r="J1548" s="1509">
        <v>0</v>
      </c>
      <c r="K1548" s="1509"/>
      <c r="L1548" s="1509"/>
      <c r="M1548" s="1509">
        <f t="shared" si="225"/>
        <v>0</v>
      </c>
      <c r="N1548" s="1509">
        <f t="shared" si="226"/>
        <v>0</v>
      </c>
    </row>
    <row r="1549" spans="1:16" customFormat="1" outlineLevel="1" x14ac:dyDescent="0.25">
      <c r="A1549" s="1511">
        <f t="shared" si="232"/>
        <v>7</v>
      </c>
      <c r="B1549" s="1515" t="str">
        <f t="shared" si="232"/>
        <v>Land owned under full title</v>
      </c>
      <c r="C1549" s="1396" t="str">
        <f t="shared" si="232"/>
        <v>N.A.</v>
      </c>
      <c r="D1549" s="1378" t="str">
        <f t="shared" si="232"/>
        <v>-</v>
      </c>
      <c r="E1549" s="1505">
        <f t="shared" si="232"/>
        <v>0</v>
      </c>
      <c r="F1549" s="1509">
        <f t="shared" si="222"/>
        <v>0.60786030000000002</v>
      </c>
      <c r="G1549" s="1509">
        <f t="shared" si="223"/>
        <v>0.60786030000000002</v>
      </c>
      <c r="H1549" s="1509">
        <f t="shared" si="224"/>
        <v>0</v>
      </c>
      <c r="I1549" s="1509">
        <v>0</v>
      </c>
      <c r="J1549" s="1509">
        <v>0</v>
      </c>
      <c r="K1549" s="1509"/>
      <c r="L1549" s="1509"/>
      <c r="M1549" s="1509">
        <f t="shared" si="225"/>
        <v>0</v>
      </c>
      <c r="N1549" s="1509">
        <f t="shared" si="226"/>
        <v>0</v>
      </c>
    </row>
    <row r="1550" spans="1:16" customFormat="1" outlineLevel="1" x14ac:dyDescent="0.25">
      <c r="A1550" s="1511">
        <f t="shared" ref="A1550:E1565" si="233">A1193</f>
        <v>8</v>
      </c>
      <c r="B1550" s="1515" t="str">
        <f t="shared" si="233"/>
        <v>Assets rec. from Project &amp; CivilBoiler Plant and Equipments</v>
      </c>
      <c r="C1550" s="1396" t="str">
        <f t="shared" si="233"/>
        <v>N.A.</v>
      </c>
      <c r="D1550" s="1378" t="str">
        <f t="shared" si="233"/>
        <v>-</v>
      </c>
      <c r="E1550" s="1505">
        <f t="shared" si="233"/>
        <v>0</v>
      </c>
      <c r="F1550" s="1509">
        <f t="shared" si="222"/>
        <v>2.6342887240000001</v>
      </c>
      <c r="G1550" s="1509">
        <f t="shared" si="223"/>
        <v>2.6342887240000001</v>
      </c>
      <c r="H1550" s="1509">
        <f t="shared" si="224"/>
        <v>0</v>
      </c>
      <c r="I1550" s="1509">
        <v>0</v>
      </c>
      <c r="J1550" s="1509">
        <v>0</v>
      </c>
      <c r="K1550" s="1509"/>
      <c r="L1550" s="1509"/>
      <c r="M1550" s="1509">
        <f t="shared" si="225"/>
        <v>0</v>
      </c>
      <c r="N1550" s="1509">
        <f t="shared" si="226"/>
        <v>0</v>
      </c>
    </row>
    <row r="1551" spans="1:16" customFormat="1" ht="29" outlineLevel="1" x14ac:dyDescent="0.25">
      <c r="A1551" s="1511">
        <f t="shared" si="233"/>
        <v>9</v>
      </c>
      <c r="B1551" s="1515" t="str">
        <f t="shared" si="233"/>
        <v>Received from project 2010-11 - mechanical works o f Boiler Plant and Equipments</v>
      </c>
      <c r="C1551" s="1396" t="str">
        <f t="shared" si="233"/>
        <v>N.A.</v>
      </c>
      <c r="D1551" s="1378" t="str">
        <f t="shared" si="233"/>
        <v>-</v>
      </c>
      <c r="E1551" s="1505">
        <f t="shared" si="233"/>
        <v>0</v>
      </c>
      <c r="F1551" s="1509">
        <f t="shared" si="222"/>
        <v>2.6342887240000001</v>
      </c>
      <c r="G1551" s="1509">
        <f t="shared" si="223"/>
        <v>2.6342887240000001</v>
      </c>
      <c r="H1551" s="1509">
        <f t="shared" si="224"/>
        <v>0</v>
      </c>
      <c r="I1551" s="1509">
        <v>0</v>
      </c>
      <c r="J1551" s="1509">
        <v>0</v>
      </c>
      <c r="K1551" s="1509"/>
      <c r="L1551" s="1509"/>
      <c r="M1551" s="1509">
        <f t="shared" si="225"/>
        <v>0</v>
      </c>
      <c r="N1551" s="1509">
        <f t="shared" si="226"/>
        <v>0</v>
      </c>
    </row>
    <row r="1552" spans="1:16" customFormat="1" outlineLevel="1" x14ac:dyDescent="0.25">
      <c r="A1552" s="1511">
        <f t="shared" si="233"/>
        <v>10</v>
      </c>
      <c r="B1552" s="1515" t="str">
        <f t="shared" si="233"/>
        <v>Received from Project 2010-11 - Crane   Hoising Equipment</v>
      </c>
      <c r="C1552" s="1396" t="str">
        <f t="shared" si="233"/>
        <v>N.A.</v>
      </c>
      <c r="D1552" s="1378" t="str">
        <f t="shared" si="233"/>
        <v>-</v>
      </c>
      <c r="E1552" s="1505">
        <f t="shared" si="233"/>
        <v>0</v>
      </c>
      <c r="F1552" s="1509">
        <f t="shared" si="222"/>
        <v>1.20114E-2</v>
      </c>
      <c r="G1552" s="1509">
        <f t="shared" si="223"/>
        <v>1.20114E-2</v>
      </c>
      <c r="H1552" s="1509">
        <f t="shared" si="224"/>
        <v>0</v>
      </c>
      <c r="I1552" s="1509">
        <v>0</v>
      </c>
      <c r="J1552" s="1509">
        <v>0</v>
      </c>
      <c r="K1552" s="1509"/>
      <c r="L1552" s="1509"/>
      <c r="M1552" s="1509">
        <f t="shared" si="225"/>
        <v>0</v>
      </c>
      <c r="N1552" s="1509">
        <f t="shared" si="226"/>
        <v>0</v>
      </c>
    </row>
    <row r="1553" spans="1:14" customFormat="1" outlineLevel="1" x14ac:dyDescent="0.25">
      <c r="A1553" s="1511">
        <f t="shared" si="233"/>
        <v>11</v>
      </c>
      <c r="B1553" s="1515" t="str">
        <f t="shared" si="233"/>
        <v>Enhancd Land CompnstnLarNo134/2003 Srvy No3Jlalp</v>
      </c>
      <c r="C1553" s="1396">
        <f t="shared" si="233"/>
        <v>0</v>
      </c>
      <c r="D1553" s="1378" t="str">
        <f t="shared" si="233"/>
        <v>-</v>
      </c>
      <c r="E1553" s="1505">
        <f t="shared" si="233"/>
        <v>0</v>
      </c>
      <c r="F1553" s="1509">
        <f t="shared" si="222"/>
        <v>0.4706939</v>
      </c>
      <c r="G1553" s="1509">
        <f t="shared" si="223"/>
        <v>0.4706939</v>
      </c>
      <c r="H1553" s="1509">
        <f t="shared" si="224"/>
        <v>0</v>
      </c>
      <c r="I1553" s="1509">
        <v>0</v>
      </c>
      <c r="J1553" s="1509">
        <v>0</v>
      </c>
      <c r="K1553" s="1509"/>
      <c r="L1553" s="1509"/>
      <c r="M1553" s="1509">
        <f t="shared" si="225"/>
        <v>0</v>
      </c>
      <c r="N1553" s="1509">
        <f t="shared" si="226"/>
        <v>0</v>
      </c>
    </row>
    <row r="1554" spans="1:14" customFormat="1" outlineLevel="1" x14ac:dyDescent="0.25">
      <c r="A1554" s="1511">
        <f t="shared" si="233"/>
        <v>12</v>
      </c>
      <c r="B1554" s="1515" t="str">
        <f t="shared" si="233"/>
        <v>Enhancd Land CompnstnLarNo273/2010Sangam Gat24,54,</v>
      </c>
      <c r="C1554" s="1396">
        <f t="shared" si="233"/>
        <v>0</v>
      </c>
      <c r="D1554" s="1378" t="str">
        <f t="shared" si="233"/>
        <v>-</v>
      </c>
      <c r="E1554" s="1505">
        <f t="shared" si="233"/>
        <v>0</v>
      </c>
      <c r="F1554" s="1509">
        <f t="shared" si="222"/>
        <v>0.32731569999999999</v>
      </c>
      <c r="G1554" s="1509">
        <f t="shared" si="223"/>
        <v>0.32731569999999999</v>
      </c>
      <c r="H1554" s="1509">
        <f t="shared" si="224"/>
        <v>0</v>
      </c>
      <c r="I1554" s="1509">
        <v>0</v>
      </c>
      <c r="J1554" s="1509">
        <v>0</v>
      </c>
      <c r="K1554" s="1509"/>
      <c r="L1554" s="1509"/>
      <c r="M1554" s="1509">
        <f t="shared" si="225"/>
        <v>0</v>
      </c>
      <c r="N1554" s="1509">
        <f t="shared" si="226"/>
        <v>0</v>
      </c>
    </row>
    <row r="1555" spans="1:14" customFormat="1" outlineLevel="1" x14ac:dyDescent="0.25">
      <c r="A1555" s="1511">
        <f t="shared" si="233"/>
        <v>13</v>
      </c>
      <c r="B1555" s="1515" t="str">
        <f t="shared" si="233"/>
        <v>Enhancd Land CompnstnLarNo273/2010Sangam Gat24,54,</v>
      </c>
      <c r="C1555" s="1396">
        <f t="shared" si="233"/>
        <v>0</v>
      </c>
      <c r="D1555" s="1378" t="str">
        <f t="shared" si="233"/>
        <v>-</v>
      </c>
      <c r="E1555" s="1505">
        <f t="shared" si="233"/>
        <v>0</v>
      </c>
      <c r="F1555" s="1509">
        <f t="shared" si="222"/>
        <v>8.7899000000000005E-2</v>
      </c>
      <c r="G1555" s="1509">
        <f t="shared" si="223"/>
        <v>8.7899000000000005E-2</v>
      </c>
      <c r="H1555" s="1509">
        <f t="shared" si="224"/>
        <v>0</v>
      </c>
      <c r="I1555" s="1509">
        <v>0</v>
      </c>
      <c r="J1555" s="1509">
        <v>0</v>
      </c>
      <c r="K1555" s="1509"/>
      <c r="L1555" s="1509"/>
      <c r="M1555" s="1509">
        <f t="shared" si="225"/>
        <v>0</v>
      </c>
      <c r="N1555" s="1509">
        <f t="shared" si="226"/>
        <v>0</v>
      </c>
    </row>
    <row r="1556" spans="1:14" customFormat="1" ht="29" outlineLevel="1" x14ac:dyDescent="0.25">
      <c r="A1556" s="1511">
        <f t="shared" si="233"/>
        <v>14</v>
      </c>
      <c r="B1556" s="1515" t="str">
        <f t="shared" si="233"/>
        <v>Received from project 2010-11 - mechanical works of Boiler Plant and Equipments</v>
      </c>
      <c r="C1556" s="1396">
        <f t="shared" si="233"/>
        <v>0</v>
      </c>
      <c r="D1556" s="1378" t="str">
        <f t="shared" si="233"/>
        <v>-</v>
      </c>
      <c r="E1556" s="1505">
        <f t="shared" si="233"/>
        <v>0</v>
      </c>
      <c r="F1556" s="1509">
        <f t="shared" si="222"/>
        <v>6.8807868000000001</v>
      </c>
      <c r="G1556" s="1509">
        <f t="shared" si="223"/>
        <v>6.8807868000000001</v>
      </c>
      <c r="H1556" s="1509">
        <f t="shared" si="224"/>
        <v>0</v>
      </c>
      <c r="I1556" s="1509">
        <v>0</v>
      </c>
      <c r="J1556" s="1509">
        <v>0</v>
      </c>
      <c r="K1556" s="1509"/>
      <c r="L1556" s="1509"/>
      <c r="M1556" s="1509">
        <f t="shared" si="225"/>
        <v>0</v>
      </c>
      <c r="N1556" s="1509">
        <f t="shared" si="226"/>
        <v>0</v>
      </c>
    </row>
    <row r="1557" spans="1:14" customFormat="1" outlineLevel="1" x14ac:dyDescent="0.25">
      <c r="A1557" s="1511">
        <f t="shared" si="233"/>
        <v>15</v>
      </c>
      <c r="B1557" s="1515" t="str">
        <f t="shared" si="233"/>
        <v>Compnsn payment agst land acquired</v>
      </c>
      <c r="C1557" s="1396">
        <f t="shared" si="233"/>
        <v>0</v>
      </c>
      <c r="D1557" s="1378" t="str">
        <f t="shared" si="233"/>
        <v>-</v>
      </c>
      <c r="E1557" s="1505">
        <f t="shared" si="233"/>
        <v>0</v>
      </c>
      <c r="F1557" s="1509">
        <f t="shared" si="222"/>
        <v>1.1658021999999999</v>
      </c>
      <c r="G1557" s="1509">
        <f t="shared" si="223"/>
        <v>1.1658021999999999</v>
      </c>
      <c r="H1557" s="1509">
        <f t="shared" si="224"/>
        <v>0</v>
      </c>
      <c r="I1557" s="1509">
        <v>0</v>
      </c>
      <c r="J1557" s="1509">
        <v>0</v>
      </c>
      <c r="K1557" s="1509"/>
      <c r="L1557" s="1509"/>
      <c r="M1557" s="1509">
        <f t="shared" si="225"/>
        <v>0</v>
      </c>
      <c r="N1557" s="1509">
        <f t="shared" si="226"/>
        <v>0</v>
      </c>
    </row>
    <row r="1558" spans="1:14" customFormat="1" ht="18.5" outlineLevel="1" x14ac:dyDescent="0.25">
      <c r="A1558" s="1339" t="str">
        <f t="shared" si="233"/>
        <v>C</v>
      </c>
      <c r="B1558" s="1339" t="str">
        <f t="shared" si="233"/>
        <v>Yet to be submitted to MERC</v>
      </c>
      <c r="C1558" s="1339">
        <f t="shared" si="233"/>
        <v>0</v>
      </c>
      <c r="D1558" s="1378" t="str">
        <f t="shared" si="233"/>
        <v>-</v>
      </c>
      <c r="E1558" s="1505">
        <f t="shared" si="233"/>
        <v>0</v>
      </c>
      <c r="F1558" s="1509">
        <f t="shared" si="222"/>
        <v>0</v>
      </c>
      <c r="G1558" s="1509">
        <f t="shared" si="223"/>
        <v>0</v>
      </c>
      <c r="H1558" s="1509">
        <f t="shared" si="224"/>
        <v>0</v>
      </c>
      <c r="I1558" s="1509">
        <v>0</v>
      </c>
      <c r="J1558" s="1509">
        <v>0</v>
      </c>
      <c r="K1558" s="1509"/>
      <c r="L1558" s="1509"/>
      <c r="M1558" s="1509">
        <f t="shared" si="225"/>
        <v>0</v>
      </c>
      <c r="N1558" s="1509">
        <f t="shared" si="226"/>
        <v>0</v>
      </c>
    </row>
    <row r="1559" spans="1:14" customFormat="1" ht="58" outlineLevel="1" x14ac:dyDescent="0.25">
      <c r="A1559" s="1506">
        <f t="shared" si="233"/>
        <v>2</v>
      </c>
      <c r="B1559" s="1507" t="str">
        <f t="shared" si="233"/>
        <v>Upgradation of PCAL to PADO upgradation Charger, UPS &amp; upgradation of fast bus transfer scheme, Installation, Erection and Commissioning of Mill Fire Detection System at U#6,7, HT motors procurement &amp; PLC upgradation.</v>
      </c>
      <c r="C1559" s="1506" t="str">
        <f t="shared" si="233"/>
        <v>Yet to be approved</v>
      </c>
      <c r="D1559" s="1507" t="str">
        <f t="shared" si="233"/>
        <v>-</v>
      </c>
      <c r="E1559" s="1506">
        <f t="shared" si="233"/>
        <v>0</v>
      </c>
      <c r="F1559" s="1509">
        <f t="shared" si="222"/>
        <v>0</v>
      </c>
      <c r="G1559" s="1509">
        <f t="shared" si="223"/>
        <v>0</v>
      </c>
      <c r="H1559" s="1509">
        <f t="shared" si="224"/>
        <v>0</v>
      </c>
      <c r="I1559" s="1509">
        <v>0</v>
      </c>
      <c r="J1559" s="1509">
        <v>0</v>
      </c>
      <c r="K1559" s="1509"/>
      <c r="L1559" s="1509"/>
      <c r="M1559" s="1509">
        <f t="shared" si="225"/>
        <v>0</v>
      </c>
      <c r="N1559" s="1509">
        <f t="shared" si="226"/>
        <v>0</v>
      </c>
    </row>
    <row r="1560" spans="1:14" customFormat="1" ht="43.5" outlineLevel="1" x14ac:dyDescent="0.25">
      <c r="A1560" s="1511">
        <f t="shared" si="233"/>
        <v>2.1</v>
      </c>
      <c r="B1560" s="1515" t="str">
        <f t="shared" si="233"/>
        <v xml:space="preserve">Supply, Erection &amp; Commissioning of 24 V,4500 AH Battery Charger at Unit 6&amp;7,220 V,2500 AH Battery Charger at U-6&amp;7, And110 V,400 AH Battery Charger at Khadka, Naikota Pump House, Parli Vaijnath. </v>
      </c>
      <c r="C1560" s="1396" t="str">
        <f t="shared" si="233"/>
        <v>Yet to be approved</v>
      </c>
      <c r="D1560" s="1378" t="str">
        <f t="shared" si="233"/>
        <v>-</v>
      </c>
      <c r="E1560" s="1505">
        <f t="shared" si="233"/>
        <v>0</v>
      </c>
      <c r="F1560" s="1509">
        <f t="shared" si="222"/>
        <v>6.73</v>
      </c>
      <c r="G1560" s="1509">
        <f t="shared" si="223"/>
        <v>6.73</v>
      </c>
      <c r="H1560" s="1509">
        <f t="shared" si="224"/>
        <v>0</v>
      </c>
      <c r="I1560" s="1509">
        <v>0</v>
      </c>
      <c r="J1560" s="1509">
        <v>0</v>
      </c>
      <c r="K1560" s="1509"/>
      <c r="L1560" s="1509"/>
      <c r="M1560" s="1509">
        <f t="shared" si="225"/>
        <v>0</v>
      </c>
      <c r="N1560" s="1509">
        <f t="shared" si="226"/>
        <v>0</v>
      </c>
    </row>
    <row r="1561" spans="1:14" customFormat="1" ht="29" outlineLevel="1" x14ac:dyDescent="0.25">
      <c r="A1561" s="1511">
        <f t="shared" si="233"/>
        <v>2.2000000000000002</v>
      </c>
      <c r="B1561" s="1515" t="str">
        <f t="shared" si="233"/>
        <v xml:space="preserve">Supply, Erection &amp; Commissioning of 80 KVA UPS at U-6&amp;7, Parli Vaijnath. </v>
      </c>
      <c r="C1561" s="1396" t="str">
        <f t="shared" si="233"/>
        <v>Yet to be approved</v>
      </c>
      <c r="D1561" s="1378" t="str">
        <f t="shared" si="233"/>
        <v>-</v>
      </c>
      <c r="E1561" s="1505">
        <f t="shared" si="233"/>
        <v>0</v>
      </c>
      <c r="F1561" s="1509">
        <f t="shared" si="222"/>
        <v>1.7850999999999999</v>
      </c>
      <c r="G1561" s="1509">
        <f t="shared" si="223"/>
        <v>1.7850999999999999</v>
      </c>
      <c r="H1561" s="1509">
        <f t="shared" si="224"/>
        <v>0</v>
      </c>
      <c r="I1561" s="1509">
        <v>0</v>
      </c>
      <c r="J1561" s="1509">
        <v>0</v>
      </c>
      <c r="K1561" s="1509"/>
      <c r="L1561" s="1509"/>
      <c r="M1561" s="1509">
        <f t="shared" si="225"/>
        <v>0</v>
      </c>
      <c r="N1561" s="1509">
        <f t="shared" si="226"/>
        <v>0</v>
      </c>
    </row>
    <row r="1562" spans="1:14" customFormat="1" outlineLevel="1" x14ac:dyDescent="0.25">
      <c r="A1562" s="1511">
        <f t="shared" si="233"/>
        <v>2.2999999999999998</v>
      </c>
      <c r="B1562" s="1515" t="str">
        <f t="shared" si="233"/>
        <v>Up-gradation of BTS system at Unit 6 &amp; 7 , Parli-Vaijnath.</v>
      </c>
      <c r="C1562" s="1396" t="str">
        <f t="shared" si="233"/>
        <v>Yet to be approved</v>
      </c>
      <c r="D1562" s="1378" t="str">
        <f t="shared" si="233"/>
        <v>-</v>
      </c>
      <c r="E1562" s="1505">
        <f t="shared" si="233"/>
        <v>0</v>
      </c>
      <c r="F1562" s="1509">
        <f t="shared" si="222"/>
        <v>5.3761000000000001</v>
      </c>
      <c r="G1562" s="1509">
        <f t="shared" si="223"/>
        <v>5.3761000000000001</v>
      </c>
      <c r="H1562" s="1509">
        <f t="shared" si="224"/>
        <v>0</v>
      </c>
      <c r="I1562" s="1509">
        <v>0</v>
      </c>
      <c r="J1562" s="1509">
        <v>0</v>
      </c>
      <c r="K1562" s="1509"/>
      <c r="L1562" s="1509"/>
      <c r="M1562" s="1509">
        <f t="shared" si="225"/>
        <v>0</v>
      </c>
      <c r="N1562" s="1509">
        <f t="shared" si="226"/>
        <v>0</v>
      </c>
    </row>
    <row r="1563" spans="1:14" customFormat="1" ht="29" outlineLevel="1" x14ac:dyDescent="0.25">
      <c r="A1563" s="1511">
        <f t="shared" si="233"/>
        <v>2.4</v>
      </c>
      <c r="B1563" s="1515" t="str">
        <f t="shared" si="233"/>
        <v>Supply Installation, erection, and commissioning of Mill fire detection system at U# 6,7 NPTPS, Parli- V</v>
      </c>
      <c r="C1563" s="1396" t="str">
        <f t="shared" si="233"/>
        <v>Yet to be approved</v>
      </c>
      <c r="D1563" s="1378" t="str">
        <f t="shared" si="233"/>
        <v>-</v>
      </c>
      <c r="E1563" s="1505">
        <f t="shared" si="233"/>
        <v>0</v>
      </c>
      <c r="F1563" s="1509">
        <f t="shared" si="222"/>
        <v>2.9378000000000002</v>
      </c>
      <c r="G1563" s="1509">
        <f t="shared" si="223"/>
        <v>2.9378000000000002</v>
      </c>
      <c r="H1563" s="1509">
        <f t="shared" si="224"/>
        <v>0</v>
      </c>
      <c r="I1563" s="1509">
        <v>0</v>
      </c>
      <c r="J1563" s="1509">
        <v>0</v>
      </c>
      <c r="K1563" s="1509"/>
      <c r="L1563" s="1509"/>
      <c r="M1563" s="1509">
        <f t="shared" si="225"/>
        <v>0</v>
      </c>
      <c r="N1563" s="1509">
        <f t="shared" si="226"/>
        <v>0</v>
      </c>
    </row>
    <row r="1564" spans="1:14" customFormat="1" ht="43.5" outlineLevel="1" x14ac:dyDescent="0.25">
      <c r="A1564" s="1511">
        <f t="shared" si="233"/>
        <v>2.5</v>
      </c>
      <c r="B1564" s="1515" t="str">
        <f t="shared" si="233"/>
        <v>Upgradation of Existing PCal System with Plant Performance Analysis Diagnostic and   Optimization System (PADO) at Unit - 6,7 New Parli TPS, Parli-V.</v>
      </c>
      <c r="C1564" s="1396" t="str">
        <f t="shared" si="233"/>
        <v>Yet to be approved</v>
      </c>
      <c r="D1564" s="1378" t="str">
        <f t="shared" si="233"/>
        <v>-</v>
      </c>
      <c r="E1564" s="1505">
        <f t="shared" si="233"/>
        <v>0</v>
      </c>
      <c r="F1564" s="1509">
        <f t="shared" si="222"/>
        <v>2.7534000000000001</v>
      </c>
      <c r="G1564" s="1509">
        <f t="shared" si="223"/>
        <v>2.7534000000000001</v>
      </c>
      <c r="H1564" s="1509">
        <f t="shared" si="224"/>
        <v>0</v>
      </c>
      <c r="I1564" s="1509">
        <v>0</v>
      </c>
      <c r="J1564" s="1509">
        <v>0</v>
      </c>
      <c r="K1564" s="1509"/>
      <c r="L1564" s="1509"/>
      <c r="M1564" s="1509">
        <f t="shared" si="225"/>
        <v>0</v>
      </c>
      <c r="N1564" s="1509">
        <f t="shared" si="226"/>
        <v>0</v>
      </c>
    </row>
    <row r="1565" spans="1:14" customFormat="1" ht="58" outlineLevel="1" x14ac:dyDescent="0.25">
      <c r="A1565" s="1511">
        <f t="shared" si="233"/>
        <v>2.6</v>
      </c>
      <c r="B1565" s="1515" t="str">
        <f t="shared" si="233"/>
        <v>Upgradation of expired and vulnerable SCADA, Operating System, and Hardware to improve life and communication system of DM Plant and Condenser Polishing Plant Unit 6&amp;7 250 MW at NPTPS Parli V".</v>
      </c>
      <c r="C1565" s="1396" t="str">
        <f t="shared" si="233"/>
        <v>Yet to be approved</v>
      </c>
      <c r="D1565" s="1378" t="str">
        <f t="shared" si="233"/>
        <v>-</v>
      </c>
      <c r="E1565" s="1505">
        <f t="shared" si="233"/>
        <v>0</v>
      </c>
      <c r="F1565" s="1509">
        <f t="shared" si="222"/>
        <v>4.58</v>
      </c>
      <c r="G1565" s="1509">
        <f t="shared" si="223"/>
        <v>4.58</v>
      </c>
      <c r="H1565" s="1509">
        <f t="shared" si="224"/>
        <v>0</v>
      </c>
      <c r="I1565" s="1509">
        <v>0</v>
      </c>
      <c r="J1565" s="1509">
        <v>0</v>
      </c>
      <c r="K1565" s="1509"/>
      <c r="L1565" s="1509"/>
      <c r="M1565" s="1509">
        <f t="shared" si="225"/>
        <v>0</v>
      </c>
      <c r="N1565" s="1509">
        <f t="shared" si="226"/>
        <v>0</v>
      </c>
    </row>
    <row r="1566" spans="1:14" customFormat="1" outlineLevel="1" x14ac:dyDescent="0.25">
      <c r="A1566" s="1511">
        <f t="shared" ref="A1566:E1581" si="234">A1209</f>
        <v>2.7</v>
      </c>
      <c r="B1566" s="1515" t="str">
        <f t="shared" si="234"/>
        <v>Procurement of Energy efficient HT motors at U#6,7, TPS Parli-V</v>
      </c>
      <c r="C1566" s="1396" t="str">
        <f t="shared" si="234"/>
        <v>Yet to be approved</v>
      </c>
      <c r="D1566" s="1378" t="str">
        <f t="shared" si="234"/>
        <v>-</v>
      </c>
      <c r="E1566" s="1505">
        <f t="shared" si="234"/>
        <v>0</v>
      </c>
      <c r="F1566" s="1509">
        <f t="shared" ref="F1566:F1629" si="235">F1209+I1209</f>
        <v>19.402799999999999</v>
      </c>
      <c r="G1566" s="1509">
        <f t="shared" ref="G1566:G1629" si="236">G1209+M1209</f>
        <v>19.402799999999999</v>
      </c>
      <c r="H1566" s="1509">
        <f t="shared" si="224"/>
        <v>0</v>
      </c>
      <c r="I1566" s="1509">
        <v>0</v>
      </c>
      <c r="J1566" s="1509">
        <v>0</v>
      </c>
      <c r="K1566" s="1509"/>
      <c r="L1566" s="1509"/>
      <c r="M1566" s="1509">
        <f t="shared" si="225"/>
        <v>0</v>
      </c>
      <c r="N1566" s="1509">
        <f t="shared" si="226"/>
        <v>0</v>
      </c>
    </row>
    <row r="1567" spans="1:14" customFormat="1" outlineLevel="1" x14ac:dyDescent="0.25">
      <c r="A1567" s="1515">
        <f t="shared" si="234"/>
        <v>0</v>
      </c>
      <c r="B1567" s="1515" t="str">
        <f t="shared" si="234"/>
        <v>IDC</v>
      </c>
      <c r="C1567" s="1396">
        <f t="shared" si="234"/>
        <v>0</v>
      </c>
      <c r="D1567" s="1378" t="str">
        <f t="shared" si="234"/>
        <v>-</v>
      </c>
      <c r="E1567" s="1505">
        <f t="shared" si="234"/>
        <v>0</v>
      </c>
      <c r="F1567" s="1509">
        <f t="shared" si="235"/>
        <v>0.8</v>
      </c>
      <c r="G1567" s="1509">
        <f t="shared" si="236"/>
        <v>0.8</v>
      </c>
      <c r="H1567" s="1509">
        <f t="shared" ref="H1567:H1630" si="237">F1567-G1567</f>
        <v>0</v>
      </c>
      <c r="I1567" s="1509">
        <v>0</v>
      </c>
      <c r="J1567" s="1509">
        <v>0</v>
      </c>
      <c r="K1567" s="1509"/>
      <c r="L1567" s="1509"/>
      <c r="M1567" s="1509">
        <f t="shared" ref="M1567:M1630" si="238">SUM(J1567:L1567)</f>
        <v>0</v>
      </c>
      <c r="N1567" s="1509">
        <f t="shared" ref="N1567:N1630" si="239">H1567+I1567-M1567</f>
        <v>0</v>
      </c>
    </row>
    <row r="1568" spans="1:14" customFormat="1" ht="43.5" outlineLevel="1" x14ac:dyDescent="0.25">
      <c r="A1568" s="1506">
        <f t="shared" si="234"/>
        <v>3</v>
      </c>
      <c r="B1568" s="1507" t="str">
        <f t="shared" si="234"/>
        <v>DPR on Supply, Installation, and commissioning of complete Governing rack assembly at Unit -06 &amp; 07 TPS Parli-V &amp; Procurement of LPT inner-inner casing at Unit 07 TPS Parli-V.</v>
      </c>
      <c r="C1568" s="1506" t="str">
        <f t="shared" si="234"/>
        <v>Yet to be approved</v>
      </c>
      <c r="D1568" s="1507" t="str">
        <f t="shared" si="234"/>
        <v>-</v>
      </c>
      <c r="E1568" s="1506">
        <f t="shared" si="234"/>
        <v>0</v>
      </c>
      <c r="F1568" s="1509">
        <f t="shared" si="235"/>
        <v>0</v>
      </c>
      <c r="G1568" s="1509">
        <f t="shared" si="236"/>
        <v>0</v>
      </c>
      <c r="H1568" s="1509">
        <f t="shared" si="237"/>
        <v>0</v>
      </c>
      <c r="I1568" s="1509">
        <v>0</v>
      </c>
      <c r="J1568" s="1509">
        <v>0</v>
      </c>
      <c r="K1568" s="1509"/>
      <c r="L1568" s="1509"/>
      <c r="M1568" s="1509">
        <f t="shared" si="238"/>
        <v>0</v>
      </c>
      <c r="N1568" s="1509">
        <f t="shared" si="239"/>
        <v>0</v>
      </c>
    </row>
    <row r="1569" spans="1:14" customFormat="1" ht="29" outlineLevel="1" x14ac:dyDescent="0.25">
      <c r="A1569" s="1511">
        <f t="shared" si="234"/>
        <v>3.1</v>
      </c>
      <c r="B1569" s="1515" t="str">
        <f t="shared" si="234"/>
        <v>Supply, Installation and Commissioning of complete governing rack assembly at Unit-06 TPS ,PARLI-V</v>
      </c>
      <c r="C1569" s="1396" t="str">
        <f t="shared" si="234"/>
        <v>Yet to be approved</v>
      </c>
      <c r="D1569" s="1378" t="str">
        <f t="shared" si="234"/>
        <v>-</v>
      </c>
      <c r="E1569" s="1505">
        <f t="shared" si="234"/>
        <v>0</v>
      </c>
      <c r="F1569" s="1509">
        <f t="shared" si="235"/>
        <v>23.423100000000002</v>
      </c>
      <c r="G1569" s="1509">
        <f t="shared" si="236"/>
        <v>23.423100000000002</v>
      </c>
      <c r="H1569" s="1509">
        <f t="shared" si="237"/>
        <v>0</v>
      </c>
      <c r="I1569" s="1509">
        <v>0</v>
      </c>
      <c r="J1569" s="1509">
        <v>0</v>
      </c>
      <c r="K1569" s="1509"/>
      <c r="L1569" s="1509"/>
      <c r="M1569" s="1509">
        <f t="shared" si="238"/>
        <v>0</v>
      </c>
      <c r="N1569" s="1509">
        <f t="shared" si="239"/>
        <v>0</v>
      </c>
    </row>
    <row r="1570" spans="1:14" customFormat="1" outlineLevel="1" x14ac:dyDescent="0.25">
      <c r="A1570" s="1511">
        <f t="shared" si="234"/>
        <v>3.2</v>
      </c>
      <c r="B1570" s="1515" t="str">
        <f t="shared" si="234"/>
        <v>Procurement of LPT inner-inner casing at Unit- 7 TPS, Parli-V</v>
      </c>
      <c r="C1570" s="1396" t="str">
        <f t="shared" si="234"/>
        <v>Yet to be approved</v>
      </c>
      <c r="D1570" s="1378" t="str">
        <f t="shared" si="234"/>
        <v>-</v>
      </c>
      <c r="E1570" s="1505">
        <f t="shared" si="234"/>
        <v>0</v>
      </c>
      <c r="F1570" s="1509">
        <f t="shared" si="235"/>
        <v>15.57</v>
      </c>
      <c r="G1570" s="1509">
        <f t="shared" si="236"/>
        <v>15.57</v>
      </c>
      <c r="H1570" s="1509">
        <f t="shared" si="237"/>
        <v>0</v>
      </c>
      <c r="I1570" s="1509">
        <v>0</v>
      </c>
      <c r="J1570" s="1509">
        <v>0</v>
      </c>
      <c r="K1570" s="1509"/>
      <c r="L1570" s="1509"/>
      <c r="M1570" s="1509">
        <f t="shared" si="238"/>
        <v>0</v>
      </c>
      <c r="N1570" s="1509">
        <f t="shared" si="239"/>
        <v>0</v>
      </c>
    </row>
    <row r="1571" spans="1:14" customFormat="1" outlineLevel="1" x14ac:dyDescent="0.25">
      <c r="A1571" s="1511">
        <f t="shared" si="234"/>
        <v>0</v>
      </c>
      <c r="B1571" s="1515" t="str">
        <f t="shared" si="234"/>
        <v>IDC</v>
      </c>
      <c r="C1571" s="1396" t="str">
        <f t="shared" si="234"/>
        <v>Yet to be approved</v>
      </c>
      <c r="D1571" s="1378" t="str">
        <f t="shared" si="234"/>
        <v>-</v>
      </c>
      <c r="E1571" s="1505">
        <f t="shared" si="234"/>
        <v>0</v>
      </c>
      <c r="F1571" s="1509">
        <f t="shared" si="235"/>
        <v>0</v>
      </c>
      <c r="G1571" s="1509">
        <f t="shared" si="236"/>
        <v>0</v>
      </c>
      <c r="H1571" s="1509">
        <f t="shared" si="237"/>
        <v>0</v>
      </c>
      <c r="I1571" s="1509">
        <v>0</v>
      </c>
      <c r="J1571" s="1509">
        <v>0</v>
      </c>
      <c r="K1571" s="1509"/>
      <c r="L1571" s="1509"/>
      <c r="M1571" s="1509">
        <f t="shared" si="238"/>
        <v>0</v>
      </c>
      <c r="N1571" s="1509">
        <f t="shared" si="239"/>
        <v>0</v>
      </c>
    </row>
    <row r="1572" spans="1:14" customFormat="1" ht="101.5" outlineLevel="1" x14ac:dyDescent="0.25">
      <c r="A1572" s="1506">
        <f t="shared" si="234"/>
        <v>4</v>
      </c>
      <c r="B1572" s="1507" t="str">
        <f t="shared" si="234"/>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1572" s="1506" t="str">
        <f t="shared" si="234"/>
        <v>Yet to be approved</v>
      </c>
      <c r="D1572" s="1507" t="str">
        <f t="shared" si="234"/>
        <v>-</v>
      </c>
      <c r="E1572" s="1506">
        <f t="shared" si="234"/>
        <v>0</v>
      </c>
      <c r="F1572" s="1509">
        <f t="shared" si="235"/>
        <v>0</v>
      </c>
      <c r="G1572" s="1509">
        <f t="shared" si="236"/>
        <v>0</v>
      </c>
      <c r="H1572" s="1509">
        <f t="shared" si="237"/>
        <v>0</v>
      </c>
      <c r="I1572" s="1509">
        <v>0</v>
      </c>
      <c r="J1572" s="1509">
        <v>0</v>
      </c>
      <c r="K1572" s="1509"/>
      <c r="L1572" s="1509"/>
      <c r="M1572" s="1509">
        <f t="shared" si="238"/>
        <v>0</v>
      </c>
      <c r="N1572" s="1509">
        <f t="shared" si="239"/>
        <v>0</v>
      </c>
    </row>
    <row r="1573" spans="1:14" customFormat="1" ht="29" outlineLevel="1" x14ac:dyDescent="0.25">
      <c r="A1573" s="1511">
        <f t="shared" si="234"/>
        <v>4.0999999999999996</v>
      </c>
      <c r="B1573" s="1515" t="str">
        <f t="shared" si="234"/>
        <v>Procurement of Energy Efficient Cartridges of Boiler Feed Pumps at Unit #6&amp;7 Parli TPS and BFP booster pumps at Unit 6,7 Parli Vaijnath.</v>
      </c>
      <c r="C1573" s="1396" t="str">
        <f t="shared" si="234"/>
        <v>Yet to be approved</v>
      </c>
      <c r="D1573" s="1378" t="str">
        <f t="shared" si="234"/>
        <v>-</v>
      </c>
      <c r="E1573" s="1505">
        <f t="shared" si="234"/>
        <v>0</v>
      </c>
      <c r="F1573" s="1509">
        <f t="shared" si="235"/>
        <v>0</v>
      </c>
      <c r="G1573" s="1509">
        <f t="shared" si="236"/>
        <v>0</v>
      </c>
      <c r="H1573" s="1509">
        <f t="shared" si="237"/>
        <v>0</v>
      </c>
      <c r="I1573" s="1509">
        <v>15</v>
      </c>
      <c r="J1573" s="1509">
        <v>15</v>
      </c>
      <c r="K1573" s="1509"/>
      <c r="L1573" s="1509"/>
      <c r="M1573" s="1509">
        <f t="shared" si="238"/>
        <v>15</v>
      </c>
      <c r="N1573" s="1509">
        <f t="shared" si="239"/>
        <v>0</v>
      </c>
    </row>
    <row r="1574" spans="1:14" customFormat="1" ht="29" outlineLevel="1" x14ac:dyDescent="0.25">
      <c r="A1574" s="1511">
        <f t="shared" si="234"/>
        <v>4.2</v>
      </c>
      <c r="B1574" s="1515" t="str">
        <f t="shared" si="234"/>
        <v>Refurbishment of existing M/s Jindal make H2 gas Dryer at Unit #6&amp;7 Parli TPS</v>
      </c>
      <c r="C1574" s="1396" t="str">
        <f t="shared" si="234"/>
        <v>Yet to be approved</v>
      </c>
      <c r="D1574" s="1378" t="str">
        <f t="shared" si="234"/>
        <v>-</v>
      </c>
      <c r="E1574" s="1505">
        <f t="shared" si="234"/>
        <v>0</v>
      </c>
      <c r="F1574" s="1509">
        <f t="shared" si="235"/>
        <v>0</v>
      </c>
      <c r="G1574" s="1509">
        <f t="shared" si="236"/>
        <v>0</v>
      </c>
      <c r="H1574" s="1509">
        <f t="shared" si="237"/>
        <v>0</v>
      </c>
      <c r="I1574" s="1509">
        <v>3.51</v>
      </c>
      <c r="J1574" s="1509">
        <v>3.51</v>
      </c>
      <c r="K1574" s="1509"/>
      <c r="L1574" s="1509"/>
      <c r="M1574" s="1509">
        <f t="shared" si="238"/>
        <v>3.51</v>
      </c>
      <c r="N1574" s="1509">
        <f t="shared" si="239"/>
        <v>0</v>
      </c>
    </row>
    <row r="1575" spans="1:14" customFormat="1" ht="29" outlineLevel="1" x14ac:dyDescent="0.25">
      <c r="A1575" s="1511">
        <f t="shared" si="234"/>
        <v>4.3</v>
      </c>
      <c r="B1575" s="1515" t="str">
        <f t="shared" si="234"/>
        <v>Refurbishment of existing M/s Donaldson make Instrument Air Dryer at Unit#6 Parli TPS</v>
      </c>
      <c r="C1575" s="1396" t="str">
        <f t="shared" si="234"/>
        <v>Yet to be approved</v>
      </c>
      <c r="D1575" s="1378" t="str">
        <f t="shared" si="234"/>
        <v>-</v>
      </c>
      <c r="E1575" s="1505">
        <f t="shared" si="234"/>
        <v>0</v>
      </c>
      <c r="F1575" s="1509">
        <f t="shared" si="235"/>
        <v>0</v>
      </c>
      <c r="G1575" s="1509">
        <f t="shared" si="236"/>
        <v>0</v>
      </c>
      <c r="H1575" s="1509">
        <f t="shared" si="237"/>
        <v>0</v>
      </c>
      <c r="I1575" s="1509">
        <v>4.59</v>
      </c>
      <c r="J1575" s="1509">
        <v>4.59</v>
      </c>
      <c r="K1575" s="1509"/>
      <c r="L1575" s="1509"/>
      <c r="M1575" s="1509">
        <f t="shared" si="238"/>
        <v>4.59</v>
      </c>
      <c r="N1575" s="1509">
        <f t="shared" si="239"/>
        <v>0</v>
      </c>
    </row>
    <row r="1576" spans="1:14" customFormat="1" ht="58" outlineLevel="1" x14ac:dyDescent="0.25">
      <c r="A1576" s="1511">
        <f t="shared" si="234"/>
        <v>4.4000000000000004</v>
      </c>
      <c r="B1576" s="1515" t="str">
        <f t="shared" si="234"/>
        <v xml:space="preserve"> Repair and refurbishment of flowmore make ACW pump v.t model 24h/2 stage drawing no. csd/96502082k5(A)&amp; HSC booster pump model fig 5821 size 350 x 300 drawing no. csd/96502082k5(b) at unit#6,7.</v>
      </c>
      <c r="C1576" s="1396" t="str">
        <f t="shared" si="234"/>
        <v>Yet to be approved</v>
      </c>
      <c r="D1576" s="1378" t="str">
        <f t="shared" si="234"/>
        <v>-</v>
      </c>
      <c r="E1576" s="1505">
        <f t="shared" si="234"/>
        <v>0</v>
      </c>
      <c r="F1576" s="1509">
        <f t="shared" si="235"/>
        <v>0</v>
      </c>
      <c r="G1576" s="1509">
        <f t="shared" si="236"/>
        <v>0</v>
      </c>
      <c r="H1576" s="1509">
        <f t="shared" si="237"/>
        <v>0</v>
      </c>
      <c r="I1576" s="1509">
        <v>3.89</v>
      </c>
      <c r="J1576" s="1509">
        <v>3.89</v>
      </c>
      <c r="K1576" s="1509"/>
      <c r="L1576" s="1509"/>
      <c r="M1576" s="1509">
        <f t="shared" si="238"/>
        <v>3.89</v>
      </c>
      <c r="N1576" s="1509">
        <f t="shared" si="239"/>
        <v>0</v>
      </c>
    </row>
    <row r="1577" spans="1:14" customFormat="1" outlineLevel="1" x14ac:dyDescent="0.25">
      <c r="A1577" s="1511">
        <f t="shared" si="234"/>
        <v>0</v>
      </c>
      <c r="B1577" s="1515" t="str">
        <f t="shared" si="234"/>
        <v>IDC</v>
      </c>
      <c r="C1577" s="1396" t="str">
        <f t="shared" si="234"/>
        <v>Yet to be approved</v>
      </c>
      <c r="D1577" s="1378" t="str">
        <f t="shared" si="234"/>
        <v>-</v>
      </c>
      <c r="E1577" s="1505">
        <f t="shared" si="234"/>
        <v>0</v>
      </c>
      <c r="F1577" s="1509">
        <f t="shared" si="235"/>
        <v>0</v>
      </c>
      <c r="G1577" s="1509">
        <f t="shared" si="236"/>
        <v>0</v>
      </c>
      <c r="H1577" s="1509">
        <f t="shared" si="237"/>
        <v>0</v>
      </c>
      <c r="I1577" s="1509">
        <v>0</v>
      </c>
      <c r="J1577" s="1509">
        <v>0</v>
      </c>
      <c r="K1577" s="1509"/>
      <c r="L1577" s="1509"/>
      <c r="M1577" s="1509">
        <f t="shared" si="238"/>
        <v>0</v>
      </c>
      <c r="N1577" s="1509">
        <f t="shared" si="239"/>
        <v>0</v>
      </c>
    </row>
    <row r="1578" spans="1:14" customFormat="1" outlineLevel="1" x14ac:dyDescent="0.25">
      <c r="A1578" s="1506">
        <f t="shared" si="234"/>
        <v>5</v>
      </c>
      <c r="B1578" s="1507" t="str">
        <f t="shared" si="234"/>
        <v>Bolier Improvement schemes at  U#6,7 Parli TPS</v>
      </c>
      <c r="C1578" s="1506" t="str">
        <f t="shared" si="234"/>
        <v>Yet to be approved</v>
      </c>
      <c r="D1578" s="1507" t="str">
        <f t="shared" si="234"/>
        <v>-</v>
      </c>
      <c r="E1578" s="1506">
        <f t="shared" si="234"/>
        <v>0</v>
      </c>
      <c r="F1578" s="1509">
        <f t="shared" si="235"/>
        <v>0</v>
      </c>
      <c r="G1578" s="1509">
        <f t="shared" si="236"/>
        <v>0</v>
      </c>
      <c r="H1578" s="1509">
        <f t="shared" si="237"/>
        <v>0</v>
      </c>
      <c r="I1578" s="1509">
        <v>0</v>
      </c>
      <c r="J1578" s="1509">
        <v>0</v>
      </c>
      <c r="K1578" s="1509"/>
      <c r="L1578" s="1509"/>
      <c r="M1578" s="1509">
        <f t="shared" si="238"/>
        <v>0</v>
      </c>
      <c r="N1578" s="1509">
        <f t="shared" si="239"/>
        <v>0</v>
      </c>
    </row>
    <row r="1579" spans="1:14" customFormat="1" ht="29" outlineLevel="1" x14ac:dyDescent="0.25">
      <c r="A1579" s="1511">
        <f t="shared" si="234"/>
        <v>5.0999999999999996</v>
      </c>
      <c r="B1579" s="1515" t="str">
        <f t="shared" si="234"/>
        <v>Procurment &amp; replacement of Four complete set of APH basket ay U#6 &amp; 7</v>
      </c>
      <c r="C1579" s="1396" t="str">
        <f t="shared" si="234"/>
        <v>Yet to be approved</v>
      </c>
      <c r="D1579" s="1378" t="str">
        <f t="shared" si="234"/>
        <v>-</v>
      </c>
      <c r="E1579" s="1505">
        <f t="shared" si="234"/>
        <v>0</v>
      </c>
      <c r="F1579" s="1509">
        <f t="shared" si="235"/>
        <v>5</v>
      </c>
      <c r="G1579" s="1509">
        <f t="shared" si="236"/>
        <v>5</v>
      </c>
      <c r="H1579" s="1509">
        <f t="shared" si="237"/>
        <v>0</v>
      </c>
      <c r="I1579" s="1509">
        <v>5</v>
      </c>
      <c r="J1579" s="1509">
        <v>5</v>
      </c>
      <c r="K1579" s="1509"/>
      <c r="L1579" s="1509"/>
      <c r="M1579" s="1509">
        <f t="shared" si="238"/>
        <v>5</v>
      </c>
      <c r="N1579" s="1509">
        <f t="shared" si="239"/>
        <v>0</v>
      </c>
    </row>
    <row r="1580" spans="1:14" customFormat="1" ht="29" outlineLevel="1" x14ac:dyDescent="0.25">
      <c r="A1580" s="1511">
        <f t="shared" si="234"/>
        <v>5.2</v>
      </c>
      <c r="B1580" s="1515" t="str">
        <f t="shared" si="234"/>
        <v>PROCUREMENT &amp; REPLACEMENT OF COAL COMPARATMENT ASSEMBLIES FOR 250 MW UNIT-6 &amp; 7 AT PARLI TPS</v>
      </c>
      <c r="C1580" s="1396" t="str">
        <f t="shared" si="234"/>
        <v>Yet to be approved</v>
      </c>
      <c r="D1580" s="1378" t="str">
        <f t="shared" si="234"/>
        <v>-</v>
      </c>
      <c r="E1580" s="1505">
        <f t="shared" si="234"/>
        <v>0</v>
      </c>
      <c r="F1580" s="1509">
        <f t="shared" si="235"/>
        <v>1.25</v>
      </c>
      <c r="G1580" s="1509">
        <f t="shared" si="236"/>
        <v>1.25</v>
      </c>
      <c r="H1580" s="1509">
        <f t="shared" si="237"/>
        <v>0</v>
      </c>
      <c r="I1580" s="1509">
        <v>1.3</v>
      </c>
      <c r="J1580" s="1509">
        <v>1.3</v>
      </c>
      <c r="K1580" s="1509"/>
      <c r="L1580" s="1509"/>
      <c r="M1580" s="1509">
        <f t="shared" si="238"/>
        <v>1.3</v>
      </c>
      <c r="N1580" s="1509">
        <f t="shared" si="239"/>
        <v>0</v>
      </c>
    </row>
    <row r="1581" spans="1:14" customFormat="1" ht="29" outlineLevel="1" x14ac:dyDescent="0.25">
      <c r="A1581" s="1511">
        <f t="shared" si="234"/>
        <v>5.3</v>
      </c>
      <c r="B1581" s="1515" t="str">
        <f t="shared" si="234"/>
        <v>Procurement &amp; replacement  of complete set of Reheater coils for U- 6 &amp; 7</v>
      </c>
      <c r="C1581" s="1396" t="str">
        <f t="shared" si="234"/>
        <v>Yet to be approved</v>
      </c>
      <c r="D1581" s="1378" t="str">
        <f t="shared" si="234"/>
        <v>-</v>
      </c>
      <c r="E1581" s="1505">
        <f t="shared" si="234"/>
        <v>0</v>
      </c>
      <c r="F1581" s="1509">
        <f t="shared" si="235"/>
        <v>11</v>
      </c>
      <c r="G1581" s="1509">
        <f t="shared" si="236"/>
        <v>11</v>
      </c>
      <c r="H1581" s="1509">
        <f t="shared" si="237"/>
        <v>0</v>
      </c>
      <c r="I1581" s="1509">
        <v>11.5</v>
      </c>
      <c r="J1581" s="1509">
        <v>11.5</v>
      </c>
      <c r="K1581" s="1509"/>
      <c r="L1581" s="1509"/>
      <c r="M1581" s="1509">
        <f t="shared" si="238"/>
        <v>11.5</v>
      </c>
      <c r="N1581" s="1509">
        <f t="shared" si="239"/>
        <v>0</v>
      </c>
    </row>
    <row r="1582" spans="1:14" customFormat="1" ht="29" outlineLevel="1" x14ac:dyDescent="0.25">
      <c r="A1582" s="1511">
        <f t="shared" ref="A1582:E1597" si="240">A1225</f>
        <v>5.4</v>
      </c>
      <c r="B1582" s="1515" t="str">
        <f t="shared" si="240"/>
        <v>Procurement &amp; replacement  of complete set of Platen SH coil for U- 6 &amp; 7</v>
      </c>
      <c r="C1582" s="1396" t="str">
        <f t="shared" si="240"/>
        <v>Yet to be approved</v>
      </c>
      <c r="D1582" s="1378" t="str">
        <f t="shared" si="240"/>
        <v>-</v>
      </c>
      <c r="E1582" s="1505">
        <f t="shared" si="240"/>
        <v>0</v>
      </c>
      <c r="F1582" s="1509">
        <f t="shared" si="235"/>
        <v>12.5</v>
      </c>
      <c r="G1582" s="1509">
        <f t="shared" si="236"/>
        <v>12.5</v>
      </c>
      <c r="H1582" s="1509">
        <f t="shared" si="237"/>
        <v>0</v>
      </c>
      <c r="I1582" s="1509">
        <v>13</v>
      </c>
      <c r="J1582" s="1509">
        <v>13</v>
      </c>
      <c r="K1582" s="1509"/>
      <c r="L1582" s="1509"/>
      <c r="M1582" s="1509">
        <f t="shared" si="238"/>
        <v>13</v>
      </c>
      <c r="N1582" s="1509">
        <f t="shared" si="239"/>
        <v>0</v>
      </c>
    </row>
    <row r="1583" spans="1:14" customFormat="1" outlineLevel="1" x14ac:dyDescent="0.25">
      <c r="A1583" s="1511">
        <f t="shared" si="240"/>
        <v>5.5</v>
      </c>
      <c r="B1583" s="1515" t="str">
        <f t="shared" si="240"/>
        <v>Procurement &amp; replacement of  shell liner for U-6&amp;7</v>
      </c>
      <c r="C1583" s="1396" t="str">
        <f t="shared" si="240"/>
        <v>Yet to be approved</v>
      </c>
      <c r="D1583" s="1378" t="str">
        <f t="shared" si="240"/>
        <v>-</v>
      </c>
      <c r="E1583" s="1505">
        <f t="shared" si="240"/>
        <v>0</v>
      </c>
      <c r="F1583" s="1509">
        <f t="shared" si="235"/>
        <v>1.1000000000000001</v>
      </c>
      <c r="G1583" s="1509">
        <f t="shared" si="236"/>
        <v>1.1000000000000001</v>
      </c>
      <c r="H1583" s="1509">
        <f t="shared" si="237"/>
        <v>0</v>
      </c>
      <c r="I1583" s="1509">
        <v>2.4</v>
      </c>
      <c r="J1583" s="1509">
        <v>2.4</v>
      </c>
      <c r="K1583" s="1509"/>
      <c r="L1583" s="1509"/>
      <c r="M1583" s="1509">
        <f t="shared" si="238"/>
        <v>2.4</v>
      </c>
      <c r="N1583" s="1509">
        <f t="shared" si="239"/>
        <v>0</v>
      </c>
    </row>
    <row r="1584" spans="1:14" customFormat="1" ht="29" outlineLevel="1" x14ac:dyDescent="0.25">
      <c r="A1584" s="1511">
        <f t="shared" si="240"/>
        <v>5.6</v>
      </c>
      <c r="B1584" s="1515" t="str">
        <f t="shared" si="240"/>
        <v>Procurement &amp; replacement of  FD fan assembly with blade set at U#6,7</v>
      </c>
      <c r="C1584" s="1396" t="str">
        <f t="shared" si="240"/>
        <v>Yet to be approved</v>
      </c>
      <c r="D1584" s="1378" t="str">
        <f t="shared" si="240"/>
        <v>-</v>
      </c>
      <c r="E1584" s="1505">
        <f t="shared" si="240"/>
        <v>0</v>
      </c>
      <c r="F1584" s="1509">
        <f t="shared" si="235"/>
        <v>0</v>
      </c>
      <c r="G1584" s="1509">
        <f t="shared" si="236"/>
        <v>0</v>
      </c>
      <c r="H1584" s="1509">
        <f t="shared" si="237"/>
        <v>0</v>
      </c>
      <c r="I1584" s="1509">
        <v>8</v>
      </c>
      <c r="J1584" s="1509">
        <v>8</v>
      </c>
      <c r="K1584" s="1509"/>
      <c r="L1584" s="1509"/>
      <c r="M1584" s="1509">
        <f t="shared" si="238"/>
        <v>8</v>
      </c>
      <c r="N1584" s="1509">
        <f t="shared" si="239"/>
        <v>0</v>
      </c>
    </row>
    <row r="1585" spans="1:14" customFormat="1" outlineLevel="1" x14ac:dyDescent="0.25">
      <c r="A1585" s="1511">
        <f t="shared" si="240"/>
        <v>0</v>
      </c>
      <c r="B1585" s="1515" t="str">
        <f t="shared" si="240"/>
        <v>IDC</v>
      </c>
      <c r="C1585" s="1396" t="str">
        <f t="shared" si="240"/>
        <v>Yet to be approved</v>
      </c>
      <c r="D1585" s="1378" t="str">
        <f t="shared" si="240"/>
        <v>-</v>
      </c>
      <c r="E1585" s="1505">
        <f t="shared" si="240"/>
        <v>0</v>
      </c>
      <c r="F1585" s="1509">
        <f t="shared" si="235"/>
        <v>0</v>
      </c>
      <c r="G1585" s="1509">
        <f t="shared" si="236"/>
        <v>0</v>
      </c>
      <c r="H1585" s="1509">
        <f t="shared" si="237"/>
        <v>0</v>
      </c>
      <c r="I1585" s="1509">
        <v>0</v>
      </c>
      <c r="J1585" s="1509">
        <v>0</v>
      </c>
      <c r="K1585" s="1509"/>
      <c r="L1585" s="1509"/>
      <c r="M1585" s="1509">
        <f t="shared" si="238"/>
        <v>0</v>
      </c>
      <c r="N1585" s="1509">
        <f t="shared" si="239"/>
        <v>0</v>
      </c>
    </row>
    <row r="1586" spans="1:14" customFormat="1" outlineLevel="1" x14ac:dyDescent="0.25">
      <c r="A1586" s="1506">
        <f t="shared" si="240"/>
        <v>6</v>
      </c>
      <c r="B1586" s="1507" t="str">
        <f t="shared" si="240"/>
        <v>Bolier plant performance Improvement schemes at  U#6,7 Parli TPS</v>
      </c>
      <c r="C1586" s="1506" t="str">
        <f t="shared" si="240"/>
        <v>Yet to be approved</v>
      </c>
      <c r="D1586" s="1507" t="str">
        <f t="shared" si="240"/>
        <v>-</v>
      </c>
      <c r="E1586" s="1506">
        <f t="shared" si="240"/>
        <v>0</v>
      </c>
      <c r="F1586" s="1509">
        <f t="shared" si="235"/>
        <v>0</v>
      </c>
      <c r="G1586" s="1509">
        <f t="shared" si="236"/>
        <v>0</v>
      </c>
      <c r="H1586" s="1509">
        <f t="shared" si="237"/>
        <v>0</v>
      </c>
      <c r="I1586" s="1509">
        <v>0</v>
      </c>
      <c r="J1586" s="1509">
        <v>0</v>
      </c>
      <c r="K1586" s="1509"/>
      <c r="L1586" s="1509"/>
      <c r="M1586" s="1509">
        <f t="shared" si="238"/>
        <v>0</v>
      </c>
      <c r="N1586" s="1509">
        <f t="shared" si="239"/>
        <v>0</v>
      </c>
    </row>
    <row r="1587" spans="1:14" customFormat="1" ht="29" outlineLevel="1" x14ac:dyDescent="0.25">
      <c r="A1587" s="1511">
        <f t="shared" si="240"/>
        <v>6.1</v>
      </c>
      <c r="B1587" s="1515" t="str">
        <f t="shared" si="240"/>
        <v xml:space="preserve"> PROCUREMENT &amp; REPLACEMENT OF COAL COMPARATMENT ASSEMBLIES FOR 250 MW UNIT-6 &amp; 7 AT PARLI TPS</v>
      </c>
      <c r="C1587" s="1396" t="str">
        <f t="shared" si="240"/>
        <v>Yet to be approved</v>
      </c>
      <c r="D1587" s="1378" t="str">
        <f t="shared" si="240"/>
        <v>-</v>
      </c>
      <c r="E1587" s="1505">
        <f t="shared" si="240"/>
        <v>0</v>
      </c>
      <c r="F1587" s="1509">
        <f t="shared" si="235"/>
        <v>0</v>
      </c>
      <c r="G1587" s="1509">
        <f t="shared" si="236"/>
        <v>0</v>
      </c>
      <c r="H1587" s="1509">
        <f t="shared" si="237"/>
        <v>0</v>
      </c>
      <c r="I1587" s="1509">
        <v>0</v>
      </c>
      <c r="J1587" s="1509">
        <v>0</v>
      </c>
      <c r="K1587" s="1509"/>
      <c r="L1587" s="1509"/>
      <c r="M1587" s="1509">
        <f t="shared" si="238"/>
        <v>0</v>
      </c>
      <c r="N1587" s="1509">
        <f t="shared" si="239"/>
        <v>0</v>
      </c>
    </row>
    <row r="1588" spans="1:14" customFormat="1" outlineLevel="1" x14ac:dyDescent="0.25">
      <c r="A1588" s="1511">
        <f t="shared" si="240"/>
        <v>6.2</v>
      </c>
      <c r="B1588" s="1515" t="str">
        <f t="shared" si="240"/>
        <v>Procurement &amp; replacement of  shell liner for U-6&amp;7</v>
      </c>
      <c r="C1588" s="1396" t="str">
        <f t="shared" si="240"/>
        <v>Yet to be approved</v>
      </c>
      <c r="D1588" s="1378" t="str">
        <f t="shared" si="240"/>
        <v>-</v>
      </c>
      <c r="E1588" s="1505">
        <f t="shared" si="240"/>
        <v>0</v>
      </c>
      <c r="F1588" s="1509">
        <f t="shared" si="235"/>
        <v>0</v>
      </c>
      <c r="G1588" s="1509">
        <f t="shared" si="236"/>
        <v>0</v>
      </c>
      <c r="H1588" s="1509">
        <f t="shared" si="237"/>
        <v>0</v>
      </c>
      <c r="I1588" s="1509">
        <v>0</v>
      </c>
      <c r="J1588" s="1509">
        <v>0</v>
      </c>
      <c r="K1588" s="1509"/>
      <c r="L1588" s="1509"/>
      <c r="M1588" s="1509">
        <f t="shared" si="238"/>
        <v>0</v>
      </c>
      <c r="N1588" s="1509">
        <f t="shared" si="239"/>
        <v>0</v>
      </c>
    </row>
    <row r="1589" spans="1:14" customFormat="1" ht="29" outlineLevel="1" x14ac:dyDescent="0.25">
      <c r="A1589" s="1511">
        <f t="shared" si="240"/>
        <v>6.3</v>
      </c>
      <c r="B1589" s="1515" t="str">
        <f t="shared" si="240"/>
        <v>Procurement &amp; replacement of water wall Z panel &amp; water wall soot blower panel at U#6,7</v>
      </c>
      <c r="C1589" s="1396" t="str">
        <f t="shared" si="240"/>
        <v>Yet to be approved</v>
      </c>
      <c r="D1589" s="1378" t="str">
        <f t="shared" si="240"/>
        <v>-</v>
      </c>
      <c r="E1589" s="1505">
        <f t="shared" si="240"/>
        <v>0</v>
      </c>
      <c r="F1589" s="1509">
        <f t="shared" si="235"/>
        <v>0</v>
      </c>
      <c r="G1589" s="1509">
        <f t="shared" si="236"/>
        <v>0</v>
      </c>
      <c r="H1589" s="1509">
        <f t="shared" si="237"/>
        <v>0</v>
      </c>
      <c r="I1589" s="1509">
        <v>0</v>
      </c>
      <c r="J1589" s="1509">
        <v>0</v>
      </c>
      <c r="K1589" s="1509"/>
      <c r="L1589" s="1509"/>
      <c r="M1589" s="1509">
        <f t="shared" si="238"/>
        <v>0</v>
      </c>
      <c r="N1589" s="1509">
        <f t="shared" si="239"/>
        <v>0</v>
      </c>
    </row>
    <row r="1590" spans="1:14" customFormat="1" ht="29" outlineLevel="1" x14ac:dyDescent="0.25">
      <c r="A1590" s="1511">
        <f t="shared" si="240"/>
        <v>6.4</v>
      </c>
      <c r="B1590" s="1515" t="str">
        <f t="shared" si="240"/>
        <v>Procurement &amp; Replacement of Two complete set of APH Baskets at 250 MW Unit-7, Parli TPS.</v>
      </c>
      <c r="C1590" s="1396" t="str">
        <f t="shared" si="240"/>
        <v>Yet to be approved</v>
      </c>
      <c r="D1590" s="1378" t="str">
        <f t="shared" si="240"/>
        <v>-</v>
      </c>
      <c r="E1590" s="1505">
        <f t="shared" si="240"/>
        <v>0</v>
      </c>
      <c r="F1590" s="1509">
        <f t="shared" si="235"/>
        <v>0</v>
      </c>
      <c r="G1590" s="1509">
        <f t="shared" si="236"/>
        <v>0</v>
      </c>
      <c r="H1590" s="1509">
        <f t="shared" si="237"/>
        <v>0</v>
      </c>
      <c r="I1590" s="1509">
        <v>0</v>
      </c>
      <c r="J1590" s="1509">
        <v>0</v>
      </c>
      <c r="K1590" s="1509"/>
      <c r="L1590" s="1509"/>
      <c r="M1590" s="1509">
        <f t="shared" si="238"/>
        <v>0</v>
      </c>
      <c r="N1590" s="1509">
        <f t="shared" si="239"/>
        <v>0</v>
      </c>
    </row>
    <row r="1591" spans="1:14" customFormat="1" outlineLevel="1" x14ac:dyDescent="0.25">
      <c r="A1591" s="1511">
        <f t="shared" si="240"/>
        <v>0</v>
      </c>
      <c r="B1591" s="1515" t="str">
        <f t="shared" si="240"/>
        <v>IDC</v>
      </c>
      <c r="C1591" s="1396" t="str">
        <f t="shared" si="240"/>
        <v>Yet to be approved</v>
      </c>
      <c r="D1591" s="1378" t="str">
        <f t="shared" si="240"/>
        <v>-</v>
      </c>
      <c r="E1591" s="1505">
        <f t="shared" si="240"/>
        <v>0</v>
      </c>
      <c r="F1591" s="1509">
        <f t="shared" si="235"/>
        <v>0</v>
      </c>
      <c r="G1591" s="1509">
        <f t="shared" si="236"/>
        <v>0</v>
      </c>
      <c r="H1591" s="1509">
        <f t="shared" si="237"/>
        <v>0</v>
      </c>
      <c r="I1591" s="1509">
        <v>0</v>
      </c>
      <c r="J1591" s="1509">
        <v>0</v>
      </c>
      <c r="K1591" s="1509"/>
      <c r="L1591" s="1509"/>
      <c r="M1591" s="1509">
        <f t="shared" si="238"/>
        <v>0</v>
      </c>
      <c r="N1591" s="1509">
        <f t="shared" si="239"/>
        <v>0</v>
      </c>
    </row>
    <row r="1592" spans="1:14" customFormat="1" outlineLevel="1" x14ac:dyDescent="0.25">
      <c r="A1592" s="1506">
        <f t="shared" si="240"/>
        <v>7</v>
      </c>
      <c r="B1592" s="1507" t="str">
        <f t="shared" si="240"/>
        <v>ESP Upgradation at U#6,7</v>
      </c>
      <c r="C1592" s="1506" t="str">
        <f t="shared" si="240"/>
        <v>Yet to be approved</v>
      </c>
      <c r="D1592" s="1507" t="str">
        <f t="shared" si="240"/>
        <v>-</v>
      </c>
      <c r="E1592" s="1506">
        <f t="shared" si="240"/>
        <v>0</v>
      </c>
      <c r="F1592" s="1509">
        <f t="shared" si="235"/>
        <v>0</v>
      </c>
      <c r="G1592" s="1509">
        <f t="shared" si="236"/>
        <v>0</v>
      </c>
      <c r="H1592" s="1509">
        <f t="shared" si="237"/>
        <v>0</v>
      </c>
      <c r="I1592" s="1509">
        <v>0</v>
      </c>
      <c r="J1592" s="1509">
        <v>0</v>
      </c>
      <c r="K1592" s="1509"/>
      <c r="L1592" s="1509"/>
      <c r="M1592" s="1509">
        <f t="shared" si="238"/>
        <v>0</v>
      </c>
      <c r="N1592" s="1509">
        <f t="shared" si="239"/>
        <v>0</v>
      </c>
    </row>
    <row r="1593" spans="1:14" customFormat="1" ht="58" outlineLevel="1" x14ac:dyDescent="0.25">
      <c r="A1593" s="1511">
        <f t="shared" si="240"/>
        <v>7.1</v>
      </c>
      <c r="B1593" s="1515" t="str">
        <f t="shared" si="240"/>
        <v xml:space="preserve"> Procurement &amp; replacement of all emitting coils &amp; collecting plates of ESP &amp; Procurement &amp; replacement of ESP internals at U#6,7 Parli TPS &amp; Replacement of thermal insulation of boiler, ducts &amp; steam piping along with supply</v>
      </c>
      <c r="C1593" s="1396" t="str">
        <f t="shared" si="240"/>
        <v>Yet to be approved</v>
      </c>
      <c r="D1593" s="1378" t="str">
        <f t="shared" si="240"/>
        <v>-</v>
      </c>
      <c r="E1593" s="1505">
        <f t="shared" si="240"/>
        <v>0</v>
      </c>
      <c r="F1593" s="1509">
        <f t="shared" si="235"/>
        <v>0</v>
      </c>
      <c r="G1593" s="1509">
        <f t="shared" si="236"/>
        <v>0</v>
      </c>
      <c r="H1593" s="1509">
        <f t="shared" si="237"/>
        <v>0</v>
      </c>
      <c r="I1593" s="1509">
        <v>0</v>
      </c>
      <c r="J1593" s="1509">
        <v>0</v>
      </c>
      <c r="K1593" s="1509"/>
      <c r="L1593" s="1509"/>
      <c r="M1593" s="1509">
        <f t="shared" si="238"/>
        <v>0</v>
      </c>
      <c r="N1593" s="1509">
        <f t="shared" si="239"/>
        <v>0</v>
      </c>
    </row>
    <row r="1594" spans="1:14" customFormat="1" ht="29" outlineLevel="1" x14ac:dyDescent="0.25">
      <c r="A1594" s="1511">
        <f t="shared" si="240"/>
        <v>7.2</v>
      </c>
      <c r="B1594" s="1515" t="str">
        <f t="shared" si="240"/>
        <v xml:space="preserve"> Replacement of thermal insulation of boiler, ducts &amp; steam piping along with supply</v>
      </c>
      <c r="C1594" s="1396" t="str">
        <f t="shared" si="240"/>
        <v>Yet to be approved</v>
      </c>
      <c r="D1594" s="1378" t="str">
        <f t="shared" si="240"/>
        <v>-</v>
      </c>
      <c r="E1594" s="1505">
        <f t="shared" si="240"/>
        <v>0</v>
      </c>
      <c r="F1594" s="1509">
        <f t="shared" si="235"/>
        <v>0</v>
      </c>
      <c r="G1594" s="1509">
        <f t="shared" si="236"/>
        <v>0</v>
      </c>
      <c r="H1594" s="1509">
        <f t="shared" si="237"/>
        <v>0</v>
      </c>
      <c r="I1594" s="1509">
        <v>0</v>
      </c>
      <c r="J1594" s="1509">
        <v>0</v>
      </c>
      <c r="K1594" s="1509"/>
      <c r="L1594" s="1509"/>
      <c r="M1594" s="1509">
        <f t="shared" si="238"/>
        <v>0</v>
      </c>
      <c r="N1594" s="1509">
        <f t="shared" si="239"/>
        <v>0</v>
      </c>
    </row>
    <row r="1595" spans="1:14" customFormat="1" outlineLevel="1" x14ac:dyDescent="0.25">
      <c r="A1595" s="1511">
        <f t="shared" si="240"/>
        <v>0</v>
      </c>
      <c r="B1595" s="1515" t="str">
        <f t="shared" si="240"/>
        <v>IDC</v>
      </c>
      <c r="C1595" s="1396" t="str">
        <f t="shared" si="240"/>
        <v>Yet to be approved</v>
      </c>
      <c r="D1595" s="1378" t="str">
        <f t="shared" si="240"/>
        <v>-</v>
      </c>
      <c r="E1595" s="1505">
        <f t="shared" si="240"/>
        <v>0</v>
      </c>
      <c r="F1595" s="1509">
        <f t="shared" si="235"/>
        <v>0</v>
      </c>
      <c r="G1595" s="1509">
        <f t="shared" si="236"/>
        <v>0</v>
      </c>
      <c r="H1595" s="1509">
        <f t="shared" si="237"/>
        <v>0</v>
      </c>
      <c r="I1595" s="1509">
        <v>0</v>
      </c>
      <c r="J1595" s="1509">
        <v>0</v>
      </c>
      <c r="K1595" s="1509"/>
      <c r="L1595" s="1509"/>
      <c r="M1595" s="1509">
        <f t="shared" si="238"/>
        <v>0</v>
      </c>
      <c r="N1595" s="1509">
        <f t="shared" si="239"/>
        <v>0</v>
      </c>
    </row>
    <row r="1596" spans="1:14" customFormat="1" outlineLevel="1" x14ac:dyDescent="0.25">
      <c r="A1596" s="1506">
        <f t="shared" si="240"/>
        <v>8</v>
      </c>
      <c r="B1596" s="1507" t="str">
        <f t="shared" si="240"/>
        <v>Augmentation of Dautpur &amp; Sandawa premises water recovery system</v>
      </c>
      <c r="C1596" s="1506" t="str">
        <f t="shared" si="240"/>
        <v>Yet to be approved</v>
      </c>
      <c r="D1596" s="1507" t="str">
        <f t="shared" si="240"/>
        <v>-</v>
      </c>
      <c r="E1596" s="1506">
        <f t="shared" si="240"/>
        <v>0</v>
      </c>
      <c r="F1596" s="1509">
        <f t="shared" si="235"/>
        <v>0</v>
      </c>
      <c r="G1596" s="1509">
        <f t="shared" si="236"/>
        <v>0</v>
      </c>
      <c r="H1596" s="1509">
        <f t="shared" si="237"/>
        <v>0</v>
      </c>
      <c r="I1596" s="1509">
        <v>0</v>
      </c>
      <c r="J1596" s="1509">
        <v>0</v>
      </c>
      <c r="K1596" s="1509"/>
      <c r="L1596" s="1509"/>
      <c r="M1596" s="1509">
        <f t="shared" si="238"/>
        <v>0</v>
      </c>
      <c r="N1596" s="1509">
        <f t="shared" si="239"/>
        <v>0</v>
      </c>
    </row>
    <row r="1597" spans="1:14" customFormat="1" ht="29" outlineLevel="1" x14ac:dyDescent="0.25">
      <c r="A1597" s="1511">
        <f t="shared" si="240"/>
        <v>8.1</v>
      </c>
      <c r="B1597" s="1515" t="str">
        <f t="shared" si="240"/>
        <v>Supply, erection &amp; commissioning of VT pumps for waste water recovery at TM-NPTPS, Parli-V</v>
      </c>
      <c r="C1597" s="1396" t="str">
        <f t="shared" si="240"/>
        <v>Yet to be approved</v>
      </c>
      <c r="D1597" s="1378" t="str">
        <f t="shared" si="240"/>
        <v>-</v>
      </c>
      <c r="E1597" s="1505">
        <f t="shared" si="240"/>
        <v>0</v>
      </c>
      <c r="F1597" s="1509">
        <f t="shared" si="235"/>
        <v>9.3000000000000007</v>
      </c>
      <c r="G1597" s="1509">
        <f t="shared" si="236"/>
        <v>9.3000000000000007</v>
      </c>
      <c r="H1597" s="1509">
        <f t="shared" si="237"/>
        <v>0</v>
      </c>
      <c r="I1597" s="1509">
        <v>0</v>
      </c>
      <c r="J1597" s="1509">
        <v>0</v>
      </c>
      <c r="K1597" s="1509"/>
      <c r="L1597" s="1509"/>
      <c r="M1597" s="1509">
        <f t="shared" si="238"/>
        <v>0</v>
      </c>
      <c r="N1597" s="1509">
        <f t="shared" si="239"/>
        <v>0</v>
      </c>
    </row>
    <row r="1598" spans="1:14" customFormat="1" ht="43.5" outlineLevel="1" x14ac:dyDescent="0.25">
      <c r="A1598" s="1511">
        <f t="shared" ref="A1598:E1613" si="241">A1241</f>
        <v>8.1999999999999993</v>
      </c>
      <c r="B1598" s="1515" t="str">
        <f t="shared" si="241"/>
        <v>RENOVATION OF ASH WATER RECOVERY SUPPLY SYSTEM INCLUDING ERECTION &amp; COMMISSIONING LT BOARD 11KV/415V SUBSTATION WITH 11KV OH LINE AT SANDWA &amp; DAUTPUR PUMP HOUSE</v>
      </c>
      <c r="C1598" s="1396" t="str">
        <f t="shared" si="241"/>
        <v>Yet to be approved</v>
      </c>
      <c r="D1598" s="1378" t="str">
        <f t="shared" si="241"/>
        <v>-</v>
      </c>
      <c r="E1598" s="1505">
        <f t="shared" si="241"/>
        <v>0</v>
      </c>
      <c r="F1598" s="1509">
        <f t="shared" si="235"/>
        <v>12.42</v>
      </c>
      <c r="G1598" s="1509">
        <f t="shared" si="236"/>
        <v>12.42</v>
      </c>
      <c r="H1598" s="1509">
        <f t="shared" si="237"/>
        <v>0</v>
      </c>
      <c r="I1598" s="1509">
        <v>0</v>
      </c>
      <c r="J1598" s="1509">
        <v>0</v>
      </c>
      <c r="K1598" s="1509"/>
      <c r="L1598" s="1509"/>
      <c r="M1598" s="1509">
        <f t="shared" si="238"/>
        <v>0</v>
      </c>
      <c r="N1598" s="1509">
        <f t="shared" si="239"/>
        <v>0</v>
      </c>
    </row>
    <row r="1599" spans="1:14" customFormat="1" ht="29" outlineLevel="1" x14ac:dyDescent="0.25">
      <c r="A1599" s="1511">
        <f t="shared" si="241"/>
        <v>8.3000000000000007</v>
      </c>
      <c r="B1599" s="1515" t="str">
        <f t="shared" si="241"/>
        <v>Construction of New Sandwa recovery pump house at NPTPS Parli Vaijnath.</v>
      </c>
      <c r="C1599" s="1396" t="str">
        <f t="shared" si="241"/>
        <v>Yet to be approved</v>
      </c>
      <c r="D1599" s="1378" t="str">
        <f t="shared" si="241"/>
        <v>-</v>
      </c>
      <c r="E1599" s="1505">
        <f t="shared" si="241"/>
        <v>0</v>
      </c>
      <c r="F1599" s="1509">
        <f t="shared" si="235"/>
        <v>4.1399999999999997</v>
      </c>
      <c r="G1599" s="1509">
        <f t="shared" si="236"/>
        <v>4.1399999999999997</v>
      </c>
      <c r="H1599" s="1509">
        <f t="shared" si="237"/>
        <v>0</v>
      </c>
      <c r="I1599" s="1509">
        <v>0</v>
      </c>
      <c r="J1599" s="1509">
        <v>0</v>
      </c>
      <c r="K1599" s="1509"/>
      <c r="L1599" s="1509"/>
      <c r="M1599" s="1509">
        <f t="shared" si="238"/>
        <v>0</v>
      </c>
      <c r="N1599" s="1509">
        <f t="shared" si="239"/>
        <v>0</v>
      </c>
    </row>
    <row r="1600" spans="1:14" customFormat="1" outlineLevel="1" x14ac:dyDescent="0.25">
      <c r="A1600" s="1511">
        <f t="shared" si="241"/>
        <v>0</v>
      </c>
      <c r="B1600" s="1515" t="str">
        <f t="shared" si="241"/>
        <v>IDC</v>
      </c>
      <c r="C1600" s="1396" t="str">
        <f t="shared" si="241"/>
        <v>Yet to be approved</v>
      </c>
      <c r="D1600" s="1378" t="str">
        <f t="shared" si="241"/>
        <v>-</v>
      </c>
      <c r="E1600" s="1505">
        <f t="shared" si="241"/>
        <v>0</v>
      </c>
      <c r="F1600" s="1509">
        <f t="shared" si="235"/>
        <v>0</v>
      </c>
      <c r="G1600" s="1509">
        <f t="shared" si="236"/>
        <v>0</v>
      </c>
      <c r="H1600" s="1509">
        <f t="shared" si="237"/>
        <v>0</v>
      </c>
      <c r="I1600" s="1509">
        <v>0</v>
      </c>
      <c r="J1600" s="1509">
        <v>0</v>
      </c>
      <c r="K1600" s="1509"/>
      <c r="L1600" s="1509"/>
      <c r="M1600" s="1509">
        <f t="shared" si="238"/>
        <v>0</v>
      </c>
      <c r="N1600" s="1509">
        <f t="shared" si="239"/>
        <v>0</v>
      </c>
    </row>
    <row r="1601" spans="1:14" customFormat="1" ht="43.5" outlineLevel="1" x14ac:dyDescent="0.25">
      <c r="A1601" s="1506">
        <f t="shared" si="241"/>
        <v>9</v>
      </c>
      <c r="B1601" s="1507" t="str">
        <f t="shared" si="241"/>
        <v>DPR on Modification of governing system from low pressure to high pressure at Unit-06 TPS, PARLI-V and Procurement of  CW pumps at Unit 6,7 Parli Vaijnath.</v>
      </c>
      <c r="C1601" s="1506" t="str">
        <f t="shared" si="241"/>
        <v>Yet to be approved</v>
      </c>
      <c r="D1601" s="1507" t="str">
        <f t="shared" si="241"/>
        <v>-</v>
      </c>
      <c r="E1601" s="1506">
        <f t="shared" si="241"/>
        <v>0</v>
      </c>
      <c r="F1601" s="1509">
        <f t="shared" si="235"/>
        <v>0</v>
      </c>
      <c r="G1601" s="1509">
        <f t="shared" si="236"/>
        <v>0</v>
      </c>
      <c r="H1601" s="1509">
        <f t="shared" si="237"/>
        <v>0</v>
      </c>
      <c r="I1601" s="1509">
        <v>0</v>
      </c>
      <c r="J1601" s="1509">
        <v>0</v>
      </c>
      <c r="K1601" s="1509"/>
      <c r="L1601" s="1509"/>
      <c r="M1601" s="1509">
        <f t="shared" si="238"/>
        <v>0</v>
      </c>
      <c r="N1601" s="1509">
        <f t="shared" si="239"/>
        <v>0</v>
      </c>
    </row>
    <row r="1602" spans="1:14" customFormat="1" ht="29" outlineLevel="1" x14ac:dyDescent="0.25">
      <c r="A1602" s="1511">
        <f t="shared" si="241"/>
        <v>9.1</v>
      </c>
      <c r="B1602" s="1515" t="str">
        <f t="shared" si="241"/>
        <v>Modification of governing system from low pressure to high pressure at Unit-06 TPS, PARLI-V</v>
      </c>
      <c r="C1602" s="1396">
        <f t="shared" si="241"/>
        <v>0</v>
      </c>
      <c r="D1602" s="1378" t="str">
        <f t="shared" si="241"/>
        <v>-</v>
      </c>
      <c r="E1602" s="1505">
        <f t="shared" si="241"/>
        <v>0</v>
      </c>
      <c r="F1602" s="1509">
        <f t="shared" si="235"/>
        <v>0</v>
      </c>
      <c r="G1602" s="1509">
        <f t="shared" si="236"/>
        <v>0</v>
      </c>
      <c r="H1602" s="1509">
        <f t="shared" si="237"/>
        <v>0</v>
      </c>
      <c r="I1602" s="1509">
        <v>15</v>
      </c>
      <c r="J1602" s="1509">
        <v>15</v>
      </c>
      <c r="K1602" s="1509"/>
      <c r="L1602" s="1509"/>
      <c r="M1602" s="1509">
        <f t="shared" si="238"/>
        <v>15</v>
      </c>
      <c r="N1602" s="1509">
        <f t="shared" si="239"/>
        <v>0</v>
      </c>
    </row>
    <row r="1603" spans="1:14" customFormat="1" outlineLevel="1" x14ac:dyDescent="0.25">
      <c r="A1603" s="1511">
        <f t="shared" si="241"/>
        <v>9.1999999999999993</v>
      </c>
      <c r="B1603" s="1515" t="str">
        <f t="shared" si="241"/>
        <v>Procurement of  CW pumps at Unit 6,7 Parli Vaijnath</v>
      </c>
      <c r="C1603" s="1396" t="str">
        <f t="shared" si="241"/>
        <v>Yet to be approved</v>
      </c>
      <c r="D1603" s="1378" t="str">
        <f t="shared" si="241"/>
        <v>-</v>
      </c>
      <c r="E1603" s="1505">
        <f t="shared" si="241"/>
        <v>0</v>
      </c>
      <c r="F1603" s="1509">
        <f t="shared" si="235"/>
        <v>0</v>
      </c>
      <c r="G1603" s="1509">
        <f t="shared" si="236"/>
        <v>0</v>
      </c>
      <c r="H1603" s="1509">
        <f t="shared" si="237"/>
        <v>0</v>
      </c>
      <c r="I1603" s="1509">
        <v>23</v>
      </c>
      <c r="J1603" s="1509">
        <v>23</v>
      </c>
      <c r="K1603" s="1509"/>
      <c r="L1603" s="1509"/>
      <c r="M1603" s="1509">
        <f t="shared" si="238"/>
        <v>23</v>
      </c>
      <c r="N1603" s="1509">
        <f t="shared" si="239"/>
        <v>0</v>
      </c>
    </row>
    <row r="1604" spans="1:14" customFormat="1" outlineLevel="1" x14ac:dyDescent="0.25">
      <c r="A1604" s="1511">
        <f t="shared" si="241"/>
        <v>0</v>
      </c>
      <c r="B1604" s="1515" t="str">
        <f t="shared" si="241"/>
        <v>IDC</v>
      </c>
      <c r="C1604" s="1396" t="str">
        <f t="shared" si="241"/>
        <v>Yet to be approved</v>
      </c>
      <c r="D1604" s="1378" t="str">
        <f t="shared" si="241"/>
        <v>-</v>
      </c>
      <c r="E1604" s="1505">
        <f t="shared" si="241"/>
        <v>0</v>
      </c>
      <c r="F1604" s="1509">
        <f t="shared" si="235"/>
        <v>0</v>
      </c>
      <c r="G1604" s="1509">
        <f t="shared" si="236"/>
        <v>0</v>
      </c>
      <c r="H1604" s="1509">
        <f t="shared" si="237"/>
        <v>0</v>
      </c>
      <c r="I1604" s="1509">
        <v>0</v>
      </c>
      <c r="J1604" s="1509">
        <v>0</v>
      </c>
      <c r="K1604" s="1509"/>
      <c r="L1604" s="1509"/>
      <c r="M1604" s="1509">
        <f t="shared" si="238"/>
        <v>0</v>
      </c>
      <c r="N1604" s="1509">
        <f t="shared" si="239"/>
        <v>0</v>
      </c>
    </row>
    <row r="1605" spans="1:14" customFormat="1" ht="29" outlineLevel="1" x14ac:dyDescent="0.25">
      <c r="A1605" s="1506">
        <f t="shared" si="241"/>
        <v>10</v>
      </c>
      <c r="B1605" s="1507" t="str">
        <f t="shared" si="241"/>
        <v>DPR on Procurement of  HP, IP and LP Turbine  bladesat Unit 6,7 Parli Vaijnath.</v>
      </c>
      <c r="C1605" s="1506" t="str">
        <f t="shared" si="241"/>
        <v>Yet to be approved</v>
      </c>
      <c r="D1605" s="1507" t="str">
        <f t="shared" si="241"/>
        <v>-</v>
      </c>
      <c r="E1605" s="1506">
        <f t="shared" si="241"/>
        <v>0</v>
      </c>
      <c r="F1605" s="1509">
        <f t="shared" si="235"/>
        <v>0</v>
      </c>
      <c r="G1605" s="1509">
        <f t="shared" si="236"/>
        <v>0</v>
      </c>
      <c r="H1605" s="1509">
        <f t="shared" si="237"/>
        <v>0</v>
      </c>
      <c r="I1605" s="1509">
        <v>0</v>
      </c>
      <c r="J1605" s="1509">
        <v>0</v>
      </c>
      <c r="K1605" s="1509"/>
      <c r="L1605" s="1509"/>
      <c r="M1605" s="1509">
        <f t="shared" si="238"/>
        <v>0</v>
      </c>
      <c r="N1605" s="1509">
        <f t="shared" si="239"/>
        <v>0</v>
      </c>
    </row>
    <row r="1606" spans="1:14" customFormat="1" ht="29" outlineLevel="1" x14ac:dyDescent="0.25">
      <c r="A1606" s="1511">
        <f t="shared" si="241"/>
        <v>10.1</v>
      </c>
      <c r="B1606" s="1515" t="str">
        <f t="shared" si="241"/>
        <v>Procurement of  HP, IP and LP Turbine  blade set Unit 6,7 Parli Vaijnath.</v>
      </c>
      <c r="C1606" s="1396" t="str">
        <f t="shared" si="241"/>
        <v>Yet to be approved</v>
      </c>
      <c r="D1606" s="1378" t="str">
        <f t="shared" si="241"/>
        <v>-</v>
      </c>
      <c r="E1606" s="1505">
        <f t="shared" si="241"/>
        <v>0</v>
      </c>
      <c r="F1606" s="1509">
        <f t="shared" si="235"/>
        <v>0</v>
      </c>
      <c r="G1606" s="1509">
        <f t="shared" si="236"/>
        <v>0</v>
      </c>
      <c r="H1606" s="1509">
        <f t="shared" si="237"/>
        <v>0</v>
      </c>
      <c r="I1606" s="1509">
        <v>25</v>
      </c>
      <c r="J1606" s="1509">
        <v>25</v>
      </c>
      <c r="K1606" s="1509"/>
      <c r="L1606" s="1509"/>
      <c r="M1606" s="1509">
        <f t="shared" si="238"/>
        <v>25</v>
      </c>
      <c r="N1606" s="1509">
        <f t="shared" si="239"/>
        <v>0</v>
      </c>
    </row>
    <row r="1607" spans="1:14" customFormat="1" outlineLevel="1" x14ac:dyDescent="0.25">
      <c r="A1607" s="1511">
        <f t="shared" si="241"/>
        <v>0</v>
      </c>
      <c r="B1607" s="1515" t="str">
        <f t="shared" si="241"/>
        <v>IDC</v>
      </c>
      <c r="C1607" s="1396" t="str">
        <f t="shared" si="241"/>
        <v>Yet to be approved</v>
      </c>
      <c r="D1607" s="1378" t="str">
        <f t="shared" si="241"/>
        <v>-</v>
      </c>
      <c r="E1607" s="1505">
        <f t="shared" si="241"/>
        <v>0</v>
      </c>
      <c r="F1607" s="1509">
        <f t="shared" si="235"/>
        <v>0</v>
      </c>
      <c r="G1607" s="1509">
        <f t="shared" si="236"/>
        <v>0</v>
      </c>
      <c r="H1607" s="1509">
        <f t="shared" si="237"/>
        <v>0</v>
      </c>
      <c r="I1607" s="1509">
        <v>0</v>
      </c>
      <c r="J1607" s="1509">
        <v>0</v>
      </c>
      <c r="K1607" s="1509"/>
      <c r="L1607" s="1509"/>
      <c r="M1607" s="1509">
        <f t="shared" si="238"/>
        <v>0</v>
      </c>
      <c r="N1607" s="1509">
        <f t="shared" si="239"/>
        <v>0</v>
      </c>
    </row>
    <row r="1608" spans="1:14" customFormat="1" outlineLevel="1" x14ac:dyDescent="0.25">
      <c r="A1608" s="1506">
        <f t="shared" si="241"/>
        <v>11</v>
      </c>
      <c r="B1608" s="1507" t="str">
        <f t="shared" si="241"/>
        <v>DPR on Procurement of  CEP pumps</v>
      </c>
      <c r="C1608" s="1506" t="str">
        <f t="shared" si="241"/>
        <v>Yet to be approved</v>
      </c>
      <c r="D1608" s="1507" t="str">
        <f t="shared" si="241"/>
        <v>-</v>
      </c>
      <c r="E1608" s="1506">
        <f t="shared" si="241"/>
        <v>0</v>
      </c>
      <c r="F1608" s="1509">
        <f t="shared" si="235"/>
        <v>0</v>
      </c>
      <c r="G1608" s="1509">
        <f t="shared" si="236"/>
        <v>0</v>
      </c>
      <c r="H1608" s="1509">
        <f t="shared" si="237"/>
        <v>0</v>
      </c>
      <c r="I1608" s="1509">
        <v>0</v>
      </c>
      <c r="J1608" s="1509">
        <v>0</v>
      </c>
      <c r="K1608" s="1509"/>
      <c r="L1608" s="1509"/>
      <c r="M1608" s="1509">
        <f t="shared" si="238"/>
        <v>0</v>
      </c>
      <c r="N1608" s="1509">
        <f t="shared" si="239"/>
        <v>0</v>
      </c>
    </row>
    <row r="1609" spans="1:14" customFormat="1" outlineLevel="1" x14ac:dyDescent="0.25">
      <c r="A1609" s="1511">
        <f t="shared" si="241"/>
        <v>11.1</v>
      </c>
      <c r="B1609" s="1515" t="str">
        <f t="shared" si="241"/>
        <v>Procurement of  CEP pumps</v>
      </c>
      <c r="C1609" s="1396" t="str">
        <f t="shared" si="241"/>
        <v>Yet to be approved</v>
      </c>
      <c r="D1609" s="1378" t="str">
        <f t="shared" si="241"/>
        <v>-</v>
      </c>
      <c r="E1609" s="1505">
        <f t="shared" si="241"/>
        <v>0</v>
      </c>
      <c r="F1609" s="1509">
        <f t="shared" si="235"/>
        <v>0</v>
      </c>
      <c r="G1609" s="1509">
        <f t="shared" si="236"/>
        <v>0</v>
      </c>
      <c r="H1609" s="1509">
        <f t="shared" si="237"/>
        <v>0</v>
      </c>
      <c r="I1609" s="1509">
        <v>25</v>
      </c>
      <c r="J1609" s="1509">
        <v>25</v>
      </c>
      <c r="K1609" s="1509"/>
      <c r="L1609" s="1509"/>
      <c r="M1609" s="1509">
        <f t="shared" si="238"/>
        <v>25</v>
      </c>
      <c r="N1609" s="1509">
        <f t="shared" si="239"/>
        <v>0</v>
      </c>
    </row>
    <row r="1610" spans="1:14" customFormat="1" outlineLevel="1" x14ac:dyDescent="0.25">
      <c r="A1610" s="1511">
        <f t="shared" si="241"/>
        <v>0</v>
      </c>
      <c r="B1610" s="1515" t="str">
        <f t="shared" si="241"/>
        <v>IDC</v>
      </c>
      <c r="C1610" s="1396" t="str">
        <f t="shared" si="241"/>
        <v>Yet to be approved</v>
      </c>
      <c r="D1610" s="1378" t="str">
        <f t="shared" si="241"/>
        <v>-</v>
      </c>
      <c r="E1610" s="1505">
        <f t="shared" si="241"/>
        <v>0</v>
      </c>
      <c r="F1610" s="1509">
        <f t="shared" si="235"/>
        <v>0</v>
      </c>
      <c r="G1610" s="1509">
        <f t="shared" si="236"/>
        <v>0</v>
      </c>
      <c r="H1610" s="1509">
        <f t="shared" si="237"/>
        <v>0</v>
      </c>
      <c r="I1610" s="1509">
        <v>0</v>
      </c>
      <c r="J1610" s="1509">
        <v>0</v>
      </c>
      <c r="K1610" s="1509"/>
      <c r="L1610" s="1509"/>
      <c r="M1610" s="1509">
        <f t="shared" si="238"/>
        <v>0</v>
      </c>
      <c r="N1610" s="1509">
        <f t="shared" si="239"/>
        <v>0</v>
      </c>
    </row>
    <row r="1611" spans="1:14" customFormat="1" ht="29" outlineLevel="1" x14ac:dyDescent="0.25">
      <c r="A1611" s="1506">
        <f t="shared" si="241"/>
        <v>12</v>
      </c>
      <c r="B1611" s="1507" t="str">
        <f t="shared" si="241"/>
        <v xml:space="preserve">DPR on Retrofitting of NDCT at Unit 6,7 Parli Vaijnath. and Upgradation of existing chiller AC plant for at Unit 7 Parli Vaijnath. </v>
      </c>
      <c r="C1611" s="1506" t="str">
        <f t="shared" si="241"/>
        <v>Yet to be approved</v>
      </c>
      <c r="D1611" s="1507" t="str">
        <f t="shared" si="241"/>
        <v>-</v>
      </c>
      <c r="E1611" s="1506">
        <f t="shared" si="241"/>
        <v>0</v>
      </c>
      <c r="F1611" s="1509">
        <f t="shared" si="235"/>
        <v>0</v>
      </c>
      <c r="G1611" s="1509">
        <f t="shared" si="236"/>
        <v>0</v>
      </c>
      <c r="H1611" s="1509">
        <f t="shared" si="237"/>
        <v>0</v>
      </c>
      <c r="I1611" s="1509">
        <v>0</v>
      </c>
      <c r="J1611" s="1509">
        <v>0</v>
      </c>
      <c r="K1611" s="1509"/>
      <c r="L1611" s="1509"/>
      <c r="M1611" s="1509">
        <f t="shared" si="238"/>
        <v>0</v>
      </c>
      <c r="N1611" s="1509">
        <f t="shared" si="239"/>
        <v>0</v>
      </c>
    </row>
    <row r="1612" spans="1:14" customFormat="1" outlineLevel="1" x14ac:dyDescent="0.25">
      <c r="A1612" s="1511">
        <f t="shared" si="241"/>
        <v>12.1</v>
      </c>
      <c r="B1612" s="1515" t="str">
        <f t="shared" si="241"/>
        <v>Retrofitting of NDCT at Unit 6,7 Parli Vaijnath.</v>
      </c>
      <c r="C1612" s="1396" t="str">
        <f t="shared" si="241"/>
        <v>Yet to be approved</v>
      </c>
      <c r="D1612" s="1378" t="str">
        <f t="shared" si="241"/>
        <v>-</v>
      </c>
      <c r="E1612" s="1505">
        <f t="shared" si="241"/>
        <v>0</v>
      </c>
      <c r="F1612" s="1509">
        <f t="shared" si="235"/>
        <v>0</v>
      </c>
      <c r="G1612" s="1509">
        <f t="shared" si="236"/>
        <v>0</v>
      </c>
      <c r="H1612" s="1509">
        <f t="shared" si="237"/>
        <v>0</v>
      </c>
      <c r="I1612" s="1509">
        <v>25</v>
      </c>
      <c r="J1612" s="1509">
        <v>25</v>
      </c>
      <c r="K1612" s="1509"/>
      <c r="L1612" s="1509"/>
      <c r="M1612" s="1509">
        <f t="shared" si="238"/>
        <v>25</v>
      </c>
      <c r="N1612" s="1509">
        <f t="shared" si="239"/>
        <v>0</v>
      </c>
    </row>
    <row r="1613" spans="1:14" customFormat="1" outlineLevel="1" x14ac:dyDescent="0.25">
      <c r="A1613" s="1511">
        <f t="shared" si="241"/>
        <v>12.2</v>
      </c>
      <c r="B1613" s="1515" t="str">
        <f t="shared" si="241"/>
        <v>Upgradation of existing chiller AC plant for at Unit 7 Parli Vaijnath.</v>
      </c>
      <c r="C1613" s="1396" t="str">
        <f t="shared" si="241"/>
        <v>Yet to be approved</v>
      </c>
      <c r="D1613" s="1378" t="str">
        <f t="shared" si="241"/>
        <v>-</v>
      </c>
      <c r="E1613" s="1505">
        <f t="shared" si="241"/>
        <v>0</v>
      </c>
      <c r="F1613" s="1509">
        <f t="shared" si="235"/>
        <v>0</v>
      </c>
      <c r="G1613" s="1509">
        <f t="shared" si="236"/>
        <v>0</v>
      </c>
      <c r="H1613" s="1509">
        <f t="shared" si="237"/>
        <v>0</v>
      </c>
      <c r="I1613" s="1509">
        <v>9</v>
      </c>
      <c r="J1613" s="1509">
        <v>9</v>
      </c>
      <c r="K1613" s="1509"/>
      <c r="L1613" s="1509"/>
      <c r="M1613" s="1509">
        <f t="shared" si="238"/>
        <v>9</v>
      </c>
      <c r="N1613" s="1509">
        <f t="shared" si="239"/>
        <v>0</v>
      </c>
    </row>
    <row r="1614" spans="1:14" customFormat="1" outlineLevel="1" x14ac:dyDescent="0.25">
      <c r="A1614" s="1511">
        <f t="shared" ref="A1614:E1629" si="242">A1257</f>
        <v>0</v>
      </c>
      <c r="B1614" s="1515" t="str">
        <f t="shared" si="242"/>
        <v>IDC</v>
      </c>
      <c r="C1614" s="1396" t="str">
        <f t="shared" si="242"/>
        <v>Yet to be approved</v>
      </c>
      <c r="D1614" s="1378" t="str">
        <f t="shared" si="242"/>
        <v>-</v>
      </c>
      <c r="E1614" s="1505">
        <f t="shared" si="242"/>
        <v>0</v>
      </c>
      <c r="F1614" s="1509">
        <f t="shared" si="235"/>
        <v>0</v>
      </c>
      <c r="G1614" s="1509">
        <f t="shared" si="236"/>
        <v>0</v>
      </c>
      <c r="H1614" s="1509">
        <f t="shared" si="237"/>
        <v>0</v>
      </c>
      <c r="I1614" s="1509">
        <v>0</v>
      </c>
      <c r="J1614" s="1509">
        <v>0</v>
      </c>
      <c r="K1614" s="1509"/>
      <c r="L1614" s="1509"/>
      <c r="M1614" s="1509">
        <f t="shared" si="238"/>
        <v>0</v>
      </c>
      <c r="N1614" s="1509">
        <f t="shared" si="239"/>
        <v>0</v>
      </c>
    </row>
    <row r="1615" spans="1:14" customFormat="1" outlineLevel="1" x14ac:dyDescent="0.25">
      <c r="A1615" s="1506">
        <f t="shared" si="242"/>
        <v>13</v>
      </c>
      <c r="B1615" s="1507" t="str">
        <f t="shared" si="242"/>
        <v>DPR on various types of coolers at TPS Parli-Vaijnath</v>
      </c>
      <c r="C1615" s="1506" t="str">
        <f t="shared" si="242"/>
        <v>Yet to be approved</v>
      </c>
      <c r="D1615" s="1507" t="str">
        <f t="shared" si="242"/>
        <v>-</v>
      </c>
      <c r="E1615" s="1506">
        <f t="shared" si="242"/>
        <v>0</v>
      </c>
      <c r="F1615" s="1509">
        <f t="shared" si="235"/>
        <v>0</v>
      </c>
      <c r="G1615" s="1509">
        <f t="shared" si="236"/>
        <v>0</v>
      </c>
      <c r="H1615" s="1509">
        <f t="shared" si="237"/>
        <v>0</v>
      </c>
      <c r="I1615" s="1509">
        <v>0</v>
      </c>
      <c r="J1615" s="1509">
        <v>0</v>
      </c>
      <c r="K1615" s="1509"/>
      <c r="L1615" s="1509"/>
      <c r="M1615" s="1509">
        <f t="shared" si="238"/>
        <v>0</v>
      </c>
      <c r="N1615" s="1509">
        <f t="shared" si="239"/>
        <v>0</v>
      </c>
    </row>
    <row r="1616" spans="1:14" customFormat="1" ht="29" outlineLevel="1" x14ac:dyDescent="0.25">
      <c r="A1616" s="1511">
        <f t="shared" si="242"/>
        <v>13.1</v>
      </c>
      <c r="B1616" s="1515" t="str">
        <f t="shared" si="242"/>
        <v>Procurement of H2 cooler, BFP coolers, generator exciter cooler, seal oil coolers at Unit 6,7 Parli Vaijnath.</v>
      </c>
      <c r="C1616" s="1396" t="str">
        <f t="shared" si="242"/>
        <v>Yet to be approved</v>
      </c>
      <c r="D1616" s="1378" t="str">
        <f t="shared" si="242"/>
        <v>-</v>
      </c>
      <c r="E1616" s="1505">
        <f t="shared" si="242"/>
        <v>0</v>
      </c>
      <c r="F1616" s="1509">
        <f t="shared" si="235"/>
        <v>0</v>
      </c>
      <c r="G1616" s="1509">
        <f t="shared" si="236"/>
        <v>0</v>
      </c>
      <c r="H1616" s="1509">
        <f t="shared" si="237"/>
        <v>0</v>
      </c>
      <c r="I1616" s="1509">
        <v>28</v>
      </c>
      <c r="J1616" s="1509">
        <v>28</v>
      </c>
      <c r="K1616" s="1509"/>
      <c r="L1616" s="1509"/>
      <c r="M1616" s="1509">
        <f t="shared" si="238"/>
        <v>28</v>
      </c>
      <c r="N1616" s="1509">
        <f t="shared" si="239"/>
        <v>0</v>
      </c>
    </row>
    <row r="1617" spans="1:14" customFormat="1" outlineLevel="1" x14ac:dyDescent="0.25">
      <c r="A1617" s="1511">
        <f t="shared" si="242"/>
        <v>0</v>
      </c>
      <c r="B1617" s="1515" t="str">
        <f t="shared" si="242"/>
        <v>IDC</v>
      </c>
      <c r="C1617" s="1396" t="str">
        <f t="shared" si="242"/>
        <v>Yet to be approved</v>
      </c>
      <c r="D1617" s="1378" t="str">
        <f t="shared" si="242"/>
        <v>-</v>
      </c>
      <c r="E1617" s="1505">
        <f t="shared" si="242"/>
        <v>0</v>
      </c>
      <c r="F1617" s="1509">
        <f t="shared" si="235"/>
        <v>0</v>
      </c>
      <c r="G1617" s="1509">
        <f t="shared" si="236"/>
        <v>0</v>
      </c>
      <c r="H1617" s="1509">
        <f t="shared" si="237"/>
        <v>0</v>
      </c>
      <c r="I1617" s="1509">
        <v>0</v>
      </c>
      <c r="J1617" s="1509">
        <v>0</v>
      </c>
      <c r="K1617" s="1509"/>
      <c r="L1617" s="1509"/>
      <c r="M1617" s="1509">
        <f t="shared" si="238"/>
        <v>0</v>
      </c>
      <c r="N1617" s="1509">
        <f t="shared" si="239"/>
        <v>0</v>
      </c>
    </row>
    <row r="1618" spans="1:14" customFormat="1" ht="72.5" outlineLevel="1" x14ac:dyDescent="0.25">
      <c r="A1618" s="1506">
        <f t="shared" si="242"/>
        <v>14</v>
      </c>
      <c r="B1618" s="1507" t="str">
        <f t="shared" si="242"/>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1618" s="1506" t="str">
        <f t="shared" si="242"/>
        <v>Yet to be approved</v>
      </c>
      <c r="D1618" s="1507" t="str">
        <f t="shared" si="242"/>
        <v>-</v>
      </c>
      <c r="E1618" s="1506">
        <f t="shared" si="242"/>
        <v>0</v>
      </c>
      <c r="F1618" s="1509">
        <f t="shared" si="235"/>
        <v>0</v>
      </c>
      <c r="G1618" s="1509">
        <f t="shared" si="236"/>
        <v>0</v>
      </c>
      <c r="H1618" s="1509">
        <f t="shared" si="237"/>
        <v>0</v>
      </c>
      <c r="I1618" s="1509">
        <v>0</v>
      </c>
      <c r="J1618" s="1509">
        <v>0</v>
      </c>
      <c r="K1618" s="1509"/>
      <c r="L1618" s="1509"/>
      <c r="M1618" s="1509">
        <f t="shared" si="238"/>
        <v>0</v>
      </c>
      <c r="N1618" s="1509">
        <f t="shared" si="239"/>
        <v>0</v>
      </c>
    </row>
    <row r="1619" spans="1:14" customFormat="1" outlineLevel="1" x14ac:dyDescent="0.25">
      <c r="A1619" s="1511">
        <f t="shared" si="242"/>
        <v>14.1</v>
      </c>
      <c r="B1619" s="1515" t="str">
        <f t="shared" si="242"/>
        <v>Upgradation of screw type compressor at U#7 Parli Vaijnath.</v>
      </c>
      <c r="C1619" s="1396" t="str">
        <f t="shared" si="242"/>
        <v>Yet to be approved</v>
      </c>
      <c r="D1619" s="1378" t="str">
        <f t="shared" si="242"/>
        <v>-</v>
      </c>
      <c r="E1619" s="1505">
        <f t="shared" si="242"/>
        <v>0</v>
      </c>
      <c r="F1619" s="1509">
        <f t="shared" si="235"/>
        <v>0</v>
      </c>
      <c r="G1619" s="1509">
        <f t="shared" si="236"/>
        <v>0</v>
      </c>
      <c r="H1619" s="1509">
        <f t="shared" si="237"/>
        <v>0</v>
      </c>
      <c r="I1619" s="1509">
        <v>11</v>
      </c>
      <c r="J1619" s="1509">
        <v>11</v>
      </c>
      <c r="K1619" s="1509"/>
      <c r="L1619" s="1509"/>
      <c r="M1619" s="1509">
        <f t="shared" si="238"/>
        <v>11</v>
      </c>
      <c r="N1619" s="1509">
        <f t="shared" si="239"/>
        <v>0</v>
      </c>
    </row>
    <row r="1620" spans="1:14" customFormat="1" ht="29" outlineLevel="1" x14ac:dyDescent="0.25">
      <c r="A1620" s="1511">
        <f t="shared" si="242"/>
        <v>14.2</v>
      </c>
      <c r="B1620" s="1515" t="str">
        <f t="shared" si="242"/>
        <v>Supply, erection &amp; commissioning of Fire Fighting pressure system (pneumatic) at unit 6,7 and 8 at PTPS, Parli-V</v>
      </c>
      <c r="C1620" s="1396" t="str">
        <f t="shared" si="242"/>
        <v>Yet to be approved</v>
      </c>
      <c r="D1620" s="1378" t="str">
        <f t="shared" si="242"/>
        <v>-</v>
      </c>
      <c r="E1620" s="1505">
        <f t="shared" si="242"/>
        <v>0</v>
      </c>
      <c r="F1620" s="1509">
        <f t="shared" si="235"/>
        <v>0</v>
      </c>
      <c r="G1620" s="1509">
        <f t="shared" si="236"/>
        <v>0</v>
      </c>
      <c r="H1620" s="1509">
        <f t="shared" si="237"/>
        <v>0</v>
      </c>
      <c r="I1620" s="1509">
        <v>12</v>
      </c>
      <c r="J1620" s="1509">
        <v>12</v>
      </c>
      <c r="K1620" s="1509"/>
      <c r="L1620" s="1509"/>
      <c r="M1620" s="1509">
        <f t="shared" si="238"/>
        <v>12</v>
      </c>
      <c r="N1620" s="1509">
        <f t="shared" si="239"/>
        <v>0</v>
      </c>
    </row>
    <row r="1621" spans="1:14" customFormat="1" ht="29" outlineLevel="1" x14ac:dyDescent="0.25">
      <c r="A1621" s="1511">
        <f t="shared" si="242"/>
        <v>14.3</v>
      </c>
      <c r="B1621" s="1515" t="str">
        <f t="shared" si="242"/>
        <v>Procurement of BFP discharge valve, BFP recirculation valve and gland steam inlet / outlet valves at Unit 6,7 Parli Vaijnath.</v>
      </c>
      <c r="C1621" s="1396" t="str">
        <f t="shared" si="242"/>
        <v>Yet to be approved</v>
      </c>
      <c r="D1621" s="1378" t="str">
        <f t="shared" si="242"/>
        <v>-</v>
      </c>
      <c r="E1621" s="1505">
        <f t="shared" si="242"/>
        <v>0</v>
      </c>
      <c r="F1621" s="1509">
        <f t="shared" si="235"/>
        <v>0</v>
      </c>
      <c r="G1621" s="1509">
        <f t="shared" si="236"/>
        <v>0</v>
      </c>
      <c r="H1621" s="1509">
        <f t="shared" si="237"/>
        <v>0</v>
      </c>
      <c r="I1621" s="1509">
        <v>11</v>
      </c>
      <c r="J1621" s="1509">
        <v>11</v>
      </c>
      <c r="K1621" s="1509"/>
      <c r="L1621" s="1509"/>
      <c r="M1621" s="1509">
        <f t="shared" si="238"/>
        <v>11</v>
      </c>
      <c r="N1621" s="1509">
        <f t="shared" si="239"/>
        <v>0</v>
      </c>
    </row>
    <row r="1622" spans="1:14" customFormat="1" outlineLevel="1" x14ac:dyDescent="0.25">
      <c r="A1622" s="1511">
        <f t="shared" si="242"/>
        <v>0</v>
      </c>
      <c r="B1622" s="1515" t="str">
        <f t="shared" si="242"/>
        <v>IDC</v>
      </c>
      <c r="C1622" s="1396" t="str">
        <f t="shared" si="242"/>
        <v>Yet to be approved</v>
      </c>
      <c r="D1622" s="1378" t="str">
        <f t="shared" si="242"/>
        <v>-</v>
      </c>
      <c r="E1622" s="1505">
        <f t="shared" si="242"/>
        <v>0</v>
      </c>
      <c r="F1622" s="1509">
        <f t="shared" si="235"/>
        <v>0</v>
      </c>
      <c r="G1622" s="1509">
        <f t="shared" si="236"/>
        <v>0</v>
      </c>
      <c r="H1622" s="1509">
        <f t="shared" si="237"/>
        <v>0</v>
      </c>
      <c r="I1622" s="1509">
        <v>0</v>
      </c>
      <c r="J1622" s="1509">
        <v>0</v>
      </c>
      <c r="K1622" s="1509"/>
      <c r="L1622" s="1509"/>
      <c r="M1622" s="1509">
        <f t="shared" si="238"/>
        <v>0</v>
      </c>
      <c r="N1622" s="1509">
        <f t="shared" si="239"/>
        <v>0</v>
      </c>
    </row>
    <row r="1623" spans="1:14" customFormat="1" ht="29" outlineLevel="1" x14ac:dyDescent="0.25">
      <c r="A1623" s="1506">
        <f t="shared" si="242"/>
        <v>15</v>
      </c>
      <c r="B1623" s="1507" t="str">
        <f t="shared" si="242"/>
        <v>COAL HANDLING PLANT PERFORMANCE IMPROVEMENT BY SYSTEM UPGRADATION  AT Unit 6 ,7 CHP ( 2X 250MW), Parli TPS.</v>
      </c>
      <c r="C1623" s="1506" t="str">
        <f t="shared" si="242"/>
        <v>Yet to be approved</v>
      </c>
      <c r="D1623" s="1507" t="str">
        <f t="shared" si="242"/>
        <v>-</v>
      </c>
      <c r="E1623" s="1506">
        <f t="shared" si="242"/>
        <v>0</v>
      </c>
      <c r="F1623" s="1509">
        <f t="shared" si="235"/>
        <v>0</v>
      </c>
      <c r="G1623" s="1509">
        <f t="shared" si="236"/>
        <v>0</v>
      </c>
      <c r="H1623" s="1509">
        <f t="shared" si="237"/>
        <v>0</v>
      </c>
      <c r="I1623" s="1509">
        <v>0</v>
      </c>
      <c r="J1623" s="1509">
        <v>0</v>
      </c>
      <c r="K1623" s="1509"/>
      <c r="L1623" s="1509"/>
      <c r="M1623" s="1509">
        <f t="shared" si="238"/>
        <v>0</v>
      </c>
      <c r="N1623" s="1509">
        <f t="shared" si="239"/>
        <v>0</v>
      </c>
    </row>
    <row r="1624" spans="1:14" customFormat="1" ht="43.5" outlineLevel="1" x14ac:dyDescent="0.25">
      <c r="A1624" s="1511">
        <f t="shared" si="242"/>
        <v>15.1</v>
      </c>
      <c r="B1624" s="1515" t="str">
        <f t="shared" si="242"/>
        <v>Refurbishment of single stream conveyor drives : Procurement of Various types of Gearbox for single stream conveyor drives of 2X 250 MW CHP U6&amp;7 Parli TPS.</v>
      </c>
      <c r="C1624" s="1396" t="str">
        <f t="shared" si="242"/>
        <v>Yet to be approved</v>
      </c>
      <c r="D1624" s="1378" t="str">
        <f t="shared" si="242"/>
        <v>-</v>
      </c>
      <c r="E1624" s="1505">
        <f t="shared" si="242"/>
        <v>0</v>
      </c>
      <c r="F1624" s="1509">
        <f t="shared" si="235"/>
        <v>8.3699999999999992</v>
      </c>
      <c r="G1624" s="1509">
        <f t="shared" si="236"/>
        <v>8.3699999999999992</v>
      </c>
      <c r="H1624" s="1509">
        <f t="shared" si="237"/>
        <v>0</v>
      </c>
      <c r="I1624" s="1509">
        <v>0</v>
      </c>
      <c r="J1624" s="1509">
        <v>0</v>
      </c>
      <c r="K1624" s="1509"/>
      <c r="L1624" s="1509"/>
      <c r="M1624" s="1509">
        <f t="shared" si="238"/>
        <v>0</v>
      </c>
      <c r="N1624" s="1509">
        <f t="shared" si="239"/>
        <v>0</v>
      </c>
    </row>
    <row r="1625" spans="1:14" customFormat="1" ht="43.5" outlineLevel="1" x14ac:dyDescent="0.25">
      <c r="A1625" s="1511">
        <f t="shared" si="242"/>
        <v>15.2</v>
      </c>
      <c r="B1625" s="1515" t="str">
        <f t="shared" si="242"/>
        <v>Refurbishment of single stream conveyor drives : Procurement of Various types of fluid couplings for single stream conveyor drives of 2X 250 MW CHP U6&amp;7 Parli TPS.</v>
      </c>
      <c r="C1625" s="1396" t="str">
        <f t="shared" si="242"/>
        <v>Yet to be approved</v>
      </c>
      <c r="D1625" s="1378" t="str">
        <f t="shared" si="242"/>
        <v>-</v>
      </c>
      <c r="E1625" s="1505">
        <f t="shared" si="242"/>
        <v>0</v>
      </c>
      <c r="F1625" s="1509">
        <f t="shared" si="235"/>
        <v>0.46</v>
      </c>
      <c r="G1625" s="1509">
        <f t="shared" si="236"/>
        <v>0.46</v>
      </c>
      <c r="H1625" s="1509">
        <f t="shared" si="237"/>
        <v>0</v>
      </c>
      <c r="I1625" s="1509">
        <v>0</v>
      </c>
      <c r="J1625" s="1509">
        <v>0</v>
      </c>
      <c r="K1625" s="1509"/>
      <c r="L1625" s="1509"/>
      <c r="M1625" s="1509">
        <f t="shared" si="238"/>
        <v>0</v>
      </c>
      <c r="N1625" s="1509">
        <f t="shared" si="239"/>
        <v>0</v>
      </c>
    </row>
    <row r="1626" spans="1:14" customFormat="1" ht="43.5" outlineLevel="1" x14ac:dyDescent="0.25">
      <c r="A1626" s="1511">
        <f t="shared" si="242"/>
        <v>15.3</v>
      </c>
      <c r="B1626" s="1515" t="str">
        <f t="shared" si="242"/>
        <v xml:space="preserve">Refurbishment of single stream conveyor drives : Procurement of ENERGY EFFICIENT HT MOTORS for single stream conveyor drives of 2X 250 MW CHP U6&amp;7 Parli TPS.      </v>
      </c>
      <c r="C1626" s="1396" t="str">
        <f t="shared" si="242"/>
        <v>Yet to be approved</v>
      </c>
      <c r="D1626" s="1378" t="str">
        <f t="shared" si="242"/>
        <v>-</v>
      </c>
      <c r="E1626" s="1505">
        <f t="shared" si="242"/>
        <v>0</v>
      </c>
      <c r="F1626" s="1509">
        <f t="shared" si="235"/>
        <v>2.87</v>
      </c>
      <c r="G1626" s="1509">
        <f t="shared" si="236"/>
        <v>2.87</v>
      </c>
      <c r="H1626" s="1509">
        <f t="shared" si="237"/>
        <v>0</v>
      </c>
      <c r="I1626" s="1509">
        <v>0</v>
      </c>
      <c r="J1626" s="1509">
        <v>0</v>
      </c>
      <c r="K1626" s="1509"/>
      <c r="L1626" s="1509"/>
      <c r="M1626" s="1509">
        <f t="shared" si="238"/>
        <v>0</v>
      </c>
      <c r="N1626" s="1509">
        <f t="shared" si="239"/>
        <v>0</v>
      </c>
    </row>
    <row r="1627" spans="1:14" customFormat="1" ht="43.5" outlineLevel="1" x14ac:dyDescent="0.25">
      <c r="A1627" s="1511">
        <f t="shared" si="242"/>
        <v>15.4</v>
      </c>
      <c r="B1627" s="1515" t="str">
        <f t="shared" si="242"/>
        <v>Refurbishment of single stream conveyor drives :  Procurement of HT vacuum circuit breakers for single stream conveyor drives of 2X 250 MW CHP U6&amp;7 Parli TPS.</v>
      </c>
      <c r="C1627" s="1396" t="str">
        <f t="shared" si="242"/>
        <v>Yet to be approved</v>
      </c>
      <c r="D1627" s="1378" t="str">
        <f t="shared" si="242"/>
        <v>-</v>
      </c>
      <c r="E1627" s="1505">
        <f t="shared" si="242"/>
        <v>0</v>
      </c>
      <c r="F1627" s="1509">
        <f t="shared" si="235"/>
        <v>0.78</v>
      </c>
      <c r="G1627" s="1509">
        <f t="shared" si="236"/>
        <v>0.78</v>
      </c>
      <c r="H1627" s="1509">
        <f t="shared" si="237"/>
        <v>0</v>
      </c>
      <c r="I1627" s="1509">
        <v>0</v>
      </c>
      <c r="J1627" s="1509">
        <v>0</v>
      </c>
      <c r="K1627" s="1509"/>
      <c r="L1627" s="1509"/>
      <c r="M1627" s="1509">
        <f t="shared" si="238"/>
        <v>0</v>
      </c>
      <c r="N1627" s="1509">
        <f t="shared" si="239"/>
        <v>0</v>
      </c>
    </row>
    <row r="1628" spans="1:14" customFormat="1" ht="29" outlineLevel="1" x14ac:dyDescent="0.25">
      <c r="A1628" s="1511">
        <f t="shared" si="242"/>
        <v>15.5</v>
      </c>
      <c r="B1628" s="1515" t="str">
        <f t="shared" si="242"/>
        <v xml:space="preserve">Supply, Erection &amp; Commissioning of street light from U6/7 railway gate to loco shed of CHP U6/7 NPTPS Parli-V </v>
      </c>
      <c r="C1628" s="1396" t="str">
        <f t="shared" si="242"/>
        <v>Yet to be approved</v>
      </c>
      <c r="D1628" s="1378" t="str">
        <f t="shared" si="242"/>
        <v>-</v>
      </c>
      <c r="E1628" s="1505">
        <f t="shared" si="242"/>
        <v>0</v>
      </c>
      <c r="F1628" s="1509">
        <f t="shared" si="235"/>
        <v>1.25</v>
      </c>
      <c r="G1628" s="1509">
        <f t="shared" si="236"/>
        <v>1.25</v>
      </c>
      <c r="H1628" s="1509">
        <f t="shared" si="237"/>
        <v>0</v>
      </c>
      <c r="I1628" s="1509">
        <v>0</v>
      </c>
      <c r="J1628" s="1509">
        <v>0</v>
      </c>
      <c r="K1628" s="1509"/>
      <c r="L1628" s="1509"/>
      <c r="M1628" s="1509">
        <f t="shared" si="238"/>
        <v>0</v>
      </c>
      <c r="N1628" s="1509">
        <f t="shared" si="239"/>
        <v>0</v>
      </c>
    </row>
    <row r="1629" spans="1:14" customFormat="1" outlineLevel="1" x14ac:dyDescent="0.25">
      <c r="A1629" s="1511">
        <f t="shared" si="242"/>
        <v>15.6</v>
      </c>
      <c r="B1629" s="1515" t="str">
        <f t="shared" si="242"/>
        <v>Strengthening of U-6 Bunkers at CHP NPTPS</v>
      </c>
      <c r="C1629" s="1396" t="str">
        <f t="shared" si="242"/>
        <v>Yet to be approved</v>
      </c>
      <c r="D1629" s="1378" t="str">
        <f t="shared" si="242"/>
        <v>-</v>
      </c>
      <c r="E1629" s="1505">
        <f t="shared" si="242"/>
        <v>0</v>
      </c>
      <c r="F1629" s="1509">
        <f t="shared" si="235"/>
        <v>8.7899999999999991</v>
      </c>
      <c r="G1629" s="1509">
        <f t="shared" si="236"/>
        <v>8.7899999999999991</v>
      </c>
      <c r="H1629" s="1509">
        <f t="shared" si="237"/>
        <v>0</v>
      </c>
      <c r="I1629" s="1509">
        <v>0</v>
      </c>
      <c r="J1629" s="1509">
        <v>0</v>
      </c>
      <c r="K1629" s="1509"/>
      <c r="L1629" s="1509"/>
      <c r="M1629" s="1509">
        <f t="shared" si="238"/>
        <v>0</v>
      </c>
      <c r="N1629" s="1509">
        <f t="shared" si="239"/>
        <v>0</v>
      </c>
    </row>
    <row r="1630" spans="1:14" customFormat="1" ht="29" outlineLevel="1" x14ac:dyDescent="0.25">
      <c r="A1630" s="1511">
        <f t="shared" ref="A1630:E1645" si="243">A1273</f>
        <v>15.7</v>
      </c>
      <c r="B1630" s="1515" t="str">
        <f t="shared" si="243"/>
        <v>Supply and commissioning of Suspended Magnets for U-6,7 CHP NPTPS</v>
      </c>
      <c r="C1630" s="1396" t="str">
        <f t="shared" si="243"/>
        <v>Yet to be approved</v>
      </c>
      <c r="D1630" s="1378" t="str">
        <f t="shared" si="243"/>
        <v>-</v>
      </c>
      <c r="E1630" s="1505">
        <f t="shared" si="243"/>
        <v>0</v>
      </c>
      <c r="F1630" s="1509">
        <f t="shared" ref="F1630:F1693" si="244">F1273+I1273</f>
        <v>2.5499999999999998</v>
      </c>
      <c r="G1630" s="1509">
        <f t="shared" ref="G1630:G1693" si="245">G1273+M1273</f>
        <v>2.5499999999999998</v>
      </c>
      <c r="H1630" s="1509">
        <f t="shared" si="237"/>
        <v>0</v>
      </c>
      <c r="I1630" s="1509">
        <v>0</v>
      </c>
      <c r="J1630" s="1509">
        <v>0</v>
      </c>
      <c r="K1630" s="1509"/>
      <c r="L1630" s="1509"/>
      <c r="M1630" s="1509">
        <f t="shared" si="238"/>
        <v>0</v>
      </c>
      <c r="N1630" s="1509">
        <f t="shared" si="239"/>
        <v>0</v>
      </c>
    </row>
    <row r="1631" spans="1:14" customFormat="1" ht="29" outlineLevel="1" x14ac:dyDescent="0.25">
      <c r="A1631" s="1511">
        <f t="shared" si="243"/>
        <v>15.8</v>
      </c>
      <c r="B1631" s="1515" t="str">
        <f t="shared" si="243"/>
        <v>Modification of 60 KG rail track with laying crossover turnout at NMVP sliding CHP NPTPS</v>
      </c>
      <c r="C1631" s="1396" t="str">
        <f t="shared" si="243"/>
        <v>Yet to be approved</v>
      </c>
      <c r="D1631" s="1378" t="str">
        <f t="shared" si="243"/>
        <v>-</v>
      </c>
      <c r="E1631" s="1505">
        <f t="shared" si="243"/>
        <v>0</v>
      </c>
      <c r="F1631" s="1509">
        <f t="shared" si="244"/>
        <v>4.75</v>
      </c>
      <c r="G1631" s="1509">
        <f t="shared" si="245"/>
        <v>4.75</v>
      </c>
      <c r="H1631" s="1509">
        <f t="shared" ref="H1631:H1694" si="246">F1631-G1631</f>
        <v>0</v>
      </c>
      <c r="I1631" s="1509">
        <v>0</v>
      </c>
      <c r="J1631" s="1509">
        <v>0</v>
      </c>
      <c r="K1631" s="1509"/>
      <c r="L1631" s="1509"/>
      <c r="M1631" s="1509">
        <f t="shared" ref="M1631:M1694" si="247">SUM(J1631:L1631)</f>
        <v>0</v>
      </c>
      <c r="N1631" s="1509">
        <f t="shared" ref="N1631:N1694" si="248">H1631+I1631-M1631</f>
        <v>0</v>
      </c>
    </row>
    <row r="1632" spans="1:14" customFormat="1" outlineLevel="1" x14ac:dyDescent="0.25">
      <c r="A1632" s="1511">
        <f t="shared" si="243"/>
        <v>0</v>
      </c>
      <c r="B1632" s="1515" t="str">
        <f t="shared" si="243"/>
        <v>IDC</v>
      </c>
      <c r="C1632" s="1396" t="str">
        <f t="shared" si="243"/>
        <v>Yet to be approved</v>
      </c>
      <c r="D1632" s="1378" t="str">
        <f t="shared" si="243"/>
        <v>-</v>
      </c>
      <c r="E1632" s="1505">
        <f t="shared" si="243"/>
        <v>0</v>
      </c>
      <c r="F1632" s="1509">
        <f t="shared" si="244"/>
        <v>0</v>
      </c>
      <c r="G1632" s="1509">
        <f t="shared" si="245"/>
        <v>0</v>
      </c>
      <c r="H1632" s="1509">
        <f t="shared" si="246"/>
        <v>0</v>
      </c>
      <c r="I1632" s="1509">
        <v>0</v>
      </c>
      <c r="J1632" s="1509">
        <v>0</v>
      </c>
      <c r="K1632" s="1509"/>
      <c r="L1632" s="1509"/>
      <c r="M1632" s="1509">
        <f t="shared" si="247"/>
        <v>0</v>
      </c>
      <c r="N1632" s="1509">
        <f t="shared" si="248"/>
        <v>0</v>
      </c>
    </row>
    <row r="1633" spans="1:14" customFormat="1" ht="29" outlineLevel="1" x14ac:dyDescent="0.25">
      <c r="A1633" s="1506">
        <f t="shared" si="243"/>
        <v>16</v>
      </c>
      <c r="B1633" s="1507" t="str">
        <f t="shared" si="243"/>
        <v>DPR for normalization and stabilization of coal handling plant performance at Parli TPS</v>
      </c>
      <c r="C1633" s="1506">
        <f t="shared" si="243"/>
        <v>0</v>
      </c>
      <c r="D1633" s="1507" t="str">
        <f t="shared" si="243"/>
        <v>-</v>
      </c>
      <c r="E1633" s="1506">
        <f t="shared" si="243"/>
        <v>0</v>
      </c>
      <c r="F1633" s="1509">
        <f t="shared" si="244"/>
        <v>0</v>
      </c>
      <c r="G1633" s="1509">
        <f t="shared" si="245"/>
        <v>0</v>
      </c>
      <c r="H1633" s="1509">
        <f t="shared" si="246"/>
        <v>0</v>
      </c>
      <c r="I1633" s="1509">
        <v>0</v>
      </c>
      <c r="J1633" s="1509">
        <v>0</v>
      </c>
      <c r="K1633" s="1509"/>
      <c r="L1633" s="1509"/>
      <c r="M1633" s="1509">
        <f t="shared" si="247"/>
        <v>0</v>
      </c>
      <c r="N1633" s="1509">
        <f t="shared" si="248"/>
        <v>0</v>
      </c>
    </row>
    <row r="1634" spans="1:14" customFormat="1" outlineLevel="1" x14ac:dyDescent="0.25">
      <c r="A1634" s="1511">
        <f t="shared" si="243"/>
        <v>16.100000000000001</v>
      </c>
      <c r="B1634" s="1515" t="str">
        <f t="shared" si="243"/>
        <v>Procurement of U-6,7 W/T Major spares</v>
      </c>
      <c r="C1634" s="1396" t="str">
        <f t="shared" si="243"/>
        <v>Yet to be approved</v>
      </c>
      <c r="D1634" s="1378" t="str">
        <f t="shared" si="243"/>
        <v>-</v>
      </c>
      <c r="E1634" s="1505">
        <f t="shared" si="243"/>
        <v>0</v>
      </c>
      <c r="F1634" s="1509">
        <f t="shared" si="244"/>
        <v>0</v>
      </c>
      <c r="G1634" s="1509">
        <f t="shared" si="245"/>
        <v>0</v>
      </c>
      <c r="H1634" s="1509">
        <f t="shared" si="246"/>
        <v>0</v>
      </c>
      <c r="I1634" s="1509">
        <v>10</v>
      </c>
      <c r="J1634" s="1509">
        <v>10</v>
      </c>
      <c r="K1634" s="1509"/>
      <c r="L1634" s="1509"/>
      <c r="M1634" s="1509">
        <f t="shared" si="247"/>
        <v>10</v>
      </c>
      <c r="N1634" s="1509">
        <f t="shared" si="248"/>
        <v>0</v>
      </c>
    </row>
    <row r="1635" spans="1:14" customFormat="1" outlineLevel="1" x14ac:dyDescent="0.25">
      <c r="A1635" s="1511">
        <f t="shared" si="243"/>
        <v>16.2</v>
      </c>
      <c r="B1635" s="1515" t="str">
        <f t="shared" si="243"/>
        <v>Supply of impact crusher major spares for CHP U-6/7</v>
      </c>
      <c r="C1635" s="1396" t="str">
        <f t="shared" si="243"/>
        <v>Yet to be approved</v>
      </c>
      <c r="D1635" s="1378" t="str">
        <f t="shared" si="243"/>
        <v>-</v>
      </c>
      <c r="E1635" s="1505">
        <f t="shared" si="243"/>
        <v>0</v>
      </c>
      <c r="F1635" s="1509">
        <f t="shared" si="244"/>
        <v>0</v>
      </c>
      <c r="G1635" s="1509">
        <f t="shared" si="245"/>
        <v>0</v>
      </c>
      <c r="H1635" s="1509">
        <f t="shared" si="246"/>
        <v>0</v>
      </c>
      <c r="I1635" s="1509">
        <v>5</v>
      </c>
      <c r="J1635" s="1509">
        <v>5</v>
      </c>
      <c r="K1635" s="1509"/>
      <c r="L1635" s="1509"/>
      <c r="M1635" s="1509">
        <f t="shared" si="247"/>
        <v>5</v>
      </c>
      <c r="N1635" s="1509">
        <f t="shared" si="248"/>
        <v>0</v>
      </c>
    </row>
    <row r="1636" spans="1:14" customFormat="1" outlineLevel="1" x14ac:dyDescent="0.25">
      <c r="A1636" s="1511">
        <f t="shared" si="243"/>
        <v>16.3</v>
      </c>
      <c r="B1636" s="1515" t="str">
        <f t="shared" si="243"/>
        <v>Provision of Soft starter / VFD for Various conveyor</v>
      </c>
      <c r="C1636" s="1396" t="str">
        <f t="shared" si="243"/>
        <v>Yet to be approved</v>
      </c>
      <c r="D1636" s="1378" t="str">
        <f t="shared" si="243"/>
        <v>-</v>
      </c>
      <c r="E1636" s="1505">
        <f t="shared" si="243"/>
        <v>0</v>
      </c>
      <c r="F1636" s="1509">
        <f t="shared" si="244"/>
        <v>0</v>
      </c>
      <c r="G1636" s="1509">
        <f t="shared" si="245"/>
        <v>0</v>
      </c>
      <c r="H1636" s="1509">
        <f t="shared" si="246"/>
        <v>0</v>
      </c>
      <c r="I1636" s="1509">
        <v>8</v>
      </c>
      <c r="J1636" s="1509">
        <v>8</v>
      </c>
      <c r="K1636" s="1509"/>
      <c r="L1636" s="1509"/>
      <c r="M1636" s="1509">
        <f t="shared" si="247"/>
        <v>8</v>
      </c>
      <c r="N1636" s="1509">
        <f t="shared" si="248"/>
        <v>0</v>
      </c>
    </row>
    <row r="1637" spans="1:14" customFormat="1" outlineLevel="1" x14ac:dyDescent="0.25">
      <c r="A1637" s="1511">
        <f t="shared" si="243"/>
        <v>16.399999999999999</v>
      </c>
      <c r="B1637" s="1515" t="str">
        <f t="shared" si="243"/>
        <v>Upgradation of siemens make PLC at U-6/7.</v>
      </c>
      <c r="C1637" s="1396" t="str">
        <f t="shared" si="243"/>
        <v>Yet to be approved</v>
      </c>
      <c r="D1637" s="1378" t="str">
        <f t="shared" si="243"/>
        <v>-</v>
      </c>
      <c r="E1637" s="1505">
        <f t="shared" si="243"/>
        <v>0</v>
      </c>
      <c r="F1637" s="1509">
        <f t="shared" si="244"/>
        <v>0</v>
      </c>
      <c r="G1637" s="1509">
        <f t="shared" si="245"/>
        <v>0</v>
      </c>
      <c r="H1637" s="1509">
        <f t="shared" si="246"/>
        <v>0</v>
      </c>
      <c r="I1637" s="1509">
        <v>8</v>
      </c>
      <c r="J1637" s="1509">
        <v>8</v>
      </c>
      <c r="K1637" s="1509"/>
      <c r="L1637" s="1509"/>
      <c r="M1637" s="1509">
        <f t="shared" si="247"/>
        <v>8</v>
      </c>
      <c r="N1637" s="1509">
        <f t="shared" si="248"/>
        <v>0</v>
      </c>
    </row>
    <row r="1638" spans="1:14" customFormat="1" outlineLevel="1" x14ac:dyDescent="0.25">
      <c r="A1638" s="1511">
        <f t="shared" si="243"/>
        <v>16.5</v>
      </c>
      <c r="B1638" s="1515" t="str">
        <f t="shared" si="243"/>
        <v>Procurement of U-6/7 Stacker reclaimer major spares</v>
      </c>
      <c r="C1638" s="1396" t="str">
        <f t="shared" si="243"/>
        <v>Yet to be approved</v>
      </c>
      <c r="D1638" s="1378" t="str">
        <f t="shared" si="243"/>
        <v>-</v>
      </c>
      <c r="E1638" s="1505">
        <f t="shared" si="243"/>
        <v>0</v>
      </c>
      <c r="F1638" s="1509">
        <f t="shared" si="244"/>
        <v>0</v>
      </c>
      <c r="G1638" s="1509">
        <f t="shared" si="245"/>
        <v>0</v>
      </c>
      <c r="H1638" s="1509">
        <f t="shared" si="246"/>
        <v>0</v>
      </c>
      <c r="I1638" s="1509">
        <v>12</v>
      </c>
      <c r="J1638" s="1509">
        <v>12</v>
      </c>
      <c r="K1638" s="1509"/>
      <c r="L1638" s="1509"/>
      <c r="M1638" s="1509">
        <f t="shared" si="247"/>
        <v>12</v>
      </c>
      <c r="N1638" s="1509">
        <f t="shared" si="248"/>
        <v>0</v>
      </c>
    </row>
    <row r="1639" spans="1:14" customFormat="1" ht="29" outlineLevel="1" x14ac:dyDescent="0.25">
      <c r="A1639" s="1511">
        <f t="shared" si="243"/>
        <v>16.600000000000001</v>
      </c>
      <c r="B1639" s="1515" t="str">
        <f t="shared" si="243"/>
        <v>Design, supply and commissioning of solar operated lighting system in CHP  U-6,7</v>
      </c>
      <c r="C1639" s="1396" t="str">
        <f t="shared" si="243"/>
        <v>Yet to be approved</v>
      </c>
      <c r="D1639" s="1378" t="str">
        <f t="shared" si="243"/>
        <v>-</v>
      </c>
      <c r="E1639" s="1505">
        <f t="shared" si="243"/>
        <v>0</v>
      </c>
      <c r="F1639" s="1509">
        <f t="shared" si="244"/>
        <v>0</v>
      </c>
      <c r="G1639" s="1509">
        <f t="shared" si="245"/>
        <v>0</v>
      </c>
      <c r="H1639" s="1509">
        <f t="shared" si="246"/>
        <v>0</v>
      </c>
      <c r="I1639" s="1509">
        <v>15</v>
      </c>
      <c r="J1639" s="1509">
        <v>15</v>
      </c>
      <c r="K1639" s="1509"/>
      <c r="L1639" s="1509"/>
      <c r="M1639" s="1509">
        <f t="shared" si="247"/>
        <v>15</v>
      </c>
      <c r="N1639" s="1509">
        <f t="shared" si="248"/>
        <v>0</v>
      </c>
    </row>
    <row r="1640" spans="1:14" customFormat="1" outlineLevel="1" x14ac:dyDescent="0.25">
      <c r="A1640" s="1511">
        <f t="shared" si="243"/>
        <v>16.7</v>
      </c>
      <c r="B1640" s="1515" t="str">
        <f t="shared" si="243"/>
        <v>Installation of CCTV survillance system alongwith all conveyors.</v>
      </c>
      <c r="C1640" s="1396" t="str">
        <f t="shared" si="243"/>
        <v>Yet to be approved</v>
      </c>
      <c r="D1640" s="1378" t="str">
        <f t="shared" si="243"/>
        <v>-</v>
      </c>
      <c r="E1640" s="1505">
        <f t="shared" si="243"/>
        <v>0</v>
      </c>
      <c r="F1640" s="1509">
        <f t="shared" si="244"/>
        <v>0</v>
      </c>
      <c r="G1640" s="1509">
        <f t="shared" si="245"/>
        <v>0</v>
      </c>
      <c r="H1640" s="1509">
        <f t="shared" si="246"/>
        <v>0</v>
      </c>
      <c r="I1640" s="1509">
        <v>4</v>
      </c>
      <c r="J1640" s="1509">
        <v>4</v>
      </c>
      <c r="K1640" s="1509"/>
      <c r="L1640" s="1509"/>
      <c r="M1640" s="1509">
        <f t="shared" si="247"/>
        <v>4</v>
      </c>
      <c r="N1640" s="1509">
        <f t="shared" si="248"/>
        <v>0</v>
      </c>
    </row>
    <row r="1641" spans="1:14" customFormat="1" ht="29" outlineLevel="1" x14ac:dyDescent="0.25">
      <c r="A1641" s="1511">
        <f t="shared" si="243"/>
        <v>16.8</v>
      </c>
      <c r="B1641" s="1515" t="str">
        <f t="shared" si="243"/>
        <v xml:space="preserve"> Upgradation / Retrofication of Bunker Lifts of Unit-6 &amp; Unit-7 at CHP TPS Parli-V.</v>
      </c>
      <c r="C1641" s="1396" t="str">
        <f t="shared" si="243"/>
        <v>Yet to be approved</v>
      </c>
      <c r="D1641" s="1378" t="str">
        <f t="shared" si="243"/>
        <v>-</v>
      </c>
      <c r="E1641" s="1505">
        <f t="shared" si="243"/>
        <v>0</v>
      </c>
      <c r="F1641" s="1509">
        <f t="shared" si="244"/>
        <v>0</v>
      </c>
      <c r="G1641" s="1509">
        <f t="shared" si="245"/>
        <v>0</v>
      </c>
      <c r="H1641" s="1509">
        <f t="shared" si="246"/>
        <v>0</v>
      </c>
      <c r="I1641" s="1509">
        <v>3.25</v>
      </c>
      <c r="J1641" s="1509">
        <v>3.25</v>
      </c>
      <c r="K1641" s="1509"/>
      <c r="L1641" s="1509"/>
      <c r="M1641" s="1509">
        <f t="shared" si="247"/>
        <v>3.25</v>
      </c>
      <c r="N1641" s="1509">
        <f t="shared" si="248"/>
        <v>0</v>
      </c>
    </row>
    <row r="1642" spans="1:14" customFormat="1" outlineLevel="1" x14ac:dyDescent="0.25">
      <c r="A1642" s="1511">
        <f t="shared" si="243"/>
        <v>0</v>
      </c>
      <c r="B1642" s="1515" t="str">
        <f t="shared" si="243"/>
        <v>IDC</v>
      </c>
      <c r="C1642" s="1396" t="str">
        <f t="shared" si="243"/>
        <v>Yet to be approved</v>
      </c>
      <c r="D1642" s="1378" t="str">
        <f t="shared" si="243"/>
        <v>-</v>
      </c>
      <c r="E1642" s="1505">
        <f t="shared" si="243"/>
        <v>0</v>
      </c>
      <c r="F1642" s="1509">
        <f t="shared" si="244"/>
        <v>0</v>
      </c>
      <c r="G1642" s="1509">
        <f t="shared" si="245"/>
        <v>0</v>
      </c>
      <c r="H1642" s="1509">
        <f t="shared" si="246"/>
        <v>0</v>
      </c>
      <c r="I1642" s="1509">
        <v>0</v>
      </c>
      <c r="J1642" s="1509">
        <v>0</v>
      </c>
      <c r="K1642" s="1509"/>
      <c r="L1642" s="1509"/>
      <c r="M1642" s="1509">
        <f t="shared" si="247"/>
        <v>0</v>
      </c>
      <c r="N1642" s="1509">
        <f t="shared" si="248"/>
        <v>0</v>
      </c>
    </row>
    <row r="1643" spans="1:14" customFormat="1" outlineLevel="1" x14ac:dyDescent="0.25">
      <c r="A1643" s="1506">
        <f t="shared" si="243"/>
        <v>17</v>
      </c>
      <c r="B1643" s="1507" t="str">
        <f t="shared" si="243"/>
        <v>DPR for maximiation of Coal Handling Plant efficiency.</v>
      </c>
      <c r="C1643" s="1506" t="str">
        <f t="shared" si="243"/>
        <v>Yet to be approved</v>
      </c>
      <c r="D1643" s="1507" t="str">
        <f t="shared" si="243"/>
        <v>-</v>
      </c>
      <c r="E1643" s="1506">
        <f t="shared" si="243"/>
        <v>0</v>
      </c>
      <c r="F1643" s="1509">
        <f t="shared" si="244"/>
        <v>0</v>
      </c>
      <c r="G1643" s="1509">
        <f t="shared" si="245"/>
        <v>0</v>
      </c>
      <c r="H1643" s="1509">
        <f t="shared" si="246"/>
        <v>0</v>
      </c>
      <c r="I1643" s="1509">
        <v>0</v>
      </c>
      <c r="J1643" s="1509">
        <v>0</v>
      </c>
      <c r="K1643" s="1509"/>
      <c r="L1643" s="1509"/>
      <c r="M1643" s="1509">
        <f t="shared" si="247"/>
        <v>0</v>
      </c>
      <c r="N1643" s="1509">
        <f t="shared" si="248"/>
        <v>0</v>
      </c>
    </row>
    <row r="1644" spans="1:14" customFormat="1" outlineLevel="1" x14ac:dyDescent="0.25">
      <c r="A1644" s="1511">
        <f t="shared" si="243"/>
        <v>17.100000000000001</v>
      </c>
      <c r="B1644" s="1515" t="str">
        <f t="shared" si="243"/>
        <v>W/T control room &amp; bunker house battery &amp; UPS upgradation</v>
      </c>
      <c r="C1644" s="1396" t="str">
        <f t="shared" si="243"/>
        <v>Yet to be approved</v>
      </c>
      <c r="D1644" s="1378" t="str">
        <f t="shared" si="243"/>
        <v>-</v>
      </c>
      <c r="E1644" s="1505">
        <f t="shared" si="243"/>
        <v>0</v>
      </c>
      <c r="F1644" s="1509">
        <f t="shared" si="244"/>
        <v>0</v>
      </c>
      <c r="G1644" s="1509">
        <f t="shared" si="245"/>
        <v>0</v>
      </c>
      <c r="H1644" s="1509">
        <f t="shared" si="246"/>
        <v>0</v>
      </c>
      <c r="I1644" s="1509">
        <v>0</v>
      </c>
      <c r="J1644" s="1509">
        <v>0</v>
      </c>
      <c r="K1644" s="1509"/>
      <c r="L1644" s="1509"/>
      <c r="M1644" s="1509">
        <f t="shared" si="247"/>
        <v>0</v>
      </c>
      <c r="N1644" s="1509">
        <f t="shared" si="248"/>
        <v>0</v>
      </c>
    </row>
    <row r="1645" spans="1:14" customFormat="1" outlineLevel="1" x14ac:dyDescent="0.25">
      <c r="A1645" s="1511">
        <f t="shared" si="243"/>
        <v>17.2</v>
      </c>
      <c r="B1645" s="1515" t="str">
        <f t="shared" si="243"/>
        <v>Provision of Soft starter / VFD for Various conveyor</v>
      </c>
      <c r="C1645" s="1396" t="str">
        <f t="shared" si="243"/>
        <v>Yet to be approved</v>
      </c>
      <c r="D1645" s="1378" t="str">
        <f t="shared" si="243"/>
        <v>-</v>
      </c>
      <c r="E1645" s="1505">
        <f t="shared" si="243"/>
        <v>0</v>
      </c>
      <c r="F1645" s="1509">
        <f t="shared" si="244"/>
        <v>0</v>
      </c>
      <c r="G1645" s="1509">
        <f t="shared" si="245"/>
        <v>0</v>
      </c>
      <c r="H1645" s="1509">
        <f t="shared" si="246"/>
        <v>0</v>
      </c>
      <c r="I1645" s="1509">
        <v>0</v>
      </c>
      <c r="J1645" s="1509">
        <v>0</v>
      </c>
      <c r="K1645" s="1509"/>
      <c r="L1645" s="1509"/>
      <c r="M1645" s="1509">
        <f t="shared" si="247"/>
        <v>0</v>
      </c>
      <c r="N1645" s="1509">
        <f t="shared" si="248"/>
        <v>0</v>
      </c>
    </row>
    <row r="1646" spans="1:14" customFormat="1" ht="29" outlineLevel="1" x14ac:dyDescent="0.25">
      <c r="A1646" s="1511">
        <f t="shared" ref="A1646:E1661" si="249">A1289</f>
        <v>17.3</v>
      </c>
      <c r="B1646" s="1515" t="str">
        <f t="shared" si="249"/>
        <v>Structure Strengthening of Conveyor NO. 3 and Stacker Reclaimer Rail at U-6/7 CHP</v>
      </c>
      <c r="C1646" s="1396" t="str">
        <f t="shared" si="249"/>
        <v>Yet to be approved</v>
      </c>
      <c r="D1646" s="1378" t="str">
        <f t="shared" si="249"/>
        <v>-</v>
      </c>
      <c r="E1646" s="1505">
        <f t="shared" si="249"/>
        <v>0</v>
      </c>
      <c r="F1646" s="1509">
        <f t="shared" si="244"/>
        <v>0</v>
      </c>
      <c r="G1646" s="1509">
        <f t="shared" si="245"/>
        <v>0</v>
      </c>
      <c r="H1646" s="1509">
        <f t="shared" si="246"/>
        <v>0</v>
      </c>
      <c r="I1646" s="1509">
        <v>0</v>
      </c>
      <c r="J1646" s="1509">
        <v>0</v>
      </c>
      <c r="K1646" s="1509"/>
      <c r="L1646" s="1509"/>
      <c r="M1646" s="1509">
        <f t="shared" si="247"/>
        <v>0</v>
      </c>
      <c r="N1646" s="1509">
        <f t="shared" si="248"/>
        <v>0</v>
      </c>
    </row>
    <row r="1647" spans="1:14" customFormat="1" outlineLevel="1" x14ac:dyDescent="0.25">
      <c r="A1647" s="1511">
        <f t="shared" si="249"/>
        <v>17.399999999999999</v>
      </c>
      <c r="B1647" s="1515" t="str">
        <f t="shared" si="249"/>
        <v>Modernization/modification of Conveyor HT/LT cables at U-6/7 CHP.</v>
      </c>
      <c r="C1647" s="1396" t="str">
        <f t="shared" si="249"/>
        <v>Yet to be approved</v>
      </c>
      <c r="D1647" s="1378" t="str">
        <f t="shared" si="249"/>
        <v>-</v>
      </c>
      <c r="E1647" s="1505">
        <f t="shared" si="249"/>
        <v>0</v>
      </c>
      <c r="F1647" s="1509">
        <f t="shared" si="244"/>
        <v>0</v>
      </c>
      <c r="G1647" s="1509">
        <f t="shared" si="245"/>
        <v>0</v>
      </c>
      <c r="H1647" s="1509">
        <f t="shared" si="246"/>
        <v>0</v>
      </c>
      <c r="I1647" s="1509">
        <v>0</v>
      </c>
      <c r="J1647" s="1509">
        <v>0</v>
      </c>
      <c r="K1647" s="1509"/>
      <c r="L1647" s="1509"/>
      <c r="M1647" s="1509">
        <f t="shared" si="247"/>
        <v>0</v>
      </c>
      <c r="N1647" s="1509">
        <f t="shared" si="248"/>
        <v>0</v>
      </c>
    </row>
    <row r="1648" spans="1:14" customFormat="1" ht="29" outlineLevel="1" x14ac:dyDescent="0.25">
      <c r="A1648" s="1511">
        <f t="shared" si="249"/>
        <v>17.5</v>
      </c>
      <c r="B1648" s="1515" t="str">
        <f t="shared" si="249"/>
        <v>Modernization of EOT cranes and Hoist at various junction tower and various location of CHP U-6/7</v>
      </c>
      <c r="C1648" s="1396" t="str">
        <f t="shared" si="249"/>
        <v>Yet to be approved</v>
      </c>
      <c r="D1648" s="1378" t="str">
        <f t="shared" si="249"/>
        <v>-</v>
      </c>
      <c r="E1648" s="1505">
        <f t="shared" si="249"/>
        <v>0</v>
      </c>
      <c r="F1648" s="1509">
        <f t="shared" si="244"/>
        <v>0</v>
      </c>
      <c r="G1648" s="1509">
        <f t="shared" si="245"/>
        <v>0</v>
      </c>
      <c r="H1648" s="1509">
        <f t="shared" si="246"/>
        <v>0</v>
      </c>
      <c r="I1648" s="1509">
        <v>0</v>
      </c>
      <c r="J1648" s="1509">
        <v>0</v>
      </c>
      <c r="K1648" s="1509"/>
      <c r="L1648" s="1509"/>
      <c r="M1648" s="1509">
        <f t="shared" si="247"/>
        <v>0</v>
      </c>
      <c r="N1648" s="1509">
        <f t="shared" si="248"/>
        <v>0</v>
      </c>
    </row>
    <row r="1649" spans="1:14" customFormat="1" outlineLevel="1" x14ac:dyDescent="0.25">
      <c r="A1649" s="1511">
        <f t="shared" si="249"/>
        <v>17.600000000000001</v>
      </c>
      <c r="B1649" s="1515" t="str">
        <f t="shared" si="249"/>
        <v>Renovation / retrofitting of shuttle conveyor at CHP U-6/7.</v>
      </c>
      <c r="C1649" s="1396" t="str">
        <f t="shared" si="249"/>
        <v>Yet to be approved</v>
      </c>
      <c r="D1649" s="1378" t="str">
        <f t="shared" si="249"/>
        <v>-</v>
      </c>
      <c r="E1649" s="1505">
        <f t="shared" si="249"/>
        <v>0</v>
      </c>
      <c r="F1649" s="1509">
        <f t="shared" si="244"/>
        <v>0</v>
      </c>
      <c r="G1649" s="1509">
        <f t="shared" si="245"/>
        <v>0</v>
      </c>
      <c r="H1649" s="1509">
        <f t="shared" si="246"/>
        <v>0</v>
      </c>
      <c r="I1649" s="1509">
        <v>0</v>
      </c>
      <c r="J1649" s="1509">
        <v>0</v>
      </c>
      <c r="K1649" s="1509"/>
      <c r="L1649" s="1509"/>
      <c r="M1649" s="1509">
        <f t="shared" si="247"/>
        <v>0</v>
      </c>
      <c r="N1649" s="1509">
        <f t="shared" si="248"/>
        <v>0</v>
      </c>
    </row>
    <row r="1650" spans="1:14" customFormat="1" outlineLevel="1" x14ac:dyDescent="0.25">
      <c r="A1650" s="1511">
        <f t="shared" si="249"/>
        <v>17.7</v>
      </c>
      <c r="B1650" s="1515" t="str">
        <f t="shared" si="249"/>
        <v>Upgradation/renovation of bunker lift at RSC-6 &amp; 7 of CHP U-6/7</v>
      </c>
      <c r="C1650" s="1396" t="str">
        <f t="shared" si="249"/>
        <v>Yet to be approved</v>
      </c>
      <c r="D1650" s="1378" t="str">
        <f t="shared" si="249"/>
        <v>-</v>
      </c>
      <c r="E1650" s="1505">
        <f t="shared" si="249"/>
        <v>0</v>
      </c>
      <c r="F1650" s="1509">
        <f t="shared" si="244"/>
        <v>0</v>
      </c>
      <c r="G1650" s="1509">
        <f t="shared" si="245"/>
        <v>0</v>
      </c>
      <c r="H1650" s="1509">
        <f t="shared" si="246"/>
        <v>0</v>
      </c>
      <c r="I1650" s="1509">
        <v>0</v>
      </c>
      <c r="J1650" s="1509">
        <v>0</v>
      </c>
      <c r="K1650" s="1509"/>
      <c r="L1650" s="1509"/>
      <c r="M1650" s="1509">
        <f t="shared" si="247"/>
        <v>0</v>
      </c>
      <c r="N1650" s="1509">
        <f t="shared" si="248"/>
        <v>0</v>
      </c>
    </row>
    <row r="1651" spans="1:14" customFormat="1" outlineLevel="1" x14ac:dyDescent="0.25">
      <c r="A1651" s="1511">
        <f t="shared" si="249"/>
        <v>0</v>
      </c>
      <c r="B1651" s="1515" t="str">
        <f t="shared" si="249"/>
        <v>IDC</v>
      </c>
      <c r="C1651" s="1396" t="str">
        <f t="shared" si="249"/>
        <v>Yet to be approved</v>
      </c>
      <c r="D1651" s="1378" t="str">
        <f t="shared" si="249"/>
        <v>-</v>
      </c>
      <c r="E1651" s="1505">
        <f t="shared" si="249"/>
        <v>0</v>
      </c>
      <c r="F1651" s="1509">
        <f t="shared" si="244"/>
        <v>0</v>
      </c>
      <c r="G1651" s="1509">
        <f t="shared" si="245"/>
        <v>0</v>
      </c>
      <c r="H1651" s="1509">
        <f t="shared" si="246"/>
        <v>0</v>
      </c>
      <c r="I1651" s="1509">
        <v>0</v>
      </c>
      <c r="J1651" s="1509">
        <v>0</v>
      </c>
      <c r="K1651" s="1509"/>
      <c r="L1651" s="1509"/>
      <c r="M1651" s="1509">
        <f t="shared" si="247"/>
        <v>0</v>
      </c>
      <c r="N1651" s="1509">
        <f t="shared" si="248"/>
        <v>0</v>
      </c>
    </row>
    <row r="1652" spans="1:14" customFormat="1" outlineLevel="1" x14ac:dyDescent="0.25">
      <c r="A1652" s="1506">
        <f t="shared" si="249"/>
        <v>18</v>
      </c>
      <c r="B1652" s="1507" t="str">
        <f t="shared" si="249"/>
        <v>DPR on life enhancement of Coal Handling Plant</v>
      </c>
      <c r="C1652" s="1506" t="str">
        <f t="shared" si="249"/>
        <v>Yet to be approved</v>
      </c>
      <c r="D1652" s="1507" t="str">
        <f t="shared" si="249"/>
        <v>-</v>
      </c>
      <c r="E1652" s="1506">
        <f t="shared" si="249"/>
        <v>0</v>
      </c>
      <c r="F1652" s="1509">
        <f t="shared" si="244"/>
        <v>0</v>
      </c>
      <c r="G1652" s="1509">
        <f t="shared" si="245"/>
        <v>0</v>
      </c>
      <c r="H1652" s="1509">
        <f t="shared" si="246"/>
        <v>0</v>
      </c>
      <c r="I1652" s="1509">
        <v>0</v>
      </c>
      <c r="J1652" s="1509">
        <v>0</v>
      </c>
      <c r="K1652" s="1509"/>
      <c r="L1652" s="1509"/>
      <c r="M1652" s="1509">
        <f t="shared" si="247"/>
        <v>0</v>
      </c>
      <c r="N1652" s="1509">
        <f t="shared" si="248"/>
        <v>0</v>
      </c>
    </row>
    <row r="1653" spans="1:14" customFormat="1" ht="29" outlineLevel="1" x14ac:dyDescent="0.25">
      <c r="A1653" s="1511">
        <f t="shared" si="249"/>
        <v>18.100000000000001</v>
      </c>
      <c r="B1653" s="1515" t="str">
        <f t="shared" si="249"/>
        <v>Renovation, upgradation  &amp; capacity enhancement of LT switch gear panels at W/T, S/R and CHP control Switch board at CHP U-6/7.</v>
      </c>
      <c r="C1653" s="1396" t="str">
        <f t="shared" si="249"/>
        <v>Yet to be approved</v>
      </c>
      <c r="D1653" s="1378" t="str">
        <f t="shared" si="249"/>
        <v>-</v>
      </c>
      <c r="E1653" s="1505">
        <f t="shared" si="249"/>
        <v>0</v>
      </c>
      <c r="F1653" s="1509">
        <f t="shared" si="244"/>
        <v>0</v>
      </c>
      <c r="G1653" s="1509">
        <f t="shared" si="245"/>
        <v>0</v>
      </c>
      <c r="H1653" s="1509">
        <f t="shared" si="246"/>
        <v>0</v>
      </c>
      <c r="I1653" s="1509">
        <v>0</v>
      </c>
      <c r="J1653" s="1509">
        <v>0</v>
      </c>
      <c r="K1653" s="1509"/>
      <c r="L1653" s="1509"/>
      <c r="M1653" s="1509">
        <f t="shared" si="247"/>
        <v>0</v>
      </c>
      <c r="N1653" s="1509">
        <f t="shared" si="248"/>
        <v>0</v>
      </c>
    </row>
    <row r="1654" spans="1:14" customFormat="1" outlineLevel="1" x14ac:dyDescent="0.25">
      <c r="A1654" s="1511">
        <f t="shared" si="249"/>
        <v>18.2</v>
      </c>
      <c r="B1654" s="1515" t="str">
        <f t="shared" si="249"/>
        <v>Procurement &amp; installation of Belt tear detection system</v>
      </c>
      <c r="C1654" s="1396" t="str">
        <f t="shared" si="249"/>
        <v>Yet to be approved</v>
      </c>
      <c r="D1654" s="1378" t="str">
        <f t="shared" si="249"/>
        <v>-</v>
      </c>
      <c r="E1654" s="1505">
        <f t="shared" si="249"/>
        <v>0</v>
      </c>
      <c r="F1654" s="1509">
        <f t="shared" si="244"/>
        <v>0</v>
      </c>
      <c r="G1654" s="1509">
        <f t="shared" si="245"/>
        <v>0</v>
      </c>
      <c r="H1654" s="1509">
        <f t="shared" si="246"/>
        <v>0</v>
      </c>
      <c r="I1654" s="1509">
        <v>0</v>
      </c>
      <c r="J1654" s="1509">
        <v>0</v>
      </c>
      <c r="K1654" s="1509"/>
      <c r="L1654" s="1509"/>
      <c r="M1654" s="1509">
        <f t="shared" si="247"/>
        <v>0</v>
      </c>
      <c r="N1654" s="1509">
        <f t="shared" si="248"/>
        <v>0</v>
      </c>
    </row>
    <row r="1655" spans="1:14" customFormat="1" outlineLevel="1" x14ac:dyDescent="0.25">
      <c r="A1655" s="1511">
        <f t="shared" si="249"/>
        <v>18.3</v>
      </c>
      <c r="B1655" s="1515" t="str">
        <f t="shared" si="249"/>
        <v>Conveyor gravity takeup infrastructure strengthening work</v>
      </c>
      <c r="C1655" s="1396" t="str">
        <f t="shared" si="249"/>
        <v>Yet to be approved</v>
      </c>
      <c r="D1655" s="1378" t="str">
        <f t="shared" si="249"/>
        <v>-</v>
      </c>
      <c r="E1655" s="1505">
        <f t="shared" si="249"/>
        <v>0</v>
      </c>
      <c r="F1655" s="1509">
        <f t="shared" si="244"/>
        <v>0</v>
      </c>
      <c r="G1655" s="1509">
        <f t="shared" si="245"/>
        <v>0</v>
      </c>
      <c r="H1655" s="1509">
        <f t="shared" si="246"/>
        <v>0</v>
      </c>
      <c r="I1655" s="1509">
        <v>0</v>
      </c>
      <c r="J1655" s="1509">
        <v>0</v>
      </c>
      <c r="K1655" s="1509"/>
      <c r="L1655" s="1509"/>
      <c r="M1655" s="1509">
        <f t="shared" si="247"/>
        <v>0</v>
      </c>
      <c r="N1655" s="1509">
        <f t="shared" si="248"/>
        <v>0</v>
      </c>
    </row>
    <row r="1656" spans="1:14" customFormat="1" outlineLevel="1" x14ac:dyDescent="0.25">
      <c r="A1656" s="1511">
        <f t="shared" si="249"/>
        <v>18.399999999999999</v>
      </c>
      <c r="B1656" s="1515" t="str">
        <f t="shared" si="249"/>
        <v>Replacement of vibrating feeder-I with Apron Feeder at CHP U-6/7.</v>
      </c>
      <c r="C1656" s="1396" t="str">
        <f t="shared" si="249"/>
        <v>Yet to be approved</v>
      </c>
      <c r="D1656" s="1378" t="str">
        <f t="shared" si="249"/>
        <v>-</v>
      </c>
      <c r="E1656" s="1505">
        <f t="shared" si="249"/>
        <v>0</v>
      </c>
      <c r="F1656" s="1509">
        <f t="shared" si="244"/>
        <v>0</v>
      </c>
      <c r="G1656" s="1509">
        <f t="shared" si="245"/>
        <v>0</v>
      </c>
      <c r="H1656" s="1509">
        <f t="shared" si="246"/>
        <v>0</v>
      </c>
      <c r="I1656" s="1509">
        <v>0</v>
      </c>
      <c r="J1656" s="1509">
        <v>0</v>
      </c>
      <c r="K1656" s="1509"/>
      <c r="L1656" s="1509"/>
      <c r="M1656" s="1509">
        <f t="shared" si="247"/>
        <v>0</v>
      </c>
      <c r="N1656" s="1509">
        <f t="shared" si="248"/>
        <v>0</v>
      </c>
    </row>
    <row r="1657" spans="1:14" customFormat="1" outlineLevel="1" x14ac:dyDescent="0.25">
      <c r="A1657" s="1511">
        <f t="shared" si="249"/>
        <v>0</v>
      </c>
      <c r="B1657" s="1515" t="str">
        <f t="shared" si="249"/>
        <v>IDC</v>
      </c>
      <c r="C1657" s="1396" t="str">
        <f t="shared" si="249"/>
        <v>Yet to be approved</v>
      </c>
      <c r="D1657" s="1378" t="str">
        <f t="shared" si="249"/>
        <v>-</v>
      </c>
      <c r="E1657" s="1505">
        <f t="shared" si="249"/>
        <v>0</v>
      </c>
      <c r="F1657" s="1509">
        <f t="shared" si="244"/>
        <v>0</v>
      </c>
      <c r="G1657" s="1509">
        <f t="shared" si="245"/>
        <v>0</v>
      </c>
      <c r="H1657" s="1509">
        <f t="shared" si="246"/>
        <v>0</v>
      </c>
      <c r="I1657" s="1509">
        <v>0</v>
      </c>
      <c r="J1657" s="1509">
        <v>0</v>
      </c>
      <c r="K1657" s="1509"/>
      <c r="L1657" s="1509"/>
      <c r="M1657" s="1509">
        <f t="shared" si="247"/>
        <v>0</v>
      </c>
      <c r="N1657" s="1509">
        <f t="shared" si="248"/>
        <v>0</v>
      </c>
    </row>
    <row r="1658" spans="1:14" customFormat="1" outlineLevel="1" x14ac:dyDescent="0.25">
      <c r="A1658" s="1506">
        <f t="shared" si="249"/>
        <v>19</v>
      </c>
      <c r="B1658" s="1507" t="str">
        <f t="shared" si="249"/>
        <v>DPR for stabiliazation of Coal Handling Performance.</v>
      </c>
      <c r="C1658" s="1506" t="str">
        <f t="shared" si="249"/>
        <v>Yet to be approved</v>
      </c>
      <c r="D1658" s="1507" t="str">
        <f t="shared" si="249"/>
        <v>-</v>
      </c>
      <c r="E1658" s="1506">
        <f t="shared" si="249"/>
        <v>0</v>
      </c>
      <c r="F1658" s="1509">
        <f t="shared" si="244"/>
        <v>0</v>
      </c>
      <c r="G1658" s="1509">
        <f t="shared" si="245"/>
        <v>0</v>
      </c>
      <c r="H1658" s="1509">
        <f t="shared" si="246"/>
        <v>0</v>
      </c>
      <c r="I1658" s="1509">
        <v>0</v>
      </c>
      <c r="J1658" s="1509">
        <v>0</v>
      </c>
      <c r="K1658" s="1509"/>
      <c r="L1658" s="1509"/>
      <c r="M1658" s="1509">
        <f t="shared" si="247"/>
        <v>0</v>
      </c>
      <c r="N1658" s="1509">
        <f t="shared" si="248"/>
        <v>0</v>
      </c>
    </row>
    <row r="1659" spans="1:14" customFormat="1" outlineLevel="1" x14ac:dyDescent="0.25">
      <c r="A1659" s="1511">
        <f t="shared" si="249"/>
        <v>19.100000000000001</v>
      </c>
      <c r="B1659" s="1515" t="str">
        <f t="shared" si="249"/>
        <v>Drive modification of Stacker Reclaimer slewing system.</v>
      </c>
      <c r="C1659" s="1396" t="str">
        <f t="shared" si="249"/>
        <v>Yet to be approved</v>
      </c>
      <c r="D1659" s="1378" t="str">
        <f t="shared" si="249"/>
        <v>-</v>
      </c>
      <c r="E1659" s="1505">
        <f t="shared" si="249"/>
        <v>0</v>
      </c>
      <c r="F1659" s="1509">
        <f t="shared" si="244"/>
        <v>0</v>
      </c>
      <c r="G1659" s="1509">
        <f t="shared" si="245"/>
        <v>0</v>
      </c>
      <c r="H1659" s="1509">
        <f t="shared" si="246"/>
        <v>0</v>
      </c>
      <c r="I1659" s="1509">
        <v>0</v>
      </c>
      <c r="J1659" s="1509">
        <v>0</v>
      </c>
      <c r="K1659" s="1509"/>
      <c r="L1659" s="1509"/>
      <c r="M1659" s="1509">
        <f t="shared" si="247"/>
        <v>0</v>
      </c>
      <c r="N1659" s="1509">
        <f t="shared" si="248"/>
        <v>0</v>
      </c>
    </row>
    <row r="1660" spans="1:14" customFormat="1" outlineLevel="1" x14ac:dyDescent="0.25">
      <c r="A1660" s="1511">
        <f t="shared" si="249"/>
        <v>19.2</v>
      </c>
      <c r="B1660" s="1515" t="str">
        <f t="shared" si="249"/>
        <v>Retrofitting of Side Arm Charger-I &amp; II at CHP U-6,7</v>
      </c>
      <c r="C1660" s="1396" t="str">
        <f t="shared" si="249"/>
        <v>Yet to be approved</v>
      </c>
      <c r="D1660" s="1378" t="str">
        <f t="shared" si="249"/>
        <v>-</v>
      </c>
      <c r="E1660" s="1505">
        <f t="shared" si="249"/>
        <v>0</v>
      </c>
      <c r="F1660" s="1509">
        <f t="shared" si="244"/>
        <v>0</v>
      </c>
      <c r="G1660" s="1509">
        <f t="shared" si="245"/>
        <v>0</v>
      </c>
      <c r="H1660" s="1509">
        <f t="shared" si="246"/>
        <v>0</v>
      </c>
      <c r="I1660" s="1509">
        <v>0</v>
      </c>
      <c r="J1660" s="1509">
        <v>0</v>
      </c>
      <c r="K1660" s="1509"/>
      <c r="L1660" s="1509"/>
      <c r="M1660" s="1509">
        <f t="shared" si="247"/>
        <v>0</v>
      </c>
      <c r="N1660" s="1509">
        <f t="shared" si="248"/>
        <v>0</v>
      </c>
    </row>
    <row r="1661" spans="1:14" customFormat="1" outlineLevel="1" x14ac:dyDescent="0.25">
      <c r="A1661" s="1511">
        <f t="shared" si="249"/>
        <v>19.3</v>
      </c>
      <c r="B1661" s="1515" t="str">
        <f t="shared" si="249"/>
        <v>Provision of open Wagon Tippler at CHP U-6/7</v>
      </c>
      <c r="C1661" s="1396" t="str">
        <f t="shared" si="249"/>
        <v>Yet to be approved</v>
      </c>
      <c r="D1661" s="1378" t="str">
        <f t="shared" si="249"/>
        <v>-</v>
      </c>
      <c r="E1661" s="1505">
        <f t="shared" si="249"/>
        <v>0</v>
      </c>
      <c r="F1661" s="1509">
        <f t="shared" si="244"/>
        <v>0</v>
      </c>
      <c r="G1661" s="1509">
        <f t="shared" si="245"/>
        <v>0</v>
      </c>
      <c r="H1661" s="1509">
        <f t="shared" si="246"/>
        <v>0</v>
      </c>
      <c r="I1661" s="1509">
        <v>0</v>
      </c>
      <c r="J1661" s="1509">
        <v>0</v>
      </c>
      <c r="K1661" s="1509"/>
      <c r="L1661" s="1509"/>
      <c r="M1661" s="1509">
        <f t="shared" si="247"/>
        <v>0</v>
      </c>
      <c r="N1661" s="1509">
        <f t="shared" si="248"/>
        <v>0</v>
      </c>
    </row>
    <row r="1662" spans="1:14" customFormat="1" outlineLevel="1" x14ac:dyDescent="0.25">
      <c r="A1662" s="1511">
        <f t="shared" ref="A1662:E1677" si="250">A1305</f>
        <v>19.399999999999999</v>
      </c>
      <c r="B1662" s="1515" t="str">
        <f t="shared" si="250"/>
        <v>Refurbishment of Apron Feeder at CHP U-6,7</v>
      </c>
      <c r="C1662" s="1396" t="str">
        <f t="shared" si="250"/>
        <v>Yet to be approved</v>
      </c>
      <c r="D1662" s="1378" t="str">
        <f t="shared" si="250"/>
        <v>-</v>
      </c>
      <c r="E1662" s="1505">
        <f t="shared" si="250"/>
        <v>0</v>
      </c>
      <c r="F1662" s="1509">
        <f t="shared" si="244"/>
        <v>0</v>
      </c>
      <c r="G1662" s="1509">
        <f t="shared" si="245"/>
        <v>0</v>
      </c>
      <c r="H1662" s="1509">
        <f t="shared" si="246"/>
        <v>0</v>
      </c>
      <c r="I1662" s="1509">
        <v>0</v>
      </c>
      <c r="J1662" s="1509">
        <v>0</v>
      </c>
      <c r="K1662" s="1509"/>
      <c r="L1662" s="1509"/>
      <c r="M1662" s="1509">
        <f t="shared" si="247"/>
        <v>0</v>
      </c>
      <c r="N1662" s="1509">
        <f t="shared" si="248"/>
        <v>0</v>
      </c>
    </row>
    <row r="1663" spans="1:14" customFormat="1" outlineLevel="1" x14ac:dyDescent="0.25">
      <c r="A1663" s="1511">
        <f t="shared" si="250"/>
        <v>0</v>
      </c>
      <c r="B1663" s="1515" t="str">
        <f t="shared" si="250"/>
        <v>IDC</v>
      </c>
      <c r="C1663" s="1396" t="str">
        <f t="shared" si="250"/>
        <v>Yet to be approved</v>
      </c>
      <c r="D1663" s="1378" t="str">
        <f t="shared" si="250"/>
        <v>-</v>
      </c>
      <c r="E1663" s="1505">
        <f t="shared" si="250"/>
        <v>0</v>
      </c>
      <c r="F1663" s="1509">
        <f t="shared" si="244"/>
        <v>0</v>
      </c>
      <c r="G1663" s="1509">
        <f t="shared" si="245"/>
        <v>0</v>
      </c>
      <c r="H1663" s="1509">
        <f t="shared" si="246"/>
        <v>0</v>
      </c>
      <c r="I1663" s="1509">
        <v>0</v>
      </c>
      <c r="J1663" s="1509">
        <v>0</v>
      </c>
      <c r="K1663" s="1509"/>
      <c r="L1663" s="1509"/>
      <c r="M1663" s="1509">
        <f t="shared" si="247"/>
        <v>0</v>
      </c>
      <c r="N1663" s="1509">
        <f t="shared" si="248"/>
        <v>0</v>
      </c>
    </row>
    <row r="1664" spans="1:14" customFormat="1" ht="29" outlineLevel="1" x14ac:dyDescent="0.25">
      <c r="A1664" s="1506">
        <f t="shared" si="250"/>
        <v>20</v>
      </c>
      <c r="B1664" s="1507" t="str">
        <f t="shared" si="250"/>
        <v>Procurement &amp; Replacement of 220V station batteries, 360V UPS batteries, 24V DCS batteries , 360V UPS AHP batteries at U6 &amp; U7 NPTPS</v>
      </c>
      <c r="C1664" s="1506" t="str">
        <f t="shared" si="250"/>
        <v>Yet to be approved</v>
      </c>
      <c r="D1664" s="1507" t="str">
        <f t="shared" si="250"/>
        <v>-</v>
      </c>
      <c r="E1664" s="1506">
        <f t="shared" si="250"/>
        <v>0</v>
      </c>
      <c r="F1664" s="1509">
        <f t="shared" si="244"/>
        <v>0</v>
      </c>
      <c r="G1664" s="1509">
        <f t="shared" si="245"/>
        <v>0</v>
      </c>
      <c r="H1664" s="1509">
        <f t="shared" si="246"/>
        <v>0</v>
      </c>
      <c r="I1664" s="1509">
        <v>0</v>
      </c>
      <c r="J1664" s="1509">
        <v>0</v>
      </c>
      <c r="K1664" s="1509"/>
      <c r="L1664" s="1509"/>
      <c r="M1664" s="1509">
        <f t="shared" si="247"/>
        <v>0</v>
      </c>
      <c r="N1664" s="1509">
        <f t="shared" si="248"/>
        <v>0</v>
      </c>
    </row>
    <row r="1665" spans="1:14" customFormat="1" ht="43.5" outlineLevel="1" x14ac:dyDescent="0.25">
      <c r="A1665" s="1511">
        <f t="shared" si="250"/>
        <v>20.100000000000001</v>
      </c>
      <c r="B1665" s="1515" t="str">
        <f t="shared" si="250"/>
        <v>Procurement &amp; Replacement of 220V station batteries, 360V UPS batteries, 24V DCS batteries , 360V UPS AHP batteries at U6 &amp; U7 NPTPS</v>
      </c>
      <c r="C1665" s="1396" t="str">
        <f t="shared" si="250"/>
        <v>Yet to be approved</v>
      </c>
      <c r="D1665" s="1378" t="str">
        <f t="shared" si="250"/>
        <v>-</v>
      </c>
      <c r="E1665" s="1505">
        <f t="shared" si="250"/>
        <v>0</v>
      </c>
      <c r="F1665" s="1509">
        <f t="shared" si="244"/>
        <v>0</v>
      </c>
      <c r="G1665" s="1509">
        <f t="shared" si="245"/>
        <v>0</v>
      </c>
      <c r="H1665" s="1509">
        <f t="shared" si="246"/>
        <v>0</v>
      </c>
      <c r="I1665" s="1509">
        <v>0</v>
      </c>
      <c r="J1665" s="1509">
        <v>0</v>
      </c>
      <c r="K1665" s="1509"/>
      <c r="L1665" s="1509"/>
      <c r="M1665" s="1509">
        <f t="shared" si="247"/>
        <v>0</v>
      </c>
      <c r="N1665" s="1509">
        <f t="shared" si="248"/>
        <v>0</v>
      </c>
    </row>
    <row r="1666" spans="1:14" customFormat="1" outlineLevel="1" x14ac:dyDescent="0.25">
      <c r="A1666" s="1511">
        <f t="shared" si="250"/>
        <v>0</v>
      </c>
      <c r="B1666" s="1515" t="str">
        <f t="shared" si="250"/>
        <v>IDC</v>
      </c>
      <c r="C1666" s="1396" t="str">
        <f t="shared" si="250"/>
        <v>Yet to be approved</v>
      </c>
      <c r="D1666" s="1378" t="str">
        <f t="shared" si="250"/>
        <v>-</v>
      </c>
      <c r="E1666" s="1505">
        <f t="shared" si="250"/>
        <v>0</v>
      </c>
      <c r="F1666" s="1509">
        <f t="shared" si="244"/>
        <v>0</v>
      </c>
      <c r="G1666" s="1509">
        <f t="shared" si="245"/>
        <v>0</v>
      </c>
      <c r="H1666" s="1509">
        <f t="shared" si="246"/>
        <v>0</v>
      </c>
      <c r="I1666" s="1509">
        <v>0</v>
      </c>
      <c r="J1666" s="1509">
        <v>0</v>
      </c>
      <c r="K1666" s="1509"/>
      <c r="L1666" s="1509"/>
      <c r="M1666" s="1509">
        <f t="shared" si="247"/>
        <v>0</v>
      </c>
      <c r="N1666" s="1509">
        <f t="shared" si="248"/>
        <v>0</v>
      </c>
    </row>
    <row r="1667" spans="1:14" customFormat="1" ht="29" outlineLevel="1" x14ac:dyDescent="0.25">
      <c r="A1667" s="1506">
        <f t="shared" si="250"/>
        <v>21</v>
      </c>
      <c r="B1667" s="1507" t="str">
        <f t="shared" si="250"/>
        <v>DPR on Various electricle maintenance schemes at Unit 6,7 NPTPS Parli-V</v>
      </c>
      <c r="C1667" s="1506" t="str">
        <f t="shared" si="250"/>
        <v>Yet to be approved</v>
      </c>
      <c r="D1667" s="1507" t="str">
        <f t="shared" si="250"/>
        <v>-</v>
      </c>
      <c r="E1667" s="1506">
        <f t="shared" si="250"/>
        <v>0</v>
      </c>
      <c r="F1667" s="1509">
        <f t="shared" si="244"/>
        <v>0</v>
      </c>
      <c r="G1667" s="1509">
        <f t="shared" si="245"/>
        <v>0</v>
      </c>
      <c r="H1667" s="1509">
        <f t="shared" si="246"/>
        <v>0</v>
      </c>
      <c r="I1667" s="1509">
        <v>0</v>
      </c>
      <c r="J1667" s="1509">
        <v>0</v>
      </c>
      <c r="K1667" s="1509"/>
      <c r="L1667" s="1509"/>
      <c r="M1667" s="1509">
        <f t="shared" si="247"/>
        <v>0</v>
      </c>
      <c r="N1667" s="1509">
        <f t="shared" si="248"/>
        <v>0</v>
      </c>
    </row>
    <row r="1668" spans="1:14" customFormat="1" ht="29" outlineLevel="1" x14ac:dyDescent="0.25">
      <c r="A1668" s="1511">
        <f t="shared" si="250"/>
        <v>21.1</v>
      </c>
      <c r="B1668" s="1515" t="str">
        <f t="shared" si="250"/>
        <v>Rennovation of Khadka &amp; Naikota switchyard including replacement of Transformer and 33 KV outdoor type VCBs</v>
      </c>
      <c r="C1668" s="1396" t="str">
        <f t="shared" si="250"/>
        <v>Yet to be approved</v>
      </c>
      <c r="D1668" s="1378" t="str">
        <f t="shared" si="250"/>
        <v>-</v>
      </c>
      <c r="E1668" s="1505">
        <f t="shared" si="250"/>
        <v>0</v>
      </c>
      <c r="F1668" s="1509">
        <f t="shared" si="244"/>
        <v>0</v>
      </c>
      <c r="G1668" s="1509">
        <f t="shared" si="245"/>
        <v>0</v>
      </c>
      <c r="H1668" s="1509">
        <f t="shared" si="246"/>
        <v>0</v>
      </c>
      <c r="I1668" s="1509">
        <v>10</v>
      </c>
      <c r="J1668" s="1509">
        <v>10</v>
      </c>
      <c r="K1668" s="1509"/>
      <c r="L1668" s="1509"/>
      <c r="M1668" s="1509">
        <f t="shared" si="247"/>
        <v>10</v>
      </c>
      <c r="N1668" s="1509">
        <f t="shared" si="248"/>
        <v>0</v>
      </c>
    </row>
    <row r="1669" spans="1:14" customFormat="1" ht="29" outlineLevel="1" x14ac:dyDescent="0.25">
      <c r="A1669" s="1511">
        <f t="shared" si="250"/>
        <v>21.2</v>
      </c>
      <c r="B1669" s="1515" t="str">
        <f t="shared" si="250"/>
        <v>Replacement of Khadka ,naikota 6.6 KV HT Breaker Panel , breaker trolleys and control cabinet</v>
      </c>
      <c r="C1669" s="1396" t="str">
        <f t="shared" si="250"/>
        <v>Yet to be approved</v>
      </c>
      <c r="D1669" s="1378" t="str">
        <f t="shared" si="250"/>
        <v>-</v>
      </c>
      <c r="E1669" s="1505">
        <f t="shared" si="250"/>
        <v>0</v>
      </c>
      <c r="F1669" s="1509">
        <f t="shared" si="244"/>
        <v>5</v>
      </c>
      <c r="G1669" s="1509">
        <f t="shared" si="245"/>
        <v>5</v>
      </c>
      <c r="H1669" s="1509">
        <f t="shared" si="246"/>
        <v>0</v>
      </c>
      <c r="I1669" s="1509">
        <v>0</v>
      </c>
      <c r="J1669" s="1509">
        <v>0</v>
      </c>
      <c r="K1669" s="1509"/>
      <c r="L1669" s="1509"/>
      <c r="M1669" s="1509">
        <f t="shared" si="247"/>
        <v>0</v>
      </c>
      <c r="N1669" s="1509">
        <f t="shared" si="248"/>
        <v>0</v>
      </c>
    </row>
    <row r="1670" spans="1:14" customFormat="1" outlineLevel="1" x14ac:dyDescent="0.25">
      <c r="A1670" s="1511">
        <f t="shared" si="250"/>
        <v>21.3</v>
      </c>
      <c r="B1670" s="1515" t="str">
        <f t="shared" si="250"/>
        <v>Replacement of LT breakers &amp; modules at Unit 7</v>
      </c>
      <c r="C1670" s="1396" t="str">
        <f t="shared" si="250"/>
        <v>Yet to be approved</v>
      </c>
      <c r="D1670" s="1378" t="str">
        <f t="shared" si="250"/>
        <v>-</v>
      </c>
      <c r="E1670" s="1505">
        <f t="shared" si="250"/>
        <v>0</v>
      </c>
      <c r="F1670" s="1509">
        <f t="shared" si="244"/>
        <v>10</v>
      </c>
      <c r="G1670" s="1509">
        <f t="shared" si="245"/>
        <v>10</v>
      </c>
      <c r="H1670" s="1509">
        <f t="shared" si="246"/>
        <v>0</v>
      </c>
      <c r="I1670" s="1509">
        <v>0</v>
      </c>
      <c r="J1670" s="1509">
        <v>0</v>
      </c>
      <c r="K1670" s="1509"/>
      <c r="L1670" s="1509"/>
      <c r="M1670" s="1509">
        <f t="shared" si="247"/>
        <v>0</v>
      </c>
      <c r="N1670" s="1509">
        <f t="shared" si="248"/>
        <v>0</v>
      </c>
    </row>
    <row r="1671" spans="1:14" customFormat="1" ht="29" outlineLevel="1" x14ac:dyDescent="0.25">
      <c r="A1671" s="1511">
        <f t="shared" si="250"/>
        <v>21.4</v>
      </c>
      <c r="B1671" s="1515" t="str">
        <f t="shared" si="250"/>
        <v>Rennovation/Replacement  of Boiler &amp; Turbine side lighting by energy efficient LED lighting at unit 6&amp;7, NPTPS, Parli vaijnath</v>
      </c>
      <c r="C1671" s="1396" t="str">
        <f t="shared" si="250"/>
        <v>Yet to be approved</v>
      </c>
      <c r="D1671" s="1378" t="str">
        <f t="shared" si="250"/>
        <v>-</v>
      </c>
      <c r="E1671" s="1505">
        <f t="shared" si="250"/>
        <v>0</v>
      </c>
      <c r="F1671" s="1509">
        <f t="shared" si="244"/>
        <v>3</v>
      </c>
      <c r="G1671" s="1509">
        <f t="shared" si="245"/>
        <v>3</v>
      </c>
      <c r="H1671" s="1509">
        <f t="shared" si="246"/>
        <v>0</v>
      </c>
      <c r="I1671" s="1509">
        <v>0</v>
      </c>
      <c r="J1671" s="1509">
        <v>0</v>
      </c>
      <c r="K1671" s="1509"/>
      <c r="L1671" s="1509"/>
      <c r="M1671" s="1509">
        <f t="shared" si="247"/>
        <v>0</v>
      </c>
      <c r="N1671" s="1509">
        <f t="shared" si="248"/>
        <v>0</v>
      </c>
    </row>
    <row r="1672" spans="1:14" customFormat="1" ht="29" outlineLevel="1" x14ac:dyDescent="0.25">
      <c r="A1672" s="1511">
        <f t="shared" si="250"/>
        <v>21.5</v>
      </c>
      <c r="B1672" s="1515" t="str">
        <f t="shared" si="250"/>
        <v>nstallation of VFD for CEP, FD Fan, Seal Air Fan &amp; HFO pump motors at unit 6&amp;7, NPTPS, Parli Vaijnath</v>
      </c>
      <c r="C1672" s="1396" t="str">
        <f t="shared" si="250"/>
        <v>Yet to be approved</v>
      </c>
      <c r="D1672" s="1378" t="str">
        <f t="shared" si="250"/>
        <v>-</v>
      </c>
      <c r="E1672" s="1505">
        <f t="shared" si="250"/>
        <v>0</v>
      </c>
      <c r="F1672" s="1509">
        <f t="shared" si="244"/>
        <v>0</v>
      </c>
      <c r="G1672" s="1509">
        <f t="shared" si="245"/>
        <v>0</v>
      </c>
      <c r="H1672" s="1509">
        <f t="shared" si="246"/>
        <v>0</v>
      </c>
      <c r="I1672" s="1509">
        <v>10</v>
      </c>
      <c r="J1672" s="1509">
        <v>10</v>
      </c>
      <c r="K1672" s="1509"/>
      <c r="L1672" s="1509"/>
      <c r="M1672" s="1509">
        <f t="shared" si="247"/>
        <v>10</v>
      </c>
      <c r="N1672" s="1509">
        <f t="shared" si="248"/>
        <v>0</v>
      </c>
    </row>
    <row r="1673" spans="1:14" customFormat="1" outlineLevel="1" x14ac:dyDescent="0.25">
      <c r="A1673" s="1511">
        <f t="shared" si="250"/>
        <v>0</v>
      </c>
      <c r="B1673" s="1515" t="str">
        <f t="shared" si="250"/>
        <v>IDC</v>
      </c>
      <c r="C1673" s="1396" t="str">
        <f t="shared" si="250"/>
        <v>Yet to be approved</v>
      </c>
      <c r="D1673" s="1378" t="str">
        <f t="shared" si="250"/>
        <v>-</v>
      </c>
      <c r="E1673" s="1505">
        <f t="shared" si="250"/>
        <v>0</v>
      </c>
      <c r="F1673" s="1509">
        <f t="shared" si="244"/>
        <v>0</v>
      </c>
      <c r="G1673" s="1509">
        <f t="shared" si="245"/>
        <v>0</v>
      </c>
      <c r="H1673" s="1509">
        <f t="shared" si="246"/>
        <v>0</v>
      </c>
      <c r="I1673" s="1509">
        <v>0</v>
      </c>
      <c r="J1673" s="1509">
        <v>0</v>
      </c>
      <c r="K1673" s="1509"/>
      <c r="L1673" s="1509"/>
      <c r="M1673" s="1509">
        <f t="shared" si="247"/>
        <v>0</v>
      </c>
      <c r="N1673" s="1509">
        <f t="shared" si="248"/>
        <v>0</v>
      </c>
    </row>
    <row r="1674" spans="1:14" customFormat="1" ht="29" outlineLevel="1" x14ac:dyDescent="0.25">
      <c r="A1674" s="1506">
        <f t="shared" si="250"/>
        <v>22</v>
      </c>
      <c r="B1674" s="1507" t="str">
        <f t="shared" si="250"/>
        <v>Renovation of Colony Electrical supply system &amp; also replacement of wiring of all Types of buildings ,street light,highmast etc</v>
      </c>
      <c r="C1674" s="1506" t="str">
        <f t="shared" si="250"/>
        <v>Yet to be approved</v>
      </c>
      <c r="D1674" s="1507" t="str">
        <f t="shared" si="250"/>
        <v>-</v>
      </c>
      <c r="E1674" s="1506">
        <f t="shared" si="250"/>
        <v>0</v>
      </c>
      <c r="F1674" s="1509">
        <f t="shared" si="244"/>
        <v>0</v>
      </c>
      <c r="G1674" s="1509">
        <f t="shared" si="245"/>
        <v>0</v>
      </c>
      <c r="H1674" s="1509">
        <f t="shared" si="246"/>
        <v>0</v>
      </c>
      <c r="I1674" s="1509">
        <v>0</v>
      </c>
      <c r="J1674" s="1509">
        <v>0</v>
      </c>
      <c r="K1674" s="1509"/>
      <c r="L1674" s="1509"/>
      <c r="M1674" s="1509">
        <f t="shared" si="247"/>
        <v>0</v>
      </c>
      <c r="N1674" s="1509">
        <f t="shared" si="248"/>
        <v>0</v>
      </c>
    </row>
    <row r="1675" spans="1:14" customFormat="1" ht="29" outlineLevel="1" x14ac:dyDescent="0.25">
      <c r="A1675" s="1511">
        <f t="shared" si="250"/>
        <v>22.1</v>
      </c>
      <c r="B1675" s="1515" t="str">
        <f t="shared" si="250"/>
        <v>Renovation of Colony Electrical supply system &amp; also replacement of wiring of all Types of buildings ,street light,highmast etc</v>
      </c>
      <c r="C1675" s="1396" t="str">
        <f t="shared" si="250"/>
        <v>Yet to be approved</v>
      </c>
      <c r="D1675" s="1378" t="str">
        <f t="shared" si="250"/>
        <v>-</v>
      </c>
      <c r="E1675" s="1505">
        <f t="shared" si="250"/>
        <v>0</v>
      </c>
      <c r="F1675" s="1509">
        <f t="shared" si="244"/>
        <v>25</v>
      </c>
      <c r="G1675" s="1509">
        <f t="shared" si="245"/>
        <v>25</v>
      </c>
      <c r="H1675" s="1509">
        <f t="shared" si="246"/>
        <v>0</v>
      </c>
      <c r="I1675" s="1509">
        <v>0</v>
      </c>
      <c r="J1675" s="1509">
        <v>0</v>
      </c>
      <c r="K1675" s="1509"/>
      <c r="L1675" s="1509"/>
      <c r="M1675" s="1509">
        <f t="shared" si="247"/>
        <v>0</v>
      </c>
      <c r="N1675" s="1509">
        <f t="shared" si="248"/>
        <v>0</v>
      </c>
    </row>
    <row r="1676" spans="1:14" customFormat="1" outlineLevel="1" x14ac:dyDescent="0.25">
      <c r="A1676" s="1511">
        <f t="shared" si="250"/>
        <v>0</v>
      </c>
      <c r="B1676" s="1515" t="str">
        <f t="shared" si="250"/>
        <v>IDC</v>
      </c>
      <c r="C1676" s="1396" t="str">
        <f t="shared" si="250"/>
        <v>Yet to be approved</v>
      </c>
      <c r="D1676" s="1378" t="str">
        <f t="shared" si="250"/>
        <v>-</v>
      </c>
      <c r="E1676" s="1505">
        <f t="shared" si="250"/>
        <v>0</v>
      </c>
      <c r="F1676" s="1509">
        <f t="shared" si="244"/>
        <v>0</v>
      </c>
      <c r="G1676" s="1509">
        <f t="shared" si="245"/>
        <v>0</v>
      </c>
      <c r="H1676" s="1509">
        <f t="shared" si="246"/>
        <v>0</v>
      </c>
      <c r="I1676" s="1509">
        <v>0</v>
      </c>
      <c r="J1676" s="1509">
        <v>0</v>
      </c>
      <c r="K1676" s="1509"/>
      <c r="L1676" s="1509"/>
      <c r="M1676" s="1509">
        <f t="shared" si="247"/>
        <v>0</v>
      </c>
      <c r="N1676" s="1509">
        <f t="shared" si="248"/>
        <v>0</v>
      </c>
    </row>
    <row r="1677" spans="1:14" customFormat="1" ht="58" outlineLevel="1" x14ac:dyDescent="0.25">
      <c r="A1677" s="1506">
        <f t="shared" si="250"/>
        <v>23</v>
      </c>
      <c r="B1677" s="1507" t="str">
        <f t="shared" si="250"/>
        <v xml:space="preserve"> UPGRADATION OF EXPIRED AND VULNERABLE Scada, operating system and hardware to improve life and communication system of IAC,OHP &amp; PTP plant UNIT 6&amp;7 250MW at NPTPS PARLI V" &amp; Emission Monitoring &amp; Water Quality Analysers system Upgradation Schemes</v>
      </c>
      <c r="C1677" s="1506" t="str">
        <f t="shared" si="250"/>
        <v>Yet to be approved</v>
      </c>
      <c r="D1677" s="1507" t="str">
        <f t="shared" si="250"/>
        <v>-</v>
      </c>
      <c r="E1677" s="1506">
        <f t="shared" si="250"/>
        <v>0</v>
      </c>
      <c r="F1677" s="1509">
        <f t="shared" si="244"/>
        <v>0</v>
      </c>
      <c r="G1677" s="1509">
        <f t="shared" si="245"/>
        <v>0</v>
      </c>
      <c r="H1677" s="1509">
        <f t="shared" si="246"/>
        <v>0</v>
      </c>
      <c r="I1677" s="1509">
        <v>0</v>
      </c>
      <c r="J1677" s="1509">
        <v>0</v>
      </c>
      <c r="K1677" s="1509"/>
      <c r="L1677" s="1509"/>
      <c r="M1677" s="1509">
        <f t="shared" si="247"/>
        <v>0</v>
      </c>
      <c r="N1677" s="1509">
        <f t="shared" si="248"/>
        <v>0</v>
      </c>
    </row>
    <row r="1678" spans="1:14" customFormat="1" ht="43.5" outlineLevel="1" x14ac:dyDescent="0.25">
      <c r="A1678" s="1511">
        <f t="shared" ref="A1678:E1693" si="251">A1321</f>
        <v>23.1</v>
      </c>
      <c r="B1678" s="1515" t="str">
        <f t="shared" si="251"/>
        <v>UPGRADATION OF EXPIRED AND VULNERABLE Scada, operating system and hardware to improve life and communication system of IAC,OHP &amp; PTP plant UNIT 6&amp;7 250MW at NPTPS PARLI V".</v>
      </c>
      <c r="C1678" s="1396" t="str">
        <f t="shared" si="251"/>
        <v>Yet to be approved</v>
      </c>
      <c r="D1678" s="1378" t="str">
        <f t="shared" si="251"/>
        <v>-</v>
      </c>
      <c r="E1678" s="1505">
        <f t="shared" si="251"/>
        <v>0</v>
      </c>
      <c r="F1678" s="1509">
        <f t="shared" si="244"/>
        <v>0</v>
      </c>
      <c r="G1678" s="1509">
        <f t="shared" si="245"/>
        <v>0</v>
      </c>
      <c r="H1678" s="1509">
        <f t="shared" si="246"/>
        <v>0</v>
      </c>
      <c r="I1678" s="1509">
        <v>0</v>
      </c>
      <c r="J1678" s="1509">
        <v>0</v>
      </c>
      <c r="K1678" s="1509"/>
      <c r="L1678" s="1509"/>
      <c r="M1678" s="1509">
        <f t="shared" si="247"/>
        <v>0</v>
      </c>
      <c r="N1678" s="1509">
        <f t="shared" si="248"/>
        <v>0</v>
      </c>
    </row>
    <row r="1679" spans="1:14" customFormat="1" outlineLevel="1" x14ac:dyDescent="0.25">
      <c r="A1679" s="1511">
        <f t="shared" si="251"/>
        <v>23.2</v>
      </c>
      <c r="B1679" s="1515" t="str">
        <f t="shared" si="251"/>
        <v>Up gradation of SWAS system at U 7,NPTPS</v>
      </c>
      <c r="C1679" s="1396" t="str">
        <f t="shared" si="251"/>
        <v>Yet to be approved</v>
      </c>
      <c r="D1679" s="1378" t="str">
        <f t="shared" si="251"/>
        <v>-</v>
      </c>
      <c r="E1679" s="1505">
        <f t="shared" si="251"/>
        <v>0</v>
      </c>
      <c r="F1679" s="1509">
        <f t="shared" si="244"/>
        <v>3</v>
      </c>
      <c r="G1679" s="1509">
        <f t="shared" si="245"/>
        <v>3</v>
      </c>
      <c r="H1679" s="1509">
        <f t="shared" si="246"/>
        <v>0</v>
      </c>
      <c r="I1679" s="1509">
        <v>0</v>
      </c>
      <c r="J1679" s="1509">
        <v>0</v>
      </c>
      <c r="K1679" s="1509"/>
      <c r="L1679" s="1509"/>
      <c r="M1679" s="1509">
        <f t="shared" si="247"/>
        <v>0</v>
      </c>
      <c r="N1679" s="1509">
        <f t="shared" si="248"/>
        <v>0</v>
      </c>
    </row>
    <row r="1680" spans="1:14" customFormat="1" outlineLevel="1" x14ac:dyDescent="0.25">
      <c r="A1680" s="1511">
        <f t="shared" si="251"/>
        <v>23.3</v>
      </c>
      <c r="B1680" s="1515" t="str">
        <f t="shared" si="251"/>
        <v>Oxygen measurement  APH and at ID outlet</v>
      </c>
      <c r="C1680" s="1396" t="str">
        <f t="shared" si="251"/>
        <v>Yet to be approved</v>
      </c>
      <c r="D1680" s="1378" t="str">
        <f t="shared" si="251"/>
        <v>-</v>
      </c>
      <c r="E1680" s="1505">
        <f t="shared" si="251"/>
        <v>0</v>
      </c>
      <c r="F1680" s="1509">
        <f t="shared" si="244"/>
        <v>1</v>
      </c>
      <c r="G1680" s="1509">
        <f t="shared" si="245"/>
        <v>1</v>
      </c>
      <c r="H1680" s="1509">
        <f t="shared" si="246"/>
        <v>0</v>
      </c>
      <c r="I1680" s="1509">
        <v>0</v>
      </c>
      <c r="J1680" s="1509">
        <v>0</v>
      </c>
      <c r="K1680" s="1509"/>
      <c r="L1680" s="1509"/>
      <c r="M1680" s="1509">
        <f t="shared" si="247"/>
        <v>0</v>
      </c>
      <c r="N1680" s="1509">
        <f t="shared" si="248"/>
        <v>0</v>
      </c>
    </row>
    <row r="1681" spans="1:14" customFormat="1" ht="29" outlineLevel="1" x14ac:dyDescent="0.25">
      <c r="A1681" s="1511">
        <f t="shared" si="251"/>
        <v>23.4</v>
      </c>
      <c r="B1681" s="1515" t="str">
        <f t="shared" si="251"/>
        <v>Up gradation of  Drum level measurement system at Unit – 6 &amp;7 New Parli TPS, Parli-V</v>
      </c>
      <c r="C1681" s="1396" t="str">
        <f t="shared" si="251"/>
        <v>Yet to be approved</v>
      </c>
      <c r="D1681" s="1378" t="str">
        <f t="shared" si="251"/>
        <v>-</v>
      </c>
      <c r="E1681" s="1505">
        <f t="shared" si="251"/>
        <v>0</v>
      </c>
      <c r="F1681" s="1509">
        <f t="shared" si="244"/>
        <v>0</v>
      </c>
      <c r="G1681" s="1509">
        <f t="shared" si="245"/>
        <v>0</v>
      </c>
      <c r="H1681" s="1509">
        <f t="shared" si="246"/>
        <v>0</v>
      </c>
      <c r="I1681" s="1509">
        <v>3</v>
      </c>
      <c r="J1681" s="1509">
        <v>3</v>
      </c>
      <c r="K1681" s="1509"/>
      <c r="L1681" s="1509"/>
      <c r="M1681" s="1509">
        <f t="shared" si="247"/>
        <v>3</v>
      </c>
      <c r="N1681" s="1509">
        <f t="shared" si="248"/>
        <v>0</v>
      </c>
    </row>
    <row r="1682" spans="1:14" customFormat="1" outlineLevel="1" x14ac:dyDescent="0.25">
      <c r="A1682" s="1511">
        <f t="shared" si="251"/>
        <v>23.5</v>
      </c>
      <c r="B1682" s="1515" t="str">
        <f t="shared" si="251"/>
        <v>OLCC SYSTEM UPGRADATION U6 &amp; U7</v>
      </c>
      <c r="C1682" s="1396" t="str">
        <f t="shared" si="251"/>
        <v>Yet to be approved</v>
      </c>
      <c r="D1682" s="1378" t="str">
        <f t="shared" si="251"/>
        <v>-</v>
      </c>
      <c r="E1682" s="1505">
        <f t="shared" si="251"/>
        <v>0</v>
      </c>
      <c r="F1682" s="1509">
        <f t="shared" si="244"/>
        <v>0</v>
      </c>
      <c r="G1682" s="1509">
        <f t="shared" si="245"/>
        <v>0</v>
      </c>
      <c r="H1682" s="1509">
        <f t="shared" si="246"/>
        <v>0</v>
      </c>
      <c r="I1682" s="1509">
        <v>2</v>
      </c>
      <c r="J1682" s="1509">
        <v>2</v>
      </c>
      <c r="K1682" s="1509"/>
      <c r="L1682" s="1509"/>
      <c r="M1682" s="1509">
        <f t="shared" si="247"/>
        <v>2</v>
      </c>
      <c r="N1682" s="1509">
        <f t="shared" si="248"/>
        <v>0</v>
      </c>
    </row>
    <row r="1683" spans="1:14" customFormat="1" ht="43.5" outlineLevel="1" x14ac:dyDescent="0.25">
      <c r="A1683" s="1511">
        <f t="shared" si="251"/>
        <v>23.6</v>
      </c>
      <c r="B1683" s="1515" t="str">
        <f t="shared" si="251"/>
        <v>Up gradation of  Boiler tubes leakage detection system &amp; Furnace flame mapping with video camera at Unit – 6 &amp;7 New Parli TPS, Parli-V</v>
      </c>
      <c r="C1683" s="1396" t="str">
        <f t="shared" si="251"/>
        <v>Yet to be approved</v>
      </c>
      <c r="D1683" s="1378" t="str">
        <f t="shared" si="251"/>
        <v>-</v>
      </c>
      <c r="E1683" s="1505">
        <f t="shared" si="251"/>
        <v>0</v>
      </c>
      <c r="F1683" s="1509">
        <f t="shared" si="244"/>
        <v>0</v>
      </c>
      <c r="G1683" s="1509">
        <f t="shared" si="245"/>
        <v>0</v>
      </c>
      <c r="H1683" s="1509">
        <f t="shared" si="246"/>
        <v>0</v>
      </c>
      <c r="I1683" s="1509">
        <v>4</v>
      </c>
      <c r="J1683" s="1509">
        <v>4</v>
      </c>
      <c r="K1683" s="1509"/>
      <c r="L1683" s="1509"/>
      <c r="M1683" s="1509">
        <f t="shared" si="247"/>
        <v>4</v>
      </c>
      <c r="N1683" s="1509">
        <f t="shared" si="248"/>
        <v>0</v>
      </c>
    </row>
    <row r="1684" spans="1:14" customFormat="1" outlineLevel="1" x14ac:dyDescent="0.25">
      <c r="A1684" s="1511">
        <f t="shared" si="251"/>
        <v>23.7</v>
      </c>
      <c r="B1684" s="1515" t="str">
        <f t="shared" si="251"/>
        <v>Unit7 LVS system SCADA/HMI  upgradation</v>
      </c>
      <c r="C1684" s="1396" t="str">
        <f t="shared" si="251"/>
        <v>Yet to be approved</v>
      </c>
      <c r="D1684" s="1378" t="str">
        <f t="shared" si="251"/>
        <v>-</v>
      </c>
      <c r="E1684" s="1505">
        <f t="shared" si="251"/>
        <v>0</v>
      </c>
      <c r="F1684" s="1509">
        <f t="shared" si="244"/>
        <v>0</v>
      </c>
      <c r="G1684" s="1509">
        <f t="shared" si="245"/>
        <v>0</v>
      </c>
      <c r="H1684" s="1509">
        <f t="shared" si="246"/>
        <v>0</v>
      </c>
      <c r="I1684" s="1509">
        <v>1</v>
      </c>
      <c r="J1684" s="1509">
        <v>1</v>
      </c>
      <c r="K1684" s="1509"/>
      <c r="L1684" s="1509"/>
      <c r="M1684" s="1509">
        <f t="shared" si="247"/>
        <v>1</v>
      </c>
      <c r="N1684" s="1509">
        <f t="shared" si="248"/>
        <v>0</v>
      </c>
    </row>
    <row r="1685" spans="1:14" customFormat="1" outlineLevel="1" x14ac:dyDescent="0.25">
      <c r="A1685" s="1511">
        <f t="shared" si="251"/>
        <v>23.8</v>
      </c>
      <c r="B1685" s="1515" t="str">
        <f t="shared" si="251"/>
        <v>Upgradation of Instrumentation &amp; control lab</v>
      </c>
      <c r="C1685" s="1396" t="str">
        <f t="shared" si="251"/>
        <v>Yet to be approved</v>
      </c>
      <c r="D1685" s="1378" t="str">
        <f t="shared" si="251"/>
        <v>-</v>
      </c>
      <c r="E1685" s="1505">
        <f t="shared" si="251"/>
        <v>0</v>
      </c>
      <c r="F1685" s="1509">
        <f t="shared" si="244"/>
        <v>0</v>
      </c>
      <c r="G1685" s="1509">
        <f t="shared" si="245"/>
        <v>0</v>
      </c>
      <c r="H1685" s="1509">
        <f t="shared" si="246"/>
        <v>0</v>
      </c>
      <c r="I1685" s="1509">
        <v>1.5</v>
      </c>
      <c r="J1685" s="1509">
        <v>1.5</v>
      </c>
      <c r="K1685" s="1509"/>
      <c r="L1685" s="1509"/>
      <c r="M1685" s="1509">
        <f t="shared" si="247"/>
        <v>1.5</v>
      </c>
      <c r="N1685" s="1509">
        <f t="shared" si="248"/>
        <v>0</v>
      </c>
    </row>
    <row r="1686" spans="1:14" customFormat="1" outlineLevel="1" x14ac:dyDescent="0.25">
      <c r="A1686" s="1511">
        <f t="shared" si="251"/>
        <v>0</v>
      </c>
      <c r="B1686" s="1515" t="str">
        <f t="shared" si="251"/>
        <v>IDC</v>
      </c>
      <c r="C1686" s="1396" t="str">
        <f t="shared" si="251"/>
        <v>Yet to be approved</v>
      </c>
      <c r="D1686" s="1378" t="str">
        <f t="shared" si="251"/>
        <v>-</v>
      </c>
      <c r="E1686" s="1505">
        <f t="shared" si="251"/>
        <v>0</v>
      </c>
      <c r="F1686" s="1509">
        <f t="shared" si="244"/>
        <v>0</v>
      </c>
      <c r="G1686" s="1509">
        <f t="shared" si="245"/>
        <v>0</v>
      </c>
      <c r="H1686" s="1509">
        <f t="shared" si="246"/>
        <v>0</v>
      </c>
      <c r="I1686" s="1509">
        <v>0</v>
      </c>
      <c r="J1686" s="1509">
        <v>0</v>
      </c>
      <c r="K1686" s="1509"/>
      <c r="L1686" s="1509"/>
      <c r="M1686" s="1509">
        <f t="shared" si="247"/>
        <v>0</v>
      </c>
      <c r="N1686" s="1509">
        <f t="shared" si="248"/>
        <v>0</v>
      </c>
    </row>
    <row r="1687" spans="1:14" customFormat="1" ht="29" outlineLevel="1" x14ac:dyDescent="0.25">
      <c r="A1687" s="1506">
        <f t="shared" si="251"/>
        <v>24</v>
      </c>
      <c r="B1687" s="1507" t="str">
        <f t="shared" si="251"/>
        <v>Control and monitoring system upgradation at U6&amp;7 NPTPS &amp; Various Instrumentation schemes at Unit 6,7, NPTPS Parli-V</v>
      </c>
      <c r="C1687" s="1506" t="str">
        <f t="shared" si="251"/>
        <v>Yet to be approved</v>
      </c>
      <c r="D1687" s="1507" t="str">
        <f t="shared" si="251"/>
        <v>-</v>
      </c>
      <c r="E1687" s="1506">
        <f t="shared" si="251"/>
        <v>0</v>
      </c>
      <c r="F1687" s="1509">
        <f t="shared" si="244"/>
        <v>0</v>
      </c>
      <c r="G1687" s="1509">
        <f t="shared" si="245"/>
        <v>0</v>
      </c>
      <c r="H1687" s="1509">
        <f t="shared" si="246"/>
        <v>0</v>
      </c>
      <c r="I1687" s="1509">
        <v>0</v>
      </c>
      <c r="J1687" s="1509">
        <v>0</v>
      </c>
      <c r="K1687" s="1509"/>
      <c r="L1687" s="1509"/>
      <c r="M1687" s="1509">
        <f t="shared" si="247"/>
        <v>0</v>
      </c>
      <c r="N1687" s="1509">
        <f t="shared" si="248"/>
        <v>0</v>
      </c>
    </row>
    <row r="1688" spans="1:14" customFormat="1" outlineLevel="1" x14ac:dyDescent="0.25">
      <c r="A1688" s="1511">
        <f t="shared" si="251"/>
        <v>24.1</v>
      </c>
      <c r="B1688" s="1515" t="str">
        <f t="shared" si="251"/>
        <v>Upgradation of level, flow &amp; pressure measurement system</v>
      </c>
      <c r="C1688" s="1396" t="str">
        <f t="shared" si="251"/>
        <v>Yet to be approved</v>
      </c>
      <c r="D1688" s="1378" t="str">
        <f t="shared" si="251"/>
        <v>-</v>
      </c>
      <c r="E1688" s="1505">
        <f t="shared" si="251"/>
        <v>0</v>
      </c>
      <c r="F1688" s="1509">
        <f t="shared" si="244"/>
        <v>0</v>
      </c>
      <c r="G1688" s="1509">
        <f t="shared" si="245"/>
        <v>0</v>
      </c>
      <c r="H1688" s="1509">
        <f t="shared" si="246"/>
        <v>0</v>
      </c>
      <c r="I1688" s="1509">
        <v>0</v>
      </c>
      <c r="J1688" s="1509">
        <v>0</v>
      </c>
      <c r="K1688" s="1509"/>
      <c r="L1688" s="1509"/>
      <c r="M1688" s="1509">
        <f t="shared" si="247"/>
        <v>0</v>
      </c>
      <c r="N1688" s="1509">
        <f t="shared" si="248"/>
        <v>0</v>
      </c>
    </row>
    <row r="1689" spans="1:14" customFormat="1" ht="29" outlineLevel="1" x14ac:dyDescent="0.25">
      <c r="A1689" s="1511">
        <f t="shared" si="251"/>
        <v>24.2</v>
      </c>
      <c r="B1689" s="1515" t="str">
        <f t="shared" si="251"/>
        <v>Up gradation of  Vibration Monitoring System(VMS) at Unit – 6 &amp;7 Parli TPS, Parli-V</v>
      </c>
      <c r="C1689" s="1396" t="str">
        <f t="shared" si="251"/>
        <v>Yet to be approved</v>
      </c>
      <c r="D1689" s="1378" t="str">
        <f t="shared" si="251"/>
        <v>-</v>
      </c>
      <c r="E1689" s="1505">
        <f t="shared" si="251"/>
        <v>0</v>
      </c>
      <c r="F1689" s="1509">
        <f t="shared" si="244"/>
        <v>0</v>
      </c>
      <c r="G1689" s="1509">
        <f t="shared" si="245"/>
        <v>0</v>
      </c>
      <c r="H1689" s="1509">
        <f t="shared" si="246"/>
        <v>0</v>
      </c>
      <c r="I1689" s="1509">
        <v>0</v>
      </c>
      <c r="J1689" s="1509">
        <v>0</v>
      </c>
      <c r="K1689" s="1509"/>
      <c r="L1689" s="1509"/>
      <c r="M1689" s="1509">
        <f t="shared" si="247"/>
        <v>0</v>
      </c>
      <c r="N1689" s="1509">
        <f t="shared" si="248"/>
        <v>0</v>
      </c>
    </row>
    <row r="1690" spans="1:14" customFormat="1" outlineLevel="1" x14ac:dyDescent="0.25">
      <c r="A1690" s="1511">
        <f t="shared" si="251"/>
        <v>24.3</v>
      </c>
      <c r="B1690" s="1515" t="str">
        <f t="shared" si="251"/>
        <v>Upgradation of feedstation valve contol instruments.</v>
      </c>
      <c r="C1690" s="1396" t="str">
        <f t="shared" si="251"/>
        <v>Yet to be approved</v>
      </c>
      <c r="D1690" s="1378" t="str">
        <f t="shared" si="251"/>
        <v>-</v>
      </c>
      <c r="E1690" s="1505">
        <f t="shared" si="251"/>
        <v>0</v>
      </c>
      <c r="F1690" s="1509">
        <f t="shared" si="244"/>
        <v>0</v>
      </c>
      <c r="G1690" s="1509">
        <f t="shared" si="245"/>
        <v>0</v>
      </c>
      <c r="H1690" s="1509">
        <f t="shared" si="246"/>
        <v>0</v>
      </c>
      <c r="I1690" s="1509">
        <v>0</v>
      </c>
      <c r="J1690" s="1509">
        <v>0</v>
      </c>
      <c r="K1690" s="1509"/>
      <c r="L1690" s="1509"/>
      <c r="M1690" s="1509">
        <f t="shared" si="247"/>
        <v>0</v>
      </c>
      <c r="N1690" s="1509">
        <f t="shared" si="248"/>
        <v>0</v>
      </c>
    </row>
    <row r="1691" spans="1:14" customFormat="1" ht="58" outlineLevel="1" x14ac:dyDescent="0.25">
      <c r="A1691" s="1511">
        <f t="shared" si="251"/>
        <v>24.4</v>
      </c>
      <c r="B1691" s="1515" t="str">
        <f t="shared" si="251"/>
        <v>Supply of various instuments like H2 Dew point measurement system spares, Hydrogen analyzer, H2 leak detection system spares etc.Critical/Non-Critical Spares sub-assembly for performance improvement</v>
      </c>
      <c r="C1691" s="1396" t="str">
        <f t="shared" si="251"/>
        <v>Yet to be approved</v>
      </c>
      <c r="D1691" s="1378" t="str">
        <f t="shared" si="251"/>
        <v>-</v>
      </c>
      <c r="E1691" s="1505">
        <f t="shared" si="251"/>
        <v>0</v>
      </c>
      <c r="F1691" s="1509">
        <f t="shared" si="244"/>
        <v>0</v>
      </c>
      <c r="G1691" s="1509">
        <f t="shared" si="245"/>
        <v>0</v>
      </c>
      <c r="H1691" s="1509">
        <f t="shared" si="246"/>
        <v>0</v>
      </c>
      <c r="I1691" s="1509">
        <v>0</v>
      </c>
      <c r="J1691" s="1509">
        <v>0</v>
      </c>
      <c r="K1691" s="1509"/>
      <c r="L1691" s="1509"/>
      <c r="M1691" s="1509">
        <f t="shared" si="247"/>
        <v>0</v>
      </c>
      <c r="N1691" s="1509">
        <f t="shared" si="248"/>
        <v>0</v>
      </c>
    </row>
    <row r="1692" spans="1:14" customFormat="1" outlineLevel="1" x14ac:dyDescent="0.25">
      <c r="A1692" s="1511">
        <f t="shared" si="251"/>
        <v>24.5</v>
      </c>
      <c r="B1692" s="1515" t="str">
        <f t="shared" si="251"/>
        <v>Online Water flow Monitoring System at Khadka</v>
      </c>
      <c r="C1692" s="1396" t="str">
        <f t="shared" si="251"/>
        <v>Yet to be approved</v>
      </c>
      <c r="D1692" s="1378" t="str">
        <f t="shared" si="251"/>
        <v>-</v>
      </c>
      <c r="E1692" s="1505">
        <f t="shared" si="251"/>
        <v>0</v>
      </c>
      <c r="F1692" s="1509">
        <f t="shared" si="244"/>
        <v>0</v>
      </c>
      <c r="G1692" s="1509">
        <f t="shared" si="245"/>
        <v>0</v>
      </c>
      <c r="H1692" s="1509">
        <f t="shared" si="246"/>
        <v>0</v>
      </c>
      <c r="I1692" s="1509">
        <v>0</v>
      </c>
      <c r="J1692" s="1509">
        <v>0</v>
      </c>
      <c r="K1692" s="1509"/>
      <c r="L1692" s="1509"/>
      <c r="M1692" s="1509">
        <f t="shared" si="247"/>
        <v>0</v>
      </c>
      <c r="N1692" s="1509">
        <f t="shared" si="248"/>
        <v>0</v>
      </c>
    </row>
    <row r="1693" spans="1:14" customFormat="1" ht="43.5" outlineLevel="1" x14ac:dyDescent="0.25">
      <c r="A1693" s="1511">
        <f t="shared" si="251"/>
        <v>24.6</v>
      </c>
      <c r="B1693" s="1515" t="str">
        <f t="shared" si="251"/>
        <v xml:space="preserve"> Upgradation of CO analyser at APH  inlete and SOX NOX gas analyser installed at ID discharge along with remote calibration facility and connectivity to CPCB and MPCB as per latest CPCB Guidelines </v>
      </c>
      <c r="C1693" s="1396" t="str">
        <f t="shared" si="251"/>
        <v>Yet to be approved</v>
      </c>
      <c r="D1693" s="1378" t="str">
        <f t="shared" si="251"/>
        <v>-</v>
      </c>
      <c r="E1693" s="1505">
        <f t="shared" si="251"/>
        <v>0</v>
      </c>
      <c r="F1693" s="1509">
        <f t="shared" si="244"/>
        <v>0</v>
      </c>
      <c r="G1693" s="1509">
        <f t="shared" si="245"/>
        <v>0</v>
      </c>
      <c r="H1693" s="1509">
        <f t="shared" si="246"/>
        <v>0</v>
      </c>
      <c r="I1693" s="1509">
        <v>0</v>
      </c>
      <c r="J1693" s="1509">
        <v>0</v>
      </c>
      <c r="K1693" s="1509"/>
      <c r="L1693" s="1509"/>
      <c r="M1693" s="1509">
        <f t="shared" si="247"/>
        <v>0</v>
      </c>
      <c r="N1693" s="1509">
        <f t="shared" si="248"/>
        <v>0</v>
      </c>
    </row>
    <row r="1694" spans="1:14" customFormat="1" ht="43.5" outlineLevel="1" x14ac:dyDescent="0.25">
      <c r="A1694" s="1511">
        <f t="shared" ref="A1694:E1709" si="252">A1337</f>
        <v>24.7</v>
      </c>
      <c r="B1694" s="1515" t="str">
        <f t="shared" si="252"/>
        <v>Supply, Erection and Commissioning of Effluent Analyser for the parameters like COD, BOD, TSS &amp; PH installed at ETP &amp; STP outlet of the NPTPS, Parli.       complying CPCB / MPCB Guidelines.</v>
      </c>
      <c r="C1694" s="1396" t="str">
        <f t="shared" si="252"/>
        <v>Yet to be approved</v>
      </c>
      <c r="D1694" s="1378" t="str">
        <f t="shared" si="252"/>
        <v>-</v>
      </c>
      <c r="E1694" s="1505">
        <f t="shared" si="252"/>
        <v>0</v>
      </c>
      <c r="F1694" s="1509">
        <f t="shared" ref="F1694:F1757" si="253">F1337+I1337</f>
        <v>0</v>
      </c>
      <c r="G1694" s="1509">
        <f t="shared" ref="G1694:G1757" si="254">G1337+M1337</f>
        <v>0</v>
      </c>
      <c r="H1694" s="1509">
        <f t="shared" si="246"/>
        <v>0</v>
      </c>
      <c r="I1694" s="1509">
        <v>0</v>
      </c>
      <c r="J1694" s="1509">
        <v>0</v>
      </c>
      <c r="K1694" s="1509"/>
      <c r="L1694" s="1509"/>
      <c r="M1694" s="1509">
        <f t="shared" si="247"/>
        <v>0</v>
      </c>
      <c r="N1694" s="1509">
        <f t="shared" si="248"/>
        <v>0</v>
      </c>
    </row>
    <row r="1695" spans="1:14" customFormat="1" outlineLevel="1" x14ac:dyDescent="0.25">
      <c r="A1695" s="1511">
        <f t="shared" si="252"/>
        <v>0</v>
      </c>
      <c r="B1695" s="1515" t="str">
        <f t="shared" si="252"/>
        <v>IDC</v>
      </c>
      <c r="C1695" s="1396" t="str">
        <f t="shared" si="252"/>
        <v>Yet to be approved</v>
      </c>
      <c r="D1695" s="1378" t="str">
        <f t="shared" si="252"/>
        <v>-</v>
      </c>
      <c r="E1695" s="1505">
        <f t="shared" si="252"/>
        <v>0</v>
      </c>
      <c r="F1695" s="1509">
        <f t="shared" si="253"/>
        <v>0</v>
      </c>
      <c r="G1695" s="1509">
        <f t="shared" si="254"/>
        <v>0</v>
      </c>
      <c r="H1695" s="1509">
        <f t="shared" ref="H1695:H1758" si="255">F1695-G1695</f>
        <v>0</v>
      </c>
      <c r="I1695" s="1509">
        <v>0</v>
      </c>
      <c r="J1695" s="1509">
        <v>0</v>
      </c>
      <c r="K1695" s="1509"/>
      <c r="L1695" s="1509"/>
      <c r="M1695" s="1509">
        <f t="shared" ref="M1695:M1758" si="256">SUM(J1695:L1695)</f>
        <v>0</v>
      </c>
      <c r="N1695" s="1509">
        <f t="shared" ref="N1695:N1758" si="257">H1695+I1695-M1695</f>
        <v>0</v>
      </c>
    </row>
    <row r="1696" spans="1:14" customFormat="1" ht="87" outlineLevel="1" x14ac:dyDescent="0.25">
      <c r="A1696" s="1506">
        <f t="shared" si="252"/>
        <v>25</v>
      </c>
      <c r="B1696" s="1507" t="str">
        <f t="shared" si="252"/>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1696" s="1506" t="str">
        <f t="shared" si="252"/>
        <v>Yet to be approved</v>
      </c>
      <c r="D1696" s="1507" t="str">
        <f t="shared" si="252"/>
        <v>-</v>
      </c>
      <c r="E1696" s="1506">
        <f t="shared" si="252"/>
        <v>0</v>
      </c>
      <c r="F1696" s="1509">
        <f t="shared" si="253"/>
        <v>0</v>
      </c>
      <c r="G1696" s="1509">
        <f t="shared" si="254"/>
        <v>0</v>
      </c>
      <c r="H1696" s="1509">
        <f t="shared" si="255"/>
        <v>0</v>
      </c>
      <c r="I1696" s="1509">
        <v>0</v>
      </c>
      <c r="J1696" s="1509">
        <v>0</v>
      </c>
      <c r="K1696" s="1509"/>
      <c r="L1696" s="1509"/>
      <c r="M1696" s="1509">
        <f t="shared" si="256"/>
        <v>0</v>
      </c>
      <c r="N1696" s="1509">
        <f t="shared" si="257"/>
        <v>0</v>
      </c>
    </row>
    <row r="1697" spans="1:14" customFormat="1" ht="58" outlineLevel="1" x14ac:dyDescent="0.25">
      <c r="A1697" s="1511">
        <f t="shared" si="252"/>
        <v>25.1</v>
      </c>
      <c r="B1697" s="1515" t="str">
        <f t="shared" si="252"/>
        <v>Work of replacement of damaged/leaky underground Fire Water Pipelines and Static Fire water Pumps at Plant (Unit-6, 7 &amp; 8) and ODP area of Parli TPS including required material viz. MSERW Pipes/Steel, etc.</v>
      </c>
      <c r="C1697" s="1396" t="str">
        <f t="shared" si="252"/>
        <v>Yet to be approved</v>
      </c>
      <c r="D1697" s="1378" t="str">
        <f t="shared" si="252"/>
        <v>-</v>
      </c>
      <c r="E1697" s="1505">
        <f t="shared" si="252"/>
        <v>0</v>
      </c>
      <c r="F1697" s="1509">
        <f t="shared" si="253"/>
        <v>17</v>
      </c>
      <c r="G1697" s="1509">
        <f t="shared" si="254"/>
        <v>17</v>
      </c>
      <c r="H1697" s="1509">
        <f t="shared" si="255"/>
        <v>0</v>
      </c>
      <c r="I1697" s="1509">
        <v>0</v>
      </c>
      <c r="J1697" s="1509">
        <v>0</v>
      </c>
      <c r="K1697" s="1509"/>
      <c r="L1697" s="1509"/>
      <c r="M1697" s="1509">
        <f t="shared" si="256"/>
        <v>0</v>
      </c>
      <c r="N1697" s="1509">
        <f t="shared" si="257"/>
        <v>0</v>
      </c>
    </row>
    <row r="1698" spans="1:14" customFormat="1" ht="58" outlineLevel="1" x14ac:dyDescent="0.25">
      <c r="A1698" s="1511">
        <f t="shared" si="252"/>
        <v>25.2</v>
      </c>
      <c r="B1698" s="1515" t="str">
        <f t="shared" si="252"/>
        <v>Restoration of Deluge Valve system along with work of repairing/reconstruction (with relocation for safe operation) of damaged Deluge Valve Houses at Plant &amp; ODP area of Parli TPS Unit#6, 7 &amp; 8.</v>
      </c>
      <c r="C1698" s="1396" t="str">
        <f t="shared" si="252"/>
        <v>Yet to be approved</v>
      </c>
      <c r="D1698" s="1378" t="str">
        <f t="shared" si="252"/>
        <v>-</v>
      </c>
      <c r="E1698" s="1505">
        <f t="shared" si="252"/>
        <v>0</v>
      </c>
      <c r="F1698" s="1509">
        <f t="shared" si="253"/>
        <v>10</v>
      </c>
      <c r="G1698" s="1509">
        <f t="shared" si="254"/>
        <v>10</v>
      </c>
      <c r="H1698" s="1509">
        <f t="shared" si="255"/>
        <v>0</v>
      </c>
      <c r="I1698" s="1509">
        <v>0</v>
      </c>
      <c r="J1698" s="1509">
        <v>0</v>
      </c>
      <c r="K1698" s="1509"/>
      <c r="L1698" s="1509"/>
      <c r="M1698" s="1509">
        <f t="shared" si="256"/>
        <v>0</v>
      </c>
      <c r="N1698" s="1509">
        <f t="shared" si="257"/>
        <v>0</v>
      </c>
    </row>
    <row r="1699" spans="1:14" customFormat="1" ht="29" outlineLevel="1" x14ac:dyDescent="0.25">
      <c r="A1699" s="1511">
        <f t="shared" si="252"/>
        <v>25.3</v>
      </c>
      <c r="B1699" s="1515" t="str">
        <f t="shared" si="252"/>
        <v>Supply, Rectification and Installation of addressable fire alarm system and Fire suppression system at unit 6 &amp; 7,Parli TPS.</v>
      </c>
      <c r="C1699" s="1396" t="str">
        <f t="shared" si="252"/>
        <v>Yet to be approved</v>
      </c>
      <c r="D1699" s="1378" t="str">
        <f t="shared" si="252"/>
        <v>-</v>
      </c>
      <c r="E1699" s="1505">
        <f t="shared" si="252"/>
        <v>0</v>
      </c>
      <c r="F1699" s="1509">
        <f t="shared" si="253"/>
        <v>7</v>
      </c>
      <c r="G1699" s="1509">
        <f t="shared" si="254"/>
        <v>7</v>
      </c>
      <c r="H1699" s="1509">
        <f t="shared" si="255"/>
        <v>0</v>
      </c>
      <c r="I1699" s="1509">
        <v>0</v>
      </c>
      <c r="J1699" s="1509">
        <v>0</v>
      </c>
      <c r="K1699" s="1509"/>
      <c r="L1699" s="1509"/>
      <c r="M1699" s="1509">
        <f t="shared" si="256"/>
        <v>0</v>
      </c>
      <c r="N1699" s="1509">
        <f t="shared" si="257"/>
        <v>0</v>
      </c>
    </row>
    <row r="1700" spans="1:14" customFormat="1" outlineLevel="1" x14ac:dyDescent="0.25">
      <c r="A1700" s="1511">
        <f t="shared" si="252"/>
        <v>0</v>
      </c>
      <c r="B1700" s="1515" t="str">
        <f t="shared" si="252"/>
        <v>IDC</v>
      </c>
      <c r="C1700" s="1396" t="str">
        <f t="shared" si="252"/>
        <v>Yet to be approved</v>
      </c>
      <c r="D1700" s="1378" t="str">
        <f t="shared" si="252"/>
        <v>-</v>
      </c>
      <c r="E1700" s="1505">
        <f t="shared" si="252"/>
        <v>0</v>
      </c>
      <c r="F1700" s="1509">
        <f t="shared" si="253"/>
        <v>0</v>
      </c>
      <c r="G1700" s="1509">
        <f t="shared" si="254"/>
        <v>0</v>
      </c>
      <c r="H1700" s="1509">
        <f t="shared" si="255"/>
        <v>0</v>
      </c>
      <c r="I1700" s="1509">
        <v>0</v>
      </c>
      <c r="J1700" s="1509">
        <v>0</v>
      </c>
      <c r="K1700" s="1509"/>
      <c r="L1700" s="1509"/>
      <c r="M1700" s="1509">
        <f t="shared" si="256"/>
        <v>0</v>
      </c>
      <c r="N1700" s="1509">
        <f t="shared" si="257"/>
        <v>0</v>
      </c>
    </row>
    <row r="1701" spans="1:14" customFormat="1" ht="29" outlineLevel="1" x14ac:dyDescent="0.25">
      <c r="A1701" s="1506">
        <f t="shared" si="252"/>
        <v>26</v>
      </c>
      <c r="B1701" s="1507" t="str">
        <f t="shared" si="252"/>
        <v>ASH  EVACUATION  IMPROVEMENT  AND  PERFORMANCE &amp; EFFICIENCY OF ASH HANDLING SYSTEM At NPTPS Parli-V AT TPS PARLI-V.</v>
      </c>
      <c r="C1701" s="1506" t="str">
        <f t="shared" si="252"/>
        <v>Yet to be approved</v>
      </c>
      <c r="D1701" s="1507" t="str">
        <f t="shared" si="252"/>
        <v>-</v>
      </c>
      <c r="E1701" s="1506">
        <f t="shared" si="252"/>
        <v>0</v>
      </c>
      <c r="F1701" s="1509">
        <f t="shared" si="253"/>
        <v>0</v>
      </c>
      <c r="G1701" s="1509">
        <f t="shared" si="254"/>
        <v>0</v>
      </c>
      <c r="H1701" s="1509">
        <f t="shared" si="255"/>
        <v>0</v>
      </c>
      <c r="I1701" s="1509">
        <v>0</v>
      </c>
      <c r="J1701" s="1509">
        <v>0</v>
      </c>
      <c r="K1701" s="1509"/>
      <c r="L1701" s="1509"/>
      <c r="M1701" s="1509">
        <f t="shared" si="256"/>
        <v>0</v>
      </c>
      <c r="N1701" s="1509">
        <f t="shared" si="257"/>
        <v>0</v>
      </c>
    </row>
    <row r="1702" spans="1:14" customFormat="1" ht="29" outlineLevel="1" x14ac:dyDescent="0.25">
      <c r="A1702" s="1511">
        <f t="shared" si="252"/>
        <v>26.1</v>
      </c>
      <c r="B1702" s="1515" t="str">
        <f t="shared" si="252"/>
        <v>DESIGN , SUPPLY &amp; REPLCEMENT OF  ASH DISPOSAL SLURRY PUMP  COMPLTE ASSEMBLY ALONG WITH GEAR BOX, MOTORS U-6</v>
      </c>
      <c r="C1702" s="1396" t="str">
        <f t="shared" si="252"/>
        <v>Yet to be approved</v>
      </c>
      <c r="D1702" s="1378" t="str">
        <f t="shared" si="252"/>
        <v>-</v>
      </c>
      <c r="E1702" s="1505">
        <f t="shared" si="252"/>
        <v>0</v>
      </c>
      <c r="F1702" s="1509">
        <f t="shared" si="253"/>
        <v>1.24</v>
      </c>
      <c r="G1702" s="1509">
        <f t="shared" si="254"/>
        <v>1.24</v>
      </c>
      <c r="H1702" s="1509">
        <f t="shared" si="255"/>
        <v>0</v>
      </c>
      <c r="I1702" s="1509">
        <v>0</v>
      </c>
      <c r="J1702" s="1509">
        <v>0</v>
      </c>
      <c r="K1702" s="1509"/>
      <c r="L1702" s="1509"/>
      <c r="M1702" s="1509">
        <f t="shared" si="256"/>
        <v>0</v>
      </c>
      <c r="N1702" s="1509">
        <f t="shared" si="257"/>
        <v>0</v>
      </c>
    </row>
    <row r="1703" spans="1:14" customFormat="1" ht="29" outlineLevel="1" x14ac:dyDescent="0.25">
      <c r="A1703" s="1511">
        <f t="shared" si="252"/>
        <v>26.2</v>
      </c>
      <c r="B1703" s="1515" t="str">
        <f t="shared" si="252"/>
        <v>DESIGN , SUPPLY &amp; REPLCEMENT OF  HP WATER PUMP COMPLTE ASSEMBLY ALONG WITH GEAR BOX, MOTORS U-6</v>
      </c>
      <c r="C1703" s="1396" t="str">
        <f t="shared" si="252"/>
        <v>Yet to be approved</v>
      </c>
      <c r="D1703" s="1378" t="str">
        <f t="shared" si="252"/>
        <v>-</v>
      </c>
      <c r="E1703" s="1505">
        <f t="shared" si="252"/>
        <v>0</v>
      </c>
      <c r="F1703" s="1509">
        <f t="shared" si="253"/>
        <v>1.17</v>
      </c>
      <c r="G1703" s="1509">
        <f t="shared" si="254"/>
        <v>1.17</v>
      </c>
      <c r="H1703" s="1509">
        <f t="shared" si="255"/>
        <v>0</v>
      </c>
      <c r="I1703" s="1509">
        <v>0</v>
      </c>
      <c r="J1703" s="1509">
        <v>0</v>
      </c>
      <c r="K1703" s="1509"/>
      <c r="L1703" s="1509"/>
      <c r="M1703" s="1509">
        <f t="shared" si="256"/>
        <v>0</v>
      </c>
      <c r="N1703" s="1509">
        <f t="shared" si="257"/>
        <v>0</v>
      </c>
    </row>
    <row r="1704" spans="1:14" customFormat="1" ht="29" outlineLevel="1" x14ac:dyDescent="0.25">
      <c r="A1704" s="1511">
        <f t="shared" si="252"/>
        <v>26.3</v>
      </c>
      <c r="B1704" s="1515" t="str">
        <f t="shared" si="252"/>
        <v>Upgradation of reciprocating  Conveying Air compressor into screw compressor  at U#6</v>
      </c>
      <c r="C1704" s="1396" t="str">
        <f t="shared" si="252"/>
        <v>Yet to be approved</v>
      </c>
      <c r="D1704" s="1378" t="str">
        <f t="shared" si="252"/>
        <v>-</v>
      </c>
      <c r="E1704" s="1505">
        <f t="shared" si="252"/>
        <v>0</v>
      </c>
      <c r="F1704" s="1509">
        <f t="shared" si="253"/>
        <v>5.98</v>
      </c>
      <c r="G1704" s="1509">
        <f t="shared" si="254"/>
        <v>5.98</v>
      </c>
      <c r="H1704" s="1509">
        <f t="shared" si="255"/>
        <v>0</v>
      </c>
      <c r="I1704" s="1509">
        <v>0</v>
      </c>
      <c r="J1704" s="1509">
        <v>0</v>
      </c>
      <c r="K1704" s="1509"/>
      <c r="L1704" s="1509"/>
      <c r="M1704" s="1509">
        <f t="shared" si="256"/>
        <v>0</v>
      </c>
      <c r="N1704" s="1509">
        <f t="shared" si="257"/>
        <v>0</v>
      </c>
    </row>
    <row r="1705" spans="1:14" customFormat="1" ht="29" outlineLevel="1" x14ac:dyDescent="0.25">
      <c r="A1705" s="1511">
        <f t="shared" si="252"/>
        <v>26.4</v>
      </c>
      <c r="B1705" s="1515" t="str">
        <f t="shared" si="252"/>
        <v>Upgradation of reciprocating  Instrument  Air compressor into screw compressor  at U#6</v>
      </c>
      <c r="C1705" s="1396" t="str">
        <f t="shared" si="252"/>
        <v>Yet to be approved</v>
      </c>
      <c r="D1705" s="1378" t="str">
        <f t="shared" si="252"/>
        <v>-</v>
      </c>
      <c r="E1705" s="1505">
        <f t="shared" si="252"/>
        <v>0</v>
      </c>
      <c r="F1705" s="1509">
        <f t="shared" si="253"/>
        <v>3.98</v>
      </c>
      <c r="G1705" s="1509">
        <f t="shared" si="254"/>
        <v>3.98</v>
      </c>
      <c r="H1705" s="1509">
        <f t="shared" si="255"/>
        <v>0</v>
      </c>
      <c r="I1705" s="1509">
        <v>0</v>
      </c>
      <c r="J1705" s="1509">
        <v>0</v>
      </c>
      <c r="K1705" s="1509"/>
      <c r="L1705" s="1509"/>
      <c r="M1705" s="1509">
        <f t="shared" si="256"/>
        <v>0</v>
      </c>
      <c r="N1705" s="1509">
        <f t="shared" si="257"/>
        <v>0</v>
      </c>
    </row>
    <row r="1706" spans="1:14" customFormat="1" ht="43.5" outlineLevel="1" x14ac:dyDescent="0.25">
      <c r="A1706" s="1511">
        <f t="shared" si="252"/>
        <v>26.5</v>
      </c>
      <c r="B1706" s="1515" t="str">
        <f t="shared" si="252"/>
        <v>Procurement &amp; replacement of 300 NB,200NB Cash Basalt Pipelines with the existing MSERW pipe of ash disposal system of Unit #6&amp;  7 at Parli TPS, Parli V .</v>
      </c>
      <c r="C1706" s="1396" t="str">
        <f t="shared" si="252"/>
        <v>Yet to be approved</v>
      </c>
      <c r="D1706" s="1378" t="str">
        <f t="shared" si="252"/>
        <v>-</v>
      </c>
      <c r="E1706" s="1505">
        <f t="shared" si="252"/>
        <v>0</v>
      </c>
      <c r="F1706" s="1509">
        <f t="shared" si="253"/>
        <v>6.61</v>
      </c>
      <c r="G1706" s="1509">
        <f t="shared" si="254"/>
        <v>6.61</v>
      </c>
      <c r="H1706" s="1509">
        <f t="shared" si="255"/>
        <v>0</v>
      </c>
      <c r="I1706" s="1509">
        <v>0</v>
      </c>
      <c r="J1706" s="1509">
        <v>0</v>
      </c>
      <c r="K1706" s="1509"/>
      <c r="L1706" s="1509"/>
      <c r="M1706" s="1509">
        <f t="shared" si="256"/>
        <v>0</v>
      </c>
      <c r="N1706" s="1509">
        <f t="shared" si="257"/>
        <v>0</v>
      </c>
    </row>
    <row r="1707" spans="1:14" customFormat="1" outlineLevel="1" x14ac:dyDescent="0.25">
      <c r="A1707" s="1511">
        <f t="shared" si="252"/>
        <v>26.6</v>
      </c>
      <c r="B1707" s="1515" t="str">
        <f t="shared" si="252"/>
        <v>DESIGN , SUPPLY &amp; REPLCEMENT  VACUUM PUMP U6</v>
      </c>
      <c r="C1707" s="1396" t="str">
        <f t="shared" si="252"/>
        <v>Yet to be approved</v>
      </c>
      <c r="D1707" s="1378" t="str">
        <f t="shared" si="252"/>
        <v>-</v>
      </c>
      <c r="E1707" s="1505">
        <f t="shared" si="252"/>
        <v>0</v>
      </c>
      <c r="F1707" s="1509">
        <f t="shared" si="253"/>
        <v>1.41</v>
      </c>
      <c r="G1707" s="1509">
        <f t="shared" si="254"/>
        <v>1.41</v>
      </c>
      <c r="H1707" s="1509">
        <f t="shared" si="255"/>
        <v>0</v>
      </c>
      <c r="I1707" s="1509">
        <v>0</v>
      </c>
      <c r="J1707" s="1509">
        <v>0</v>
      </c>
      <c r="K1707" s="1509"/>
      <c r="L1707" s="1509"/>
      <c r="M1707" s="1509">
        <f t="shared" si="256"/>
        <v>0</v>
      </c>
      <c r="N1707" s="1509">
        <f t="shared" si="257"/>
        <v>0</v>
      </c>
    </row>
    <row r="1708" spans="1:14" customFormat="1" ht="43.5" outlineLevel="1" x14ac:dyDescent="0.25">
      <c r="A1708" s="1511">
        <f t="shared" si="252"/>
        <v>26.7</v>
      </c>
      <c r="B1708" s="1515" t="str">
        <f t="shared" si="252"/>
        <v>Work of Repairing &amp; Reconditioning of Single Roll Clinker Grinder assembly from OEM on as and when required basis at AHP(2X250),Unit-6&amp;7 Parli TPS,Parli-V.</v>
      </c>
      <c r="C1708" s="1396" t="str">
        <f t="shared" si="252"/>
        <v>Yet to be approved</v>
      </c>
      <c r="D1708" s="1378" t="str">
        <f t="shared" si="252"/>
        <v>-</v>
      </c>
      <c r="E1708" s="1505">
        <f t="shared" si="252"/>
        <v>0</v>
      </c>
      <c r="F1708" s="1509">
        <f t="shared" si="253"/>
        <v>0.65</v>
      </c>
      <c r="G1708" s="1509">
        <f t="shared" si="254"/>
        <v>0.65</v>
      </c>
      <c r="H1708" s="1509">
        <f t="shared" si="255"/>
        <v>0</v>
      </c>
      <c r="I1708" s="1509">
        <v>0</v>
      </c>
      <c r="J1708" s="1509">
        <v>0</v>
      </c>
      <c r="K1708" s="1509"/>
      <c r="L1708" s="1509"/>
      <c r="M1708" s="1509">
        <f t="shared" si="256"/>
        <v>0</v>
      </c>
      <c r="N1708" s="1509">
        <f t="shared" si="257"/>
        <v>0</v>
      </c>
    </row>
    <row r="1709" spans="1:14" customFormat="1" ht="29" outlineLevel="1" x14ac:dyDescent="0.25">
      <c r="A1709" s="1511">
        <f t="shared" si="252"/>
        <v>26.8</v>
      </c>
      <c r="B1709" s="1515" t="str">
        <f t="shared" si="252"/>
        <v>Work of complete Reconditioning and refurbishment of various spares in Unit 6&amp;7, Parli TPS, Parli-V</v>
      </c>
      <c r="C1709" s="1396" t="str">
        <f t="shared" si="252"/>
        <v>Yet to be approved</v>
      </c>
      <c r="D1709" s="1378" t="str">
        <f t="shared" si="252"/>
        <v>-</v>
      </c>
      <c r="E1709" s="1505">
        <f t="shared" si="252"/>
        <v>0</v>
      </c>
      <c r="F1709" s="1509">
        <f t="shared" si="253"/>
        <v>0.73</v>
      </c>
      <c r="G1709" s="1509">
        <f t="shared" si="254"/>
        <v>0.73</v>
      </c>
      <c r="H1709" s="1509">
        <f t="shared" si="255"/>
        <v>0</v>
      </c>
      <c r="I1709" s="1509">
        <v>0</v>
      </c>
      <c r="J1709" s="1509">
        <v>0</v>
      </c>
      <c r="K1709" s="1509"/>
      <c r="L1709" s="1509"/>
      <c r="M1709" s="1509">
        <f t="shared" si="256"/>
        <v>0</v>
      </c>
      <c r="N1709" s="1509">
        <f t="shared" si="257"/>
        <v>0</v>
      </c>
    </row>
    <row r="1710" spans="1:14" customFormat="1" outlineLevel="1" x14ac:dyDescent="0.25">
      <c r="A1710" s="1511">
        <f t="shared" ref="A1710:E1725" si="258">A1353</f>
        <v>26.9</v>
      </c>
      <c r="B1710" s="1515" t="str">
        <f t="shared" si="258"/>
        <v>Transmission drive system &amp; Fluid coupling replacements.</v>
      </c>
      <c r="C1710" s="1396" t="str">
        <f t="shared" si="258"/>
        <v>Yet to be approved</v>
      </c>
      <c r="D1710" s="1378" t="str">
        <f t="shared" si="258"/>
        <v>-</v>
      </c>
      <c r="E1710" s="1505">
        <f t="shared" si="258"/>
        <v>0</v>
      </c>
      <c r="F1710" s="1509">
        <f t="shared" si="253"/>
        <v>2.92</v>
      </c>
      <c r="G1710" s="1509">
        <f t="shared" si="254"/>
        <v>2.92</v>
      </c>
      <c r="H1710" s="1509">
        <f t="shared" si="255"/>
        <v>0</v>
      </c>
      <c r="I1710" s="1509">
        <v>0</v>
      </c>
      <c r="J1710" s="1509">
        <v>0</v>
      </c>
      <c r="K1710" s="1509"/>
      <c r="L1710" s="1509"/>
      <c r="M1710" s="1509">
        <f t="shared" si="256"/>
        <v>0</v>
      </c>
      <c r="N1710" s="1509">
        <f t="shared" si="257"/>
        <v>0</v>
      </c>
    </row>
    <row r="1711" spans="1:14" customFormat="1" ht="29" outlineLevel="1" x14ac:dyDescent="0.25">
      <c r="A1711" s="1511">
        <f t="shared" si="258"/>
        <v>26.1</v>
      </c>
      <c r="B1711" s="1515" t="str">
        <f t="shared" si="258"/>
        <v>DESIGN , SUPPLY &amp; REPLCEMENT OF ASH INLET VALVE COMPLETE ASSEBLY U6</v>
      </c>
      <c r="C1711" s="1396" t="str">
        <f t="shared" si="258"/>
        <v>Yet to be approved</v>
      </c>
      <c r="D1711" s="1378" t="str">
        <f t="shared" si="258"/>
        <v>-</v>
      </c>
      <c r="E1711" s="1505">
        <f t="shared" si="258"/>
        <v>0</v>
      </c>
      <c r="F1711" s="1509">
        <f t="shared" si="253"/>
        <v>2.6</v>
      </c>
      <c r="G1711" s="1509">
        <f t="shared" si="254"/>
        <v>2.6</v>
      </c>
      <c r="H1711" s="1509">
        <f t="shared" si="255"/>
        <v>0</v>
      </c>
      <c r="I1711" s="1509">
        <v>0</v>
      </c>
      <c r="J1711" s="1509">
        <v>0</v>
      </c>
      <c r="K1711" s="1509"/>
      <c r="L1711" s="1509"/>
      <c r="M1711" s="1509">
        <f t="shared" si="256"/>
        <v>0</v>
      </c>
      <c r="N1711" s="1509">
        <f t="shared" si="257"/>
        <v>0</v>
      </c>
    </row>
    <row r="1712" spans="1:14" customFormat="1" ht="43.5" outlineLevel="1" x14ac:dyDescent="0.25">
      <c r="A1712" s="1511">
        <f t="shared" si="258"/>
        <v>26.11</v>
      </c>
      <c r="B1712" s="1515" t="str">
        <f t="shared" si="258"/>
        <v>UPGRADATION OF EXPIRED AND VULNERABLE Scada, operating system and hardware to improve life and communication system of Ash handling plant UNIT 6&amp;7 250MW at NPTPS PARLI V".</v>
      </c>
      <c r="C1712" s="1396" t="str">
        <f t="shared" si="258"/>
        <v>Yet to be approved</v>
      </c>
      <c r="D1712" s="1378" t="str">
        <f t="shared" si="258"/>
        <v>-</v>
      </c>
      <c r="E1712" s="1505">
        <f t="shared" si="258"/>
        <v>0</v>
      </c>
      <c r="F1712" s="1509">
        <f t="shared" si="253"/>
        <v>3</v>
      </c>
      <c r="G1712" s="1509">
        <f t="shared" si="254"/>
        <v>3</v>
      </c>
      <c r="H1712" s="1509">
        <f t="shared" si="255"/>
        <v>0</v>
      </c>
      <c r="I1712" s="1509">
        <v>0</v>
      </c>
      <c r="J1712" s="1509">
        <v>0</v>
      </c>
      <c r="K1712" s="1509"/>
      <c r="L1712" s="1509"/>
      <c r="M1712" s="1509">
        <f t="shared" si="256"/>
        <v>0</v>
      </c>
      <c r="N1712" s="1509">
        <f t="shared" si="257"/>
        <v>0</v>
      </c>
    </row>
    <row r="1713" spans="1:14" customFormat="1" outlineLevel="1" x14ac:dyDescent="0.25">
      <c r="A1713" s="1511">
        <f t="shared" si="258"/>
        <v>0</v>
      </c>
      <c r="B1713" s="1515" t="str">
        <f t="shared" si="258"/>
        <v>IDC</v>
      </c>
      <c r="C1713" s="1396" t="str">
        <f t="shared" si="258"/>
        <v>Yet to be approved</v>
      </c>
      <c r="D1713" s="1378" t="str">
        <f t="shared" si="258"/>
        <v>-</v>
      </c>
      <c r="E1713" s="1505">
        <f t="shared" si="258"/>
        <v>0</v>
      </c>
      <c r="F1713" s="1509">
        <f t="shared" si="253"/>
        <v>0</v>
      </c>
      <c r="G1713" s="1509">
        <f t="shared" si="254"/>
        <v>0</v>
      </c>
      <c r="H1713" s="1509">
        <f t="shared" si="255"/>
        <v>0</v>
      </c>
      <c r="I1713" s="1509">
        <v>0</v>
      </c>
      <c r="J1713" s="1509">
        <v>0</v>
      </c>
      <c r="K1713" s="1509"/>
      <c r="L1713" s="1509"/>
      <c r="M1713" s="1509">
        <f t="shared" si="256"/>
        <v>0</v>
      </c>
      <c r="N1713" s="1509">
        <f t="shared" si="257"/>
        <v>0</v>
      </c>
    </row>
    <row r="1714" spans="1:14" customFormat="1" ht="29" outlineLevel="1" x14ac:dyDescent="0.25">
      <c r="A1714" s="1506">
        <f t="shared" si="258"/>
        <v>27</v>
      </c>
      <c r="B1714" s="1507" t="str">
        <f t="shared" si="258"/>
        <v>ASH  EVACUATION  IMPROVEMENT  AND  PERFORMANCE &amp; EFFICIENCY OF ASH HANDLING SYSTEM At NPTPS Parli-V AT TPS PARLI-V.</v>
      </c>
      <c r="C1714" s="1506" t="str">
        <f t="shared" si="258"/>
        <v>Yet to be approved</v>
      </c>
      <c r="D1714" s="1507" t="str">
        <f t="shared" si="258"/>
        <v>-</v>
      </c>
      <c r="E1714" s="1506">
        <f t="shared" si="258"/>
        <v>0</v>
      </c>
      <c r="F1714" s="1509">
        <f t="shared" si="253"/>
        <v>0</v>
      </c>
      <c r="G1714" s="1509">
        <f t="shared" si="254"/>
        <v>0</v>
      </c>
      <c r="H1714" s="1509">
        <f t="shared" si="255"/>
        <v>0</v>
      </c>
      <c r="I1714" s="1509">
        <v>0</v>
      </c>
      <c r="J1714" s="1509">
        <v>0</v>
      </c>
      <c r="K1714" s="1509"/>
      <c r="L1714" s="1509"/>
      <c r="M1714" s="1509">
        <f t="shared" si="256"/>
        <v>0</v>
      </c>
      <c r="N1714" s="1509">
        <f t="shared" si="257"/>
        <v>0</v>
      </c>
    </row>
    <row r="1715" spans="1:14" customFormat="1" ht="29" outlineLevel="1" x14ac:dyDescent="0.25">
      <c r="A1715" s="1511">
        <f t="shared" si="258"/>
        <v>27.1</v>
      </c>
      <c r="B1715" s="1515" t="str">
        <f t="shared" si="258"/>
        <v>Upgradation of reciprocating  Conveying Air compressor into screw compressor  at U#7</v>
      </c>
      <c r="C1715" s="1396" t="str">
        <f t="shared" si="258"/>
        <v>Yet to be approved</v>
      </c>
      <c r="D1715" s="1378" t="str">
        <f t="shared" si="258"/>
        <v>-</v>
      </c>
      <c r="E1715" s="1505">
        <f t="shared" si="258"/>
        <v>0</v>
      </c>
      <c r="F1715" s="1509">
        <f t="shared" si="253"/>
        <v>0</v>
      </c>
      <c r="G1715" s="1509">
        <f t="shared" si="254"/>
        <v>0</v>
      </c>
      <c r="H1715" s="1509">
        <f t="shared" si="255"/>
        <v>0</v>
      </c>
      <c r="I1715" s="1509">
        <v>5.98</v>
      </c>
      <c r="J1715" s="1509">
        <v>5.98</v>
      </c>
      <c r="K1715" s="1509"/>
      <c r="L1715" s="1509"/>
      <c r="M1715" s="1509">
        <f t="shared" si="256"/>
        <v>5.98</v>
      </c>
      <c r="N1715" s="1509">
        <f t="shared" si="257"/>
        <v>0</v>
      </c>
    </row>
    <row r="1716" spans="1:14" customFormat="1" ht="29" outlineLevel="1" x14ac:dyDescent="0.25">
      <c r="A1716" s="1511">
        <f t="shared" si="258"/>
        <v>27.2</v>
      </c>
      <c r="B1716" s="1515" t="str">
        <f t="shared" si="258"/>
        <v>Upgradation of reciprocating  Instrument  Air compressor into screw compressor  at U#7</v>
      </c>
      <c r="C1716" s="1396" t="str">
        <f t="shared" si="258"/>
        <v>Yet to be approved</v>
      </c>
      <c r="D1716" s="1378" t="str">
        <f t="shared" si="258"/>
        <v>-</v>
      </c>
      <c r="E1716" s="1505">
        <f t="shared" si="258"/>
        <v>0</v>
      </c>
      <c r="F1716" s="1509">
        <f t="shared" si="253"/>
        <v>0</v>
      </c>
      <c r="G1716" s="1509">
        <f t="shared" si="254"/>
        <v>0</v>
      </c>
      <c r="H1716" s="1509">
        <f t="shared" si="255"/>
        <v>0</v>
      </c>
      <c r="I1716" s="1509">
        <v>3.98</v>
      </c>
      <c r="J1716" s="1509">
        <v>3.98</v>
      </c>
      <c r="K1716" s="1509"/>
      <c r="L1716" s="1509"/>
      <c r="M1716" s="1509">
        <f t="shared" si="256"/>
        <v>3.98</v>
      </c>
      <c r="N1716" s="1509">
        <f t="shared" si="257"/>
        <v>0</v>
      </c>
    </row>
    <row r="1717" spans="1:14" customFormat="1" ht="29" outlineLevel="1" x14ac:dyDescent="0.25">
      <c r="A1717" s="1511">
        <f t="shared" si="258"/>
        <v>27.3</v>
      </c>
      <c r="B1717" s="1515" t="str">
        <f t="shared" si="258"/>
        <v>DESIGN , SUPPLY &amp; REPLCEMENT OF  ASH DISPOSAL SLURRY PUMP  COMPLTE ASSEMBLY ALONG WITH GEAR BOX, MOTORS U-7</v>
      </c>
      <c r="C1717" s="1396" t="str">
        <f t="shared" si="258"/>
        <v>Yet to be approved</v>
      </c>
      <c r="D1717" s="1378" t="str">
        <f t="shared" si="258"/>
        <v>-</v>
      </c>
      <c r="E1717" s="1505">
        <f t="shared" si="258"/>
        <v>0</v>
      </c>
      <c r="F1717" s="1509">
        <f t="shared" si="253"/>
        <v>0</v>
      </c>
      <c r="G1717" s="1509">
        <f t="shared" si="254"/>
        <v>0</v>
      </c>
      <c r="H1717" s="1509">
        <f t="shared" si="255"/>
        <v>0</v>
      </c>
      <c r="I1717" s="1509">
        <v>1.24</v>
      </c>
      <c r="J1717" s="1509">
        <v>1.24</v>
      </c>
      <c r="K1717" s="1509"/>
      <c r="L1717" s="1509"/>
      <c r="M1717" s="1509">
        <f t="shared" si="256"/>
        <v>1.24</v>
      </c>
      <c r="N1717" s="1509">
        <f t="shared" si="257"/>
        <v>0</v>
      </c>
    </row>
    <row r="1718" spans="1:14" customFormat="1" ht="29" outlineLevel="1" x14ac:dyDescent="0.25">
      <c r="A1718" s="1511">
        <f t="shared" si="258"/>
        <v>27.4</v>
      </c>
      <c r="B1718" s="1515" t="str">
        <f t="shared" si="258"/>
        <v>DESIGN , SUPPLY &amp; REPLCEMENT OF  HP WATER PUMP COMPLTE ASSEMBLY ALONG WITH GEAR BOX, MOTORS U-7</v>
      </c>
      <c r="C1718" s="1396" t="str">
        <f t="shared" si="258"/>
        <v>Yet to be approved</v>
      </c>
      <c r="D1718" s="1378" t="str">
        <f t="shared" si="258"/>
        <v>-</v>
      </c>
      <c r="E1718" s="1505">
        <f t="shared" si="258"/>
        <v>0</v>
      </c>
      <c r="F1718" s="1509">
        <f t="shared" si="253"/>
        <v>0</v>
      </c>
      <c r="G1718" s="1509">
        <f t="shared" si="254"/>
        <v>0</v>
      </c>
      <c r="H1718" s="1509">
        <f t="shared" si="255"/>
        <v>0</v>
      </c>
      <c r="I1718" s="1509">
        <v>1.17</v>
      </c>
      <c r="J1718" s="1509">
        <v>1.17</v>
      </c>
      <c r="K1718" s="1509"/>
      <c r="L1718" s="1509"/>
      <c r="M1718" s="1509">
        <f t="shared" si="256"/>
        <v>1.17</v>
      </c>
      <c r="N1718" s="1509">
        <f t="shared" si="257"/>
        <v>0</v>
      </c>
    </row>
    <row r="1719" spans="1:14" customFormat="1" outlineLevel="1" x14ac:dyDescent="0.25">
      <c r="A1719" s="1511">
        <f t="shared" si="258"/>
        <v>27.5</v>
      </c>
      <c r="B1719" s="1515" t="str">
        <f t="shared" si="258"/>
        <v>DESIGN , SUPPLY &amp; REPLCEMENT  VACUUM PUMP U7.</v>
      </c>
      <c r="C1719" s="1396" t="str">
        <f t="shared" si="258"/>
        <v>Yet to be approved</v>
      </c>
      <c r="D1719" s="1378" t="str">
        <f t="shared" si="258"/>
        <v>-</v>
      </c>
      <c r="E1719" s="1505">
        <f t="shared" si="258"/>
        <v>0</v>
      </c>
      <c r="F1719" s="1509">
        <f t="shared" si="253"/>
        <v>0</v>
      </c>
      <c r="G1719" s="1509">
        <f t="shared" si="254"/>
        <v>0</v>
      </c>
      <c r="H1719" s="1509">
        <f t="shared" si="255"/>
        <v>0</v>
      </c>
      <c r="I1719" s="1509">
        <v>1.41</v>
      </c>
      <c r="J1719" s="1509">
        <v>1.41</v>
      </c>
      <c r="K1719" s="1509"/>
      <c r="L1719" s="1509"/>
      <c r="M1719" s="1509">
        <f t="shared" si="256"/>
        <v>1.41</v>
      </c>
      <c r="N1719" s="1509">
        <f t="shared" si="257"/>
        <v>0</v>
      </c>
    </row>
    <row r="1720" spans="1:14" customFormat="1" ht="29" outlineLevel="1" x14ac:dyDescent="0.25">
      <c r="A1720" s="1511">
        <f t="shared" si="258"/>
        <v>27.6</v>
      </c>
      <c r="B1720" s="1515" t="str">
        <f t="shared" si="258"/>
        <v>DESIGN , SUPPLY &amp; REPLCEMENT BRANCH SEGEGATION COMPLETE VALVE ASSEBLY U7</v>
      </c>
      <c r="C1720" s="1396" t="str">
        <f t="shared" si="258"/>
        <v>Yet to be approved</v>
      </c>
      <c r="D1720" s="1378" t="str">
        <f t="shared" si="258"/>
        <v>-</v>
      </c>
      <c r="E1720" s="1505">
        <f t="shared" si="258"/>
        <v>0</v>
      </c>
      <c r="F1720" s="1509">
        <f t="shared" si="253"/>
        <v>0</v>
      </c>
      <c r="G1720" s="1509">
        <f t="shared" si="254"/>
        <v>0</v>
      </c>
      <c r="H1720" s="1509">
        <f t="shared" si="255"/>
        <v>0</v>
      </c>
      <c r="I1720" s="1509">
        <v>1</v>
      </c>
      <c r="J1720" s="1509">
        <v>1</v>
      </c>
      <c r="K1720" s="1509"/>
      <c r="L1720" s="1509"/>
      <c r="M1720" s="1509">
        <f t="shared" si="256"/>
        <v>1</v>
      </c>
      <c r="N1720" s="1509">
        <f t="shared" si="257"/>
        <v>0</v>
      </c>
    </row>
    <row r="1721" spans="1:14" customFormat="1" ht="29" outlineLevel="1" x14ac:dyDescent="0.25">
      <c r="A1721" s="1511">
        <f t="shared" si="258"/>
        <v>27.7</v>
      </c>
      <c r="B1721" s="1515" t="str">
        <f t="shared" si="258"/>
        <v>DESIGN , SUPPLY &amp; REPLCEMENT BRANCH VALVE &amp; ASH INLET VALVE U7</v>
      </c>
      <c r="C1721" s="1396" t="str">
        <f t="shared" si="258"/>
        <v>Yet to be approved</v>
      </c>
      <c r="D1721" s="1378" t="str">
        <f t="shared" si="258"/>
        <v>-</v>
      </c>
      <c r="E1721" s="1505">
        <f t="shared" si="258"/>
        <v>0</v>
      </c>
      <c r="F1721" s="1509">
        <f t="shared" si="253"/>
        <v>0</v>
      </c>
      <c r="G1721" s="1509">
        <f t="shared" si="254"/>
        <v>0</v>
      </c>
      <c r="H1721" s="1509">
        <f t="shared" si="255"/>
        <v>0</v>
      </c>
      <c r="I1721" s="1509">
        <v>2.6</v>
      </c>
      <c r="J1721" s="1509">
        <v>2.6</v>
      </c>
      <c r="K1721" s="1509"/>
      <c r="L1721" s="1509"/>
      <c r="M1721" s="1509">
        <f t="shared" si="256"/>
        <v>2.6</v>
      </c>
      <c r="N1721" s="1509">
        <f t="shared" si="257"/>
        <v>0</v>
      </c>
    </row>
    <row r="1722" spans="1:14" customFormat="1" ht="43.5" outlineLevel="1" x14ac:dyDescent="0.25">
      <c r="A1722" s="1511">
        <f t="shared" si="258"/>
        <v>27.8</v>
      </c>
      <c r="B1722" s="1515" t="str">
        <f t="shared" si="258"/>
        <v>Procurement of MOTORS, RELAY ,BREAKERS &amp; RETROFITTING   for pumps , IAC/CAC to improve availability &amp; performance of Bottom ash,  Coarse Ash &amp;  fly ash system of AHP, unit -7</v>
      </c>
      <c r="C1722" s="1396" t="str">
        <f t="shared" si="258"/>
        <v>Yet to be approved</v>
      </c>
      <c r="D1722" s="1378" t="str">
        <f t="shared" si="258"/>
        <v>-</v>
      </c>
      <c r="E1722" s="1505">
        <f t="shared" si="258"/>
        <v>0</v>
      </c>
      <c r="F1722" s="1509">
        <f t="shared" si="253"/>
        <v>0</v>
      </c>
      <c r="G1722" s="1509">
        <f t="shared" si="254"/>
        <v>0</v>
      </c>
      <c r="H1722" s="1509">
        <f t="shared" si="255"/>
        <v>0</v>
      </c>
      <c r="I1722" s="1509">
        <v>3.5</v>
      </c>
      <c r="J1722" s="1509">
        <v>3.5</v>
      </c>
      <c r="K1722" s="1509"/>
      <c r="L1722" s="1509"/>
      <c r="M1722" s="1509">
        <f t="shared" si="256"/>
        <v>3.5</v>
      </c>
      <c r="N1722" s="1509">
        <f t="shared" si="257"/>
        <v>0</v>
      </c>
    </row>
    <row r="1723" spans="1:14" customFormat="1" outlineLevel="1" x14ac:dyDescent="0.25">
      <c r="A1723" s="1511">
        <f t="shared" si="258"/>
        <v>27.9</v>
      </c>
      <c r="B1723" s="1515" t="str">
        <f t="shared" si="258"/>
        <v>Procurement of Replcement Water valve, AUDCO valve</v>
      </c>
      <c r="C1723" s="1396" t="str">
        <f t="shared" si="258"/>
        <v>Yet to be approved</v>
      </c>
      <c r="D1723" s="1378" t="str">
        <f t="shared" si="258"/>
        <v>-</v>
      </c>
      <c r="E1723" s="1505">
        <f t="shared" si="258"/>
        <v>0</v>
      </c>
      <c r="F1723" s="1509">
        <f t="shared" si="253"/>
        <v>0</v>
      </c>
      <c r="G1723" s="1509">
        <f t="shared" si="254"/>
        <v>0</v>
      </c>
      <c r="H1723" s="1509">
        <f t="shared" si="255"/>
        <v>0</v>
      </c>
      <c r="I1723" s="1509">
        <v>0.5</v>
      </c>
      <c r="J1723" s="1509">
        <v>0.5</v>
      </c>
      <c r="K1723" s="1509"/>
      <c r="L1723" s="1509"/>
      <c r="M1723" s="1509">
        <f t="shared" si="256"/>
        <v>0.5</v>
      </c>
      <c r="N1723" s="1509">
        <f t="shared" si="257"/>
        <v>0</v>
      </c>
    </row>
    <row r="1724" spans="1:14" customFormat="1" outlineLevel="1" x14ac:dyDescent="0.25">
      <c r="A1724" s="1511">
        <f t="shared" si="258"/>
        <v>27.1</v>
      </c>
      <c r="B1724" s="1515" t="str">
        <f t="shared" si="258"/>
        <v>Procurement &amp; replacement of Bottom ash clinker grinder</v>
      </c>
      <c r="C1724" s="1396" t="str">
        <f t="shared" si="258"/>
        <v>Yet to be approved</v>
      </c>
      <c r="D1724" s="1378" t="str">
        <f t="shared" si="258"/>
        <v>-</v>
      </c>
      <c r="E1724" s="1505">
        <f t="shared" si="258"/>
        <v>0</v>
      </c>
      <c r="F1724" s="1509">
        <f t="shared" si="253"/>
        <v>0</v>
      </c>
      <c r="G1724" s="1509">
        <f t="shared" si="254"/>
        <v>0</v>
      </c>
      <c r="H1724" s="1509">
        <f t="shared" si="255"/>
        <v>0</v>
      </c>
      <c r="I1724" s="1509">
        <v>1.89</v>
      </c>
      <c r="J1724" s="1509">
        <v>1.89</v>
      </c>
      <c r="K1724" s="1509"/>
      <c r="L1724" s="1509"/>
      <c r="M1724" s="1509">
        <f t="shared" si="256"/>
        <v>1.89</v>
      </c>
      <c r="N1724" s="1509">
        <f t="shared" si="257"/>
        <v>0</v>
      </c>
    </row>
    <row r="1725" spans="1:14" customFormat="1" ht="43.5" outlineLevel="1" x14ac:dyDescent="0.25">
      <c r="A1725" s="1511">
        <f t="shared" si="258"/>
        <v>27.11</v>
      </c>
      <c r="B1725" s="1515" t="str">
        <f t="shared" si="258"/>
        <v>UPGRADATION OF EXPIRED AND VULNERABLE Scada, operating system and hardware to improve life and communication system of HCSD Ash handling plant UNIT 6&amp;7 250MW at NPTPS PARLI V"</v>
      </c>
      <c r="C1725" s="1396" t="str">
        <f t="shared" si="258"/>
        <v>Yet to be approved</v>
      </c>
      <c r="D1725" s="1378" t="str">
        <f t="shared" si="258"/>
        <v>-</v>
      </c>
      <c r="E1725" s="1505">
        <f t="shared" si="258"/>
        <v>0</v>
      </c>
      <c r="F1725" s="1509">
        <f t="shared" si="253"/>
        <v>0</v>
      </c>
      <c r="G1725" s="1509">
        <f t="shared" si="254"/>
        <v>0</v>
      </c>
      <c r="H1725" s="1509">
        <f t="shared" si="255"/>
        <v>0</v>
      </c>
      <c r="I1725" s="1509">
        <v>2.5</v>
      </c>
      <c r="J1725" s="1509">
        <v>2.5</v>
      </c>
      <c r="K1725" s="1509"/>
      <c r="L1725" s="1509"/>
      <c r="M1725" s="1509">
        <f t="shared" si="256"/>
        <v>2.5</v>
      </c>
      <c r="N1725" s="1509">
        <f t="shared" si="257"/>
        <v>0</v>
      </c>
    </row>
    <row r="1726" spans="1:14" customFormat="1" outlineLevel="1" x14ac:dyDescent="0.25">
      <c r="A1726" s="1511">
        <f t="shared" ref="A1726:E1741" si="259">A1369</f>
        <v>0</v>
      </c>
      <c r="B1726" s="1515" t="str">
        <f t="shared" si="259"/>
        <v>IDC</v>
      </c>
      <c r="C1726" s="1396" t="str">
        <f t="shared" si="259"/>
        <v>Yet to be approved</v>
      </c>
      <c r="D1726" s="1378" t="str">
        <f t="shared" si="259"/>
        <v>-</v>
      </c>
      <c r="E1726" s="1505">
        <f t="shared" si="259"/>
        <v>0</v>
      </c>
      <c r="F1726" s="1509">
        <f t="shared" si="253"/>
        <v>0</v>
      </c>
      <c r="G1726" s="1509">
        <f t="shared" si="254"/>
        <v>0</v>
      </c>
      <c r="H1726" s="1509">
        <f t="shared" si="255"/>
        <v>0</v>
      </c>
      <c r="I1726" s="1509">
        <v>0</v>
      </c>
      <c r="J1726" s="1509">
        <v>0</v>
      </c>
      <c r="K1726" s="1509"/>
      <c r="L1726" s="1509"/>
      <c r="M1726" s="1509">
        <f t="shared" si="256"/>
        <v>0</v>
      </c>
      <c r="N1726" s="1509">
        <f t="shared" si="257"/>
        <v>0</v>
      </c>
    </row>
    <row r="1727" spans="1:14" customFormat="1" ht="29" outlineLevel="1" x14ac:dyDescent="0.25">
      <c r="A1727" s="1506">
        <f t="shared" si="259"/>
        <v>28</v>
      </c>
      <c r="B1727" s="1507" t="str">
        <f t="shared" si="259"/>
        <v>ASH  EVACUATION  IMPROVEMENT  AND  PERFORMANCE &amp; EFFICIENCY OF ASH HANDLING SYSTEM At NPTPS Parli-V AT TPS PARLI-V.</v>
      </c>
      <c r="C1727" s="1506" t="str">
        <f t="shared" si="259"/>
        <v>Yet to be approved</v>
      </c>
      <c r="D1727" s="1507" t="str">
        <f t="shared" si="259"/>
        <v>-</v>
      </c>
      <c r="E1727" s="1506">
        <f t="shared" si="259"/>
        <v>0</v>
      </c>
      <c r="F1727" s="1509">
        <f t="shared" si="253"/>
        <v>0</v>
      </c>
      <c r="G1727" s="1509">
        <f t="shared" si="254"/>
        <v>0</v>
      </c>
      <c r="H1727" s="1509">
        <f t="shared" si="255"/>
        <v>0</v>
      </c>
      <c r="I1727" s="1509">
        <v>0</v>
      </c>
      <c r="J1727" s="1509">
        <v>0</v>
      </c>
      <c r="K1727" s="1509"/>
      <c r="L1727" s="1509"/>
      <c r="M1727" s="1509">
        <f t="shared" si="256"/>
        <v>0</v>
      </c>
      <c r="N1727" s="1509">
        <f t="shared" si="257"/>
        <v>0</v>
      </c>
    </row>
    <row r="1728" spans="1:14" customFormat="1" outlineLevel="1" x14ac:dyDescent="0.25">
      <c r="A1728" s="1511">
        <f t="shared" si="259"/>
        <v>28.1</v>
      </c>
      <c r="B1728" s="1515" t="str">
        <f t="shared" si="259"/>
        <v>GEHO pump critical assemblies replacement.</v>
      </c>
      <c r="C1728" s="1396" t="str">
        <f t="shared" si="259"/>
        <v>Yet to be approved</v>
      </c>
      <c r="D1728" s="1378" t="str">
        <f t="shared" si="259"/>
        <v>-</v>
      </c>
      <c r="E1728" s="1505">
        <f t="shared" si="259"/>
        <v>0</v>
      </c>
      <c r="F1728" s="1509">
        <f t="shared" si="253"/>
        <v>0</v>
      </c>
      <c r="G1728" s="1509">
        <f t="shared" si="254"/>
        <v>0</v>
      </c>
      <c r="H1728" s="1509">
        <f t="shared" si="255"/>
        <v>0</v>
      </c>
      <c r="I1728" s="1509">
        <v>0</v>
      </c>
      <c r="J1728" s="1509">
        <v>0</v>
      </c>
      <c r="K1728" s="1509"/>
      <c r="L1728" s="1509"/>
      <c r="M1728" s="1509">
        <f t="shared" si="256"/>
        <v>0</v>
      </c>
      <c r="N1728" s="1509">
        <f t="shared" si="257"/>
        <v>0</v>
      </c>
    </row>
    <row r="1729" spans="1:14" customFormat="1" ht="29" outlineLevel="1" x14ac:dyDescent="0.25">
      <c r="A1729" s="1511">
        <f t="shared" si="259"/>
        <v>28.2</v>
      </c>
      <c r="B1729" s="1515" t="str">
        <f t="shared" si="259"/>
        <v xml:space="preserve">DESIGN , SUPPLY &amp; REPLCEMENT OF  HP WATER PUMP COMPLTE ASSEMBLY ALONG WITH GEAR BOX, MOTORS </v>
      </c>
      <c r="C1729" s="1396" t="str">
        <f t="shared" si="259"/>
        <v>Yet to be approved</v>
      </c>
      <c r="D1729" s="1378" t="str">
        <f t="shared" si="259"/>
        <v>-</v>
      </c>
      <c r="E1729" s="1505">
        <f t="shared" si="259"/>
        <v>0</v>
      </c>
      <c r="F1729" s="1509">
        <f t="shared" si="253"/>
        <v>0</v>
      </c>
      <c r="G1729" s="1509">
        <f t="shared" si="254"/>
        <v>0</v>
      </c>
      <c r="H1729" s="1509">
        <f t="shared" si="255"/>
        <v>0</v>
      </c>
      <c r="I1729" s="1509">
        <v>0</v>
      </c>
      <c r="J1729" s="1509">
        <v>0</v>
      </c>
      <c r="K1729" s="1509"/>
      <c r="L1729" s="1509"/>
      <c r="M1729" s="1509">
        <f t="shared" si="256"/>
        <v>0</v>
      </c>
      <c r="N1729" s="1509">
        <f t="shared" si="257"/>
        <v>0</v>
      </c>
    </row>
    <row r="1730" spans="1:14" customFormat="1" outlineLevel="1" x14ac:dyDescent="0.25">
      <c r="A1730" s="1511">
        <f t="shared" si="259"/>
        <v>28.3</v>
      </c>
      <c r="B1730" s="1515" t="str">
        <f t="shared" si="259"/>
        <v>Upgradation of BA clinker grinder  at U#6/7</v>
      </c>
      <c r="C1730" s="1396" t="str">
        <f t="shared" si="259"/>
        <v>Yet to be approved</v>
      </c>
      <c r="D1730" s="1378" t="str">
        <f t="shared" si="259"/>
        <v>-</v>
      </c>
      <c r="E1730" s="1505">
        <f t="shared" si="259"/>
        <v>0</v>
      </c>
      <c r="F1730" s="1509">
        <f t="shared" si="253"/>
        <v>0</v>
      </c>
      <c r="G1730" s="1509">
        <f t="shared" si="254"/>
        <v>0</v>
      </c>
      <c r="H1730" s="1509">
        <f t="shared" si="255"/>
        <v>0</v>
      </c>
      <c r="I1730" s="1509">
        <v>0</v>
      </c>
      <c r="J1730" s="1509">
        <v>0</v>
      </c>
      <c r="K1730" s="1509"/>
      <c r="L1730" s="1509"/>
      <c r="M1730" s="1509">
        <f t="shared" si="256"/>
        <v>0</v>
      </c>
      <c r="N1730" s="1509">
        <f t="shared" si="257"/>
        <v>0</v>
      </c>
    </row>
    <row r="1731" spans="1:14" customFormat="1" ht="29" outlineLevel="1" x14ac:dyDescent="0.25">
      <c r="A1731" s="1511">
        <f t="shared" si="259"/>
        <v>28.4</v>
      </c>
      <c r="B1731" s="1515" t="str">
        <f t="shared" si="259"/>
        <v>Scheme 4: Spares for premium make ash mixer gear box H1-160 5.06/1, P2 O No.160106, Sr No.2RF 12629 &amp; H1-180 1.35/1</v>
      </c>
      <c r="C1731" s="1396" t="str">
        <f t="shared" si="259"/>
        <v>Yet to be approved</v>
      </c>
      <c r="D1731" s="1378" t="str">
        <f t="shared" si="259"/>
        <v>-</v>
      </c>
      <c r="E1731" s="1505">
        <f t="shared" si="259"/>
        <v>0</v>
      </c>
      <c r="F1731" s="1509">
        <f t="shared" si="253"/>
        <v>0</v>
      </c>
      <c r="G1731" s="1509">
        <f t="shared" si="254"/>
        <v>0</v>
      </c>
      <c r="H1731" s="1509">
        <f t="shared" si="255"/>
        <v>0</v>
      </c>
      <c r="I1731" s="1509">
        <v>0</v>
      </c>
      <c r="J1731" s="1509">
        <v>0</v>
      </c>
      <c r="K1731" s="1509"/>
      <c r="L1731" s="1509"/>
      <c r="M1731" s="1509">
        <f t="shared" si="256"/>
        <v>0</v>
      </c>
      <c r="N1731" s="1509">
        <f t="shared" si="257"/>
        <v>0</v>
      </c>
    </row>
    <row r="1732" spans="1:14" customFormat="1" outlineLevel="1" x14ac:dyDescent="0.25">
      <c r="A1732" s="1511">
        <f t="shared" si="259"/>
        <v>28.5</v>
      </c>
      <c r="B1732" s="1515" t="str">
        <f t="shared" si="259"/>
        <v>Spares for premium make ash mixer gear box  VB2SA-225 17.1/1p1</v>
      </c>
      <c r="C1732" s="1396" t="str">
        <f t="shared" si="259"/>
        <v>Yet to be approved</v>
      </c>
      <c r="D1732" s="1378" t="str">
        <f t="shared" si="259"/>
        <v>-</v>
      </c>
      <c r="E1732" s="1505">
        <f t="shared" si="259"/>
        <v>0</v>
      </c>
      <c r="F1732" s="1509">
        <f t="shared" si="253"/>
        <v>0</v>
      </c>
      <c r="G1732" s="1509">
        <f t="shared" si="254"/>
        <v>0</v>
      </c>
      <c r="H1732" s="1509">
        <f t="shared" si="255"/>
        <v>0</v>
      </c>
      <c r="I1732" s="1509">
        <v>0</v>
      </c>
      <c r="J1732" s="1509">
        <v>0</v>
      </c>
      <c r="K1732" s="1509"/>
      <c r="L1732" s="1509"/>
      <c r="M1732" s="1509">
        <f t="shared" si="256"/>
        <v>0</v>
      </c>
      <c r="N1732" s="1509">
        <f t="shared" si="257"/>
        <v>0</v>
      </c>
    </row>
    <row r="1733" spans="1:14" customFormat="1" outlineLevel="1" x14ac:dyDescent="0.25">
      <c r="A1733" s="1511">
        <f t="shared" si="259"/>
        <v>28.6</v>
      </c>
      <c r="B1733" s="1515" t="str">
        <f t="shared" si="259"/>
        <v xml:space="preserve">DESIGN , SUPPLY &amp; REPLCEMENT  VACUUM PUMP  </v>
      </c>
      <c r="C1733" s="1396" t="str">
        <f t="shared" si="259"/>
        <v>Yet to be approved</v>
      </c>
      <c r="D1733" s="1378" t="str">
        <f t="shared" si="259"/>
        <v>-</v>
      </c>
      <c r="E1733" s="1505">
        <f t="shared" si="259"/>
        <v>0</v>
      </c>
      <c r="F1733" s="1509">
        <f t="shared" si="253"/>
        <v>0</v>
      </c>
      <c r="G1733" s="1509">
        <f t="shared" si="254"/>
        <v>0</v>
      </c>
      <c r="H1733" s="1509">
        <f t="shared" si="255"/>
        <v>0</v>
      </c>
      <c r="I1733" s="1509">
        <v>0</v>
      </c>
      <c r="J1733" s="1509">
        <v>0</v>
      </c>
      <c r="K1733" s="1509"/>
      <c r="L1733" s="1509"/>
      <c r="M1733" s="1509">
        <f t="shared" si="256"/>
        <v>0</v>
      </c>
      <c r="N1733" s="1509">
        <f t="shared" si="257"/>
        <v>0</v>
      </c>
    </row>
    <row r="1734" spans="1:14" customFormat="1" outlineLevel="1" x14ac:dyDescent="0.25">
      <c r="A1734" s="1511">
        <f t="shared" si="259"/>
        <v>0</v>
      </c>
      <c r="B1734" s="1515" t="str">
        <f t="shared" si="259"/>
        <v>IDC</v>
      </c>
      <c r="C1734" s="1396" t="str">
        <f t="shared" si="259"/>
        <v>Yet to be approved</v>
      </c>
      <c r="D1734" s="1378" t="str">
        <f t="shared" si="259"/>
        <v>-</v>
      </c>
      <c r="E1734" s="1505">
        <f t="shared" si="259"/>
        <v>0</v>
      </c>
      <c r="F1734" s="1509">
        <f t="shared" si="253"/>
        <v>0</v>
      </c>
      <c r="G1734" s="1509">
        <f t="shared" si="254"/>
        <v>0</v>
      </c>
      <c r="H1734" s="1509">
        <f t="shared" si="255"/>
        <v>0</v>
      </c>
      <c r="I1734" s="1509">
        <v>0</v>
      </c>
      <c r="J1734" s="1509">
        <v>0</v>
      </c>
      <c r="K1734" s="1509"/>
      <c r="L1734" s="1509"/>
      <c r="M1734" s="1509">
        <f t="shared" si="256"/>
        <v>0</v>
      </c>
      <c r="N1734" s="1509">
        <f t="shared" si="257"/>
        <v>0</v>
      </c>
    </row>
    <row r="1735" spans="1:14" customFormat="1" ht="29" outlineLevel="1" x14ac:dyDescent="0.25">
      <c r="A1735" s="1506">
        <f t="shared" si="259"/>
        <v>29</v>
      </c>
      <c r="B1735" s="1507" t="str">
        <f t="shared" si="259"/>
        <v>ASH  EVACUATION  IMPROVEMENT  AND  PERFORMANCE &amp; EFFICIENCY OF ASH HANDLING SYSTEM At NPTPS Parli-V AT TPS PARLI-V.</v>
      </c>
      <c r="C1735" s="1506" t="str">
        <f t="shared" si="259"/>
        <v>Yet to be approved</v>
      </c>
      <c r="D1735" s="1507" t="str">
        <f t="shared" si="259"/>
        <v>-</v>
      </c>
      <c r="E1735" s="1506">
        <f t="shared" si="259"/>
        <v>0</v>
      </c>
      <c r="F1735" s="1509">
        <f t="shared" si="253"/>
        <v>0</v>
      </c>
      <c r="G1735" s="1509">
        <f t="shared" si="254"/>
        <v>0</v>
      </c>
      <c r="H1735" s="1509">
        <f t="shared" si="255"/>
        <v>0</v>
      </c>
      <c r="I1735" s="1509">
        <v>0</v>
      </c>
      <c r="J1735" s="1509">
        <v>0</v>
      </c>
      <c r="K1735" s="1509"/>
      <c r="L1735" s="1509"/>
      <c r="M1735" s="1509">
        <f t="shared" si="256"/>
        <v>0</v>
      </c>
      <c r="N1735" s="1509">
        <f t="shared" si="257"/>
        <v>0</v>
      </c>
    </row>
    <row r="1736" spans="1:14" customFormat="1" ht="43.5" outlineLevel="1" x14ac:dyDescent="0.25">
      <c r="A1736" s="1511">
        <f t="shared" si="259"/>
        <v>29.1</v>
      </c>
      <c r="B1736" s="1515" t="str">
        <f t="shared" si="259"/>
        <v>Procurement &amp; replacement of 300 NB,200NB Cash Basalt Pipelines with the existing MSERW pipe of ash disposal system of Unit #6&amp;  7 at Parli TPS, Parli V .</v>
      </c>
      <c r="C1736" s="1396" t="str">
        <f t="shared" si="259"/>
        <v>Yet to be approved</v>
      </c>
      <c r="D1736" s="1378" t="str">
        <f t="shared" si="259"/>
        <v>-</v>
      </c>
      <c r="E1736" s="1505">
        <f t="shared" si="259"/>
        <v>0</v>
      </c>
      <c r="F1736" s="1509">
        <f t="shared" si="253"/>
        <v>0</v>
      </c>
      <c r="G1736" s="1509">
        <f t="shared" si="254"/>
        <v>0</v>
      </c>
      <c r="H1736" s="1509">
        <f t="shared" si="255"/>
        <v>0</v>
      </c>
      <c r="I1736" s="1509">
        <v>0</v>
      </c>
      <c r="J1736" s="1509">
        <v>0</v>
      </c>
      <c r="K1736" s="1509"/>
      <c r="L1736" s="1509"/>
      <c r="M1736" s="1509">
        <f t="shared" si="256"/>
        <v>0</v>
      </c>
      <c r="N1736" s="1509">
        <f t="shared" si="257"/>
        <v>0</v>
      </c>
    </row>
    <row r="1737" spans="1:14" customFormat="1" ht="43.5" outlineLevel="1" x14ac:dyDescent="0.25">
      <c r="A1737" s="1511">
        <f t="shared" si="259"/>
        <v>29.2</v>
      </c>
      <c r="B1737" s="1515" t="str">
        <f t="shared" si="259"/>
        <v>Procurement of MOTORS, RELAY ,BREAKERS &amp; RETROFITTING   for pumps , IAC/CAC to improve availability &amp; performance of Bottom ash,  Coarse Ash &amp;  fly ash system of AHP, unit 6</v>
      </c>
      <c r="C1737" s="1396" t="str">
        <f t="shared" si="259"/>
        <v>Yet to be approved</v>
      </c>
      <c r="D1737" s="1378" t="str">
        <f t="shared" si="259"/>
        <v>-</v>
      </c>
      <c r="E1737" s="1505">
        <f t="shared" si="259"/>
        <v>0</v>
      </c>
      <c r="F1737" s="1509">
        <f t="shared" si="253"/>
        <v>0</v>
      </c>
      <c r="G1737" s="1509">
        <f t="shared" si="254"/>
        <v>0</v>
      </c>
      <c r="H1737" s="1509">
        <f t="shared" si="255"/>
        <v>0</v>
      </c>
      <c r="I1737" s="1509">
        <v>0</v>
      </c>
      <c r="J1737" s="1509">
        <v>0</v>
      </c>
      <c r="K1737" s="1509"/>
      <c r="L1737" s="1509"/>
      <c r="M1737" s="1509">
        <f t="shared" si="256"/>
        <v>0</v>
      </c>
      <c r="N1737" s="1509">
        <f t="shared" si="257"/>
        <v>0</v>
      </c>
    </row>
    <row r="1738" spans="1:14" customFormat="1" outlineLevel="1" x14ac:dyDescent="0.25">
      <c r="A1738" s="1511">
        <f t="shared" si="259"/>
        <v>29.3</v>
      </c>
      <c r="B1738" s="1515" t="str">
        <f t="shared" si="259"/>
        <v>DESIGN , SUPPLY &amp; REPLCEMENT  VACUUM PUMP U#6</v>
      </c>
      <c r="C1738" s="1396" t="str">
        <f t="shared" si="259"/>
        <v>Yet to be approved</v>
      </c>
      <c r="D1738" s="1378" t="str">
        <f t="shared" si="259"/>
        <v>-</v>
      </c>
      <c r="E1738" s="1505">
        <f t="shared" si="259"/>
        <v>0</v>
      </c>
      <c r="F1738" s="1509">
        <f t="shared" si="253"/>
        <v>0</v>
      </c>
      <c r="G1738" s="1509">
        <f t="shared" si="254"/>
        <v>0</v>
      </c>
      <c r="H1738" s="1509">
        <f t="shared" si="255"/>
        <v>0</v>
      </c>
      <c r="I1738" s="1509">
        <v>0</v>
      </c>
      <c r="J1738" s="1509">
        <v>0</v>
      </c>
      <c r="K1738" s="1509"/>
      <c r="L1738" s="1509"/>
      <c r="M1738" s="1509">
        <f t="shared" si="256"/>
        <v>0</v>
      </c>
      <c r="N1738" s="1509">
        <f t="shared" si="257"/>
        <v>0</v>
      </c>
    </row>
    <row r="1739" spans="1:14" customFormat="1" outlineLevel="1" x14ac:dyDescent="0.25">
      <c r="A1739" s="1511">
        <f t="shared" si="259"/>
        <v>0</v>
      </c>
      <c r="B1739" s="1515" t="str">
        <f t="shared" si="259"/>
        <v>IDC</v>
      </c>
      <c r="C1739" s="1396" t="str">
        <f t="shared" si="259"/>
        <v>Yet to be approved</v>
      </c>
      <c r="D1739" s="1378" t="str">
        <f t="shared" si="259"/>
        <v>-</v>
      </c>
      <c r="E1739" s="1505">
        <f t="shared" si="259"/>
        <v>0</v>
      </c>
      <c r="F1739" s="1509">
        <f t="shared" si="253"/>
        <v>0</v>
      </c>
      <c r="G1739" s="1509">
        <f t="shared" si="254"/>
        <v>0</v>
      </c>
      <c r="H1739" s="1509">
        <f t="shared" si="255"/>
        <v>0</v>
      </c>
      <c r="I1739" s="1509">
        <v>0</v>
      </c>
      <c r="J1739" s="1509">
        <v>0</v>
      </c>
      <c r="K1739" s="1509"/>
      <c r="L1739" s="1509"/>
      <c r="M1739" s="1509">
        <f t="shared" si="256"/>
        <v>0</v>
      </c>
      <c r="N1739" s="1509">
        <f t="shared" si="257"/>
        <v>0</v>
      </c>
    </row>
    <row r="1740" spans="1:14" customFormat="1" ht="29" outlineLevel="1" x14ac:dyDescent="0.25">
      <c r="A1740" s="1506">
        <f t="shared" si="259"/>
        <v>30</v>
      </c>
      <c r="B1740" s="1507" t="str">
        <f t="shared" si="259"/>
        <v>ASH  EVACUATION  IMPROVEMENT  AND  PERFORMANCE &amp; EFFICIENCY OF ASH HANDLING SYSTEM At NPTPS Parli-V AT TPS PARLI-V.</v>
      </c>
      <c r="C1740" s="1506" t="str">
        <f t="shared" si="259"/>
        <v>Yet to be approved</v>
      </c>
      <c r="D1740" s="1507" t="str">
        <f t="shared" si="259"/>
        <v>-</v>
      </c>
      <c r="E1740" s="1506">
        <f t="shared" si="259"/>
        <v>0</v>
      </c>
      <c r="F1740" s="1509">
        <f t="shared" si="253"/>
        <v>0</v>
      </c>
      <c r="G1740" s="1509">
        <f t="shared" si="254"/>
        <v>0</v>
      </c>
      <c r="H1740" s="1509">
        <f t="shared" si="255"/>
        <v>0</v>
      </c>
      <c r="I1740" s="1509">
        <v>0</v>
      </c>
      <c r="J1740" s="1509">
        <v>0</v>
      </c>
      <c r="K1740" s="1509"/>
      <c r="L1740" s="1509"/>
      <c r="M1740" s="1509">
        <f t="shared" si="256"/>
        <v>0</v>
      </c>
      <c r="N1740" s="1509">
        <f t="shared" si="257"/>
        <v>0</v>
      </c>
    </row>
    <row r="1741" spans="1:14" customFormat="1" outlineLevel="1" x14ac:dyDescent="0.25">
      <c r="A1741" s="1511">
        <f t="shared" si="259"/>
        <v>30.1</v>
      </c>
      <c r="B1741" s="1515" t="str">
        <f t="shared" si="259"/>
        <v>DESIGN , SUPPLY &amp; REPLCEMENT  VACUUM PUMP</v>
      </c>
      <c r="C1741" s="1396" t="str">
        <f t="shared" si="259"/>
        <v>Yet to be approved</v>
      </c>
      <c r="D1741" s="1378" t="str">
        <f t="shared" si="259"/>
        <v>-</v>
      </c>
      <c r="E1741" s="1505">
        <f t="shared" si="259"/>
        <v>0</v>
      </c>
      <c r="F1741" s="1509">
        <f t="shared" si="253"/>
        <v>0</v>
      </c>
      <c r="G1741" s="1509">
        <f t="shared" si="254"/>
        <v>0</v>
      </c>
      <c r="H1741" s="1509">
        <f t="shared" si="255"/>
        <v>0</v>
      </c>
      <c r="I1741" s="1509">
        <v>0</v>
      </c>
      <c r="J1741" s="1509">
        <v>0</v>
      </c>
      <c r="K1741" s="1509"/>
      <c r="L1741" s="1509"/>
      <c r="M1741" s="1509">
        <f t="shared" si="256"/>
        <v>0</v>
      </c>
      <c r="N1741" s="1509">
        <f t="shared" si="257"/>
        <v>0</v>
      </c>
    </row>
    <row r="1742" spans="1:14" customFormat="1" ht="29" outlineLevel="1" x14ac:dyDescent="0.25">
      <c r="A1742" s="1511">
        <f t="shared" ref="A1742:E1757" si="260">A1385</f>
        <v>30.2</v>
      </c>
      <c r="B1742" s="1515" t="str">
        <f t="shared" si="260"/>
        <v>DESIGN , SUPPLY &amp; REPLCEMENT OF  ASH DISPOSAL SLURRY PUMP  COMPLTE ASSEMBLY ALONG WITH GEAR BOX, MOTORS U-6&amp; 7</v>
      </c>
      <c r="C1742" s="1396" t="str">
        <f t="shared" si="260"/>
        <v>Yet to be approved</v>
      </c>
      <c r="D1742" s="1378" t="str">
        <f t="shared" si="260"/>
        <v>-</v>
      </c>
      <c r="E1742" s="1505">
        <f t="shared" si="260"/>
        <v>0</v>
      </c>
      <c r="F1742" s="1509">
        <f t="shared" si="253"/>
        <v>0</v>
      </c>
      <c r="G1742" s="1509">
        <f t="shared" si="254"/>
        <v>0</v>
      </c>
      <c r="H1742" s="1509">
        <f t="shared" si="255"/>
        <v>0</v>
      </c>
      <c r="I1742" s="1509">
        <v>0</v>
      </c>
      <c r="J1742" s="1509">
        <v>0</v>
      </c>
      <c r="K1742" s="1509"/>
      <c r="L1742" s="1509"/>
      <c r="M1742" s="1509">
        <f t="shared" si="256"/>
        <v>0</v>
      </c>
      <c r="N1742" s="1509">
        <f t="shared" si="257"/>
        <v>0</v>
      </c>
    </row>
    <row r="1743" spans="1:14" customFormat="1" ht="29" outlineLevel="1" x14ac:dyDescent="0.25">
      <c r="A1743" s="1511">
        <f t="shared" si="260"/>
        <v>30.3</v>
      </c>
      <c r="B1743" s="1515" t="str">
        <f t="shared" si="260"/>
        <v>DESIGN , SUPPLY &amp; REPLCEMENT OF  HP WATER PUMP COMPLTE ASSEMBLY ALONG WITH GEAR BOX, MOTORS U-6&amp; 7</v>
      </c>
      <c r="C1743" s="1396" t="str">
        <f t="shared" si="260"/>
        <v>Yet to be approved</v>
      </c>
      <c r="D1743" s="1378" t="str">
        <f t="shared" si="260"/>
        <v>-</v>
      </c>
      <c r="E1743" s="1505">
        <f t="shared" si="260"/>
        <v>0</v>
      </c>
      <c r="F1743" s="1509">
        <f t="shared" si="253"/>
        <v>0</v>
      </c>
      <c r="G1743" s="1509">
        <f t="shared" si="254"/>
        <v>0</v>
      </c>
      <c r="H1743" s="1509">
        <f t="shared" si="255"/>
        <v>0</v>
      </c>
      <c r="I1743" s="1509">
        <v>0</v>
      </c>
      <c r="J1743" s="1509">
        <v>0</v>
      </c>
      <c r="K1743" s="1509"/>
      <c r="L1743" s="1509"/>
      <c r="M1743" s="1509">
        <f t="shared" si="256"/>
        <v>0</v>
      </c>
      <c r="N1743" s="1509">
        <f t="shared" si="257"/>
        <v>0</v>
      </c>
    </row>
    <row r="1744" spans="1:14" customFormat="1" ht="43.5" outlineLevel="1" x14ac:dyDescent="0.25">
      <c r="A1744" s="1511">
        <f t="shared" si="260"/>
        <v>30.4</v>
      </c>
      <c r="B1744" s="1515" t="str">
        <f t="shared" si="260"/>
        <v xml:space="preserve"> Procurement of MOTORS, RELAY ,BREAKERS &amp; RETROFITTING   for HCSD  to improve availability &amp; performance of Bottom ash,  Coarse Ash &amp;  fly ash system of AHP, unit 6</v>
      </c>
      <c r="C1744" s="1396" t="str">
        <f t="shared" si="260"/>
        <v>Yet to be approved</v>
      </c>
      <c r="D1744" s="1378" t="str">
        <f t="shared" si="260"/>
        <v>-</v>
      </c>
      <c r="E1744" s="1505">
        <f t="shared" si="260"/>
        <v>0</v>
      </c>
      <c r="F1744" s="1509">
        <f t="shared" si="253"/>
        <v>0</v>
      </c>
      <c r="G1744" s="1509">
        <f t="shared" si="254"/>
        <v>0</v>
      </c>
      <c r="H1744" s="1509">
        <f t="shared" si="255"/>
        <v>0</v>
      </c>
      <c r="I1744" s="1509">
        <v>0</v>
      </c>
      <c r="J1744" s="1509">
        <v>0</v>
      </c>
      <c r="K1744" s="1509"/>
      <c r="L1744" s="1509"/>
      <c r="M1744" s="1509">
        <f t="shared" si="256"/>
        <v>0</v>
      </c>
      <c r="N1744" s="1509">
        <f t="shared" si="257"/>
        <v>0</v>
      </c>
    </row>
    <row r="1745" spans="1:14" customFormat="1" ht="29" outlineLevel="1" x14ac:dyDescent="0.25">
      <c r="A1745" s="1511">
        <f t="shared" si="260"/>
        <v>30.5</v>
      </c>
      <c r="B1745" s="1515" t="str">
        <f t="shared" si="260"/>
        <v>Upgradation of reciprocating  Conveying Air compressor into screw compressor  at U#6</v>
      </c>
      <c r="C1745" s="1396" t="str">
        <f t="shared" si="260"/>
        <v>Yet to be approved</v>
      </c>
      <c r="D1745" s="1378" t="str">
        <f t="shared" si="260"/>
        <v>-</v>
      </c>
      <c r="E1745" s="1505">
        <f t="shared" si="260"/>
        <v>0</v>
      </c>
      <c r="F1745" s="1509">
        <f t="shared" si="253"/>
        <v>0</v>
      </c>
      <c r="G1745" s="1509">
        <f t="shared" si="254"/>
        <v>0</v>
      </c>
      <c r="H1745" s="1509">
        <f t="shared" si="255"/>
        <v>0</v>
      </c>
      <c r="I1745" s="1509">
        <v>0</v>
      </c>
      <c r="J1745" s="1509">
        <v>0</v>
      </c>
      <c r="K1745" s="1509"/>
      <c r="L1745" s="1509"/>
      <c r="M1745" s="1509">
        <f t="shared" si="256"/>
        <v>0</v>
      </c>
      <c r="N1745" s="1509">
        <f t="shared" si="257"/>
        <v>0</v>
      </c>
    </row>
    <row r="1746" spans="1:14" customFormat="1" ht="29" outlineLevel="1" x14ac:dyDescent="0.25">
      <c r="A1746" s="1511">
        <f t="shared" si="260"/>
        <v>30.6</v>
      </c>
      <c r="B1746" s="1515" t="str">
        <f t="shared" si="260"/>
        <v xml:space="preserve">Upgradation of reciprocating  Instrument  Air compressor into screw compressor  at U#6  </v>
      </c>
      <c r="C1746" s="1396" t="str">
        <f t="shared" si="260"/>
        <v>Yet to be approved</v>
      </c>
      <c r="D1746" s="1378" t="str">
        <f t="shared" si="260"/>
        <v>-</v>
      </c>
      <c r="E1746" s="1505">
        <f t="shared" si="260"/>
        <v>0</v>
      </c>
      <c r="F1746" s="1509">
        <f t="shared" si="253"/>
        <v>0</v>
      </c>
      <c r="G1746" s="1509">
        <f t="shared" si="254"/>
        <v>0</v>
      </c>
      <c r="H1746" s="1509">
        <f t="shared" si="255"/>
        <v>0</v>
      </c>
      <c r="I1746" s="1509">
        <v>0</v>
      </c>
      <c r="J1746" s="1509">
        <v>0</v>
      </c>
      <c r="K1746" s="1509"/>
      <c r="L1746" s="1509"/>
      <c r="M1746" s="1509">
        <f t="shared" si="256"/>
        <v>0</v>
      </c>
      <c r="N1746" s="1509">
        <f t="shared" si="257"/>
        <v>0</v>
      </c>
    </row>
    <row r="1747" spans="1:14" customFormat="1" outlineLevel="1" x14ac:dyDescent="0.25">
      <c r="A1747" s="1511">
        <f t="shared" si="260"/>
        <v>0</v>
      </c>
      <c r="B1747" s="1515" t="str">
        <f t="shared" si="260"/>
        <v>IDC</v>
      </c>
      <c r="C1747" s="1396" t="str">
        <f t="shared" si="260"/>
        <v>Yet to be approved</v>
      </c>
      <c r="D1747" s="1378" t="str">
        <f t="shared" si="260"/>
        <v>-</v>
      </c>
      <c r="E1747" s="1505">
        <f t="shared" si="260"/>
        <v>0</v>
      </c>
      <c r="F1747" s="1509">
        <f t="shared" si="253"/>
        <v>0</v>
      </c>
      <c r="G1747" s="1509">
        <f t="shared" si="254"/>
        <v>0</v>
      </c>
      <c r="H1747" s="1509">
        <f t="shared" si="255"/>
        <v>0</v>
      </c>
      <c r="I1747" s="1509">
        <v>0</v>
      </c>
      <c r="J1747" s="1509">
        <v>0</v>
      </c>
      <c r="K1747" s="1509"/>
      <c r="L1747" s="1509"/>
      <c r="M1747" s="1509">
        <f t="shared" si="256"/>
        <v>0</v>
      </c>
      <c r="N1747" s="1509">
        <f t="shared" si="257"/>
        <v>0</v>
      </c>
    </row>
    <row r="1748" spans="1:14" customFormat="1" outlineLevel="1" x14ac:dyDescent="0.25">
      <c r="A1748" s="1506">
        <f t="shared" si="260"/>
        <v>31</v>
      </c>
      <c r="B1748" s="1507" t="str">
        <f t="shared" si="260"/>
        <v xml:space="preserve">Construction of VIP guest house building at TPS Parli Vaijnath  </v>
      </c>
      <c r="C1748" s="1506" t="str">
        <f t="shared" si="260"/>
        <v>Yet to be approved</v>
      </c>
      <c r="D1748" s="1507" t="str">
        <f t="shared" si="260"/>
        <v>-</v>
      </c>
      <c r="E1748" s="1506">
        <f t="shared" si="260"/>
        <v>0</v>
      </c>
      <c r="F1748" s="1509">
        <f t="shared" si="253"/>
        <v>0</v>
      </c>
      <c r="G1748" s="1509">
        <f t="shared" si="254"/>
        <v>0</v>
      </c>
      <c r="H1748" s="1509">
        <f t="shared" si="255"/>
        <v>0</v>
      </c>
      <c r="I1748" s="1509">
        <v>0</v>
      </c>
      <c r="J1748" s="1509">
        <v>0</v>
      </c>
      <c r="K1748" s="1509"/>
      <c r="L1748" s="1509"/>
      <c r="M1748" s="1509">
        <f t="shared" si="256"/>
        <v>0</v>
      </c>
      <c r="N1748" s="1509">
        <f t="shared" si="257"/>
        <v>0</v>
      </c>
    </row>
    <row r="1749" spans="1:14" customFormat="1" outlineLevel="1" x14ac:dyDescent="0.25">
      <c r="A1749" s="1511">
        <f t="shared" si="260"/>
        <v>31.1</v>
      </c>
      <c r="B1749" s="1515" t="str">
        <f t="shared" si="260"/>
        <v xml:space="preserve">Construction of VIP guest house building at TPS Parli Vaijnath  </v>
      </c>
      <c r="C1749" s="1396" t="str">
        <f t="shared" si="260"/>
        <v>Yet to be approved</v>
      </c>
      <c r="D1749" s="1378" t="str">
        <f t="shared" si="260"/>
        <v>-</v>
      </c>
      <c r="E1749" s="1505">
        <f t="shared" si="260"/>
        <v>0</v>
      </c>
      <c r="F1749" s="1509">
        <f t="shared" si="253"/>
        <v>10</v>
      </c>
      <c r="G1749" s="1509">
        <f t="shared" si="254"/>
        <v>0</v>
      </c>
      <c r="H1749" s="1509">
        <f t="shared" si="255"/>
        <v>10</v>
      </c>
      <c r="I1749" s="1509">
        <v>16.98</v>
      </c>
      <c r="J1749" s="1509">
        <v>26.98</v>
      </c>
      <c r="K1749" s="1509"/>
      <c r="L1749" s="1509"/>
      <c r="M1749" s="1509">
        <f t="shared" si="256"/>
        <v>26.98</v>
      </c>
      <c r="N1749" s="1509">
        <f t="shared" si="257"/>
        <v>0</v>
      </c>
    </row>
    <row r="1750" spans="1:14" customFormat="1" ht="43.5" outlineLevel="1" x14ac:dyDescent="0.25">
      <c r="A1750" s="1506">
        <f t="shared" si="260"/>
        <v>32</v>
      </c>
      <c r="B1750" s="1507" t="str">
        <f t="shared" si="260"/>
        <v xml:space="preserve"> Permanent water supply scheme for parli TPS by lifting water from Dead storage of Majalgaon dam and supplying through enclosed pipe line at New TPS Parli Vaijnath.</v>
      </c>
      <c r="C1750" s="1506" t="str">
        <f t="shared" si="260"/>
        <v>Yet to be approved</v>
      </c>
      <c r="D1750" s="1507" t="str">
        <f t="shared" si="260"/>
        <v>-</v>
      </c>
      <c r="E1750" s="1506">
        <f t="shared" si="260"/>
        <v>0</v>
      </c>
      <c r="F1750" s="1509">
        <f t="shared" si="253"/>
        <v>0</v>
      </c>
      <c r="G1750" s="1509">
        <f t="shared" si="254"/>
        <v>0</v>
      </c>
      <c r="H1750" s="1509">
        <f t="shared" si="255"/>
        <v>0</v>
      </c>
      <c r="I1750" s="1509">
        <v>0</v>
      </c>
      <c r="J1750" s="1509">
        <v>0</v>
      </c>
      <c r="K1750" s="1509"/>
      <c r="L1750" s="1509"/>
      <c r="M1750" s="1509">
        <f t="shared" si="256"/>
        <v>0</v>
      </c>
      <c r="N1750" s="1509">
        <f t="shared" si="257"/>
        <v>0</v>
      </c>
    </row>
    <row r="1751" spans="1:14" customFormat="1" ht="43.5" outlineLevel="1" x14ac:dyDescent="0.25">
      <c r="A1751" s="1511">
        <f t="shared" si="260"/>
        <v>32.1</v>
      </c>
      <c r="B1751" s="1515" t="str">
        <f t="shared" si="260"/>
        <v xml:space="preserve"> Permanent water supply scheme for parli TPS by lifting water from Dead storage of Majalgaon dam and supplying through enclosed pipe line at New TPS Parli Vaijnath.</v>
      </c>
      <c r="C1751" s="1396" t="str">
        <f t="shared" si="260"/>
        <v>Yet to be approved</v>
      </c>
      <c r="D1751" s="1378" t="str">
        <f t="shared" si="260"/>
        <v>-</v>
      </c>
      <c r="E1751" s="1505">
        <f t="shared" si="260"/>
        <v>0</v>
      </c>
      <c r="F1751" s="1509">
        <f t="shared" si="253"/>
        <v>100</v>
      </c>
      <c r="G1751" s="1509">
        <f t="shared" si="254"/>
        <v>0</v>
      </c>
      <c r="H1751" s="1509">
        <f t="shared" si="255"/>
        <v>100</v>
      </c>
      <c r="I1751" s="1509">
        <v>100</v>
      </c>
      <c r="J1751" s="1509">
        <v>0</v>
      </c>
      <c r="K1751" s="1509"/>
      <c r="L1751" s="1509"/>
      <c r="M1751" s="1509">
        <f t="shared" si="256"/>
        <v>0</v>
      </c>
      <c r="N1751" s="1509">
        <f t="shared" si="257"/>
        <v>200</v>
      </c>
    </row>
    <row r="1752" spans="1:14" customFormat="1" ht="29" outlineLevel="1" x14ac:dyDescent="0.25">
      <c r="A1752" s="1511">
        <f t="shared" si="260"/>
        <v>32.200000000000003</v>
      </c>
      <c r="B1752" s="1515" t="str">
        <f t="shared" si="260"/>
        <v>Providing drinking water supply to GSR Tank of Shaktikunj Vasahat from Unit 6,7 and 8 premises new TPS Parli Vaijnath</v>
      </c>
      <c r="C1752" s="1396" t="str">
        <f t="shared" si="260"/>
        <v>Yet to be approved</v>
      </c>
      <c r="D1752" s="1378" t="str">
        <f t="shared" si="260"/>
        <v>-</v>
      </c>
      <c r="E1752" s="1505">
        <f t="shared" si="260"/>
        <v>0</v>
      </c>
      <c r="F1752" s="1509">
        <f t="shared" si="253"/>
        <v>8.5</v>
      </c>
      <c r="G1752" s="1509">
        <f t="shared" si="254"/>
        <v>0</v>
      </c>
      <c r="H1752" s="1509">
        <f t="shared" si="255"/>
        <v>8.5</v>
      </c>
      <c r="I1752" s="1509">
        <v>6</v>
      </c>
      <c r="J1752" s="1509">
        <v>0</v>
      </c>
      <c r="K1752" s="1509"/>
      <c r="L1752" s="1509"/>
      <c r="M1752" s="1509">
        <f t="shared" si="256"/>
        <v>0</v>
      </c>
      <c r="N1752" s="1509">
        <f t="shared" si="257"/>
        <v>14.5</v>
      </c>
    </row>
    <row r="1753" spans="1:14" customFormat="1" outlineLevel="1" x14ac:dyDescent="0.25">
      <c r="A1753" s="1506">
        <f t="shared" si="260"/>
        <v>33</v>
      </c>
      <c r="B1753" s="1507" t="str">
        <f t="shared" si="260"/>
        <v>DPR on Raw water leackage arresting</v>
      </c>
      <c r="C1753" s="1506" t="str">
        <f t="shared" si="260"/>
        <v>Yet to be approved</v>
      </c>
      <c r="D1753" s="1507" t="str">
        <f t="shared" si="260"/>
        <v>-</v>
      </c>
      <c r="E1753" s="1506">
        <f t="shared" si="260"/>
        <v>0</v>
      </c>
      <c r="F1753" s="1509">
        <f t="shared" si="253"/>
        <v>0</v>
      </c>
      <c r="G1753" s="1509">
        <f t="shared" si="254"/>
        <v>0</v>
      </c>
      <c r="H1753" s="1509">
        <f t="shared" si="255"/>
        <v>0</v>
      </c>
      <c r="I1753" s="1509">
        <v>0</v>
      </c>
      <c r="J1753" s="1509">
        <v>0</v>
      </c>
      <c r="K1753" s="1509"/>
      <c r="L1753" s="1509"/>
      <c r="M1753" s="1509">
        <f t="shared" si="256"/>
        <v>0</v>
      </c>
      <c r="N1753" s="1509">
        <f t="shared" si="257"/>
        <v>0</v>
      </c>
    </row>
    <row r="1754" spans="1:14" customFormat="1" outlineLevel="1" x14ac:dyDescent="0.25">
      <c r="A1754" s="1511">
        <f t="shared" si="260"/>
        <v>33.1</v>
      </c>
      <c r="B1754" s="1515" t="str">
        <f t="shared" si="260"/>
        <v xml:space="preserve">Raw water leackage arresting </v>
      </c>
      <c r="C1754" s="1396" t="str">
        <f t="shared" si="260"/>
        <v>Yet to be approved</v>
      </c>
      <c r="D1754" s="1378" t="str">
        <f t="shared" si="260"/>
        <v>-</v>
      </c>
      <c r="E1754" s="1505">
        <f t="shared" si="260"/>
        <v>0</v>
      </c>
      <c r="F1754" s="1509">
        <f t="shared" si="253"/>
        <v>0</v>
      </c>
      <c r="G1754" s="1509">
        <f t="shared" si="254"/>
        <v>0</v>
      </c>
      <c r="H1754" s="1509">
        <f t="shared" si="255"/>
        <v>0</v>
      </c>
      <c r="I1754" s="1509">
        <v>0</v>
      </c>
      <c r="J1754" s="1509">
        <v>0</v>
      </c>
      <c r="K1754" s="1509"/>
      <c r="L1754" s="1509"/>
      <c r="M1754" s="1509">
        <f t="shared" si="256"/>
        <v>0</v>
      </c>
      <c r="N1754" s="1509">
        <f t="shared" si="257"/>
        <v>0</v>
      </c>
    </row>
    <row r="1755" spans="1:14" customFormat="1" ht="29" outlineLevel="1" x14ac:dyDescent="0.25">
      <c r="A1755" s="1506">
        <f t="shared" si="260"/>
        <v>34</v>
      </c>
      <c r="B1755" s="1507" t="str">
        <f t="shared" si="260"/>
        <v>NDCT structural strenthing and leackage arresting througth  basin and CW channel of Unit 6,7</v>
      </c>
      <c r="C1755" s="1506" t="str">
        <f t="shared" si="260"/>
        <v>Yet to be approved</v>
      </c>
      <c r="D1755" s="1507" t="str">
        <f t="shared" si="260"/>
        <v>-</v>
      </c>
      <c r="E1755" s="1506">
        <f t="shared" si="260"/>
        <v>0</v>
      </c>
      <c r="F1755" s="1509">
        <f t="shared" si="253"/>
        <v>0</v>
      </c>
      <c r="G1755" s="1509">
        <f t="shared" si="254"/>
        <v>0</v>
      </c>
      <c r="H1755" s="1509">
        <f t="shared" si="255"/>
        <v>0</v>
      </c>
      <c r="I1755" s="1509">
        <v>0</v>
      </c>
      <c r="J1755" s="1509">
        <v>0</v>
      </c>
      <c r="K1755" s="1509"/>
      <c r="L1755" s="1509"/>
      <c r="M1755" s="1509">
        <f t="shared" si="256"/>
        <v>0</v>
      </c>
      <c r="N1755" s="1509">
        <f t="shared" si="257"/>
        <v>0</v>
      </c>
    </row>
    <row r="1756" spans="1:14" customFormat="1" outlineLevel="1" x14ac:dyDescent="0.25">
      <c r="A1756" s="1511">
        <f t="shared" si="260"/>
        <v>34.1</v>
      </c>
      <c r="B1756" s="1515" t="str">
        <f t="shared" si="260"/>
        <v xml:space="preserve">NDCT basin of unit 6&amp; 7 leackage arresing work </v>
      </c>
      <c r="C1756" s="1396" t="str">
        <f t="shared" si="260"/>
        <v>Yet to be approved</v>
      </c>
      <c r="D1756" s="1378" t="str">
        <f t="shared" si="260"/>
        <v>-</v>
      </c>
      <c r="E1756" s="1505">
        <f t="shared" si="260"/>
        <v>0</v>
      </c>
      <c r="F1756" s="1509">
        <f t="shared" si="253"/>
        <v>10</v>
      </c>
      <c r="G1756" s="1509">
        <f t="shared" si="254"/>
        <v>10</v>
      </c>
      <c r="H1756" s="1509">
        <f t="shared" si="255"/>
        <v>0</v>
      </c>
      <c r="I1756" s="1509">
        <v>0</v>
      </c>
      <c r="J1756" s="1509">
        <v>0</v>
      </c>
      <c r="K1756" s="1509"/>
      <c r="L1756" s="1509"/>
      <c r="M1756" s="1509">
        <f t="shared" si="256"/>
        <v>0</v>
      </c>
      <c r="N1756" s="1509">
        <f t="shared" si="257"/>
        <v>0</v>
      </c>
    </row>
    <row r="1757" spans="1:14" customFormat="1" outlineLevel="1" x14ac:dyDescent="0.25">
      <c r="A1757" s="1511">
        <f t="shared" si="260"/>
        <v>34.200000000000003</v>
      </c>
      <c r="B1757" s="1515" t="str">
        <f t="shared" si="260"/>
        <v>CW channel leackage arresting of  Unit 6 &amp;7</v>
      </c>
      <c r="C1757" s="1396" t="str">
        <f t="shared" si="260"/>
        <v>Yet to be approved</v>
      </c>
      <c r="D1757" s="1378" t="str">
        <f t="shared" si="260"/>
        <v>-</v>
      </c>
      <c r="E1757" s="1505">
        <f t="shared" si="260"/>
        <v>0</v>
      </c>
      <c r="F1757" s="1509">
        <f t="shared" si="253"/>
        <v>10</v>
      </c>
      <c r="G1757" s="1509">
        <f t="shared" si="254"/>
        <v>10</v>
      </c>
      <c r="H1757" s="1509">
        <f t="shared" si="255"/>
        <v>0</v>
      </c>
      <c r="I1757" s="1509">
        <v>0</v>
      </c>
      <c r="J1757" s="1509">
        <v>0</v>
      </c>
      <c r="K1757" s="1509"/>
      <c r="L1757" s="1509"/>
      <c r="M1757" s="1509">
        <f t="shared" si="256"/>
        <v>0</v>
      </c>
      <c r="N1757" s="1509">
        <f t="shared" si="257"/>
        <v>0</v>
      </c>
    </row>
    <row r="1758" spans="1:14" customFormat="1" ht="29" outlineLevel="1" x14ac:dyDescent="0.25">
      <c r="A1758" s="1511">
        <f t="shared" ref="A1758:E1773" si="261">A1401</f>
        <v>34.299999999999997</v>
      </c>
      <c r="B1758" s="1515" t="str">
        <f t="shared" si="261"/>
        <v>NDCT structural strenthing of intermadiate racker coloumn of Unit 6&amp;7</v>
      </c>
      <c r="C1758" s="1396" t="str">
        <f t="shared" si="261"/>
        <v>Yet to be approved</v>
      </c>
      <c r="D1758" s="1378" t="str">
        <f t="shared" si="261"/>
        <v>-</v>
      </c>
      <c r="E1758" s="1505">
        <f t="shared" si="261"/>
        <v>0</v>
      </c>
      <c r="F1758" s="1509">
        <f t="shared" ref="F1758:F1789" si="262">F1401+I1401</f>
        <v>15</v>
      </c>
      <c r="G1758" s="1509">
        <f t="shared" ref="G1758:G1789" si="263">G1401+M1401</f>
        <v>15</v>
      </c>
      <c r="H1758" s="1509">
        <f t="shared" si="255"/>
        <v>0</v>
      </c>
      <c r="I1758" s="1509">
        <v>0</v>
      </c>
      <c r="J1758" s="1509">
        <v>0</v>
      </c>
      <c r="K1758" s="1509"/>
      <c r="L1758" s="1509"/>
      <c r="M1758" s="1509">
        <f t="shared" si="256"/>
        <v>0</v>
      </c>
      <c r="N1758" s="1509">
        <f t="shared" si="257"/>
        <v>0</v>
      </c>
    </row>
    <row r="1759" spans="1:14" customFormat="1" ht="29" outlineLevel="1" x14ac:dyDescent="0.25">
      <c r="A1759" s="1511">
        <f t="shared" si="261"/>
        <v>34.4</v>
      </c>
      <c r="B1759" s="1515" t="str">
        <f t="shared" si="261"/>
        <v>Construction of Store shed's at Major store in Unit No.6,7 NPTPS Parli V</v>
      </c>
      <c r="C1759" s="1396" t="str">
        <f t="shared" si="261"/>
        <v>Yet to be approved</v>
      </c>
      <c r="D1759" s="1378" t="str">
        <f t="shared" si="261"/>
        <v>-</v>
      </c>
      <c r="E1759" s="1505">
        <f t="shared" si="261"/>
        <v>0</v>
      </c>
      <c r="F1759" s="1509">
        <f t="shared" si="262"/>
        <v>1.35</v>
      </c>
      <c r="G1759" s="1509">
        <f t="shared" si="263"/>
        <v>1.35</v>
      </c>
      <c r="H1759" s="1509">
        <f t="shared" ref="H1759:H1789" si="264">F1759-G1759</f>
        <v>0</v>
      </c>
      <c r="I1759" s="1509">
        <v>0</v>
      </c>
      <c r="J1759" s="1509">
        <v>0</v>
      </c>
      <c r="K1759" s="1509"/>
      <c r="L1759" s="1509"/>
      <c r="M1759" s="1509">
        <f t="shared" ref="M1759:M1789" si="265">SUM(J1759:L1759)</f>
        <v>0</v>
      </c>
      <c r="N1759" s="1509">
        <f t="shared" ref="N1759:N1789" si="266">H1759+I1759-M1759</f>
        <v>0</v>
      </c>
    </row>
    <row r="1760" spans="1:14" customFormat="1" ht="29" outlineLevel="1" x14ac:dyDescent="0.25">
      <c r="A1760" s="1506">
        <f t="shared" si="261"/>
        <v>35</v>
      </c>
      <c r="B1760" s="1507" t="str">
        <f t="shared" si="261"/>
        <v>DPR on road work &amp;   rennovation work of colony buildings Parli -V at TPS Parli -V</v>
      </c>
      <c r="C1760" s="1506" t="str">
        <f t="shared" si="261"/>
        <v>Yet to be approved</v>
      </c>
      <c r="D1760" s="1507" t="str">
        <f t="shared" si="261"/>
        <v>-</v>
      </c>
      <c r="E1760" s="1506">
        <f t="shared" si="261"/>
        <v>0</v>
      </c>
      <c r="F1760" s="1509">
        <f t="shared" si="262"/>
        <v>0</v>
      </c>
      <c r="G1760" s="1509">
        <f t="shared" si="263"/>
        <v>0</v>
      </c>
      <c r="H1760" s="1509">
        <f t="shared" si="264"/>
        <v>0</v>
      </c>
      <c r="I1760" s="1509">
        <v>0</v>
      </c>
      <c r="J1760" s="1509">
        <v>0</v>
      </c>
      <c r="K1760" s="1509"/>
      <c r="L1760" s="1509"/>
      <c r="M1760" s="1509">
        <f t="shared" si="265"/>
        <v>0</v>
      </c>
      <c r="N1760" s="1509">
        <f t="shared" si="266"/>
        <v>0</v>
      </c>
    </row>
    <row r="1761" spans="1:14" customFormat="1" ht="43.5" outlineLevel="1" x14ac:dyDescent="0.25">
      <c r="A1761" s="1511">
        <f t="shared" si="261"/>
        <v>35.1</v>
      </c>
      <c r="B1761" s="1515" t="str">
        <f t="shared" si="261"/>
        <v xml:space="preserve">contruction of roads of few roads in clusters and main road repairs ,carpet laying,seal coats, strips on road &amp; indicators on roads with rumbble strips at TPS colony Parli V </v>
      </c>
      <c r="C1761" s="1396" t="str">
        <f t="shared" si="261"/>
        <v>Yet to be approved</v>
      </c>
      <c r="D1761" s="1378" t="str">
        <f t="shared" si="261"/>
        <v>-</v>
      </c>
      <c r="E1761" s="1505">
        <f t="shared" si="261"/>
        <v>0</v>
      </c>
      <c r="F1761" s="1509">
        <f t="shared" si="262"/>
        <v>5</v>
      </c>
      <c r="G1761" s="1509">
        <f t="shared" si="263"/>
        <v>0</v>
      </c>
      <c r="H1761" s="1509">
        <f t="shared" si="264"/>
        <v>5</v>
      </c>
      <c r="I1761" s="1509">
        <v>5</v>
      </c>
      <c r="J1761" s="1509">
        <v>10</v>
      </c>
      <c r="K1761" s="1509"/>
      <c r="L1761" s="1509"/>
      <c r="M1761" s="1509">
        <f t="shared" si="265"/>
        <v>10</v>
      </c>
      <c r="N1761" s="1509">
        <f t="shared" si="266"/>
        <v>0</v>
      </c>
    </row>
    <row r="1762" spans="1:14" customFormat="1" ht="43.5" outlineLevel="1" x14ac:dyDescent="0.25">
      <c r="A1762" s="1511">
        <f t="shared" si="261"/>
        <v>35.200000000000003</v>
      </c>
      <c r="B1762" s="1515" t="str">
        <f t="shared" si="261"/>
        <v xml:space="preserve"> In ABC colony ( Putty work,plastic emulsion paint,oil paint plaster etc) ,In DEF &amp; New colony ( internal &amp; external paint  ,oil paint etc) at TPS colony Parli-V.</v>
      </c>
      <c r="C1762" s="1396" t="str">
        <f t="shared" si="261"/>
        <v>Yet to be approved</v>
      </c>
      <c r="D1762" s="1378" t="str">
        <f t="shared" si="261"/>
        <v>-</v>
      </c>
      <c r="E1762" s="1505">
        <f t="shared" si="261"/>
        <v>0</v>
      </c>
      <c r="F1762" s="1509">
        <f t="shared" si="262"/>
        <v>2.5</v>
      </c>
      <c r="G1762" s="1509">
        <f t="shared" si="263"/>
        <v>0</v>
      </c>
      <c r="H1762" s="1509">
        <f t="shared" si="264"/>
        <v>2.5</v>
      </c>
      <c r="I1762" s="1509">
        <v>2.5</v>
      </c>
      <c r="J1762" s="1509">
        <v>5</v>
      </c>
      <c r="K1762" s="1509"/>
      <c r="L1762" s="1509"/>
      <c r="M1762" s="1509">
        <f t="shared" si="265"/>
        <v>5</v>
      </c>
      <c r="N1762" s="1509">
        <f t="shared" si="266"/>
        <v>0</v>
      </c>
    </row>
    <row r="1763" spans="1:14" customFormat="1" ht="29" outlineLevel="1" x14ac:dyDescent="0.25">
      <c r="A1763" s="1511">
        <f t="shared" si="261"/>
        <v>35.299999999999997</v>
      </c>
      <c r="B1763" s="1515" t="str">
        <f t="shared" si="261"/>
        <v xml:space="preserve"> In ABC,DEF &amp; New colony ( chember ,300 m dia rcc pipe,150mm  rcc pipe etc)at tps colony Parli V </v>
      </c>
      <c r="C1763" s="1396" t="str">
        <f t="shared" si="261"/>
        <v>Yet to be approved</v>
      </c>
      <c r="D1763" s="1378" t="str">
        <f t="shared" si="261"/>
        <v>-</v>
      </c>
      <c r="E1763" s="1505">
        <f t="shared" si="261"/>
        <v>0</v>
      </c>
      <c r="F1763" s="1509">
        <f t="shared" si="262"/>
        <v>3</v>
      </c>
      <c r="G1763" s="1509">
        <f t="shared" si="263"/>
        <v>0</v>
      </c>
      <c r="H1763" s="1509">
        <f t="shared" si="264"/>
        <v>3</v>
      </c>
      <c r="I1763" s="1509">
        <v>2</v>
      </c>
      <c r="J1763" s="1509">
        <v>5</v>
      </c>
      <c r="K1763" s="1509"/>
      <c r="L1763" s="1509"/>
      <c r="M1763" s="1509">
        <f t="shared" si="265"/>
        <v>5</v>
      </c>
      <c r="N1763" s="1509">
        <f t="shared" si="266"/>
        <v>0</v>
      </c>
    </row>
    <row r="1764" spans="1:14" customFormat="1" ht="29" outlineLevel="1" x14ac:dyDescent="0.25">
      <c r="A1764" s="1511">
        <f t="shared" si="261"/>
        <v>35.4</v>
      </c>
      <c r="B1764" s="1515" t="str">
        <f t="shared" si="261"/>
        <v>Plinth protection along the building and providing and placing rcc bench infront of all buildings etc at tps colony Parli v</v>
      </c>
      <c r="C1764" s="1396" t="str">
        <f t="shared" si="261"/>
        <v>Yet to be approved</v>
      </c>
      <c r="D1764" s="1378" t="str">
        <f t="shared" si="261"/>
        <v>-</v>
      </c>
      <c r="E1764" s="1505">
        <f t="shared" si="261"/>
        <v>0</v>
      </c>
      <c r="F1764" s="1509">
        <f t="shared" si="262"/>
        <v>2</v>
      </c>
      <c r="G1764" s="1509">
        <f t="shared" si="263"/>
        <v>2</v>
      </c>
      <c r="H1764" s="1509">
        <f t="shared" si="264"/>
        <v>0</v>
      </c>
      <c r="I1764" s="1509">
        <v>0</v>
      </c>
      <c r="J1764" s="1509">
        <v>0</v>
      </c>
      <c r="K1764" s="1509"/>
      <c r="L1764" s="1509"/>
      <c r="M1764" s="1509">
        <f t="shared" si="265"/>
        <v>0</v>
      </c>
      <c r="N1764" s="1509">
        <f t="shared" si="266"/>
        <v>0</v>
      </c>
    </row>
    <row r="1765" spans="1:14" customFormat="1" ht="58" outlineLevel="1" x14ac:dyDescent="0.25">
      <c r="A1765" s="1511">
        <f t="shared" si="261"/>
        <v>35.5</v>
      </c>
      <c r="B1765" s="1515" t="str">
        <f t="shared" si="261"/>
        <v xml:space="preserve">changing all internal qtrs pipeline from gi pipeline to Upvc pipeline and replacing existing damaged gi pipe by new one and also providing water tank  over single qtrs and buildings at ABC, DEF, &amp; New colony TPS Parli v </v>
      </c>
      <c r="C1765" s="1396" t="str">
        <f t="shared" si="261"/>
        <v>Yet to be approved</v>
      </c>
      <c r="D1765" s="1378" t="str">
        <f t="shared" si="261"/>
        <v>-</v>
      </c>
      <c r="E1765" s="1505">
        <f t="shared" si="261"/>
        <v>0</v>
      </c>
      <c r="F1765" s="1509">
        <f t="shared" si="262"/>
        <v>2.5</v>
      </c>
      <c r="G1765" s="1509">
        <f t="shared" si="263"/>
        <v>0</v>
      </c>
      <c r="H1765" s="1509">
        <f t="shared" si="264"/>
        <v>2.5</v>
      </c>
      <c r="I1765" s="1509">
        <v>2.5</v>
      </c>
      <c r="J1765" s="1509">
        <v>5</v>
      </c>
      <c r="K1765" s="1509"/>
      <c r="L1765" s="1509"/>
      <c r="M1765" s="1509">
        <f t="shared" si="265"/>
        <v>5</v>
      </c>
      <c r="N1765" s="1509">
        <f t="shared" si="266"/>
        <v>0</v>
      </c>
    </row>
    <row r="1766" spans="1:14" customFormat="1" outlineLevel="1" x14ac:dyDescent="0.25">
      <c r="A1766" s="1511">
        <f t="shared" si="261"/>
        <v>35.6</v>
      </c>
      <c r="B1766" s="1515" t="str">
        <f t="shared" si="261"/>
        <v>Carpentary works  at ABC,DEF &amp; New colony TPS  , Parli -V</v>
      </c>
      <c r="C1766" s="1396" t="str">
        <f t="shared" si="261"/>
        <v>Yet to be approved</v>
      </c>
      <c r="D1766" s="1378" t="str">
        <f t="shared" si="261"/>
        <v>-</v>
      </c>
      <c r="E1766" s="1505">
        <f t="shared" si="261"/>
        <v>0</v>
      </c>
      <c r="F1766" s="1509">
        <f t="shared" si="262"/>
        <v>2</v>
      </c>
      <c r="G1766" s="1509">
        <f t="shared" si="263"/>
        <v>0</v>
      </c>
      <c r="H1766" s="1509">
        <f t="shared" si="264"/>
        <v>2</v>
      </c>
      <c r="I1766" s="1509">
        <v>2</v>
      </c>
      <c r="J1766" s="1509">
        <v>4</v>
      </c>
      <c r="K1766" s="1509"/>
      <c r="L1766" s="1509"/>
      <c r="M1766" s="1509">
        <f t="shared" si="265"/>
        <v>4</v>
      </c>
      <c r="N1766" s="1509">
        <f t="shared" si="266"/>
        <v>0</v>
      </c>
    </row>
    <row r="1767" spans="1:14" customFormat="1" outlineLevel="1" x14ac:dyDescent="0.25">
      <c r="A1767" s="1511">
        <f t="shared" si="261"/>
        <v>35.700000000000003</v>
      </c>
      <c r="B1767" s="1515" t="str">
        <f t="shared" si="261"/>
        <v>Flooring work  at ABC,DEF &amp; New colony TPS  , Parli -V</v>
      </c>
      <c r="C1767" s="1396" t="str">
        <f t="shared" si="261"/>
        <v>Yet to be approved</v>
      </c>
      <c r="D1767" s="1378" t="str">
        <f t="shared" si="261"/>
        <v>-</v>
      </c>
      <c r="E1767" s="1505">
        <f t="shared" si="261"/>
        <v>0</v>
      </c>
      <c r="F1767" s="1509">
        <f t="shared" si="262"/>
        <v>2.5</v>
      </c>
      <c r="G1767" s="1509">
        <f t="shared" si="263"/>
        <v>0</v>
      </c>
      <c r="H1767" s="1509">
        <f t="shared" si="264"/>
        <v>2.5</v>
      </c>
      <c r="I1767" s="1509">
        <v>2.5</v>
      </c>
      <c r="J1767" s="1509">
        <v>5</v>
      </c>
      <c r="K1767" s="1509"/>
      <c r="L1767" s="1509"/>
      <c r="M1767" s="1509">
        <f t="shared" si="265"/>
        <v>5</v>
      </c>
      <c r="N1767" s="1509">
        <f t="shared" si="266"/>
        <v>0</v>
      </c>
    </row>
    <row r="1768" spans="1:14" customFormat="1" ht="29" outlineLevel="1" x14ac:dyDescent="0.25">
      <c r="A1768" s="1511">
        <f t="shared" si="261"/>
        <v>35.799999999999997</v>
      </c>
      <c r="B1768" s="1515" t="str">
        <f t="shared" si="261"/>
        <v>construction of new ESR and GSR  at ABC,DEF &amp; New colony TPS  , Parli -V</v>
      </c>
      <c r="C1768" s="1396" t="str">
        <f t="shared" si="261"/>
        <v>Yet to be approved</v>
      </c>
      <c r="D1768" s="1378" t="str">
        <f t="shared" si="261"/>
        <v>-</v>
      </c>
      <c r="E1768" s="1505">
        <f t="shared" si="261"/>
        <v>0</v>
      </c>
      <c r="F1768" s="1509">
        <f t="shared" si="262"/>
        <v>2</v>
      </c>
      <c r="G1768" s="1509">
        <f t="shared" si="263"/>
        <v>0</v>
      </c>
      <c r="H1768" s="1509">
        <f t="shared" si="264"/>
        <v>2</v>
      </c>
      <c r="I1768" s="1509">
        <v>2</v>
      </c>
      <c r="J1768" s="1509">
        <v>4</v>
      </c>
      <c r="K1768" s="1509"/>
      <c r="L1768" s="1509"/>
      <c r="M1768" s="1509">
        <f t="shared" si="265"/>
        <v>4</v>
      </c>
      <c r="N1768" s="1509">
        <f t="shared" si="266"/>
        <v>0</v>
      </c>
    </row>
    <row r="1769" spans="1:14" customFormat="1" ht="29" outlineLevel="1" x14ac:dyDescent="0.25">
      <c r="A1769" s="1511">
        <f t="shared" si="261"/>
        <v>35.9</v>
      </c>
      <c r="B1769" s="1515" t="str">
        <f t="shared" si="261"/>
        <v>refurbishment of qtrs by strenthening structurein ABC ,DEF &amp; New colony tps parli v</v>
      </c>
      <c r="C1769" s="1396" t="str">
        <f t="shared" si="261"/>
        <v>Yet to be approved</v>
      </c>
      <c r="D1769" s="1378" t="str">
        <f t="shared" si="261"/>
        <v>-</v>
      </c>
      <c r="E1769" s="1505">
        <f t="shared" si="261"/>
        <v>0</v>
      </c>
      <c r="F1769" s="1509">
        <f t="shared" si="262"/>
        <v>5</v>
      </c>
      <c r="G1769" s="1509">
        <f t="shared" si="263"/>
        <v>0</v>
      </c>
      <c r="H1769" s="1509">
        <f t="shared" si="264"/>
        <v>5</v>
      </c>
      <c r="I1769" s="1509">
        <v>5</v>
      </c>
      <c r="J1769" s="1509">
        <v>10</v>
      </c>
      <c r="K1769" s="1509"/>
      <c r="L1769" s="1509"/>
      <c r="M1769" s="1509">
        <f t="shared" si="265"/>
        <v>10</v>
      </c>
      <c r="N1769" s="1509">
        <f t="shared" si="266"/>
        <v>0</v>
      </c>
    </row>
    <row r="1770" spans="1:14" customFormat="1" ht="29" outlineLevel="1" x14ac:dyDescent="0.25">
      <c r="A1770" s="1511">
        <f t="shared" si="261"/>
        <v>35.1</v>
      </c>
      <c r="B1770" s="1515" t="str">
        <f t="shared" si="261"/>
        <v>Devolpment of garden and providing child friendly equiment in ABC ,DEF &amp; New colony tps parli v</v>
      </c>
      <c r="C1770" s="1396" t="str">
        <f t="shared" si="261"/>
        <v>Yet to be approved</v>
      </c>
      <c r="D1770" s="1378" t="str">
        <f t="shared" si="261"/>
        <v>-</v>
      </c>
      <c r="E1770" s="1505">
        <f t="shared" si="261"/>
        <v>0</v>
      </c>
      <c r="F1770" s="1509">
        <f t="shared" si="262"/>
        <v>2</v>
      </c>
      <c r="G1770" s="1509">
        <f t="shared" si="263"/>
        <v>0</v>
      </c>
      <c r="H1770" s="1509">
        <f t="shared" si="264"/>
        <v>2</v>
      </c>
      <c r="I1770" s="1509">
        <v>2</v>
      </c>
      <c r="J1770" s="1509">
        <v>4</v>
      </c>
      <c r="K1770" s="1509"/>
      <c r="L1770" s="1509"/>
      <c r="M1770" s="1509">
        <f t="shared" si="265"/>
        <v>4</v>
      </c>
      <c r="N1770" s="1509">
        <f t="shared" si="266"/>
        <v>0</v>
      </c>
    </row>
    <row r="1771" spans="1:14" customFormat="1" outlineLevel="1" x14ac:dyDescent="0.25">
      <c r="A1771" s="1506">
        <f t="shared" si="261"/>
        <v>36</v>
      </c>
      <c r="B1771" s="1507" t="str">
        <f t="shared" si="261"/>
        <v xml:space="preserve">CHP improvement schemes at 2 x 250 MW Unit </v>
      </c>
      <c r="C1771" s="1506">
        <f t="shared" si="261"/>
        <v>0</v>
      </c>
      <c r="D1771" s="1507" t="str">
        <f t="shared" si="261"/>
        <v>-</v>
      </c>
      <c r="E1771" s="1506">
        <f t="shared" si="261"/>
        <v>0</v>
      </c>
      <c r="F1771" s="1509">
        <f t="shared" si="262"/>
        <v>0</v>
      </c>
      <c r="G1771" s="1509">
        <f t="shared" si="263"/>
        <v>0</v>
      </c>
      <c r="H1771" s="1509">
        <f t="shared" si="264"/>
        <v>0</v>
      </c>
      <c r="I1771" s="1509">
        <v>0</v>
      </c>
      <c r="J1771" s="1509">
        <v>0</v>
      </c>
      <c r="K1771" s="1509"/>
      <c r="L1771" s="1509"/>
      <c r="M1771" s="1509">
        <f t="shared" si="265"/>
        <v>0</v>
      </c>
      <c r="N1771" s="1509">
        <f t="shared" si="266"/>
        <v>0</v>
      </c>
    </row>
    <row r="1772" spans="1:14" customFormat="1" outlineLevel="1" x14ac:dyDescent="0.25">
      <c r="A1772" s="1511">
        <f t="shared" si="261"/>
        <v>36.1</v>
      </c>
      <c r="B1772" s="1515" t="str">
        <f t="shared" si="261"/>
        <v xml:space="preserve">CHP improvement schemes at 2 x 250 MW Unit </v>
      </c>
      <c r="C1772" s="1396">
        <f t="shared" si="261"/>
        <v>0</v>
      </c>
      <c r="D1772" s="1378" t="str">
        <f t="shared" si="261"/>
        <v>-</v>
      </c>
      <c r="E1772" s="1505">
        <f t="shared" si="261"/>
        <v>0</v>
      </c>
      <c r="F1772" s="1509">
        <f t="shared" si="262"/>
        <v>0</v>
      </c>
      <c r="G1772" s="1509">
        <f t="shared" si="263"/>
        <v>0</v>
      </c>
      <c r="H1772" s="1509">
        <f t="shared" si="264"/>
        <v>0</v>
      </c>
      <c r="I1772" s="1509">
        <v>25</v>
      </c>
      <c r="J1772" s="1509">
        <v>25</v>
      </c>
      <c r="K1772" s="1509"/>
      <c r="L1772" s="1509"/>
      <c r="M1772" s="1509">
        <f t="shared" si="265"/>
        <v>25</v>
      </c>
      <c r="N1772" s="1509">
        <f t="shared" si="266"/>
        <v>0</v>
      </c>
    </row>
    <row r="1773" spans="1:14" customFormat="1" outlineLevel="1" x14ac:dyDescent="0.25">
      <c r="A1773" s="1506">
        <f t="shared" si="261"/>
        <v>37</v>
      </c>
      <c r="B1773" s="1507" t="str">
        <f t="shared" si="261"/>
        <v>Flexible Operation work at U#6,7</v>
      </c>
      <c r="C1773" s="1506" t="str">
        <f t="shared" si="261"/>
        <v>Yet to be approved</v>
      </c>
      <c r="D1773" s="1507" t="str">
        <f t="shared" si="261"/>
        <v>-</v>
      </c>
      <c r="E1773" s="1506">
        <f t="shared" si="261"/>
        <v>0</v>
      </c>
      <c r="F1773" s="1509">
        <f t="shared" si="262"/>
        <v>0</v>
      </c>
      <c r="G1773" s="1509">
        <f t="shared" si="263"/>
        <v>0</v>
      </c>
      <c r="H1773" s="1509">
        <f t="shared" si="264"/>
        <v>0</v>
      </c>
      <c r="I1773" s="1509">
        <v>0</v>
      </c>
      <c r="J1773" s="1509">
        <v>0</v>
      </c>
      <c r="K1773" s="1509"/>
      <c r="L1773" s="1509"/>
      <c r="M1773" s="1509">
        <f t="shared" si="265"/>
        <v>0</v>
      </c>
      <c r="N1773" s="1509">
        <f t="shared" si="266"/>
        <v>0</v>
      </c>
    </row>
    <row r="1774" spans="1:14" customFormat="1" outlineLevel="1" x14ac:dyDescent="0.25">
      <c r="A1774" s="1511">
        <f t="shared" ref="A1774:E1789" si="267">A1417</f>
        <v>37.1</v>
      </c>
      <c r="B1774" s="1515" t="str">
        <f t="shared" si="267"/>
        <v>Flexible Operation work at U#6,7</v>
      </c>
      <c r="C1774" s="1396" t="str">
        <f t="shared" si="267"/>
        <v>Yet to be approved</v>
      </c>
      <c r="D1774" s="1378" t="str">
        <f t="shared" si="267"/>
        <v>-</v>
      </c>
      <c r="E1774" s="1505">
        <f t="shared" si="267"/>
        <v>0</v>
      </c>
      <c r="F1774" s="1509">
        <f t="shared" si="262"/>
        <v>0</v>
      </c>
      <c r="G1774" s="1509">
        <f t="shared" si="263"/>
        <v>0</v>
      </c>
      <c r="H1774" s="1509">
        <f t="shared" si="264"/>
        <v>0</v>
      </c>
      <c r="I1774" s="1509">
        <v>0</v>
      </c>
      <c r="J1774" s="1509">
        <v>0</v>
      </c>
      <c r="K1774" s="1509"/>
      <c r="L1774" s="1509"/>
      <c r="M1774" s="1509">
        <f t="shared" si="265"/>
        <v>0</v>
      </c>
      <c r="N1774" s="1509">
        <f t="shared" si="266"/>
        <v>0</v>
      </c>
    </row>
    <row r="1775" spans="1:14" customFormat="1" outlineLevel="1" x14ac:dyDescent="0.25">
      <c r="A1775" s="1511">
        <f t="shared" si="267"/>
        <v>0</v>
      </c>
      <c r="B1775" s="1515">
        <f t="shared" si="267"/>
        <v>0</v>
      </c>
      <c r="C1775" s="1396">
        <f t="shared" si="267"/>
        <v>0</v>
      </c>
      <c r="D1775" s="1378" t="str">
        <f t="shared" si="267"/>
        <v>-</v>
      </c>
      <c r="E1775" s="1505">
        <f t="shared" si="267"/>
        <v>0</v>
      </c>
      <c r="F1775" s="1509">
        <f t="shared" si="262"/>
        <v>0</v>
      </c>
      <c r="G1775" s="1509">
        <f t="shared" si="263"/>
        <v>0</v>
      </c>
      <c r="H1775" s="1509">
        <f t="shared" si="264"/>
        <v>0</v>
      </c>
      <c r="I1775" s="1509">
        <v>0</v>
      </c>
      <c r="J1775" s="1509">
        <v>0</v>
      </c>
      <c r="K1775" s="1509"/>
      <c r="L1775" s="1509"/>
      <c r="M1775" s="1509">
        <f t="shared" si="265"/>
        <v>0</v>
      </c>
      <c r="N1775" s="1509">
        <f t="shared" si="266"/>
        <v>0</v>
      </c>
    </row>
    <row r="1776" spans="1:14" customFormat="1" outlineLevel="1" x14ac:dyDescent="0.25">
      <c r="A1776" s="1511">
        <f t="shared" si="267"/>
        <v>0</v>
      </c>
      <c r="B1776" s="1515">
        <f t="shared" si="267"/>
        <v>0</v>
      </c>
      <c r="C1776" s="1396">
        <f t="shared" si="267"/>
        <v>0</v>
      </c>
      <c r="D1776" s="1378" t="str">
        <f t="shared" si="267"/>
        <v>-</v>
      </c>
      <c r="E1776" s="1505">
        <f t="shared" si="267"/>
        <v>0</v>
      </c>
      <c r="F1776" s="1509">
        <f t="shared" si="262"/>
        <v>0</v>
      </c>
      <c r="G1776" s="1509">
        <f t="shared" si="263"/>
        <v>0</v>
      </c>
      <c r="H1776" s="1509">
        <f t="shared" si="264"/>
        <v>0</v>
      </c>
      <c r="I1776" s="1509">
        <v>0</v>
      </c>
      <c r="J1776" s="1509">
        <v>0</v>
      </c>
      <c r="K1776" s="1509"/>
      <c r="L1776" s="1509"/>
      <c r="M1776" s="1509">
        <f t="shared" si="265"/>
        <v>0</v>
      </c>
      <c r="N1776" s="1509">
        <f t="shared" si="266"/>
        <v>0</v>
      </c>
    </row>
    <row r="1777" spans="1:14" customFormat="1" ht="18.5" outlineLevel="1" x14ac:dyDescent="0.25">
      <c r="A1777" s="1339" t="str">
        <f t="shared" si="267"/>
        <v>D</v>
      </c>
      <c r="B1777" s="1339" t="str">
        <f t="shared" si="267"/>
        <v>Non-DPR Schemes</v>
      </c>
      <c r="C1777" s="1396">
        <f t="shared" si="267"/>
        <v>0</v>
      </c>
      <c r="D1777" s="1378" t="str">
        <f t="shared" si="267"/>
        <v>-</v>
      </c>
      <c r="E1777" s="1505">
        <f t="shared" si="267"/>
        <v>0</v>
      </c>
      <c r="F1777" s="1509">
        <f t="shared" si="262"/>
        <v>0</v>
      </c>
      <c r="G1777" s="1509">
        <f t="shared" si="263"/>
        <v>0</v>
      </c>
      <c r="H1777" s="1509">
        <f t="shared" si="264"/>
        <v>0</v>
      </c>
      <c r="I1777" s="1509">
        <v>0</v>
      </c>
      <c r="J1777" s="1509">
        <v>0</v>
      </c>
      <c r="K1777" s="1509"/>
      <c r="L1777" s="1509"/>
      <c r="M1777" s="1509">
        <f t="shared" si="265"/>
        <v>0</v>
      </c>
      <c r="N1777" s="1509">
        <f t="shared" si="266"/>
        <v>0</v>
      </c>
    </row>
    <row r="1778" spans="1:14" customFormat="1" outlineLevel="1" x14ac:dyDescent="0.25">
      <c r="A1778" s="1511">
        <f t="shared" si="267"/>
        <v>1</v>
      </c>
      <c r="B1778" s="1515" t="str">
        <f t="shared" si="267"/>
        <v>SWAS Upgradation at U#6 NPTPS Parli-V</v>
      </c>
      <c r="C1778" s="1396" t="str">
        <f t="shared" si="267"/>
        <v>N.A.</v>
      </c>
      <c r="D1778" s="1378" t="str">
        <f t="shared" si="267"/>
        <v>-</v>
      </c>
      <c r="E1778" s="1505">
        <f t="shared" si="267"/>
        <v>0</v>
      </c>
      <c r="F1778" s="1509">
        <f t="shared" si="262"/>
        <v>2.2390500000000002</v>
      </c>
      <c r="G1778" s="1509">
        <f t="shared" si="263"/>
        <v>2.2390500000000002</v>
      </c>
      <c r="H1778" s="1509">
        <f t="shared" si="264"/>
        <v>0</v>
      </c>
      <c r="I1778" s="1509">
        <v>0</v>
      </c>
      <c r="J1778" s="1509">
        <v>0</v>
      </c>
      <c r="K1778" s="1509"/>
      <c r="L1778" s="1509"/>
      <c r="M1778" s="1509">
        <f t="shared" si="265"/>
        <v>0</v>
      </c>
      <c r="N1778" s="1509">
        <f t="shared" si="266"/>
        <v>0</v>
      </c>
    </row>
    <row r="1779" spans="1:14" customFormat="1" ht="30.75" customHeight="1" outlineLevel="1" x14ac:dyDescent="0.25">
      <c r="A1779" s="1511">
        <f t="shared" si="267"/>
        <v>2</v>
      </c>
      <c r="B1779" s="1515" t="str">
        <f t="shared" si="267"/>
        <v xml:space="preserve">Procurement of electro-machanical vibrating feeder at CHP NPTPS 6,7
</v>
      </c>
      <c r="C1779" s="1396" t="str">
        <f t="shared" si="267"/>
        <v>N.A.</v>
      </c>
      <c r="D1779" s="1378" t="str">
        <f t="shared" si="267"/>
        <v>-</v>
      </c>
      <c r="E1779" s="1505">
        <f t="shared" si="267"/>
        <v>0</v>
      </c>
      <c r="F1779" s="1509">
        <f t="shared" si="262"/>
        <v>0.89292959999999999</v>
      </c>
      <c r="G1779" s="1509">
        <f t="shared" si="263"/>
        <v>0.89292959999999999</v>
      </c>
      <c r="H1779" s="1509">
        <f t="shared" si="264"/>
        <v>0</v>
      </c>
      <c r="I1779" s="1509">
        <v>0</v>
      </c>
      <c r="J1779" s="1509">
        <v>0</v>
      </c>
      <c r="K1779" s="1509"/>
      <c r="L1779" s="1509"/>
      <c r="M1779" s="1509">
        <f t="shared" si="265"/>
        <v>0</v>
      </c>
      <c r="N1779" s="1509">
        <f t="shared" si="266"/>
        <v>0</v>
      </c>
    </row>
    <row r="1780" spans="1:14" customFormat="1" ht="43.5" outlineLevel="1" x14ac:dyDescent="0.25">
      <c r="A1780" s="1511">
        <f t="shared" si="267"/>
        <v>3</v>
      </c>
      <c r="B1780" s="1515" t="str">
        <f t="shared" si="267"/>
        <v xml:space="preserve">erection, commissioning of 6.6kv/33kv switch yard &amp; shifting of 2x7.5 MVA 6.6/33KV transformer from 210 MW to proposed switch yard for 33KV supply feeder to Khadka naikota at NPTPS Parli-V. </v>
      </c>
      <c r="C1780" s="1396" t="str">
        <f t="shared" si="267"/>
        <v>N.A.</v>
      </c>
      <c r="D1780" s="1378" t="str">
        <f t="shared" si="267"/>
        <v>-</v>
      </c>
      <c r="E1780" s="1505">
        <f t="shared" si="267"/>
        <v>0</v>
      </c>
      <c r="F1780" s="1509">
        <f t="shared" si="262"/>
        <v>2.1992632800000003</v>
      </c>
      <c r="G1780" s="1509">
        <f t="shared" si="263"/>
        <v>2.1992632800000003</v>
      </c>
      <c r="H1780" s="1509">
        <f t="shared" si="264"/>
        <v>0</v>
      </c>
      <c r="I1780" s="1509">
        <v>0</v>
      </c>
      <c r="J1780" s="1509">
        <v>0</v>
      </c>
      <c r="K1780" s="1509"/>
      <c r="L1780" s="1509"/>
      <c r="M1780" s="1509">
        <f t="shared" si="265"/>
        <v>0</v>
      </c>
      <c r="N1780" s="1509">
        <f t="shared" si="266"/>
        <v>0</v>
      </c>
    </row>
    <row r="1781" spans="1:14" customFormat="1" outlineLevel="1" x14ac:dyDescent="0.25">
      <c r="A1781" s="1511">
        <f t="shared" si="267"/>
        <v>4</v>
      </c>
      <c r="B1781" s="1515" t="str">
        <f t="shared" si="267"/>
        <v>IDC</v>
      </c>
      <c r="C1781" s="1396">
        <f t="shared" si="267"/>
        <v>0</v>
      </c>
      <c r="D1781" s="1378" t="str">
        <f t="shared" si="267"/>
        <v>-</v>
      </c>
      <c r="E1781" s="1505">
        <f t="shared" si="267"/>
        <v>0</v>
      </c>
      <c r="F1781" s="1509">
        <f t="shared" si="262"/>
        <v>7.2220000000000001E-3</v>
      </c>
      <c r="G1781" s="1509">
        <f t="shared" si="263"/>
        <v>7.2220000000000001E-3</v>
      </c>
      <c r="H1781" s="1509">
        <f t="shared" si="264"/>
        <v>0</v>
      </c>
      <c r="I1781" s="1509">
        <v>0</v>
      </c>
      <c r="J1781" s="1509">
        <v>0</v>
      </c>
      <c r="K1781" s="1509"/>
      <c r="L1781" s="1509"/>
      <c r="M1781" s="1509">
        <f t="shared" si="265"/>
        <v>0</v>
      </c>
      <c r="N1781" s="1509">
        <f t="shared" si="266"/>
        <v>0</v>
      </c>
    </row>
    <row r="1782" spans="1:14" customFormat="1" ht="43.5" outlineLevel="1" x14ac:dyDescent="0.25">
      <c r="A1782" s="1511">
        <f t="shared" si="267"/>
        <v>5</v>
      </c>
      <c r="B1782" s="1515" t="str">
        <f t="shared" si="267"/>
        <v xml:space="preserve"> Non-DPR scheme "Design, Supply, Installation &amp; Commissioning of High performance Energy Chain System for Stacker reclaimer, Shuttle Conveyors at U-6/7 CHP NPTPS – PARLI-Vaijnath.”</v>
      </c>
      <c r="C1782" s="1396" t="str">
        <f t="shared" si="267"/>
        <v>N.A.</v>
      </c>
      <c r="D1782" s="1378" t="str">
        <f t="shared" si="267"/>
        <v>-</v>
      </c>
      <c r="E1782" s="1505">
        <f t="shared" si="267"/>
        <v>0</v>
      </c>
      <c r="F1782" s="1509">
        <f t="shared" si="262"/>
        <v>2.8638599999999999</v>
      </c>
      <c r="G1782" s="1509">
        <f t="shared" si="263"/>
        <v>2.8638599999999999</v>
      </c>
      <c r="H1782" s="1509">
        <f t="shared" si="264"/>
        <v>0</v>
      </c>
      <c r="I1782" s="1509">
        <v>0</v>
      </c>
      <c r="J1782" s="1509">
        <v>0</v>
      </c>
      <c r="K1782" s="1509"/>
      <c r="L1782" s="1509"/>
      <c r="M1782" s="1509">
        <f t="shared" si="265"/>
        <v>0</v>
      </c>
      <c r="N1782" s="1509">
        <f t="shared" si="266"/>
        <v>0</v>
      </c>
    </row>
    <row r="1783" spans="1:14" customFormat="1" ht="29" outlineLevel="1" x14ac:dyDescent="0.25">
      <c r="A1783" s="1511">
        <f t="shared" si="267"/>
        <v>6</v>
      </c>
      <c r="B1783" s="1515" t="str">
        <f t="shared" si="267"/>
        <v>Refurbishment of Existing M/s Atlas Copco Make Air Compressors at Unit 7 Parli TPS</v>
      </c>
      <c r="C1783" s="1396" t="str">
        <f t="shared" si="267"/>
        <v>N.A.</v>
      </c>
      <c r="D1783" s="1378" t="str">
        <f t="shared" si="267"/>
        <v>-</v>
      </c>
      <c r="E1783" s="1505">
        <f t="shared" si="267"/>
        <v>0</v>
      </c>
      <c r="F1783" s="1509">
        <f t="shared" si="262"/>
        <v>2.9532406999999998</v>
      </c>
      <c r="G1783" s="1509">
        <f t="shared" si="263"/>
        <v>2.9532406999999998</v>
      </c>
      <c r="H1783" s="1509">
        <f t="shared" si="264"/>
        <v>0</v>
      </c>
      <c r="I1783" s="1509">
        <v>0</v>
      </c>
      <c r="J1783" s="1509">
        <v>0</v>
      </c>
      <c r="K1783" s="1509"/>
      <c r="L1783" s="1509"/>
      <c r="M1783" s="1509">
        <f t="shared" si="265"/>
        <v>0</v>
      </c>
      <c r="N1783" s="1509">
        <f t="shared" si="266"/>
        <v>0</v>
      </c>
    </row>
    <row r="1784" spans="1:14" customFormat="1" outlineLevel="1" x14ac:dyDescent="0.25">
      <c r="A1784" s="1511">
        <f t="shared" si="267"/>
        <v>7</v>
      </c>
      <c r="B1784" s="1515" t="str">
        <f t="shared" si="267"/>
        <v>Procurement of Fire Extinguisher</v>
      </c>
      <c r="C1784" s="1396" t="str">
        <f t="shared" si="267"/>
        <v>N.A.</v>
      </c>
      <c r="D1784" s="1378" t="str">
        <f t="shared" si="267"/>
        <v>-</v>
      </c>
      <c r="E1784" s="1505">
        <f t="shared" si="267"/>
        <v>0</v>
      </c>
      <c r="F1784" s="1509">
        <f t="shared" si="262"/>
        <v>0.68</v>
      </c>
      <c r="G1784" s="1509">
        <f t="shared" si="263"/>
        <v>0.67830000000000001</v>
      </c>
      <c r="H1784" s="1509">
        <f t="shared" si="264"/>
        <v>1.7000000000000348E-3</v>
      </c>
      <c r="I1784" s="1509">
        <v>0</v>
      </c>
      <c r="J1784" s="1509">
        <v>0</v>
      </c>
      <c r="K1784" s="1509"/>
      <c r="L1784" s="1509"/>
      <c r="M1784" s="1509">
        <f t="shared" si="265"/>
        <v>0</v>
      </c>
      <c r="N1784" s="1509">
        <f t="shared" si="266"/>
        <v>1.7000000000000348E-3</v>
      </c>
    </row>
    <row r="1785" spans="1:14" customFormat="1" ht="29" outlineLevel="1" x14ac:dyDescent="0.25">
      <c r="A1785" s="1511">
        <f t="shared" si="267"/>
        <v>8</v>
      </c>
      <c r="B1785" s="1515" t="str">
        <f t="shared" si="267"/>
        <v>Non DPR For Supply, Erection &amp; Commissioning, Testing of Coal Flow Management system for Coal Bunker at CHP NPTPS U-6.</v>
      </c>
      <c r="C1785" s="1396" t="str">
        <f t="shared" si="267"/>
        <v>N.A.</v>
      </c>
      <c r="D1785" s="1378" t="str">
        <f t="shared" si="267"/>
        <v>-</v>
      </c>
      <c r="E1785" s="1505">
        <f t="shared" si="267"/>
        <v>0</v>
      </c>
      <c r="F1785" s="1509">
        <f t="shared" si="262"/>
        <v>2.972</v>
      </c>
      <c r="G1785" s="1509">
        <f t="shared" si="263"/>
        <v>2.972</v>
      </c>
      <c r="H1785" s="1509">
        <f t="shared" si="264"/>
        <v>0</v>
      </c>
      <c r="I1785" s="1509">
        <v>0</v>
      </c>
      <c r="J1785" s="1509">
        <v>0</v>
      </c>
      <c r="K1785" s="1509"/>
      <c r="L1785" s="1509"/>
      <c r="M1785" s="1509">
        <f t="shared" si="265"/>
        <v>0</v>
      </c>
      <c r="N1785" s="1509">
        <f t="shared" si="266"/>
        <v>0</v>
      </c>
    </row>
    <row r="1786" spans="1:14" customFormat="1" ht="43.5" outlineLevel="1" x14ac:dyDescent="0.25">
      <c r="A1786" s="1511">
        <f t="shared" si="267"/>
        <v>9</v>
      </c>
      <c r="B1786" s="1515" t="str">
        <f t="shared" si="267"/>
        <v xml:space="preserve">Non DPR for Supply &amp; Installation of Coal Handling Plant critical equipment Major Spares like Wagon Tippler and Conveyors at CHP U6/7 ,T.P.S.Parli. </v>
      </c>
      <c r="C1786" s="1396" t="str">
        <f t="shared" si="267"/>
        <v>N.A.</v>
      </c>
      <c r="D1786" s="1378" t="str">
        <f t="shared" si="267"/>
        <v>-</v>
      </c>
      <c r="E1786" s="1505">
        <f t="shared" si="267"/>
        <v>0</v>
      </c>
      <c r="F1786" s="1509">
        <f t="shared" si="262"/>
        <v>2.79</v>
      </c>
      <c r="G1786" s="1509">
        <f t="shared" si="263"/>
        <v>2.79</v>
      </c>
      <c r="H1786" s="1509">
        <f t="shared" si="264"/>
        <v>0</v>
      </c>
      <c r="I1786" s="1509">
        <v>0</v>
      </c>
      <c r="J1786" s="1509">
        <v>0</v>
      </c>
      <c r="K1786" s="1509"/>
      <c r="L1786" s="1509"/>
      <c r="M1786" s="1509">
        <f t="shared" si="265"/>
        <v>0</v>
      </c>
      <c r="N1786" s="1509">
        <f t="shared" si="266"/>
        <v>0</v>
      </c>
    </row>
    <row r="1787" spans="1:14" customFormat="1" ht="43.5" outlineLevel="1" x14ac:dyDescent="0.25">
      <c r="A1787" s="1511">
        <f t="shared" si="267"/>
        <v>10</v>
      </c>
      <c r="B1787" s="1515" t="str">
        <f t="shared" si="267"/>
        <v>Design,Manufacture ,Supply &amp; Installation of Banana pattern and Modular chutes for various Conveyor discharge areas at CHP U 6/7,TPS Parli.</v>
      </c>
      <c r="C1787" s="1396" t="str">
        <f t="shared" si="267"/>
        <v>N.A.</v>
      </c>
      <c r="D1787" s="1378" t="str">
        <f t="shared" si="267"/>
        <v>-</v>
      </c>
      <c r="E1787" s="1505">
        <f t="shared" si="267"/>
        <v>0</v>
      </c>
      <c r="F1787" s="1509">
        <f t="shared" si="262"/>
        <v>2.94</v>
      </c>
      <c r="G1787" s="1509">
        <f t="shared" si="263"/>
        <v>2.94</v>
      </c>
      <c r="H1787" s="1509">
        <f t="shared" si="264"/>
        <v>0</v>
      </c>
      <c r="I1787" s="1509">
        <v>0</v>
      </c>
      <c r="J1787" s="1509">
        <v>0</v>
      </c>
      <c r="K1787" s="1509"/>
      <c r="L1787" s="1509"/>
      <c r="M1787" s="1509">
        <f t="shared" si="265"/>
        <v>0</v>
      </c>
      <c r="N1787" s="1509">
        <f t="shared" si="266"/>
        <v>0</v>
      </c>
    </row>
    <row r="1788" spans="1:14" customFormat="1" outlineLevel="1" x14ac:dyDescent="0.25">
      <c r="A1788" s="1511">
        <f t="shared" si="267"/>
        <v>11</v>
      </c>
      <c r="B1788" s="1515" t="str">
        <f t="shared" si="267"/>
        <v>Refrigeration Compressed Air Dryer at TM &amp; AHP, U#6,7 Parli TPS</v>
      </c>
      <c r="C1788" s="1396">
        <f t="shared" si="267"/>
        <v>0</v>
      </c>
      <c r="D1788" s="1378" t="str">
        <f t="shared" si="267"/>
        <v>-</v>
      </c>
      <c r="E1788" s="1505">
        <f t="shared" si="267"/>
        <v>0</v>
      </c>
      <c r="F1788" s="1509">
        <f t="shared" si="262"/>
        <v>1.57</v>
      </c>
      <c r="G1788" s="1509">
        <f t="shared" si="263"/>
        <v>1.57</v>
      </c>
      <c r="H1788" s="1509">
        <f t="shared" si="264"/>
        <v>0</v>
      </c>
      <c r="I1788" s="1509">
        <v>0</v>
      </c>
      <c r="J1788" s="1509">
        <v>0</v>
      </c>
      <c r="K1788" s="1509"/>
      <c r="L1788" s="1509"/>
      <c r="M1788" s="1509">
        <f t="shared" si="265"/>
        <v>0</v>
      </c>
      <c r="N1788" s="1509">
        <f t="shared" si="266"/>
        <v>0</v>
      </c>
    </row>
    <row r="1789" spans="1:14" customFormat="1" ht="15" outlineLevel="1" thickBot="1" x14ac:dyDescent="0.3">
      <c r="A1789" s="1511">
        <f t="shared" si="267"/>
        <v>12</v>
      </c>
      <c r="B1789" s="1515" t="str">
        <f t="shared" si="267"/>
        <v>General Asset</v>
      </c>
      <c r="C1789" s="1396">
        <f t="shared" si="267"/>
        <v>0</v>
      </c>
      <c r="D1789" s="1378" t="str">
        <f t="shared" si="267"/>
        <v>-</v>
      </c>
      <c r="E1789" s="1505">
        <f t="shared" si="267"/>
        <v>0</v>
      </c>
      <c r="F1789" s="1509">
        <f t="shared" si="262"/>
        <v>3.7693938490000001</v>
      </c>
      <c r="G1789" s="1509">
        <f t="shared" si="263"/>
        <v>3.6054596690000005</v>
      </c>
      <c r="H1789" s="1509">
        <f t="shared" si="264"/>
        <v>0.1639341799999996</v>
      </c>
      <c r="I1789" s="1509">
        <v>0.31</v>
      </c>
      <c r="J1789" s="1509">
        <v>0.31</v>
      </c>
      <c r="K1789" s="1509"/>
      <c r="L1789" s="1509"/>
      <c r="M1789" s="1509">
        <f t="shared" si="265"/>
        <v>0.31</v>
      </c>
      <c r="N1789" s="1509">
        <f t="shared" si="266"/>
        <v>0.1639341799999996</v>
      </c>
    </row>
    <row r="1790" spans="1:14" ht="15" thickBot="1" x14ac:dyDescent="0.3">
      <c r="A1790" s="1454"/>
      <c r="B1790" s="1455" t="str">
        <f>B1433</f>
        <v>Total</v>
      </c>
      <c r="C1790" s="1456"/>
      <c r="D1790" s="1457"/>
      <c r="E1790" s="1517"/>
      <c r="F1790" s="1517">
        <f>SUM(F1438:F1789)</f>
        <v>1216.2339577489995</v>
      </c>
      <c r="G1790" s="1517">
        <f t="shared" ref="G1790:N1790" si="268">SUM(G1438:G1789)</f>
        <v>933.0841626890001</v>
      </c>
      <c r="H1790" s="1517">
        <f t="shared" si="268"/>
        <v>283.14979506000003</v>
      </c>
      <c r="I1790" s="1517">
        <f t="shared" si="268"/>
        <v>548.5</v>
      </c>
      <c r="J1790" s="1517">
        <f t="shared" si="268"/>
        <v>479.00000000000011</v>
      </c>
      <c r="K1790" s="1517">
        <f t="shared" si="268"/>
        <v>0</v>
      </c>
      <c r="L1790" s="1517">
        <f t="shared" si="268"/>
        <v>0</v>
      </c>
      <c r="M1790" s="1517">
        <f t="shared" si="268"/>
        <v>479.00000000000011</v>
      </c>
      <c r="N1790" s="1517">
        <f t="shared" si="268"/>
        <v>352.64979506000003</v>
      </c>
    </row>
    <row r="1792" spans="1:14" x14ac:dyDescent="0.25">
      <c r="A1792" s="1446"/>
      <c r="B1792" s="1447" t="s">
        <v>970</v>
      </c>
      <c r="C1792" s="1448"/>
      <c r="D1792" s="1449"/>
      <c r="E1792" s="1504"/>
      <c r="F1792" s="1504"/>
      <c r="G1792" s="1504"/>
      <c r="H1792" s="1504"/>
      <c r="I1792" s="1504"/>
      <c r="J1792" s="1504"/>
      <c r="K1792" s="1504"/>
      <c r="L1792" s="1504"/>
      <c r="M1792" s="1504"/>
      <c r="N1792" s="1504"/>
    </row>
    <row r="1793" spans="1:16" ht="18.5" outlineLevel="1" x14ac:dyDescent="0.25">
      <c r="A1793" s="1339" t="s">
        <v>171</v>
      </c>
      <c r="B1793" s="1339" t="s">
        <v>1575</v>
      </c>
      <c r="C1793" s="1448"/>
      <c r="D1793" s="1449"/>
      <c r="E1793" s="1504"/>
      <c r="F1793" s="1504"/>
      <c r="G1793" s="1504"/>
      <c r="H1793" s="1504"/>
      <c r="I1793" s="1504"/>
      <c r="J1793" s="1504"/>
      <c r="K1793" s="1504"/>
      <c r="L1793" s="1504"/>
      <c r="M1793" s="1504"/>
      <c r="N1793" s="1504"/>
    </row>
    <row r="1794" spans="1:16" outlineLevel="1" x14ac:dyDescent="0.25">
      <c r="A1794" s="1450"/>
      <c r="B1794" s="1450"/>
      <c r="C1794" s="1451"/>
      <c r="D1794" s="1452"/>
      <c r="E1794" s="1505"/>
      <c r="F1794" s="1505"/>
      <c r="G1794" s="1505"/>
      <c r="H1794" s="1505"/>
      <c r="I1794" s="1505"/>
      <c r="J1794" s="1505"/>
      <c r="K1794" s="1505"/>
      <c r="L1794" s="1505"/>
      <c r="M1794" s="1505"/>
      <c r="N1794" s="1505"/>
    </row>
    <row r="1795" spans="1:16" ht="43.5" outlineLevel="1" x14ac:dyDescent="0.25">
      <c r="A1795" s="1506">
        <f t="shared" ref="A1795:E1810" si="269">A1438</f>
        <v>6</v>
      </c>
      <c r="B1795" s="1507" t="str">
        <f t="shared" si="269"/>
        <v>Arrangement for permanent water supply scheme for Parli TPS from Majalgaon Dam through Majalgaon Lift Irrigation scheme (Loni / Savangi)</v>
      </c>
      <c r="C1795" s="1506" t="str">
        <f t="shared" si="269"/>
        <v>MERC/TECH 1/CAPEX/20122013/00500</v>
      </c>
      <c r="D1795" s="1508">
        <f t="shared" si="269"/>
        <v>41421</v>
      </c>
      <c r="E1795" s="1509">
        <f t="shared" si="269"/>
        <v>199.86</v>
      </c>
      <c r="F1795" s="1509">
        <f t="shared" ref="F1795:F1858" si="270">F1438+I1438</f>
        <v>142</v>
      </c>
      <c r="G1795" s="1509">
        <f t="shared" ref="G1795:G1858" si="271">G1438+M1438</f>
        <v>0</v>
      </c>
      <c r="H1795" s="1509">
        <f>F1795-G1795</f>
        <v>142</v>
      </c>
      <c r="I1795" s="1509">
        <v>0</v>
      </c>
      <c r="J1795" s="1509">
        <v>0</v>
      </c>
      <c r="K1795" s="1509"/>
      <c r="L1795" s="1509"/>
      <c r="M1795" s="1509">
        <f>SUM(J1795:L1795)</f>
        <v>0</v>
      </c>
      <c r="N1795" s="1509">
        <f>H1795+I1795-M1795</f>
        <v>142</v>
      </c>
      <c r="O1795" s="1510">
        <f t="shared" ref="O1795:O1847" si="272">MAX(0,IF(M1795=0,0,IF(G1795+M1795&lt;E1795,M1795,E1795-G1795)))</f>
        <v>0</v>
      </c>
      <c r="P1795" s="1453">
        <f t="shared" ref="P1795:P1847" si="273">M1795-O1795</f>
        <v>0</v>
      </c>
    </row>
    <row r="1796" spans="1:16" ht="29" outlineLevel="1" x14ac:dyDescent="0.25">
      <c r="A1796" s="1506">
        <f t="shared" si="269"/>
        <v>9</v>
      </c>
      <c r="B1796" s="1507" t="str">
        <f t="shared" si="269"/>
        <v>Procurement of 250 MW spare HPT Module, IPT Module &amp; LPT Rotor of New Parli TPS</v>
      </c>
      <c r="C1796" s="1506" t="str">
        <f t="shared" si="269"/>
        <v>MERC/TECH 1/CAPEX/20142015/00362</v>
      </c>
      <c r="D1796" s="1508">
        <f t="shared" si="269"/>
        <v>41779</v>
      </c>
      <c r="E1796" s="1509">
        <f t="shared" si="269"/>
        <v>22.059060828</v>
      </c>
      <c r="F1796" s="1509">
        <f t="shared" si="270"/>
        <v>0</v>
      </c>
      <c r="G1796" s="1509">
        <f t="shared" si="271"/>
        <v>0</v>
      </c>
      <c r="H1796" s="1509">
        <f t="shared" ref="H1796:H1859" si="274">F1796-G1796</f>
        <v>0</v>
      </c>
      <c r="I1796" s="1509">
        <v>0</v>
      </c>
      <c r="J1796" s="1509">
        <v>0</v>
      </c>
      <c r="K1796" s="1509"/>
      <c r="L1796" s="1509"/>
      <c r="M1796" s="1509">
        <f t="shared" ref="M1796:M1859" si="275">SUM(J1796:L1796)</f>
        <v>0</v>
      </c>
      <c r="N1796" s="1509">
        <f t="shared" ref="N1796:N1859" si="276">H1796+I1796-M1796</f>
        <v>0</v>
      </c>
      <c r="O1796" s="1510">
        <f t="shared" si="272"/>
        <v>0</v>
      </c>
      <c r="P1796" s="1453">
        <f t="shared" si="273"/>
        <v>0</v>
      </c>
    </row>
    <row r="1797" spans="1:16" outlineLevel="1" x14ac:dyDescent="0.25">
      <c r="A1797" s="1511">
        <f t="shared" si="269"/>
        <v>9.1</v>
      </c>
      <c r="B1797" s="1512" t="str">
        <f t="shared" si="269"/>
        <v>HP Module</v>
      </c>
      <c r="C1797" s="1511" t="str">
        <f t="shared" si="269"/>
        <v>MERC/TECH 1/CAPEX/20142015/00362</v>
      </c>
      <c r="D1797" s="1378">
        <f t="shared" si="269"/>
        <v>41779</v>
      </c>
      <c r="E1797" s="1513">
        <f t="shared" si="269"/>
        <v>22.059060828</v>
      </c>
      <c r="F1797" s="1509">
        <f t="shared" si="270"/>
        <v>21.53</v>
      </c>
      <c r="G1797" s="1509">
        <f t="shared" si="271"/>
        <v>21.53</v>
      </c>
      <c r="H1797" s="1509">
        <f t="shared" si="274"/>
        <v>0</v>
      </c>
      <c r="I1797" s="1509">
        <v>0</v>
      </c>
      <c r="J1797" s="1509">
        <v>0</v>
      </c>
      <c r="K1797" s="1509"/>
      <c r="L1797" s="1509"/>
      <c r="M1797" s="1509">
        <f t="shared" si="275"/>
        <v>0</v>
      </c>
      <c r="N1797" s="1509">
        <f t="shared" si="276"/>
        <v>0</v>
      </c>
      <c r="O1797" s="1510">
        <f t="shared" si="272"/>
        <v>0</v>
      </c>
      <c r="P1797" s="1453">
        <f t="shared" si="273"/>
        <v>0</v>
      </c>
    </row>
    <row r="1798" spans="1:16" outlineLevel="1" x14ac:dyDescent="0.25">
      <c r="A1798" s="1511">
        <f t="shared" si="269"/>
        <v>9.1999999999999993</v>
      </c>
      <c r="B1798" s="1512" t="str">
        <f t="shared" si="269"/>
        <v>IP Module</v>
      </c>
      <c r="C1798" s="1511" t="str">
        <f t="shared" si="269"/>
        <v>MERC/TECH 1/CAPEX/20142015/00362</v>
      </c>
      <c r="D1798" s="1378">
        <f t="shared" si="269"/>
        <v>41779</v>
      </c>
      <c r="E1798" s="1513">
        <f t="shared" si="269"/>
        <v>21.359824199999998</v>
      </c>
      <c r="F1798" s="1509">
        <f t="shared" si="270"/>
        <v>20.62</v>
      </c>
      <c r="G1798" s="1509">
        <f t="shared" si="271"/>
        <v>20.62</v>
      </c>
      <c r="H1798" s="1509">
        <f t="shared" si="274"/>
        <v>0</v>
      </c>
      <c r="I1798" s="1509">
        <v>0</v>
      </c>
      <c r="J1798" s="1509">
        <v>0</v>
      </c>
      <c r="K1798" s="1509"/>
      <c r="L1798" s="1509"/>
      <c r="M1798" s="1509">
        <f t="shared" si="275"/>
        <v>0</v>
      </c>
      <c r="N1798" s="1509">
        <f t="shared" si="276"/>
        <v>0</v>
      </c>
      <c r="O1798" s="1510">
        <f t="shared" si="272"/>
        <v>0</v>
      </c>
      <c r="P1798" s="1453">
        <f t="shared" si="273"/>
        <v>0</v>
      </c>
    </row>
    <row r="1799" spans="1:16" outlineLevel="1" x14ac:dyDescent="0.25">
      <c r="A1799" s="1511">
        <f t="shared" si="269"/>
        <v>9.3000000000000007</v>
      </c>
      <c r="B1799" s="1512" t="str">
        <f t="shared" si="269"/>
        <v>LP Rotor</v>
      </c>
      <c r="C1799" s="1511" t="str">
        <f t="shared" si="269"/>
        <v>MERC/TECH 1/CAPEX/20142015/00362</v>
      </c>
      <c r="D1799" s="1378">
        <f t="shared" si="269"/>
        <v>41779</v>
      </c>
      <c r="E1799" s="1513">
        <f t="shared" si="269"/>
        <v>38.724661685000001</v>
      </c>
      <c r="F1799" s="1509">
        <f t="shared" si="270"/>
        <v>38.72</v>
      </c>
      <c r="G1799" s="1509">
        <f t="shared" si="271"/>
        <v>38.72</v>
      </c>
      <c r="H1799" s="1509">
        <f t="shared" si="274"/>
        <v>0</v>
      </c>
      <c r="I1799" s="1509">
        <v>0</v>
      </c>
      <c r="J1799" s="1509">
        <v>0</v>
      </c>
      <c r="K1799" s="1509"/>
      <c r="L1799" s="1509"/>
      <c r="M1799" s="1509">
        <f t="shared" si="275"/>
        <v>0</v>
      </c>
      <c r="N1799" s="1509">
        <f t="shared" si="276"/>
        <v>0</v>
      </c>
      <c r="O1799" s="1510">
        <f t="shared" si="272"/>
        <v>0</v>
      </c>
      <c r="P1799" s="1453">
        <f t="shared" si="273"/>
        <v>0</v>
      </c>
    </row>
    <row r="1800" spans="1:16" outlineLevel="1" x14ac:dyDescent="0.25">
      <c r="A1800" s="1511">
        <f t="shared" si="269"/>
        <v>0</v>
      </c>
      <c r="B1800" s="1512" t="str">
        <f t="shared" si="269"/>
        <v>IDC</v>
      </c>
      <c r="C1800" s="1511" t="str">
        <f t="shared" si="269"/>
        <v>MERC/TECH 1/CAPEX/20142015/00362</v>
      </c>
      <c r="D1800" s="1378">
        <f t="shared" si="269"/>
        <v>41779</v>
      </c>
      <c r="E1800" s="1513">
        <f t="shared" si="269"/>
        <v>0</v>
      </c>
      <c r="F1800" s="1509">
        <f t="shared" si="270"/>
        <v>0</v>
      </c>
      <c r="G1800" s="1509">
        <f t="shared" si="271"/>
        <v>0</v>
      </c>
      <c r="H1800" s="1509">
        <f t="shared" si="274"/>
        <v>0</v>
      </c>
      <c r="I1800" s="1509">
        <v>0</v>
      </c>
      <c r="J1800" s="1509">
        <v>0</v>
      </c>
      <c r="K1800" s="1509"/>
      <c r="L1800" s="1509"/>
      <c r="M1800" s="1509">
        <f t="shared" si="275"/>
        <v>0</v>
      </c>
      <c r="N1800" s="1509">
        <f t="shared" si="276"/>
        <v>0</v>
      </c>
      <c r="O1800" s="1510">
        <f t="shared" si="272"/>
        <v>0</v>
      </c>
      <c r="P1800" s="1453">
        <f t="shared" si="273"/>
        <v>0</v>
      </c>
    </row>
    <row r="1801" spans="1:16" ht="29" outlineLevel="1" x14ac:dyDescent="0.25">
      <c r="A1801" s="1506">
        <f t="shared" si="269"/>
        <v>10</v>
      </c>
      <c r="B1801" s="1507" t="str">
        <f t="shared" si="269"/>
        <v xml:space="preserve">Procurement of 315 MVA Spare GTR for 250 MW sets at New Parli &amp; New Paras TPS </v>
      </c>
      <c r="C1801" s="1506" t="str">
        <f t="shared" si="269"/>
        <v>MERC/TECH 1/CAPEX/20142015/001</v>
      </c>
      <c r="D1801" s="1508">
        <f t="shared" si="269"/>
        <v>41913</v>
      </c>
      <c r="E1801" s="1509">
        <f t="shared" si="269"/>
        <v>11.32</v>
      </c>
      <c r="F1801" s="1509">
        <f t="shared" si="270"/>
        <v>0</v>
      </c>
      <c r="G1801" s="1509">
        <f t="shared" si="271"/>
        <v>0</v>
      </c>
      <c r="H1801" s="1509">
        <f t="shared" si="274"/>
        <v>0</v>
      </c>
      <c r="I1801" s="1509">
        <v>0</v>
      </c>
      <c r="J1801" s="1509">
        <v>0</v>
      </c>
      <c r="K1801" s="1509"/>
      <c r="L1801" s="1509"/>
      <c r="M1801" s="1509">
        <f t="shared" si="275"/>
        <v>0</v>
      </c>
      <c r="N1801" s="1509">
        <f t="shared" si="276"/>
        <v>0</v>
      </c>
      <c r="O1801" s="1510">
        <f t="shared" si="272"/>
        <v>0</v>
      </c>
      <c r="P1801" s="1453">
        <f t="shared" si="273"/>
        <v>0</v>
      </c>
    </row>
    <row r="1802" spans="1:16" outlineLevel="1" x14ac:dyDescent="0.25">
      <c r="A1802" s="1511">
        <f t="shared" si="269"/>
        <v>10.1</v>
      </c>
      <c r="B1802" s="1512" t="str">
        <f t="shared" si="269"/>
        <v>Procurement of 250 MVA Spare GTR</v>
      </c>
      <c r="C1802" s="1511" t="str">
        <f t="shared" si="269"/>
        <v>MERC/TECH 1/CAPEX/20142015/001</v>
      </c>
      <c r="D1802" s="1378">
        <f t="shared" si="269"/>
        <v>41913</v>
      </c>
      <c r="E1802" s="1513">
        <f t="shared" si="269"/>
        <v>11.32</v>
      </c>
      <c r="F1802" s="1509">
        <f t="shared" si="270"/>
        <v>13.4</v>
      </c>
      <c r="G1802" s="1509">
        <f t="shared" si="271"/>
        <v>13.4</v>
      </c>
      <c r="H1802" s="1509">
        <f t="shared" si="274"/>
        <v>0</v>
      </c>
      <c r="I1802" s="1509">
        <v>0</v>
      </c>
      <c r="J1802" s="1509">
        <v>0</v>
      </c>
      <c r="K1802" s="1509"/>
      <c r="L1802" s="1509"/>
      <c r="M1802" s="1509">
        <f t="shared" si="275"/>
        <v>0</v>
      </c>
      <c r="N1802" s="1509">
        <f t="shared" si="276"/>
        <v>0</v>
      </c>
      <c r="O1802" s="1510">
        <f t="shared" si="272"/>
        <v>0</v>
      </c>
      <c r="P1802" s="1453">
        <f t="shared" si="273"/>
        <v>0</v>
      </c>
    </row>
    <row r="1803" spans="1:16" ht="29" outlineLevel="1" x14ac:dyDescent="0.25">
      <c r="A1803" s="1506">
        <f t="shared" si="269"/>
        <v>13</v>
      </c>
      <c r="B1803" s="1507" t="str">
        <f t="shared" si="269"/>
        <v>Construction of Concrete Roads &amp; Spare Generator Transformer Foundation at Parli TPS</v>
      </c>
      <c r="C1803" s="1506" t="str">
        <f t="shared" si="269"/>
        <v>MERC/CAPEX/20162017/01172</v>
      </c>
      <c r="D1803" s="1508">
        <f t="shared" si="269"/>
        <v>42713</v>
      </c>
      <c r="E1803" s="1509">
        <f t="shared" si="269"/>
        <v>16.850000000000001</v>
      </c>
      <c r="F1803" s="1509">
        <f t="shared" si="270"/>
        <v>0</v>
      </c>
      <c r="G1803" s="1509">
        <f t="shared" si="271"/>
        <v>0</v>
      </c>
      <c r="H1803" s="1509">
        <f t="shared" si="274"/>
        <v>0</v>
      </c>
      <c r="I1803" s="1509">
        <v>0</v>
      </c>
      <c r="J1803" s="1509">
        <v>0</v>
      </c>
      <c r="K1803" s="1509"/>
      <c r="L1803" s="1509"/>
      <c r="M1803" s="1509">
        <f t="shared" si="275"/>
        <v>0</v>
      </c>
      <c r="N1803" s="1509">
        <f t="shared" si="276"/>
        <v>0</v>
      </c>
      <c r="O1803" s="1510">
        <f t="shared" si="272"/>
        <v>0</v>
      </c>
      <c r="P1803" s="1453">
        <f t="shared" si="273"/>
        <v>0</v>
      </c>
    </row>
    <row r="1804" spans="1:16" ht="29" outlineLevel="1" x14ac:dyDescent="0.25">
      <c r="A1804" s="1511">
        <f t="shared" si="269"/>
        <v>13.1</v>
      </c>
      <c r="B1804" s="1512" t="str">
        <f t="shared" si="269"/>
        <v>Construction of concrete road from Gangakhed road to entrance of unit no.6,7 at NPTPS Parli V.</v>
      </c>
      <c r="C1804" s="1511" t="str">
        <f t="shared" si="269"/>
        <v>MERC/CAPEX/20162017/01172</v>
      </c>
      <c r="D1804" s="1378">
        <f t="shared" si="269"/>
        <v>42713</v>
      </c>
      <c r="E1804" s="1513">
        <f t="shared" si="269"/>
        <v>7.02</v>
      </c>
      <c r="F1804" s="1509">
        <f t="shared" si="270"/>
        <v>6.8551506</v>
      </c>
      <c r="G1804" s="1509">
        <f t="shared" si="271"/>
        <v>6.8551506</v>
      </c>
      <c r="H1804" s="1509">
        <f t="shared" si="274"/>
        <v>0</v>
      </c>
      <c r="I1804" s="1509">
        <v>0</v>
      </c>
      <c r="J1804" s="1509">
        <v>0</v>
      </c>
      <c r="K1804" s="1509"/>
      <c r="L1804" s="1509"/>
      <c r="M1804" s="1509">
        <f t="shared" si="275"/>
        <v>0</v>
      </c>
      <c r="N1804" s="1509">
        <f t="shared" si="276"/>
        <v>0</v>
      </c>
      <c r="O1804" s="1510">
        <f t="shared" si="272"/>
        <v>0</v>
      </c>
      <c r="P1804" s="1453">
        <f t="shared" si="273"/>
        <v>0</v>
      </c>
    </row>
    <row r="1805" spans="1:16" ht="29" outlineLevel="1" x14ac:dyDescent="0.25">
      <c r="A1805" s="1511">
        <f t="shared" si="269"/>
        <v>13.2</v>
      </c>
      <c r="B1805" s="1512" t="str">
        <f t="shared" si="269"/>
        <v>Construction of internal concrete roads within premises of Unit 6 and 7.</v>
      </c>
      <c r="C1805" s="1511" t="str">
        <f t="shared" si="269"/>
        <v>MERC/CAPEX/20162017/01172</v>
      </c>
      <c r="D1805" s="1378">
        <f t="shared" si="269"/>
        <v>42713</v>
      </c>
      <c r="E1805" s="1513">
        <f t="shared" si="269"/>
        <v>7.55</v>
      </c>
      <c r="F1805" s="1509">
        <f t="shared" si="270"/>
        <v>5.9636063540000004</v>
      </c>
      <c r="G1805" s="1509">
        <f t="shared" si="271"/>
        <v>5.9636063540000004</v>
      </c>
      <c r="H1805" s="1509">
        <f t="shared" si="274"/>
        <v>0</v>
      </c>
      <c r="I1805" s="1509">
        <v>0</v>
      </c>
      <c r="J1805" s="1509">
        <v>0</v>
      </c>
      <c r="K1805" s="1509"/>
      <c r="L1805" s="1509"/>
      <c r="M1805" s="1509">
        <f t="shared" si="275"/>
        <v>0</v>
      </c>
      <c r="N1805" s="1509">
        <f t="shared" si="276"/>
        <v>0</v>
      </c>
      <c r="O1805" s="1510">
        <f t="shared" si="272"/>
        <v>0</v>
      </c>
      <c r="P1805" s="1453">
        <f t="shared" si="273"/>
        <v>0</v>
      </c>
    </row>
    <row r="1806" spans="1:16" ht="29" outlineLevel="1" x14ac:dyDescent="0.25">
      <c r="A1806" s="1511">
        <f t="shared" si="269"/>
        <v>13.3</v>
      </c>
      <c r="B1806" s="1512" t="str">
        <f t="shared" si="269"/>
        <v>Construction of spare generator transformer foundation of Unit No. 6,7 at NPTPS Parli-V &amp; Paras TPS</v>
      </c>
      <c r="C1806" s="1511" t="str">
        <f t="shared" si="269"/>
        <v>MERC/CAPEX/20162017/01172</v>
      </c>
      <c r="D1806" s="1378">
        <f t="shared" si="269"/>
        <v>42713</v>
      </c>
      <c r="E1806" s="1513">
        <f t="shared" si="269"/>
        <v>1.48</v>
      </c>
      <c r="F1806" s="1509">
        <f t="shared" si="270"/>
        <v>1.2847999999999999</v>
      </c>
      <c r="G1806" s="1509">
        <f t="shared" si="271"/>
        <v>1.2847999999999999</v>
      </c>
      <c r="H1806" s="1509">
        <f t="shared" si="274"/>
        <v>0</v>
      </c>
      <c r="I1806" s="1509">
        <v>0</v>
      </c>
      <c r="J1806" s="1509">
        <v>0</v>
      </c>
      <c r="K1806" s="1509"/>
      <c r="L1806" s="1509"/>
      <c r="M1806" s="1509">
        <f t="shared" si="275"/>
        <v>0</v>
      </c>
      <c r="N1806" s="1509">
        <f t="shared" si="276"/>
        <v>0</v>
      </c>
      <c r="O1806" s="1510">
        <f t="shared" si="272"/>
        <v>0</v>
      </c>
      <c r="P1806" s="1453">
        <f t="shared" si="273"/>
        <v>0</v>
      </c>
    </row>
    <row r="1807" spans="1:16" outlineLevel="1" x14ac:dyDescent="0.25">
      <c r="A1807" s="1511">
        <f t="shared" si="269"/>
        <v>0</v>
      </c>
      <c r="B1807" s="1515" t="str">
        <f t="shared" si="269"/>
        <v>IDC</v>
      </c>
      <c r="C1807" s="1511" t="str">
        <f t="shared" si="269"/>
        <v>MERC/CAPEX/20162017/01172</v>
      </c>
      <c r="D1807" s="1378">
        <f t="shared" si="269"/>
        <v>42713</v>
      </c>
      <c r="E1807" s="1513">
        <f t="shared" si="269"/>
        <v>0.8</v>
      </c>
      <c r="F1807" s="1509">
        <f t="shared" si="270"/>
        <v>0</v>
      </c>
      <c r="G1807" s="1509">
        <f t="shared" si="271"/>
        <v>0</v>
      </c>
      <c r="H1807" s="1509">
        <f t="shared" si="274"/>
        <v>0</v>
      </c>
      <c r="I1807" s="1509">
        <v>0</v>
      </c>
      <c r="J1807" s="1509">
        <v>0</v>
      </c>
      <c r="K1807" s="1509"/>
      <c r="L1807" s="1509"/>
      <c r="M1807" s="1509">
        <f t="shared" si="275"/>
        <v>0</v>
      </c>
      <c r="N1807" s="1509">
        <f t="shared" si="276"/>
        <v>0</v>
      </c>
      <c r="O1807" s="1510">
        <f t="shared" si="272"/>
        <v>0</v>
      </c>
      <c r="P1807" s="1453">
        <f t="shared" si="273"/>
        <v>0</v>
      </c>
    </row>
    <row r="1808" spans="1:16" outlineLevel="1" x14ac:dyDescent="0.25">
      <c r="A1808" s="1506">
        <f t="shared" si="269"/>
        <v>14</v>
      </c>
      <c r="B1808" s="1507" t="str">
        <f t="shared" si="269"/>
        <v>Procurement of battery breakers and weigh bridge for Parli Unit 6 &amp; 7</v>
      </c>
      <c r="C1808" s="1506" t="str">
        <f t="shared" si="269"/>
        <v>MERC/CAPEX/20172018/4711</v>
      </c>
      <c r="D1808" s="1508">
        <f t="shared" si="269"/>
        <v>43055</v>
      </c>
      <c r="E1808" s="1509">
        <f t="shared" si="269"/>
        <v>18.279999999999998</v>
      </c>
      <c r="F1808" s="1509">
        <f t="shared" si="270"/>
        <v>0</v>
      </c>
      <c r="G1808" s="1509">
        <f t="shared" si="271"/>
        <v>0</v>
      </c>
      <c r="H1808" s="1509">
        <f t="shared" si="274"/>
        <v>0</v>
      </c>
      <c r="I1808" s="1509">
        <v>0</v>
      </c>
      <c r="J1808" s="1509">
        <v>0</v>
      </c>
      <c r="K1808" s="1509"/>
      <c r="L1808" s="1509"/>
      <c r="M1808" s="1509">
        <f t="shared" si="275"/>
        <v>0</v>
      </c>
      <c r="N1808" s="1509">
        <f t="shared" si="276"/>
        <v>0</v>
      </c>
      <c r="O1808" s="1510">
        <f t="shared" si="272"/>
        <v>0</v>
      </c>
      <c r="P1808" s="1453">
        <f t="shared" si="273"/>
        <v>0</v>
      </c>
    </row>
    <row r="1809" spans="1:16" ht="29" outlineLevel="1" x14ac:dyDescent="0.25">
      <c r="A1809" s="1511">
        <f t="shared" si="269"/>
        <v>14.1</v>
      </c>
      <c r="B1809" s="1512" t="str">
        <f t="shared" si="269"/>
        <v>Replacement of 220V station batteries, 360V UPS batteries, 24V DCS batteries , 360V UPS AHP batteries at U6 &amp; U7 NPTPS</v>
      </c>
      <c r="C1809" s="1511" t="str">
        <f t="shared" si="269"/>
        <v>MERC/CAPEX/20172018/4711</v>
      </c>
      <c r="D1809" s="1378">
        <f t="shared" si="269"/>
        <v>43055</v>
      </c>
      <c r="E1809" s="1513">
        <f t="shared" si="269"/>
        <v>15.08</v>
      </c>
      <c r="F1809" s="1509">
        <f t="shared" si="270"/>
        <v>14.4772699</v>
      </c>
      <c r="G1809" s="1509">
        <f t="shared" si="271"/>
        <v>14.4772699</v>
      </c>
      <c r="H1809" s="1509">
        <f t="shared" si="274"/>
        <v>0</v>
      </c>
      <c r="I1809" s="1509">
        <v>0</v>
      </c>
      <c r="J1809" s="1509">
        <v>0</v>
      </c>
      <c r="K1809" s="1509"/>
      <c r="L1809" s="1509"/>
      <c r="M1809" s="1509">
        <f t="shared" si="275"/>
        <v>0</v>
      </c>
      <c r="N1809" s="1509">
        <f t="shared" si="276"/>
        <v>0</v>
      </c>
      <c r="O1809" s="1510">
        <f t="shared" si="272"/>
        <v>0</v>
      </c>
      <c r="P1809" s="1453">
        <f t="shared" si="273"/>
        <v>0</v>
      </c>
    </row>
    <row r="1810" spans="1:16" outlineLevel="1" x14ac:dyDescent="0.25">
      <c r="A1810" s="1511">
        <f t="shared" si="269"/>
        <v>14.2</v>
      </c>
      <c r="B1810" s="1512" t="str">
        <f t="shared" si="269"/>
        <v>Installation of Pit less weighbridge of 100 MT capacity.</v>
      </c>
      <c r="C1810" s="1511" t="str">
        <f t="shared" si="269"/>
        <v>MERC/CAPEX/20172018/4711</v>
      </c>
      <c r="D1810" s="1378">
        <f t="shared" si="269"/>
        <v>43055</v>
      </c>
      <c r="E1810" s="1513">
        <f t="shared" si="269"/>
        <v>0.3</v>
      </c>
      <c r="F1810" s="1509">
        <f t="shared" si="270"/>
        <v>0.29736000000000001</v>
      </c>
      <c r="G1810" s="1509">
        <f t="shared" si="271"/>
        <v>0.29736000000000001</v>
      </c>
      <c r="H1810" s="1509">
        <f t="shared" si="274"/>
        <v>0</v>
      </c>
      <c r="I1810" s="1509">
        <v>0</v>
      </c>
      <c r="J1810" s="1509">
        <v>0</v>
      </c>
      <c r="K1810" s="1509"/>
      <c r="L1810" s="1509"/>
      <c r="M1810" s="1509">
        <f t="shared" si="275"/>
        <v>0</v>
      </c>
      <c r="N1810" s="1509">
        <f t="shared" si="276"/>
        <v>0</v>
      </c>
      <c r="O1810" s="1510">
        <f t="shared" si="272"/>
        <v>0</v>
      </c>
      <c r="P1810" s="1453">
        <f t="shared" si="273"/>
        <v>0</v>
      </c>
    </row>
    <row r="1811" spans="1:16" outlineLevel="1" x14ac:dyDescent="0.25">
      <c r="A1811" s="1511">
        <f t="shared" ref="A1811:E1826" si="277">A1454</f>
        <v>14.3</v>
      </c>
      <c r="B1811" s="1512" t="str">
        <f t="shared" si="277"/>
        <v>Procurement of SF 6 Generator Circuit Breaker Type- FKG1X</v>
      </c>
      <c r="C1811" s="1511" t="str">
        <f t="shared" si="277"/>
        <v>MERC/CAPEX/20172018/4711</v>
      </c>
      <c r="D1811" s="1378">
        <f t="shared" si="277"/>
        <v>43055</v>
      </c>
      <c r="E1811" s="1513">
        <f t="shared" si="277"/>
        <v>2.46</v>
      </c>
      <c r="F1811" s="1509">
        <f t="shared" si="270"/>
        <v>2.46</v>
      </c>
      <c r="G1811" s="1509">
        <f t="shared" si="271"/>
        <v>2.46</v>
      </c>
      <c r="H1811" s="1509">
        <f t="shared" si="274"/>
        <v>0</v>
      </c>
      <c r="I1811" s="1509">
        <v>0</v>
      </c>
      <c r="J1811" s="1509">
        <v>0</v>
      </c>
      <c r="K1811" s="1509"/>
      <c r="L1811" s="1509"/>
      <c r="M1811" s="1509">
        <f t="shared" si="275"/>
        <v>0</v>
      </c>
      <c r="N1811" s="1509">
        <f t="shared" si="276"/>
        <v>0</v>
      </c>
      <c r="O1811" s="1510">
        <f t="shared" si="272"/>
        <v>0</v>
      </c>
      <c r="P1811" s="1453">
        <f t="shared" si="273"/>
        <v>0</v>
      </c>
    </row>
    <row r="1812" spans="1:16" outlineLevel="1" x14ac:dyDescent="0.25">
      <c r="A1812" s="1511">
        <f t="shared" si="277"/>
        <v>14.4</v>
      </c>
      <c r="B1812" s="1512" t="str">
        <f t="shared" si="277"/>
        <v>Procurement of spare VCB’s trolleys.</v>
      </c>
      <c r="C1812" s="1511" t="str">
        <f t="shared" si="277"/>
        <v>MERC/CAPEX/20172018/4711</v>
      </c>
      <c r="D1812" s="1378">
        <f t="shared" si="277"/>
        <v>43055</v>
      </c>
      <c r="E1812" s="1513">
        <f t="shared" si="277"/>
        <v>0.31</v>
      </c>
      <c r="F1812" s="1509">
        <f t="shared" si="270"/>
        <v>0.5057102</v>
      </c>
      <c r="G1812" s="1509">
        <f t="shared" si="271"/>
        <v>0.5057102</v>
      </c>
      <c r="H1812" s="1509">
        <f t="shared" si="274"/>
        <v>0</v>
      </c>
      <c r="I1812" s="1509">
        <v>0</v>
      </c>
      <c r="J1812" s="1509">
        <v>0</v>
      </c>
      <c r="K1812" s="1509"/>
      <c r="L1812" s="1509"/>
      <c r="M1812" s="1509">
        <f t="shared" si="275"/>
        <v>0</v>
      </c>
      <c r="N1812" s="1509">
        <f t="shared" si="276"/>
        <v>0</v>
      </c>
      <c r="O1812" s="1510">
        <f t="shared" si="272"/>
        <v>0</v>
      </c>
      <c r="P1812" s="1453">
        <f t="shared" si="273"/>
        <v>0</v>
      </c>
    </row>
    <row r="1813" spans="1:16" outlineLevel="1" x14ac:dyDescent="0.25">
      <c r="A1813" s="1511">
        <f t="shared" si="277"/>
        <v>0</v>
      </c>
      <c r="B1813" s="1512" t="str">
        <f t="shared" si="277"/>
        <v>IDC</v>
      </c>
      <c r="C1813" s="1511" t="str">
        <f t="shared" si="277"/>
        <v>MERC/CAPEX/20172018/4711</v>
      </c>
      <c r="D1813" s="1378">
        <f t="shared" si="277"/>
        <v>43055</v>
      </c>
      <c r="E1813" s="1513">
        <f t="shared" si="277"/>
        <v>0.13</v>
      </c>
      <c r="F1813" s="1509">
        <f t="shared" si="270"/>
        <v>0</v>
      </c>
      <c r="G1813" s="1509">
        <f t="shared" si="271"/>
        <v>0</v>
      </c>
      <c r="H1813" s="1509">
        <f t="shared" si="274"/>
        <v>0</v>
      </c>
      <c r="I1813" s="1509">
        <v>0</v>
      </c>
      <c r="J1813" s="1509">
        <v>0</v>
      </c>
      <c r="K1813" s="1509"/>
      <c r="L1813" s="1509"/>
      <c r="M1813" s="1509">
        <f t="shared" si="275"/>
        <v>0</v>
      </c>
      <c r="N1813" s="1509">
        <f t="shared" si="276"/>
        <v>0</v>
      </c>
      <c r="O1813" s="1510">
        <f t="shared" si="272"/>
        <v>0</v>
      </c>
      <c r="P1813" s="1453">
        <f t="shared" si="273"/>
        <v>0</v>
      </c>
    </row>
    <row r="1814" spans="1:16" ht="29" outlineLevel="1" x14ac:dyDescent="0.25">
      <c r="A1814" s="1506">
        <f t="shared" si="277"/>
        <v>15</v>
      </c>
      <c r="B1814" s="1507" t="str">
        <f t="shared" si="277"/>
        <v>First raising of ash bund from 426 Mtr. To 432 Mtr. Of Dautpur Ash Bund No. 2 for Unit No. 4, 6, 7 &amp; 8 at Parli TPS.</v>
      </c>
      <c r="C1814" s="1506" t="str">
        <f t="shared" si="277"/>
        <v>MERC/CAPEX/20172018/4703</v>
      </c>
      <c r="D1814" s="1508">
        <f t="shared" si="277"/>
        <v>43055</v>
      </c>
      <c r="E1814" s="1509">
        <f t="shared" si="277"/>
        <v>45.524777499999992</v>
      </c>
      <c r="F1814" s="1509">
        <f t="shared" si="270"/>
        <v>0</v>
      </c>
      <c r="G1814" s="1509">
        <f t="shared" si="271"/>
        <v>0</v>
      </c>
      <c r="H1814" s="1509">
        <f t="shared" si="274"/>
        <v>0</v>
      </c>
      <c r="I1814" s="1509">
        <v>0</v>
      </c>
      <c r="J1814" s="1509">
        <v>0</v>
      </c>
      <c r="K1814" s="1509"/>
      <c r="L1814" s="1509"/>
      <c r="M1814" s="1509">
        <f t="shared" si="275"/>
        <v>0</v>
      </c>
      <c r="N1814" s="1509">
        <f t="shared" si="276"/>
        <v>0</v>
      </c>
      <c r="O1814" s="1510">
        <f t="shared" si="272"/>
        <v>0</v>
      </c>
      <c r="P1814" s="1453">
        <f t="shared" si="273"/>
        <v>0</v>
      </c>
    </row>
    <row r="1815" spans="1:16" ht="29" outlineLevel="1" x14ac:dyDescent="0.25">
      <c r="A1815" s="1511">
        <f t="shared" si="277"/>
        <v>15.1</v>
      </c>
      <c r="B1815" s="1512" t="str">
        <f t="shared" si="277"/>
        <v>First raising of ash bund from 426 Mtr. To 432 Mtr. Of Dautpur Ash Bund No. 2 for Unit No. 4, 6, 7 &amp; 8 at Parli TPS.</v>
      </c>
      <c r="C1815" s="1511" t="str">
        <f t="shared" si="277"/>
        <v>MERC/CAPEX/20172018/4703</v>
      </c>
      <c r="D1815" s="1378">
        <f t="shared" si="277"/>
        <v>43055</v>
      </c>
      <c r="E1815" s="1513">
        <f t="shared" si="277"/>
        <v>44.154777499999994</v>
      </c>
      <c r="F1815" s="1509">
        <f t="shared" si="270"/>
        <v>43.094741947000003</v>
      </c>
      <c r="G1815" s="1509">
        <f t="shared" si="271"/>
        <v>43.094741947000003</v>
      </c>
      <c r="H1815" s="1509">
        <f t="shared" si="274"/>
        <v>0</v>
      </c>
      <c r="I1815" s="1509">
        <v>0</v>
      </c>
      <c r="J1815" s="1509">
        <v>0</v>
      </c>
      <c r="K1815" s="1509"/>
      <c r="L1815" s="1509"/>
      <c r="M1815" s="1509">
        <f t="shared" si="275"/>
        <v>0</v>
      </c>
      <c r="N1815" s="1509">
        <f t="shared" si="276"/>
        <v>0</v>
      </c>
      <c r="O1815" s="1510">
        <f t="shared" si="272"/>
        <v>0</v>
      </c>
      <c r="P1815" s="1453">
        <f t="shared" si="273"/>
        <v>0</v>
      </c>
    </row>
    <row r="1816" spans="1:16" outlineLevel="1" x14ac:dyDescent="0.25">
      <c r="A1816" s="1511">
        <f t="shared" si="277"/>
        <v>0</v>
      </c>
      <c r="B1816" s="1512" t="str">
        <f t="shared" si="277"/>
        <v>IDC</v>
      </c>
      <c r="C1816" s="1511" t="str">
        <f t="shared" si="277"/>
        <v>MERC/CAPEX/20172018/4703</v>
      </c>
      <c r="D1816" s="1378">
        <f t="shared" si="277"/>
        <v>43055</v>
      </c>
      <c r="E1816" s="1513">
        <f t="shared" si="277"/>
        <v>1.37</v>
      </c>
      <c r="F1816" s="1509">
        <f t="shared" si="270"/>
        <v>0</v>
      </c>
      <c r="G1816" s="1509">
        <f t="shared" si="271"/>
        <v>0</v>
      </c>
      <c r="H1816" s="1509">
        <f t="shared" si="274"/>
        <v>0</v>
      </c>
      <c r="I1816" s="1509">
        <v>0</v>
      </c>
      <c r="J1816" s="1509">
        <v>0</v>
      </c>
      <c r="K1816" s="1509"/>
      <c r="L1816" s="1509"/>
      <c r="M1816" s="1509">
        <f t="shared" si="275"/>
        <v>0</v>
      </c>
      <c r="N1816" s="1509">
        <f t="shared" si="276"/>
        <v>0</v>
      </c>
      <c r="O1816" s="1510">
        <f t="shared" si="272"/>
        <v>0</v>
      </c>
      <c r="P1816" s="1453">
        <f t="shared" si="273"/>
        <v>0</v>
      </c>
    </row>
    <row r="1817" spans="1:16" outlineLevel="1" x14ac:dyDescent="0.25">
      <c r="A1817" s="1506">
        <f t="shared" si="277"/>
        <v>16</v>
      </c>
      <c r="B1817" s="1507" t="str">
        <f t="shared" si="277"/>
        <v>Renovation works of colony at Parli TPS</v>
      </c>
      <c r="C1817" s="1506" t="str">
        <f t="shared" si="277"/>
        <v>MERC/CAPEX/2018-2019/065</v>
      </c>
      <c r="D1817" s="1508">
        <f t="shared" si="277"/>
        <v>43529</v>
      </c>
      <c r="E1817" s="1509">
        <f t="shared" si="277"/>
        <v>13.148149</v>
      </c>
      <c r="F1817" s="1509">
        <f t="shared" si="270"/>
        <v>0</v>
      </c>
      <c r="G1817" s="1509">
        <f t="shared" si="271"/>
        <v>0</v>
      </c>
      <c r="H1817" s="1509">
        <f t="shared" si="274"/>
        <v>0</v>
      </c>
      <c r="I1817" s="1509">
        <v>0</v>
      </c>
      <c r="J1817" s="1509">
        <v>0</v>
      </c>
      <c r="K1817" s="1509"/>
      <c r="L1817" s="1509"/>
      <c r="M1817" s="1509">
        <f t="shared" si="275"/>
        <v>0</v>
      </c>
      <c r="N1817" s="1509">
        <f t="shared" si="276"/>
        <v>0</v>
      </c>
      <c r="O1817" s="1510">
        <f t="shared" si="272"/>
        <v>0</v>
      </c>
      <c r="P1817" s="1453">
        <f t="shared" si="273"/>
        <v>0</v>
      </c>
    </row>
    <row r="1818" spans="1:16" outlineLevel="1" x14ac:dyDescent="0.25">
      <c r="A1818" s="1511">
        <f t="shared" si="277"/>
        <v>16.100000000000001</v>
      </c>
      <c r="B1818" s="1512" t="str">
        <f t="shared" si="277"/>
        <v>Colony Renovation / Garden and relation works</v>
      </c>
      <c r="C1818" s="1511" t="str">
        <f t="shared" si="277"/>
        <v>MERC/CAPEX/2018-2019/065</v>
      </c>
      <c r="D1818" s="1378">
        <f t="shared" si="277"/>
        <v>43529</v>
      </c>
      <c r="E1818" s="1513">
        <f t="shared" si="277"/>
        <v>8.0502839999999996</v>
      </c>
      <c r="F1818" s="1509">
        <f t="shared" si="270"/>
        <v>5.98991717</v>
      </c>
      <c r="G1818" s="1509">
        <f t="shared" si="271"/>
        <v>5.98991717</v>
      </c>
      <c r="H1818" s="1509">
        <f t="shared" si="274"/>
        <v>0</v>
      </c>
      <c r="I1818" s="1509">
        <v>0</v>
      </c>
      <c r="J1818" s="1509">
        <v>0</v>
      </c>
      <c r="K1818" s="1509"/>
      <c r="L1818" s="1509"/>
      <c r="M1818" s="1509">
        <f t="shared" si="275"/>
        <v>0</v>
      </c>
      <c r="N1818" s="1509">
        <f t="shared" si="276"/>
        <v>0</v>
      </c>
      <c r="O1818" s="1510">
        <f t="shared" si="272"/>
        <v>0</v>
      </c>
      <c r="P1818" s="1453">
        <f t="shared" si="273"/>
        <v>0</v>
      </c>
    </row>
    <row r="1819" spans="1:16" outlineLevel="1" x14ac:dyDescent="0.25">
      <c r="A1819" s="1511">
        <f t="shared" si="277"/>
        <v>16.2</v>
      </c>
      <c r="B1819" s="1512" t="str">
        <f t="shared" si="277"/>
        <v>Colony Road work</v>
      </c>
      <c r="C1819" s="1511" t="str">
        <f t="shared" si="277"/>
        <v>MERC/CAPEX/2018-2019/065</v>
      </c>
      <c r="D1819" s="1378">
        <f t="shared" si="277"/>
        <v>43529</v>
      </c>
      <c r="E1819" s="1513">
        <f t="shared" si="277"/>
        <v>2.3051249999999999</v>
      </c>
      <c r="F1819" s="1509">
        <f t="shared" si="270"/>
        <v>2.0084425239999999</v>
      </c>
      <c r="G1819" s="1509">
        <f t="shared" si="271"/>
        <v>2.0084425239999999</v>
      </c>
      <c r="H1819" s="1509">
        <f t="shared" si="274"/>
        <v>0</v>
      </c>
      <c r="I1819" s="1509">
        <v>0</v>
      </c>
      <c r="J1819" s="1509">
        <v>0</v>
      </c>
      <c r="K1819" s="1509"/>
      <c r="L1819" s="1509"/>
      <c r="M1819" s="1509">
        <f t="shared" si="275"/>
        <v>0</v>
      </c>
      <c r="N1819" s="1509">
        <f t="shared" si="276"/>
        <v>0</v>
      </c>
      <c r="O1819" s="1510">
        <f t="shared" si="272"/>
        <v>0</v>
      </c>
      <c r="P1819" s="1453">
        <f t="shared" si="273"/>
        <v>0</v>
      </c>
    </row>
    <row r="1820" spans="1:16" outlineLevel="1" x14ac:dyDescent="0.25">
      <c r="A1820" s="1511">
        <f t="shared" si="277"/>
        <v>16.3</v>
      </c>
      <c r="B1820" s="1512" t="str">
        <f t="shared" si="277"/>
        <v>Colony Water supply, Sanitary and drinage line work</v>
      </c>
      <c r="C1820" s="1511" t="str">
        <f t="shared" si="277"/>
        <v>MERC/CAPEX/2018-2019/065</v>
      </c>
      <c r="D1820" s="1378">
        <f t="shared" si="277"/>
        <v>43529</v>
      </c>
      <c r="E1820" s="1513">
        <f t="shared" si="277"/>
        <v>2.7927399999999998</v>
      </c>
      <c r="F1820" s="1509">
        <f t="shared" si="270"/>
        <v>2.514492449</v>
      </c>
      <c r="G1820" s="1509">
        <f t="shared" si="271"/>
        <v>2.514492449</v>
      </c>
      <c r="H1820" s="1509">
        <f t="shared" si="274"/>
        <v>0</v>
      </c>
      <c r="I1820" s="1509">
        <v>0</v>
      </c>
      <c r="J1820" s="1509">
        <v>0</v>
      </c>
      <c r="K1820" s="1509"/>
      <c r="L1820" s="1509"/>
      <c r="M1820" s="1509">
        <f t="shared" si="275"/>
        <v>0</v>
      </c>
      <c r="N1820" s="1509">
        <f t="shared" si="276"/>
        <v>0</v>
      </c>
      <c r="O1820" s="1510">
        <f t="shared" si="272"/>
        <v>0</v>
      </c>
      <c r="P1820" s="1453">
        <f t="shared" si="273"/>
        <v>0</v>
      </c>
    </row>
    <row r="1821" spans="1:16" outlineLevel="1" x14ac:dyDescent="0.25">
      <c r="A1821" s="1511">
        <f t="shared" si="277"/>
        <v>16.399999999999999</v>
      </c>
      <c r="B1821" s="1512" t="str">
        <f t="shared" si="277"/>
        <v>Mangal Karyalaya and Community Hall work</v>
      </c>
      <c r="C1821" s="1511" t="str">
        <f t="shared" si="277"/>
        <v>MERC/CAPEX/2018-2019/065</v>
      </c>
      <c r="D1821" s="1378">
        <f t="shared" si="277"/>
        <v>43529</v>
      </c>
      <c r="E1821" s="1513">
        <f t="shared" si="277"/>
        <v>0</v>
      </c>
      <c r="F1821" s="1509">
        <f t="shared" si="270"/>
        <v>0</v>
      </c>
      <c r="G1821" s="1509">
        <f t="shared" si="271"/>
        <v>0</v>
      </c>
      <c r="H1821" s="1509">
        <f t="shared" si="274"/>
        <v>0</v>
      </c>
      <c r="I1821" s="1509">
        <v>0</v>
      </c>
      <c r="J1821" s="1509">
        <v>0</v>
      </c>
      <c r="K1821" s="1509"/>
      <c r="L1821" s="1509"/>
      <c r="M1821" s="1509">
        <f t="shared" si="275"/>
        <v>0</v>
      </c>
      <c r="N1821" s="1509">
        <f t="shared" si="276"/>
        <v>0</v>
      </c>
      <c r="O1821" s="1510">
        <f t="shared" si="272"/>
        <v>0</v>
      </c>
      <c r="P1821" s="1453">
        <f t="shared" si="273"/>
        <v>0</v>
      </c>
    </row>
    <row r="1822" spans="1:16" outlineLevel="1" x14ac:dyDescent="0.25">
      <c r="A1822" s="1511">
        <f t="shared" si="277"/>
        <v>16.5</v>
      </c>
      <c r="B1822" s="1512" t="str">
        <f t="shared" si="277"/>
        <v>Other Civil  works</v>
      </c>
      <c r="C1822" s="1511" t="str">
        <f t="shared" si="277"/>
        <v>MERC/CAPEX/2018-2019/065</v>
      </c>
      <c r="D1822" s="1378">
        <f t="shared" si="277"/>
        <v>43529</v>
      </c>
      <c r="E1822" s="1513">
        <f t="shared" si="277"/>
        <v>0</v>
      </c>
      <c r="F1822" s="1509">
        <f t="shared" si="270"/>
        <v>0</v>
      </c>
      <c r="G1822" s="1509">
        <f t="shared" si="271"/>
        <v>0</v>
      </c>
      <c r="H1822" s="1509">
        <f t="shared" si="274"/>
        <v>0</v>
      </c>
      <c r="I1822" s="1509">
        <v>0</v>
      </c>
      <c r="J1822" s="1509">
        <v>0</v>
      </c>
      <c r="K1822" s="1509"/>
      <c r="L1822" s="1509"/>
      <c r="M1822" s="1509">
        <f t="shared" si="275"/>
        <v>0</v>
      </c>
      <c r="N1822" s="1509">
        <f t="shared" si="276"/>
        <v>0</v>
      </c>
      <c r="O1822" s="1510">
        <f t="shared" si="272"/>
        <v>0</v>
      </c>
      <c r="P1822" s="1453">
        <f t="shared" si="273"/>
        <v>0</v>
      </c>
    </row>
    <row r="1823" spans="1:16" outlineLevel="1" x14ac:dyDescent="0.25">
      <c r="A1823" s="1506">
        <f t="shared" si="277"/>
        <v>17</v>
      </c>
      <c r="B1823" s="1507" t="str">
        <f t="shared" si="277"/>
        <v>Various Civil Schemes at Parli TPS</v>
      </c>
      <c r="C1823" s="1506" t="str">
        <f t="shared" si="277"/>
        <v>MERC/CAPEX/20182019/020</v>
      </c>
      <c r="D1823" s="1508">
        <f t="shared" si="277"/>
        <v>43481</v>
      </c>
      <c r="E1823" s="1509">
        <f t="shared" si="277"/>
        <v>11.99868781</v>
      </c>
      <c r="F1823" s="1509">
        <f t="shared" si="270"/>
        <v>0</v>
      </c>
      <c r="G1823" s="1509">
        <f t="shared" si="271"/>
        <v>0</v>
      </c>
      <c r="H1823" s="1509">
        <f t="shared" si="274"/>
        <v>0</v>
      </c>
      <c r="I1823" s="1509">
        <v>0</v>
      </c>
      <c r="J1823" s="1509">
        <v>0</v>
      </c>
      <c r="K1823" s="1509"/>
      <c r="L1823" s="1509"/>
      <c r="M1823" s="1509">
        <f t="shared" si="275"/>
        <v>0</v>
      </c>
      <c r="N1823" s="1509">
        <f t="shared" si="276"/>
        <v>0</v>
      </c>
      <c r="O1823" s="1510">
        <f t="shared" si="272"/>
        <v>0</v>
      </c>
      <c r="P1823" s="1453">
        <f t="shared" si="273"/>
        <v>0</v>
      </c>
    </row>
    <row r="1824" spans="1:16" ht="43.5" outlineLevel="1" x14ac:dyDescent="0.25">
      <c r="A1824" s="1511">
        <f t="shared" si="277"/>
        <v>17.100000000000001</v>
      </c>
      <c r="B1824" s="1512" t="str">
        <f t="shared" si="277"/>
        <v>Repair work of Khadka road from Sangam T point TPS compound wall to Khadka pump house by providing and laying GSB and bituminous macadam surface on existing road at TPS Parli V</v>
      </c>
      <c r="C1824" s="1511" t="str">
        <f t="shared" si="277"/>
        <v>MERC/CAPEX/20182019/020</v>
      </c>
      <c r="D1824" s="1378">
        <f t="shared" si="277"/>
        <v>43481</v>
      </c>
      <c r="E1824" s="1513">
        <f t="shared" si="277"/>
        <v>6.1932861680000002</v>
      </c>
      <c r="F1824" s="1509">
        <f t="shared" si="270"/>
        <v>5.6459529719999999</v>
      </c>
      <c r="G1824" s="1509">
        <f t="shared" si="271"/>
        <v>5.6459529719999999</v>
      </c>
      <c r="H1824" s="1509">
        <f t="shared" si="274"/>
        <v>0</v>
      </c>
      <c r="I1824" s="1509">
        <v>0</v>
      </c>
      <c r="J1824" s="1509">
        <v>0</v>
      </c>
      <c r="K1824" s="1509"/>
      <c r="L1824" s="1509"/>
      <c r="M1824" s="1509">
        <f t="shared" si="275"/>
        <v>0</v>
      </c>
      <c r="N1824" s="1509">
        <f t="shared" si="276"/>
        <v>0</v>
      </c>
      <c r="O1824" s="1510">
        <f t="shared" si="272"/>
        <v>0</v>
      </c>
      <c r="P1824" s="1453">
        <f t="shared" si="273"/>
        <v>0</v>
      </c>
    </row>
    <row r="1825" spans="1:16" ht="29" outlineLevel="1" x14ac:dyDescent="0.25">
      <c r="A1825" s="1511">
        <f t="shared" si="277"/>
        <v>17.2</v>
      </c>
      <c r="B1825" s="1512" t="str">
        <f t="shared" si="277"/>
        <v xml:space="preserve">Replacement of old  A.C. / G.I. Sheets by new C.G.I. Sheets  at Unit 4 and 5  TPS Parli Vaijnath                         </v>
      </c>
      <c r="C1825" s="1511" t="str">
        <f t="shared" si="277"/>
        <v>MERC/CAPEX/20182019/020</v>
      </c>
      <c r="D1825" s="1378">
        <f t="shared" si="277"/>
        <v>43481</v>
      </c>
      <c r="E1825" s="1513">
        <f t="shared" si="277"/>
        <v>0.38584171</v>
      </c>
      <c r="F1825" s="1509">
        <f t="shared" si="270"/>
        <v>0.28061102900000001</v>
      </c>
      <c r="G1825" s="1509">
        <f t="shared" si="271"/>
        <v>0.28061102900000001</v>
      </c>
      <c r="H1825" s="1509">
        <f t="shared" si="274"/>
        <v>0</v>
      </c>
      <c r="I1825" s="1509">
        <v>0</v>
      </c>
      <c r="J1825" s="1509">
        <v>0</v>
      </c>
      <c r="K1825" s="1509"/>
      <c r="L1825" s="1509"/>
      <c r="M1825" s="1509">
        <f t="shared" si="275"/>
        <v>0</v>
      </c>
      <c r="N1825" s="1509">
        <f t="shared" si="276"/>
        <v>0</v>
      </c>
      <c r="O1825" s="1510">
        <f t="shared" si="272"/>
        <v>0</v>
      </c>
      <c r="P1825" s="1453">
        <f t="shared" si="273"/>
        <v>0</v>
      </c>
    </row>
    <row r="1826" spans="1:16" ht="29" outlineLevel="1" x14ac:dyDescent="0.25">
      <c r="A1826" s="1511">
        <f t="shared" si="277"/>
        <v>17.3</v>
      </c>
      <c r="B1826" s="1512" t="str">
        <f t="shared" si="277"/>
        <v xml:space="preserve">Water supply pipe line  from Way bridge to chummery gate at Old Power House premises TPS Parli   Vaijnath   </v>
      </c>
      <c r="C1826" s="1511" t="str">
        <f t="shared" si="277"/>
        <v>MERC/CAPEX/20182019/020</v>
      </c>
      <c r="D1826" s="1378">
        <f t="shared" si="277"/>
        <v>43481</v>
      </c>
      <c r="E1826" s="1513">
        <f t="shared" si="277"/>
        <v>1.490824862</v>
      </c>
      <c r="F1826" s="1509">
        <f t="shared" si="270"/>
        <v>1.49</v>
      </c>
      <c r="G1826" s="1509">
        <f t="shared" si="271"/>
        <v>1.49</v>
      </c>
      <c r="H1826" s="1509">
        <f t="shared" si="274"/>
        <v>0</v>
      </c>
      <c r="I1826" s="1509">
        <v>0</v>
      </c>
      <c r="J1826" s="1509">
        <v>0</v>
      </c>
      <c r="K1826" s="1509"/>
      <c r="L1826" s="1509"/>
      <c r="M1826" s="1509">
        <f t="shared" si="275"/>
        <v>0</v>
      </c>
      <c r="N1826" s="1509">
        <f t="shared" si="276"/>
        <v>0</v>
      </c>
      <c r="O1826" s="1510">
        <f t="shared" si="272"/>
        <v>0</v>
      </c>
      <c r="P1826" s="1453">
        <f t="shared" si="273"/>
        <v>0</v>
      </c>
    </row>
    <row r="1827" spans="1:16" ht="29" outlineLevel="1" x14ac:dyDescent="0.25">
      <c r="A1827" s="1511">
        <f t="shared" ref="A1827:E1842" si="278">A1470</f>
        <v>17.399999999999999</v>
      </c>
      <c r="B1827" s="1512" t="str">
        <f t="shared" si="278"/>
        <v>Providing and fixing colour coated sheets for roofing and cladding of Major Store godowns (3 Nos.) at NPTPS Parli Vaijnath.</v>
      </c>
      <c r="C1827" s="1511" t="str">
        <f t="shared" si="278"/>
        <v>MERC/CAPEX/20182019/020</v>
      </c>
      <c r="D1827" s="1378">
        <f t="shared" si="278"/>
        <v>43481</v>
      </c>
      <c r="E1827" s="1513">
        <f t="shared" si="278"/>
        <v>0.32052575999999999</v>
      </c>
      <c r="F1827" s="1509">
        <f t="shared" si="270"/>
        <v>0.23293444999999999</v>
      </c>
      <c r="G1827" s="1509">
        <f t="shared" si="271"/>
        <v>0.23293444999999999</v>
      </c>
      <c r="H1827" s="1509">
        <f t="shared" si="274"/>
        <v>0</v>
      </c>
      <c r="I1827" s="1509">
        <v>0</v>
      </c>
      <c r="J1827" s="1509">
        <v>0</v>
      </c>
      <c r="K1827" s="1509"/>
      <c r="L1827" s="1509"/>
      <c r="M1827" s="1509">
        <f t="shared" si="275"/>
        <v>0</v>
      </c>
      <c r="N1827" s="1509">
        <f t="shared" si="276"/>
        <v>0</v>
      </c>
      <c r="O1827" s="1510">
        <f t="shared" si="272"/>
        <v>0</v>
      </c>
      <c r="P1827" s="1453">
        <f t="shared" si="273"/>
        <v>0</v>
      </c>
    </row>
    <row r="1828" spans="1:16" ht="29" outlineLevel="1" x14ac:dyDescent="0.25">
      <c r="A1828" s="1511">
        <f t="shared" si="278"/>
        <v>17.5</v>
      </c>
      <c r="B1828" s="1512" t="str">
        <f t="shared" si="278"/>
        <v xml:space="preserve">Development of Major store unloading yard by providing RCC grade slab in unit 6 &amp; 7 premises at NPTPS Parli     V.                   </v>
      </c>
      <c r="C1828" s="1511" t="str">
        <f t="shared" si="278"/>
        <v>MERC/CAPEX/20182019/020</v>
      </c>
      <c r="D1828" s="1378">
        <f t="shared" si="278"/>
        <v>43481</v>
      </c>
      <c r="E1828" s="1513">
        <f t="shared" si="278"/>
        <v>2.7334139500000001</v>
      </c>
      <c r="F1828" s="1509">
        <f t="shared" si="270"/>
        <v>2.73</v>
      </c>
      <c r="G1828" s="1509">
        <f t="shared" si="271"/>
        <v>2.73</v>
      </c>
      <c r="H1828" s="1509">
        <f t="shared" si="274"/>
        <v>0</v>
      </c>
      <c r="I1828" s="1509">
        <v>0</v>
      </c>
      <c r="J1828" s="1509">
        <v>0</v>
      </c>
      <c r="K1828" s="1509"/>
      <c r="L1828" s="1509"/>
      <c r="M1828" s="1509">
        <f t="shared" si="275"/>
        <v>0</v>
      </c>
      <c r="N1828" s="1509">
        <f t="shared" si="276"/>
        <v>0</v>
      </c>
      <c r="O1828" s="1510">
        <f t="shared" si="272"/>
        <v>0</v>
      </c>
      <c r="P1828" s="1453">
        <f t="shared" si="273"/>
        <v>0</v>
      </c>
    </row>
    <row r="1829" spans="1:16" ht="43.5" outlineLevel="1" x14ac:dyDescent="0.25">
      <c r="A1829" s="1511">
        <f t="shared" si="278"/>
        <v>17.600000000000001</v>
      </c>
      <c r="B1829" s="1512" t="str">
        <f t="shared" si="278"/>
        <v xml:space="preserve">Work of painting to service building, Main plant building and various Auxillarey buildings of unit No. 6&amp;7 at New Parli Thermal Power Station.         </v>
      </c>
      <c r="C1829" s="1511" t="str">
        <f t="shared" si="278"/>
        <v>MERC/CAPEX/20182019/020</v>
      </c>
      <c r="D1829" s="1378">
        <f t="shared" si="278"/>
        <v>43481</v>
      </c>
      <c r="E1829" s="1513">
        <f t="shared" si="278"/>
        <v>0.58998525000000002</v>
      </c>
      <c r="F1829" s="1509">
        <f t="shared" si="270"/>
        <v>0.43154335300000002</v>
      </c>
      <c r="G1829" s="1509">
        <f t="shared" si="271"/>
        <v>0.43154335300000002</v>
      </c>
      <c r="H1829" s="1509">
        <f t="shared" si="274"/>
        <v>0</v>
      </c>
      <c r="I1829" s="1509">
        <v>0</v>
      </c>
      <c r="J1829" s="1509">
        <v>0</v>
      </c>
      <c r="K1829" s="1509"/>
      <c r="L1829" s="1509"/>
      <c r="M1829" s="1509">
        <f t="shared" si="275"/>
        <v>0</v>
      </c>
      <c r="N1829" s="1509">
        <f t="shared" si="276"/>
        <v>0</v>
      </c>
      <c r="O1829" s="1510">
        <f t="shared" si="272"/>
        <v>0</v>
      </c>
      <c r="P1829" s="1453">
        <f t="shared" si="273"/>
        <v>0</v>
      </c>
    </row>
    <row r="1830" spans="1:16" ht="29" outlineLevel="1" x14ac:dyDescent="0.25">
      <c r="A1830" s="1511">
        <f t="shared" si="278"/>
        <v>17.600000000000001</v>
      </c>
      <c r="B1830" s="1512" t="str">
        <f t="shared" si="278"/>
        <v>Construction of RCC cabins at various locations in unit No.6&amp;7 premises at NPTPS Parli - V.</v>
      </c>
      <c r="C1830" s="1511" t="str">
        <f t="shared" si="278"/>
        <v>MERC/CAPEX/20182019/020</v>
      </c>
      <c r="D1830" s="1378">
        <f t="shared" si="278"/>
        <v>43481</v>
      </c>
      <c r="E1830" s="1513">
        <f t="shared" si="278"/>
        <v>0.28481011000000001</v>
      </c>
      <c r="F1830" s="1509">
        <f t="shared" si="270"/>
        <v>0.20461170000000001</v>
      </c>
      <c r="G1830" s="1509">
        <f t="shared" si="271"/>
        <v>0.20461170000000001</v>
      </c>
      <c r="H1830" s="1509">
        <f t="shared" si="274"/>
        <v>0</v>
      </c>
      <c r="I1830" s="1509">
        <v>0</v>
      </c>
      <c r="J1830" s="1509">
        <v>0</v>
      </c>
      <c r="K1830" s="1509"/>
      <c r="L1830" s="1509"/>
      <c r="M1830" s="1509">
        <f t="shared" si="275"/>
        <v>0</v>
      </c>
      <c r="N1830" s="1509">
        <f t="shared" si="276"/>
        <v>0</v>
      </c>
      <c r="O1830" s="1510">
        <f t="shared" si="272"/>
        <v>0</v>
      </c>
      <c r="P1830" s="1453">
        <f t="shared" si="273"/>
        <v>0</v>
      </c>
    </row>
    <row r="1831" spans="1:16" outlineLevel="1" x14ac:dyDescent="0.25">
      <c r="A1831" s="1511">
        <f t="shared" si="278"/>
        <v>0</v>
      </c>
      <c r="B1831" s="1512" t="str">
        <f t="shared" si="278"/>
        <v>IDC</v>
      </c>
      <c r="C1831" s="1511" t="str">
        <f t="shared" si="278"/>
        <v>MERC/CAPEX/20182019/020</v>
      </c>
      <c r="D1831" s="1378">
        <f t="shared" si="278"/>
        <v>43481</v>
      </c>
      <c r="E1831" s="1513">
        <f t="shared" si="278"/>
        <v>0</v>
      </c>
      <c r="F1831" s="1509">
        <f t="shared" si="270"/>
        <v>0</v>
      </c>
      <c r="G1831" s="1509">
        <f t="shared" si="271"/>
        <v>0</v>
      </c>
      <c r="H1831" s="1509">
        <f t="shared" si="274"/>
        <v>0</v>
      </c>
      <c r="I1831" s="1509">
        <v>0</v>
      </c>
      <c r="J1831" s="1509">
        <v>0</v>
      </c>
      <c r="K1831" s="1509"/>
      <c r="L1831" s="1509"/>
      <c r="M1831" s="1509">
        <f t="shared" si="275"/>
        <v>0</v>
      </c>
      <c r="N1831" s="1509">
        <f t="shared" si="276"/>
        <v>0</v>
      </c>
      <c r="O1831" s="1510">
        <f t="shared" si="272"/>
        <v>0</v>
      </c>
      <c r="P1831" s="1453">
        <f t="shared" si="273"/>
        <v>0</v>
      </c>
    </row>
    <row r="1832" spans="1:16" ht="29" outlineLevel="1" x14ac:dyDescent="0.25">
      <c r="A1832" s="1506">
        <f t="shared" si="278"/>
        <v>18</v>
      </c>
      <c r="B1832" s="1507" t="str">
        <f t="shared" si="278"/>
        <v>Procurement &amp; replacement of complete set of Economizer and LTSH upper &amp; lower coils of Unit No. 6 &amp; 7 at Parli TPS</v>
      </c>
      <c r="C1832" s="1506" t="str">
        <f t="shared" si="278"/>
        <v>MERC/CAPEX/2019-2020/419</v>
      </c>
      <c r="D1832" s="1508">
        <f t="shared" si="278"/>
        <v>43672</v>
      </c>
      <c r="E1832" s="1509">
        <f t="shared" si="278"/>
        <v>22.72</v>
      </c>
      <c r="F1832" s="1509">
        <f t="shared" si="270"/>
        <v>0</v>
      </c>
      <c r="G1832" s="1509">
        <f t="shared" si="271"/>
        <v>0</v>
      </c>
      <c r="H1832" s="1509">
        <f t="shared" si="274"/>
        <v>0</v>
      </c>
      <c r="I1832" s="1509">
        <v>0</v>
      </c>
      <c r="J1832" s="1509">
        <v>0</v>
      </c>
      <c r="K1832" s="1509"/>
      <c r="L1832" s="1509"/>
      <c r="M1832" s="1509">
        <f t="shared" si="275"/>
        <v>0</v>
      </c>
      <c r="N1832" s="1509">
        <f t="shared" si="276"/>
        <v>0</v>
      </c>
      <c r="O1832" s="1510">
        <f t="shared" si="272"/>
        <v>0</v>
      </c>
      <c r="P1832" s="1453">
        <f t="shared" si="273"/>
        <v>0</v>
      </c>
    </row>
    <row r="1833" spans="1:16" ht="29" outlineLevel="1" x14ac:dyDescent="0.25">
      <c r="A1833" s="1511">
        <f t="shared" si="278"/>
        <v>18.100000000000001</v>
      </c>
      <c r="B1833" s="1512" t="str">
        <f t="shared" si="278"/>
        <v xml:space="preserve">Procurement &amp; replacement of complete set of economizer upper &amp; lower bank coils of Unit No. 6 </v>
      </c>
      <c r="C1833" s="1511" t="str">
        <f t="shared" si="278"/>
        <v>MERC/CAPEX/2019-2020/419</v>
      </c>
      <c r="D1833" s="1378">
        <f t="shared" si="278"/>
        <v>43672</v>
      </c>
      <c r="E1833" s="1513">
        <f t="shared" si="278"/>
        <v>10.6</v>
      </c>
      <c r="F1833" s="1509">
        <f t="shared" si="270"/>
        <v>12.505020100000001</v>
      </c>
      <c r="G1833" s="1509">
        <f t="shared" si="271"/>
        <v>12.505120100000001</v>
      </c>
      <c r="H1833" s="1509">
        <f t="shared" si="274"/>
        <v>-9.9999999999766942E-5</v>
      </c>
      <c r="I1833" s="1509">
        <v>0</v>
      </c>
      <c r="J1833" s="1509">
        <v>0</v>
      </c>
      <c r="K1833" s="1509"/>
      <c r="L1833" s="1509"/>
      <c r="M1833" s="1509">
        <f t="shared" si="275"/>
        <v>0</v>
      </c>
      <c r="N1833" s="1509">
        <f t="shared" si="276"/>
        <v>-9.9999999999766942E-5</v>
      </c>
      <c r="O1833" s="1510">
        <f t="shared" si="272"/>
        <v>0</v>
      </c>
      <c r="P1833" s="1453">
        <f t="shared" si="273"/>
        <v>0</v>
      </c>
    </row>
    <row r="1834" spans="1:16" ht="29" outlineLevel="1" x14ac:dyDescent="0.25">
      <c r="A1834" s="1511">
        <f t="shared" si="278"/>
        <v>18.2</v>
      </c>
      <c r="B1834" s="1512" t="str">
        <f t="shared" si="278"/>
        <v>Procurement &amp; replacement of complete set of LTSH upper &amp; lower bank coils for Parli TPS unit-7</v>
      </c>
      <c r="C1834" s="1511" t="str">
        <f t="shared" si="278"/>
        <v>MERC/CAPEX/2019-2020/419</v>
      </c>
      <c r="D1834" s="1378">
        <f t="shared" si="278"/>
        <v>43672</v>
      </c>
      <c r="E1834" s="1513">
        <f t="shared" si="278"/>
        <v>10.6</v>
      </c>
      <c r="F1834" s="1509">
        <f t="shared" si="270"/>
        <v>12.3255</v>
      </c>
      <c r="G1834" s="1509">
        <f t="shared" si="271"/>
        <v>12.328390300000001</v>
      </c>
      <c r="H1834" s="1509">
        <f t="shared" si="274"/>
        <v>-2.8903000000006784E-3</v>
      </c>
      <c r="I1834" s="1509">
        <v>0</v>
      </c>
      <c r="J1834" s="1509">
        <v>0</v>
      </c>
      <c r="K1834" s="1509"/>
      <c r="L1834" s="1509"/>
      <c r="M1834" s="1509">
        <f t="shared" si="275"/>
        <v>0</v>
      </c>
      <c r="N1834" s="1509">
        <f t="shared" si="276"/>
        <v>-2.8903000000006784E-3</v>
      </c>
      <c r="O1834" s="1510">
        <f t="shared" si="272"/>
        <v>0</v>
      </c>
      <c r="P1834" s="1453">
        <f t="shared" si="273"/>
        <v>0</v>
      </c>
    </row>
    <row r="1835" spans="1:16" outlineLevel="1" x14ac:dyDescent="0.25">
      <c r="A1835" s="1511">
        <f t="shared" si="278"/>
        <v>0</v>
      </c>
      <c r="B1835" s="1516" t="str">
        <f t="shared" si="278"/>
        <v>IDC</v>
      </c>
      <c r="C1835" s="1511" t="str">
        <f t="shared" si="278"/>
        <v>MERC/CAPEX/2019-2020/419</v>
      </c>
      <c r="D1835" s="1378">
        <f t="shared" si="278"/>
        <v>43672</v>
      </c>
      <c r="E1835" s="1513">
        <f t="shared" si="278"/>
        <v>1.52</v>
      </c>
      <c r="F1835" s="1509">
        <f t="shared" si="270"/>
        <v>0.81066607999999996</v>
      </c>
      <c r="G1835" s="1509">
        <f t="shared" si="271"/>
        <v>2.6306608000000002</v>
      </c>
      <c r="H1835" s="1509">
        <f t="shared" si="274"/>
        <v>-1.8199947200000004</v>
      </c>
      <c r="I1835" s="1509">
        <v>0</v>
      </c>
      <c r="J1835" s="1509">
        <v>0</v>
      </c>
      <c r="K1835" s="1509"/>
      <c r="L1835" s="1509"/>
      <c r="M1835" s="1509">
        <f t="shared" si="275"/>
        <v>0</v>
      </c>
      <c r="N1835" s="1509">
        <f t="shared" si="276"/>
        <v>-1.8199947200000004</v>
      </c>
      <c r="O1835" s="1510">
        <f t="shared" si="272"/>
        <v>0</v>
      </c>
      <c r="P1835" s="1453">
        <f t="shared" si="273"/>
        <v>0</v>
      </c>
    </row>
    <row r="1836" spans="1:16" ht="29" outlineLevel="1" x14ac:dyDescent="0.25">
      <c r="A1836" s="1506">
        <f t="shared" si="278"/>
        <v>19</v>
      </c>
      <c r="B1836" s="1507" t="str">
        <f t="shared" si="278"/>
        <v>Schemes related to enhance the performance of Coal Handling Plant (2 x 250 MW) at Parli TPS</v>
      </c>
      <c r="C1836" s="1506" t="str">
        <f t="shared" si="278"/>
        <v>MERC/CAPEX/2019-2020/451</v>
      </c>
      <c r="D1836" s="1508">
        <f t="shared" si="278"/>
        <v>43676</v>
      </c>
      <c r="E1836" s="1509">
        <f t="shared" si="278"/>
        <v>10.719999999999999</v>
      </c>
      <c r="F1836" s="1509">
        <f t="shared" si="270"/>
        <v>0</v>
      </c>
      <c r="G1836" s="1509">
        <f t="shared" si="271"/>
        <v>0</v>
      </c>
      <c r="H1836" s="1509">
        <f t="shared" si="274"/>
        <v>0</v>
      </c>
      <c r="I1836" s="1509">
        <v>0</v>
      </c>
      <c r="J1836" s="1509">
        <v>0</v>
      </c>
      <c r="K1836" s="1509"/>
      <c r="L1836" s="1509"/>
      <c r="M1836" s="1509">
        <f t="shared" si="275"/>
        <v>0</v>
      </c>
      <c r="N1836" s="1509">
        <f t="shared" si="276"/>
        <v>0</v>
      </c>
      <c r="O1836" s="1510">
        <f t="shared" si="272"/>
        <v>0</v>
      </c>
      <c r="P1836" s="1453">
        <f t="shared" si="273"/>
        <v>0</v>
      </c>
    </row>
    <row r="1837" spans="1:16" outlineLevel="1" x14ac:dyDescent="0.25">
      <c r="A1837" s="1511">
        <f t="shared" si="278"/>
        <v>19.100000000000001</v>
      </c>
      <c r="B1837" s="1512" t="str">
        <f t="shared" si="278"/>
        <v xml:space="preserve">Procurement of 02 Nos. of BD155 Bulldozers for Parli TPS    </v>
      </c>
      <c r="C1837" s="1511" t="str">
        <f t="shared" si="278"/>
        <v>MERC/CAPEX/2019-2020/451</v>
      </c>
      <c r="D1837" s="1378">
        <f t="shared" si="278"/>
        <v>43676</v>
      </c>
      <c r="E1837" s="1513">
        <f t="shared" si="278"/>
        <v>3.93</v>
      </c>
      <c r="F1837" s="1509">
        <f t="shared" si="270"/>
        <v>4.3292536000000004</v>
      </c>
      <c r="G1837" s="1509">
        <f t="shared" si="271"/>
        <v>4.3292536000000004</v>
      </c>
      <c r="H1837" s="1509">
        <f t="shared" si="274"/>
        <v>0</v>
      </c>
      <c r="I1837" s="1509">
        <v>0</v>
      </c>
      <c r="J1837" s="1509">
        <v>0</v>
      </c>
      <c r="K1837" s="1509"/>
      <c r="L1837" s="1509"/>
      <c r="M1837" s="1509">
        <f t="shared" si="275"/>
        <v>0</v>
      </c>
      <c r="N1837" s="1509">
        <f t="shared" si="276"/>
        <v>0</v>
      </c>
      <c r="O1837" s="1510">
        <f t="shared" si="272"/>
        <v>0</v>
      </c>
      <c r="P1837" s="1453">
        <f t="shared" si="273"/>
        <v>0</v>
      </c>
    </row>
    <row r="1838" spans="1:16" outlineLevel="1" x14ac:dyDescent="0.25">
      <c r="A1838" s="1511">
        <f t="shared" si="278"/>
        <v>19.2</v>
      </c>
      <c r="B1838" s="1512" t="str">
        <f t="shared" si="278"/>
        <v xml:space="preserve">Procurement of 02 Nos. of Locomotives(800 HP) for Parli TPS    </v>
      </c>
      <c r="C1838" s="1506" t="str">
        <f t="shared" si="278"/>
        <v>MERC/CAPEX/2019-2020/451</v>
      </c>
      <c r="D1838" s="1508">
        <f t="shared" si="278"/>
        <v>43676</v>
      </c>
      <c r="E1838" s="1509">
        <f t="shared" si="278"/>
        <v>6.25</v>
      </c>
      <c r="F1838" s="1509">
        <f t="shared" si="270"/>
        <v>6.4416200000000003</v>
      </c>
      <c r="G1838" s="1509">
        <f t="shared" si="271"/>
        <v>6.4416200000000003</v>
      </c>
      <c r="H1838" s="1509">
        <f t="shared" si="274"/>
        <v>0</v>
      </c>
      <c r="I1838" s="1509">
        <v>0</v>
      </c>
      <c r="J1838" s="1509">
        <v>0</v>
      </c>
      <c r="K1838" s="1509"/>
      <c r="L1838" s="1509"/>
      <c r="M1838" s="1509">
        <f t="shared" si="275"/>
        <v>0</v>
      </c>
      <c r="N1838" s="1509">
        <f t="shared" si="276"/>
        <v>0</v>
      </c>
      <c r="O1838" s="1510">
        <f t="shared" si="272"/>
        <v>0</v>
      </c>
      <c r="P1838" s="1453">
        <f t="shared" si="273"/>
        <v>0</v>
      </c>
    </row>
    <row r="1839" spans="1:16" outlineLevel="1" x14ac:dyDescent="0.25">
      <c r="A1839" s="1511">
        <f t="shared" si="278"/>
        <v>0</v>
      </c>
      <c r="B1839" s="1512" t="str">
        <f t="shared" si="278"/>
        <v>IDC</v>
      </c>
      <c r="C1839" s="1511" t="str">
        <f t="shared" si="278"/>
        <v>MERC/CAPEX/2019-2020/451</v>
      </c>
      <c r="D1839" s="1378">
        <f t="shared" si="278"/>
        <v>43676</v>
      </c>
      <c r="E1839" s="1513">
        <f t="shared" si="278"/>
        <v>0.54</v>
      </c>
      <c r="F1839" s="1509">
        <f t="shared" si="270"/>
        <v>0</v>
      </c>
      <c r="G1839" s="1509">
        <f t="shared" si="271"/>
        <v>0</v>
      </c>
      <c r="H1839" s="1509">
        <f t="shared" si="274"/>
        <v>0</v>
      </c>
      <c r="I1839" s="1509">
        <v>0</v>
      </c>
      <c r="J1839" s="1509">
        <v>0</v>
      </c>
      <c r="K1839" s="1509"/>
      <c r="L1839" s="1509"/>
      <c r="M1839" s="1509">
        <f t="shared" si="275"/>
        <v>0</v>
      </c>
      <c r="N1839" s="1509">
        <f t="shared" si="276"/>
        <v>0</v>
      </c>
      <c r="O1839" s="1510">
        <f t="shared" si="272"/>
        <v>0</v>
      </c>
      <c r="P1839" s="1453">
        <f t="shared" si="273"/>
        <v>0</v>
      </c>
    </row>
    <row r="1840" spans="1:16" ht="58" outlineLevel="1" x14ac:dyDescent="0.25">
      <c r="A1840" s="1506">
        <f t="shared" si="278"/>
        <v>20</v>
      </c>
      <c r="B1840" s="1507" t="str">
        <f t="shared" si="278"/>
        <v>Procurement of Energy Efficient Cartridges of boiler Feed Pumps at Unit # 6 &amp; 7, Girth Gear, Pinion for BBD-4772 Coal Mills &amp; Procurement, Installation, Commissioning of Variable Frequency Drive for Gravimetric Coal Feeders (2X250MW) at Parli TPS</v>
      </c>
      <c r="C1840" s="1506" t="str">
        <f t="shared" si="278"/>
        <v>MERC/CAPEX/2019-2020/476,
MERC/CAPEX/2019-2020/858</v>
      </c>
      <c r="D1840" s="1508" t="str">
        <f t="shared" si="278"/>
        <v>01-08-2019,
10-10-2019</v>
      </c>
      <c r="E1840" s="1509">
        <f t="shared" si="278"/>
        <v>21.26</v>
      </c>
      <c r="F1840" s="1509">
        <f t="shared" si="270"/>
        <v>0</v>
      </c>
      <c r="G1840" s="1509">
        <f t="shared" si="271"/>
        <v>0</v>
      </c>
      <c r="H1840" s="1509">
        <f t="shared" si="274"/>
        <v>0</v>
      </c>
      <c r="I1840" s="1509">
        <v>0</v>
      </c>
      <c r="J1840" s="1509">
        <v>0</v>
      </c>
      <c r="K1840" s="1509"/>
      <c r="L1840" s="1509"/>
      <c r="M1840" s="1509">
        <f t="shared" si="275"/>
        <v>0</v>
      </c>
      <c r="N1840" s="1509">
        <f t="shared" si="276"/>
        <v>0</v>
      </c>
      <c r="O1840" s="1510">
        <f t="shared" si="272"/>
        <v>0</v>
      </c>
      <c r="P1840" s="1453">
        <f t="shared" si="273"/>
        <v>0</v>
      </c>
    </row>
    <row r="1841" spans="1:16" ht="58" outlineLevel="1" x14ac:dyDescent="0.25">
      <c r="A1841" s="1511">
        <f t="shared" si="278"/>
        <v>20.100000000000001</v>
      </c>
      <c r="B1841" s="1512" t="str">
        <f t="shared" si="278"/>
        <v>Procurement &amp; replacement of complete BFP Cartridge for advance class pump model FK-3B-40.</v>
      </c>
      <c r="C1841" s="1511" t="str">
        <f t="shared" si="278"/>
        <v>MERC/CAPEX/2019-2020/476,
MERC/CAPEX/2019-2020/858</v>
      </c>
      <c r="D1841" s="1378" t="str">
        <f t="shared" si="278"/>
        <v>01-08-2019,
10-10-2019</v>
      </c>
      <c r="E1841" s="1513">
        <f t="shared" si="278"/>
        <v>14.39</v>
      </c>
      <c r="F1841" s="1509">
        <f t="shared" si="270"/>
        <v>14.1187</v>
      </c>
      <c r="G1841" s="1509">
        <f t="shared" si="271"/>
        <v>14.1187</v>
      </c>
      <c r="H1841" s="1509">
        <f t="shared" si="274"/>
        <v>0</v>
      </c>
      <c r="I1841" s="1509">
        <v>0</v>
      </c>
      <c r="J1841" s="1509">
        <v>0</v>
      </c>
      <c r="K1841" s="1509"/>
      <c r="L1841" s="1509"/>
      <c r="M1841" s="1509">
        <f t="shared" si="275"/>
        <v>0</v>
      </c>
      <c r="N1841" s="1509">
        <f t="shared" si="276"/>
        <v>0</v>
      </c>
      <c r="O1841" s="1510">
        <f t="shared" si="272"/>
        <v>0</v>
      </c>
      <c r="P1841" s="1453">
        <f t="shared" si="273"/>
        <v>0</v>
      </c>
    </row>
    <row r="1842" spans="1:16" ht="29" outlineLevel="1" x14ac:dyDescent="0.25">
      <c r="A1842" s="1511">
        <f t="shared" si="278"/>
        <v>20.2</v>
      </c>
      <c r="B1842" s="1512" t="str">
        <f t="shared" si="278"/>
        <v>Procurement of girth gear pinion for BBD-4772 coal mill at Parli TPS &amp; Work Cost for replacement of girth gear, pinion shaft bearing.</v>
      </c>
      <c r="C1842" s="1506">
        <f t="shared" si="278"/>
        <v>0</v>
      </c>
      <c r="D1842" s="1508" t="str">
        <f t="shared" si="278"/>
        <v>Not Approved</v>
      </c>
      <c r="E1842" s="1509">
        <f t="shared" si="278"/>
        <v>0</v>
      </c>
      <c r="F1842" s="1509">
        <f t="shared" si="270"/>
        <v>0</v>
      </c>
      <c r="G1842" s="1509">
        <f t="shared" si="271"/>
        <v>0</v>
      </c>
      <c r="H1842" s="1509">
        <f t="shared" si="274"/>
        <v>0</v>
      </c>
      <c r="I1842" s="1509">
        <v>0</v>
      </c>
      <c r="J1842" s="1509">
        <v>0</v>
      </c>
      <c r="K1842" s="1509"/>
      <c r="L1842" s="1509"/>
      <c r="M1842" s="1509">
        <f t="shared" si="275"/>
        <v>0</v>
      </c>
      <c r="N1842" s="1509">
        <f t="shared" si="276"/>
        <v>0</v>
      </c>
      <c r="O1842" s="1510">
        <f t="shared" si="272"/>
        <v>0</v>
      </c>
      <c r="P1842" s="1453">
        <f t="shared" si="273"/>
        <v>0</v>
      </c>
    </row>
    <row r="1843" spans="1:16" ht="58" outlineLevel="1" x14ac:dyDescent="0.25">
      <c r="A1843" s="1511">
        <f t="shared" ref="A1843:E1858" si="279">A1486</f>
        <v>20.3</v>
      </c>
      <c r="B1843" s="1512" t="str">
        <f t="shared" si="279"/>
        <v>Procurement of VFD up-grade kit for replacement of existing Eddy current clutch drive system.</v>
      </c>
      <c r="C1843" s="1511" t="str">
        <f t="shared" si="279"/>
        <v>MERC/CAPEX/2019-2020/476,
MERC/CAPEX/2019-2020/858</v>
      </c>
      <c r="D1843" s="1378" t="str">
        <f t="shared" si="279"/>
        <v>01-08-2019,
10-10-2019</v>
      </c>
      <c r="E1843" s="1513">
        <f t="shared" si="279"/>
        <v>5.94</v>
      </c>
      <c r="F1843" s="1509">
        <f t="shared" si="270"/>
        <v>5.9323319999999997</v>
      </c>
      <c r="G1843" s="1509">
        <f t="shared" si="271"/>
        <v>5.9323319999999997</v>
      </c>
      <c r="H1843" s="1509">
        <f t="shared" si="274"/>
        <v>0</v>
      </c>
      <c r="I1843" s="1509">
        <v>0</v>
      </c>
      <c r="J1843" s="1509">
        <v>0</v>
      </c>
      <c r="K1843" s="1509"/>
      <c r="L1843" s="1509"/>
      <c r="M1843" s="1509">
        <f t="shared" si="275"/>
        <v>0</v>
      </c>
      <c r="N1843" s="1509">
        <f t="shared" si="276"/>
        <v>0</v>
      </c>
      <c r="O1843" s="1510">
        <f t="shared" si="272"/>
        <v>0</v>
      </c>
      <c r="P1843" s="1453">
        <f t="shared" si="273"/>
        <v>0</v>
      </c>
    </row>
    <row r="1844" spans="1:16" ht="58" outlineLevel="1" x14ac:dyDescent="0.25">
      <c r="A1844" s="1511">
        <f t="shared" si="279"/>
        <v>20.399999999999999</v>
      </c>
      <c r="B1844" s="1512" t="str">
        <f t="shared" si="279"/>
        <v>Supervision of Installation, erection and commissioning for DT-9 &amp; VFD Upgrade system inclusive of travel charges Boarding and lodging.</v>
      </c>
      <c r="C1844" s="1511" t="str">
        <f t="shared" si="279"/>
        <v>MERC/CAPEX/2019-2020/476,
MERC/CAPEX/2019-2020/858</v>
      </c>
      <c r="D1844" s="1378" t="str">
        <f t="shared" si="279"/>
        <v>01-08-2019,
10-10-2019</v>
      </c>
      <c r="E1844" s="1513">
        <f t="shared" si="279"/>
        <v>0.28999999999999998</v>
      </c>
      <c r="F1844" s="1509">
        <f t="shared" si="270"/>
        <v>0.28320000000000001</v>
      </c>
      <c r="G1844" s="1509">
        <f t="shared" si="271"/>
        <v>0.28320000000000001</v>
      </c>
      <c r="H1844" s="1509">
        <f t="shared" si="274"/>
        <v>0</v>
      </c>
      <c r="I1844" s="1509">
        <v>0</v>
      </c>
      <c r="J1844" s="1509">
        <v>0</v>
      </c>
      <c r="K1844" s="1509"/>
      <c r="L1844" s="1509"/>
      <c r="M1844" s="1509">
        <f t="shared" si="275"/>
        <v>0</v>
      </c>
      <c r="N1844" s="1509">
        <f t="shared" si="276"/>
        <v>0</v>
      </c>
      <c r="O1844" s="1510">
        <f t="shared" si="272"/>
        <v>0</v>
      </c>
      <c r="P1844" s="1453">
        <f t="shared" si="273"/>
        <v>0</v>
      </c>
    </row>
    <row r="1845" spans="1:16" ht="58" outlineLevel="1" x14ac:dyDescent="0.25">
      <c r="A1845" s="1511">
        <f t="shared" si="279"/>
        <v>0</v>
      </c>
      <c r="B1845" s="1512" t="str">
        <f t="shared" si="279"/>
        <v>IDC</v>
      </c>
      <c r="C1845" s="1511" t="str">
        <f t="shared" si="279"/>
        <v>MERC/CAPEX/2019-2020/476,
MERC/CAPEX/2019-2020/858</v>
      </c>
      <c r="D1845" s="1378" t="str">
        <f t="shared" si="279"/>
        <v>01-08-2019,
10-10-2019</v>
      </c>
      <c r="E1845" s="1513">
        <f t="shared" si="279"/>
        <v>0.64</v>
      </c>
      <c r="F1845" s="1509">
        <f t="shared" si="270"/>
        <v>0.51657549999999997</v>
      </c>
      <c r="G1845" s="1509">
        <f t="shared" si="271"/>
        <v>0.51657549999999997</v>
      </c>
      <c r="H1845" s="1509">
        <f t="shared" si="274"/>
        <v>0</v>
      </c>
      <c r="I1845" s="1509">
        <v>0</v>
      </c>
      <c r="J1845" s="1509">
        <v>0</v>
      </c>
      <c r="K1845" s="1509"/>
      <c r="L1845" s="1509"/>
      <c r="M1845" s="1509">
        <f t="shared" si="275"/>
        <v>0</v>
      </c>
      <c r="N1845" s="1509">
        <f t="shared" si="276"/>
        <v>0</v>
      </c>
      <c r="O1845" s="1510">
        <f t="shared" si="272"/>
        <v>0</v>
      </c>
      <c r="P1845" s="1453">
        <f t="shared" si="273"/>
        <v>0</v>
      </c>
    </row>
    <row r="1846" spans="1:16" ht="43.5" outlineLevel="1" x14ac:dyDescent="0.25">
      <c r="A1846" s="1506">
        <f t="shared" si="279"/>
        <v>21</v>
      </c>
      <c r="B1846" s="1507" t="str">
        <f t="shared" si="279"/>
        <v>HMI up-gradation of DCS U-6 &amp; U-7 and Procurement of Assemblies for Reducer Gear box SZN-630 &amp; SBN-630 for BBD-4772 (2 x 250 MW) coal mills at Parli TPS</v>
      </c>
      <c r="C1846" s="1506" t="str">
        <f t="shared" si="279"/>
        <v>MERC/CAPEX/2019-2020/854</v>
      </c>
      <c r="D1846" s="1508">
        <f t="shared" si="279"/>
        <v>43748</v>
      </c>
      <c r="E1846" s="1509">
        <f t="shared" si="279"/>
        <v>13.2</v>
      </c>
      <c r="F1846" s="1509">
        <f t="shared" si="270"/>
        <v>0</v>
      </c>
      <c r="G1846" s="1509">
        <f t="shared" si="271"/>
        <v>0</v>
      </c>
      <c r="H1846" s="1509">
        <f t="shared" si="274"/>
        <v>0</v>
      </c>
      <c r="I1846" s="1509">
        <v>0</v>
      </c>
      <c r="J1846" s="1509">
        <v>0</v>
      </c>
      <c r="K1846" s="1509"/>
      <c r="L1846" s="1509"/>
      <c r="M1846" s="1509">
        <f t="shared" si="275"/>
        <v>0</v>
      </c>
      <c r="N1846" s="1509">
        <f t="shared" si="276"/>
        <v>0</v>
      </c>
      <c r="O1846" s="1510">
        <f t="shared" si="272"/>
        <v>0</v>
      </c>
      <c r="P1846" s="1453">
        <f t="shared" si="273"/>
        <v>0</v>
      </c>
    </row>
    <row r="1847" spans="1:16" outlineLevel="1" x14ac:dyDescent="0.25">
      <c r="A1847" s="1511">
        <f t="shared" si="279"/>
        <v>21.1</v>
      </c>
      <c r="B1847" s="1512" t="str">
        <f t="shared" si="279"/>
        <v>Up gradation of MaxDNA DCS system (HMI Up gradation).</v>
      </c>
      <c r="C1847" s="1511" t="str">
        <f t="shared" si="279"/>
        <v>MERC/CAPEX/2019-2020/854</v>
      </c>
      <c r="D1847" s="1378">
        <f t="shared" si="279"/>
        <v>43748</v>
      </c>
      <c r="E1847" s="1513">
        <f t="shared" si="279"/>
        <v>10.49</v>
      </c>
      <c r="F1847" s="1509">
        <f t="shared" si="270"/>
        <v>9.06</v>
      </c>
      <c r="G1847" s="1509">
        <f t="shared" si="271"/>
        <v>9.4502962000000004</v>
      </c>
      <c r="H1847" s="1509">
        <f t="shared" si="274"/>
        <v>-0.39029619999999987</v>
      </c>
      <c r="I1847" s="1509">
        <v>0</v>
      </c>
      <c r="J1847" s="1509">
        <v>0</v>
      </c>
      <c r="K1847" s="1509"/>
      <c r="L1847" s="1509"/>
      <c r="M1847" s="1509">
        <f t="shared" si="275"/>
        <v>0</v>
      </c>
      <c r="N1847" s="1509">
        <f t="shared" si="276"/>
        <v>-0.39029619999999987</v>
      </c>
      <c r="O1847" s="1510">
        <f t="shared" si="272"/>
        <v>0</v>
      </c>
      <c r="P1847" s="1453">
        <f t="shared" si="273"/>
        <v>0</v>
      </c>
    </row>
    <row r="1848" spans="1:16" outlineLevel="1" x14ac:dyDescent="0.25">
      <c r="A1848" s="1511">
        <f t="shared" si="279"/>
        <v>0</v>
      </c>
      <c r="B1848" s="1512" t="str">
        <f t="shared" si="279"/>
        <v>IDC</v>
      </c>
      <c r="C1848" s="1511">
        <f t="shared" si="279"/>
        <v>0</v>
      </c>
      <c r="D1848" s="1378" t="str">
        <f t="shared" si="279"/>
        <v>-</v>
      </c>
      <c r="E1848" s="1513">
        <f t="shared" si="279"/>
        <v>0</v>
      </c>
      <c r="F1848" s="1509">
        <f t="shared" si="270"/>
        <v>0.20089699999999999</v>
      </c>
      <c r="G1848" s="1509">
        <f t="shared" si="271"/>
        <v>0.72855489999999945</v>
      </c>
      <c r="H1848" s="1509">
        <f t="shared" si="274"/>
        <v>-0.52765789999999946</v>
      </c>
      <c r="I1848" s="1509">
        <v>0</v>
      </c>
      <c r="J1848" s="1509">
        <v>0</v>
      </c>
      <c r="K1848" s="1509"/>
      <c r="L1848" s="1509"/>
      <c r="M1848" s="1509">
        <f t="shared" si="275"/>
        <v>0</v>
      </c>
      <c r="N1848" s="1509">
        <f t="shared" si="276"/>
        <v>-0.52765789999999946</v>
      </c>
      <c r="O1848" s="1510"/>
      <c r="P1848" s="1453"/>
    </row>
    <row r="1849" spans="1:16" ht="29" outlineLevel="1" x14ac:dyDescent="0.25">
      <c r="A1849" s="1511">
        <f t="shared" si="279"/>
        <v>21.2</v>
      </c>
      <c r="B1849" s="1512" t="str">
        <f t="shared" si="279"/>
        <v xml:space="preserve">Procurement of Spares for Reducer Gear box SZN-630 for BBD-4772 Coal mills of 250MW at Unit 6 </v>
      </c>
      <c r="C1849" s="1506" t="str">
        <f t="shared" si="279"/>
        <v>MERC/CAPEX/2019-2020/854</v>
      </c>
      <c r="D1849" s="1508">
        <f t="shared" si="279"/>
        <v>43748</v>
      </c>
      <c r="E1849" s="1509">
        <f t="shared" si="279"/>
        <v>1.01</v>
      </c>
      <c r="F1849" s="1509">
        <f t="shared" si="270"/>
        <v>1.0442298999999999</v>
      </c>
      <c r="G1849" s="1509">
        <f t="shared" si="271"/>
        <v>1.0442298999999999</v>
      </c>
      <c r="H1849" s="1509">
        <f t="shared" si="274"/>
        <v>0</v>
      </c>
      <c r="I1849" s="1509">
        <v>0</v>
      </c>
      <c r="J1849" s="1509">
        <v>0</v>
      </c>
      <c r="K1849" s="1509"/>
      <c r="L1849" s="1509"/>
      <c r="M1849" s="1509">
        <f t="shared" si="275"/>
        <v>0</v>
      </c>
      <c r="N1849" s="1509">
        <f t="shared" si="276"/>
        <v>0</v>
      </c>
      <c r="O1849" s="1510">
        <f t="shared" ref="O1849:O1858" si="280">MAX(0,IF(M1849=0,0,IF(G1849+M1849&lt;E1849,M1849,E1849-G1849)))</f>
        <v>0</v>
      </c>
      <c r="P1849" s="1453">
        <f t="shared" ref="P1849:P1858" si="281">M1849-O1849</f>
        <v>0</v>
      </c>
    </row>
    <row r="1850" spans="1:16" ht="29" outlineLevel="1" x14ac:dyDescent="0.25">
      <c r="A1850" s="1511">
        <f t="shared" si="279"/>
        <v>21.3</v>
      </c>
      <c r="B1850" s="1512" t="str">
        <f t="shared" si="279"/>
        <v xml:space="preserve">Procurement of Spares for Reducer Gear box SBN-630 for BBD-4772 Coal mills of 250MW at Unit 7 </v>
      </c>
      <c r="C1850" s="1511" t="str">
        <f t="shared" si="279"/>
        <v>MERC/CAPEX/2019-2020/854</v>
      </c>
      <c r="D1850" s="1378">
        <f t="shared" si="279"/>
        <v>43748</v>
      </c>
      <c r="E1850" s="1513">
        <f t="shared" si="279"/>
        <v>1.7</v>
      </c>
      <c r="F1850" s="1509">
        <f t="shared" si="270"/>
        <v>1.6232219000000001</v>
      </c>
      <c r="G1850" s="1509">
        <f t="shared" si="271"/>
        <v>1.6232219000000001</v>
      </c>
      <c r="H1850" s="1509">
        <f t="shared" si="274"/>
        <v>0</v>
      </c>
      <c r="I1850" s="1509">
        <v>0</v>
      </c>
      <c r="J1850" s="1509">
        <v>0</v>
      </c>
      <c r="K1850" s="1509"/>
      <c r="L1850" s="1509"/>
      <c r="M1850" s="1509">
        <f t="shared" si="275"/>
        <v>0</v>
      </c>
      <c r="N1850" s="1509">
        <f t="shared" si="276"/>
        <v>0</v>
      </c>
      <c r="O1850" s="1510">
        <f t="shared" si="280"/>
        <v>0</v>
      </c>
      <c r="P1850" s="1453">
        <f t="shared" si="281"/>
        <v>0</v>
      </c>
    </row>
    <row r="1851" spans="1:16" outlineLevel="1" x14ac:dyDescent="0.25">
      <c r="A1851" s="1511">
        <f t="shared" si="279"/>
        <v>0</v>
      </c>
      <c r="B1851" s="1512" t="str">
        <f t="shared" si="279"/>
        <v>IDC</v>
      </c>
      <c r="C1851" s="1511" t="str">
        <f t="shared" si="279"/>
        <v>MERC/CAPEX/2019-2020/854</v>
      </c>
      <c r="D1851" s="1378">
        <f t="shared" si="279"/>
        <v>43748</v>
      </c>
      <c r="E1851" s="1513">
        <f t="shared" si="279"/>
        <v>0</v>
      </c>
      <c r="F1851" s="1509">
        <f t="shared" si="270"/>
        <v>0</v>
      </c>
      <c r="G1851" s="1509">
        <f t="shared" si="271"/>
        <v>0</v>
      </c>
      <c r="H1851" s="1509">
        <f t="shared" si="274"/>
        <v>0</v>
      </c>
      <c r="I1851" s="1509">
        <v>0</v>
      </c>
      <c r="J1851" s="1509">
        <v>0</v>
      </c>
      <c r="K1851" s="1509"/>
      <c r="L1851" s="1509"/>
      <c r="M1851" s="1509">
        <f t="shared" si="275"/>
        <v>0</v>
      </c>
      <c r="N1851" s="1509">
        <f t="shared" si="276"/>
        <v>0</v>
      </c>
      <c r="O1851" s="1510">
        <f t="shared" si="280"/>
        <v>0</v>
      </c>
      <c r="P1851" s="1453">
        <f t="shared" si="281"/>
        <v>0</v>
      </c>
    </row>
    <row r="1852" spans="1:16" outlineLevel="1" x14ac:dyDescent="0.25">
      <c r="A1852" s="1506">
        <f t="shared" si="279"/>
        <v>22</v>
      </c>
      <c r="B1852" s="1507" t="str">
        <f t="shared" si="279"/>
        <v>Flue Gas Desulphurization (FGD) System at Unit 6 &amp; 7 Parli TPS</v>
      </c>
      <c r="C1852" s="1506" t="str">
        <f t="shared" si="279"/>
        <v>MERC/CAPEX/2021-2022/0284</v>
      </c>
      <c r="D1852" s="1508">
        <f t="shared" si="279"/>
        <v>44739</v>
      </c>
      <c r="E1852" s="1509">
        <f t="shared" si="279"/>
        <v>145.01688209794372</v>
      </c>
      <c r="F1852" s="1509">
        <f t="shared" si="270"/>
        <v>0</v>
      </c>
      <c r="G1852" s="1509">
        <f t="shared" si="271"/>
        <v>0</v>
      </c>
      <c r="H1852" s="1509">
        <f t="shared" si="274"/>
        <v>0</v>
      </c>
      <c r="I1852" s="1509">
        <v>0</v>
      </c>
      <c r="J1852" s="1509">
        <v>0</v>
      </c>
      <c r="K1852" s="1509"/>
      <c r="L1852" s="1509"/>
      <c r="M1852" s="1509">
        <f t="shared" si="275"/>
        <v>0</v>
      </c>
      <c r="N1852" s="1509">
        <f t="shared" si="276"/>
        <v>0</v>
      </c>
      <c r="O1852" s="1510">
        <f t="shared" si="280"/>
        <v>0</v>
      </c>
      <c r="P1852" s="1453">
        <f t="shared" si="281"/>
        <v>0</v>
      </c>
    </row>
    <row r="1853" spans="1:16" outlineLevel="1" x14ac:dyDescent="0.25">
      <c r="A1853" s="1511">
        <f t="shared" si="279"/>
        <v>22.1</v>
      </c>
      <c r="B1853" s="1512" t="str">
        <f t="shared" si="279"/>
        <v xml:space="preserve">Flue Gas Desulphurization (FGD) System at Unit 6 &amp; 7 Parli TPS                    </v>
      </c>
      <c r="C1853" s="1511" t="str">
        <f t="shared" si="279"/>
        <v>MERC/CAPEX/2021-2022/0284</v>
      </c>
      <c r="D1853" s="1378">
        <f t="shared" si="279"/>
        <v>44739</v>
      </c>
      <c r="E1853" s="1513">
        <f t="shared" si="279"/>
        <v>138.44</v>
      </c>
      <c r="F1853" s="1509">
        <f t="shared" si="270"/>
        <v>154.85509999999999</v>
      </c>
      <c r="G1853" s="1509">
        <f t="shared" si="271"/>
        <v>163.28</v>
      </c>
      <c r="H1853" s="1509">
        <f t="shared" si="274"/>
        <v>-8.424900000000008</v>
      </c>
      <c r="I1853" s="1509">
        <v>0</v>
      </c>
      <c r="J1853" s="1509">
        <v>0</v>
      </c>
      <c r="K1853" s="1509"/>
      <c r="L1853" s="1509"/>
      <c r="M1853" s="1509">
        <f t="shared" si="275"/>
        <v>0</v>
      </c>
      <c r="N1853" s="1509">
        <f t="shared" si="276"/>
        <v>-8.424900000000008</v>
      </c>
      <c r="O1853" s="1510">
        <f t="shared" si="280"/>
        <v>0</v>
      </c>
      <c r="P1853" s="1453">
        <f t="shared" si="281"/>
        <v>0</v>
      </c>
    </row>
    <row r="1854" spans="1:16" outlineLevel="1" x14ac:dyDescent="0.25">
      <c r="A1854" s="1511">
        <f t="shared" si="279"/>
        <v>0</v>
      </c>
      <c r="B1854" s="1512" t="str">
        <f t="shared" si="279"/>
        <v>IDC</v>
      </c>
      <c r="C1854" s="1511" t="str">
        <f t="shared" si="279"/>
        <v>MERC/CAPEX/2021-2022/0284</v>
      </c>
      <c r="D1854" s="1378">
        <f t="shared" si="279"/>
        <v>44739</v>
      </c>
      <c r="E1854" s="1513">
        <f t="shared" si="279"/>
        <v>6.5768820979437104</v>
      </c>
      <c r="F1854" s="1509">
        <f t="shared" si="270"/>
        <v>7.15</v>
      </c>
      <c r="G1854" s="1509">
        <f t="shared" si="271"/>
        <v>0</v>
      </c>
      <c r="H1854" s="1509">
        <f t="shared" si="274"/>
        <v>7.15</v>
      </c>
      <c r="I1854" s="1509">
        <v>0</v>
      </c>
      <c r="J1854" s="1509">
        <v>0</v>
      </c>
      <c r="K1854" s="1509"/>
      <c r="L1854" s="1509"/>
      <c r="M1854" s="1509">
        <f t="shared" si="275"/>
        <v>0</v>
      </c>
      <c r="N1854" s="1509">
        <f t="shared" si="276"/>
        <v>7.15</v>
      </c>
      <c r="O1854" s="1510">
        <f t="shared" si="280"/>
        <v>0</v>
      </c>
      <c r="P1854" s="1453">
        <f t="shared" si="281"/>
        <v>0</v>
      </c>
    </row>
    <row r="1855" spans="1:16" ht="43.5" outlineLevel="1" x14ac:dyDescent="0.25">
      <c r="A1855" s="1506" t="str">
        <f t="shared" si="279"/>
        <v>HO
DPR-5</v>
      </c>
      <c r="B1855" s="1507" t="str">
        <f t="shared" si="279"/>
        <v>Procurement of energy efficient HT motors at Bhusawal TPS, Koradi TPS, Chandrapur TPS, khaperkheda TPS, Parli TPS &amp; Paras TPS as insurance spares</v>
      </c>
      <c r="C1855" s="1506" t="str">
        <f t="shared" si="279"/>
        <v>MERC/TECH 1/CAPEX/20142015/01218</v>
      </c>
      <c r="D1855" s="1508">
        <f t="shared" si="279"/>
        <v>41968</v>
      </c>
      <c r="E1855" s="1509">
        <f t="shared" si="279"/>
        <v>3.05</v>
      </c>
      <c r="F1855" s="1509">
        <f t="shared" si="270"/>
        <v>0</v>
      </c>
      <c r="G1855" s="1509">
        <f t="shared" si="271"/>
        <v>0</v>
      </c>
      <c r="H1855" s="1509">
        <f t="shared" si="274"/>
        <v>0</v>
      </c>
      <c r="I1855" s="1509">
        <v>0</v>
      </c>
      <c r="J1855" s="1509">
        <v>0</v>
      </c>
      <c r="K1855" s="1509"/>
      <c r="L1855" s="1509"/>
      <c r="M1855" s="1509">
        <f t="shared" si="275"/>
        <v>0</v>
      </c>
      <c r="N1855" s="1509">
        <f t="shared" si="276"/>
        <v>0</v>
      </c>
      <c r="O1855" s="1510">
        <f t="shared" si="280"/>
        <v>0</v>
      </c>
      <c r="P1855" s="1453">
        <f t="shared" si="281"/>
        <v>0</v>
      </c>
    </row>
    <row r="1856" spans="1:16" ht="43.5" outlineLevel="1" x14ac:dyDescent="0.25">
      <c r="A1856" s="1511" t="str">
        <f t="shared" si="279"/>
        <v>HO
DPR-5a</v>
      </c>
      <c r="B1856" s="1512" t="str">
        <f t="shared" si="279"/>
        <v>Parli: Procurement of HT Motors (CHP-I Phase and CEP/CW/ACW-II Phase)for NPTPS U-6&amp;7</v>
      </c>
      <c r="C1856" s="1511" t="str">
        <f t="shared" si="279"/>
        <v>MERC/TECH 1/CAPEX/20142015/01218</v>
      </c>
      <c r="D1856" s="1378">
        <f t="shared" si="279"/>
        <v>41968</v>
      </c>
      <c r="E1856" s="1513">
        <f t="shared" si="279"/>
        <v>3.05</v>
      </c>
      <c r="F1856" s="1509">
        <f t="shared" si="270"/>
        <v>1.409902</v>
      </c>
      <c r="G1856" s="1509">
        <f t="shared" si="271"/>
        <v>1.409902</v>
      </c>
      <c r="H1856" s="1509">
        <f t="shared" si="274"/>
        <v>0</v>
      </c>
      <c r="I1856" s="1509">
        <v>0</v>
      </c>
      <c r="J1856" s="1509">
        <v>0</v>
      </c>
      <c r="K1856" s="1509"/>
      <c r="L1856" s="1509"/>
      <c r="M1856" s="1509">
        <f t="shared" si="275"/>
        <v>0</v>
      </c>
      <c r="N1856" s="1509">
        <f t="shared" si="276"/>
        <v>0</v>
      </c>
      <c r="O1856" s="1510">
        <f t="shared" si="280"/>
        <v>0</v>
      </c>
      <c r="P1856" s="1453">
        <f t="shared" si="281"/>
        <v>0</v>
      </c>
    </row>
    <row r="1857" spans="1:16" ht="43.5" outlineLevel="1" x14ac:dyDescent="0.25">
      <c r="A1857" s="1506" t="str">
        <f t="shared" si="279"/>
        <v>HO
DPR-6</v>
      </c>
      <c r="B1857" s="1507" t="str">
        <f t="shared" si="279"/>
        <v>Supply, Installation, Commissioning and Operation &amp; Maintenance Services of Continuous Ambient Air Quality Monitoring Stations (CAAQMS) at various TPS</v>
      </c>
      <c r="C1857" s="1506" t="str">
        <f t="shared" si="279"/>
        <v>MERC/CAPEX/20162017/00423</v>
      </c>
      <c r="D1857" s="1508">
        <f t="shared" si="279"/>
        <v>42585</v>
      </c>
      <c r="E1857" s="1509">
        <f t="shared" si="279"/>
        <v>1.3257526714285699</v>
      </c>
      <c r="F1857" s="1509">
        <f t="shared" si="270"/>
        <v>0</v>
      </c>
      <c r="G1857" s="1509">
        <f t="shared" si="271"/>
        <v>0</v>
      </c>
      <c r="H1857" s="1509">
        <f t="shared" si="274"/>
        <v>0</v>
      </c>
      <c r="I1857" s="1509">
        <v>0</v>
      </c>
      <c r="J1857" s="1509">
        <v>0</v>
      </c>
      <c r="K1857" s="1509"/>
      <c r="L1857" s="1509"/>
      <c r="M1857" s="1509">
        <f t="shared" si="275"/>
        <v>0</v>
      </c>
      <c r="N1857" s="1509">
        <f t="shared" si="276"/>
        <v>0</v>
      </c>
      <c r="O1857" s="1510">
        <f t="shared" si="280"/>
        <v>0</v>
      </c>
      <c r="P1857" s="1453">
        <f t="shared" si="281"/>
        <v>0</v>
      </c>
    </row>
    <row r="1858" spans="1:16" ht="43.5" outlineLevel="1" x14ac:dyDescent="0.25">
      <c r="A1858" s="1511" t="str">
        <f t="shared" si="279"/>
        <v>HO
DPR-6a</v>
      </c>
      <c r="B1858" s="1512" t="str">
        <f t="shared" si="279"/>
        <v>NEW PARLI (U-6 &amp; 7)</v>
      </c>
      <c r="C1858" s="1511" t="str">
        <f t="shared" si="279"/>
        <v>MERC/CAPEX/20162017/00423</v>
      </c>
      <c r="D1858" s="1378">
        <f t="shared" si="279"/>
        <v>42585</v>
      </c>
      <c r="E1858" s="1513">
        <f t="shared" si="279"/>
        <v>1.3257526714285699</v>
      </c>
      <c r="F1858" s="1509">
        <f t="shared" si="270"/>
        <v>0.94127489999999991</v>
      </c>
      <c r="G1858" s="1509">
        <f t="shared" si="271"/>
        <v>0.94127489999999991</v>
      </c>
      <c r="H1858" s="1509">
        <f t="shared" si="274"/>
        <v>0</v>
      </c>
      <c r="I1858" s="1509">
        <v>0</v>
      </c>
      <c r="J1858" s="1509">
        <v>0</v>
      </c>
      <c r="K1858" s="1509"/>
      <c r="L1858" s="1509"/>
      <c r="M1858" s="1509">
        <f t="shared" si="275"/>
        <v>0</v>
      </c>
      <c r="N1858" s="1509">
        <f t="shared" si="276"/>
        <v>0</v>
      </c>
      <c r="O1858" s="1510">
        <f t="shared" si="280"/>
        <v>0</v>
      </c>
      <c r="P1858" s="1453">
        <f t="shared" si="281"/>
        <v>0</v>
      </c>
    </row>
    <row r="1859" spans="1:16" outlineLevel="1" x14ac:dyDescent="0.25">
      <c r="A1859" s="1511">
        <f t="shared" ref="A1859:E1874" si="282">A1502</f>
        <v>0</v>
      </c>
      <c r="B1859" s="1512" t="str">
        <f t="shared" si="282"/>
        <v>IDC</v>
      </c>
      <c r="C1859" s="1511">
        <f t="shared" si="282"/>
        <v>0</v>
      </c>
      <c r="D1859" s="1378" t="str">
        <f t="shared" si="282"/>
        <v>-</v>
      </c>
      <c r="E1859" s="1513">
        <f t="shared" si="282"/>
        <v>0</v>
      </c>
      <c r="F1859" s="1509">
        <f t="shared" ref="F1859:F1922" si="283">F1502+I1502</f>
        <v>3.9603800000000002E-2</v>
      </c>
      <c r="G1859" s="1509">
        <f t="shared" ref="G1859:G1922" si="284">G1502+M1502</f>
        <v>3.9603800000000002E-2</v>
      </c>
      <c r="H1859" s="1509">
        <f t="shared" si="274"/>
        <v>0</v>
      </c>
      <c r="I1859" s="1509">
        <v>0</v>
      </c>
      <c r="J1859" s="1509">
        <v>0</v>
      </c>
      <c r="K1859" s="1509"/>
      <c r="L1859" s="1509"/>
      <c r="M1859" s="1509">
        <f t="shared" si="275"/>
        <v>0</v>
      </c>
      <c r="N1859" s="1509">
        <f t="shared" si="276"/>
        <v>0</v>
      </c>
      <c r="O1859" s="1510"/>
      <c r="P1859" s="1453"/>
    </row>
    <row r="1860" spans="1:16" ht="43.5" outlineLevel="1" x14ac:dyDescent="0.25">
      <c r="A1860" s="1506" t="str">
        <f t="shared" si="282"/>
        <v>HO
DPR 7</v>
      </c>
      <c r="B1860" s="1507" t="str">
        <f t="shared" si="282"/>
        <v>Installation of Real Time Online Coal-Ash Analyzer at various TPS</v>
      </c>
      <c r="C1860" s="1506" t="str">
        <f t="shared" si="282"/>
        <v>MERC/CAPEX/20162017/00774</v>
      </c>
      <c r="D1860" s="1508">
        <f t="shared" si="282"/>
        <v>42643</v>
      </c>
      <c r="E1860" s="1509">
        <f t="shared" si="282"/>
        <v>7.0965999999999996</v>
      </c>
      <c r="F1860" s="1509">
        <f t="shared" si="283"/>
        <v>0</v>
      </c>
      <c r="G1860" s="1509">
        <f t="shared" si="284"/>
        <v>0</v>
      </c>
      <c r="H1860" s="1509">
        <f t="shared" ref="H1860:H1923" si="285">F1860-G1860</f>
        <v>0</v>
      </c>
      <c r="I1860" s="1509">
        <v>0</v>
      </c>
      <c r="J1860" s="1509">
        <v>0</v>
      </c>
      <c r="K1860" s="1509"/>
      <c r="L1860" s="1509"/>
      <c r="M1860" s="1509">
        <f t="shared" ref="M1860:M1923" si="286">SUM(J1860:L1860)</f>
        <v>0</v>
      </c>
      <c r="N1860" s="1509">
        <f t="shared" ref="N1860:N1923" si="287">H1860+I1860-M1860</f>
        <v>0</v>
      </c>
      <c r="O1860" s="1510">
        <f t="shared" ref="O1860:O1869" si="288">MAX(0,IF(M1860=0,0,IF(G1860+M1860&lt;E1860,M1860,E1860-G1860)))</f>
        <v>0</v>
      </c>
      <c r="P1860" s="1453">
        <f t="shared" ref="P1860:P1869" si="289">M1860-O1860</f>
        <v>0</v>
      </c>
    </row>
    <row r="1861" spans="1:16" ht="43.5" outlineLevel="1" x14ac:dyDescent="0.25">
      <c r="A1861" s="1511" t="str">
        <f t="shared" si="282"/>
        <v>HO
DPR 7a</v>
      </c>
      <c r="B1861" s="1512" t="str">
        <f t="shared" si="282"/>
        <v>NEW PARLI (U-6 &amp; 7)</v>
      </c>
      <c r="C1861" s="1511" t="str">
        <f t="shared" si="282"/>
        <v>MERC/CAPEX/20162017/00774</v>
      </c>
      <c r="D1861" s="1378">
        <f t="shared" si="282"/>
        <v>42643</v>
      </c>
      <c r="E1861" s="1513">
        <f t="shared" si="282"/>
        <v>7.0965999999999996</v>
      </c>
      <c r="F1861" s="1509">
        <f t="shared" si="283"/>
        <v>0</v>
      </c>
      <c r="G1861" s="1509">
        <f t="shared" si="284"/>
        <v>0</v>
      </c>
      <c r="H1861" s="1509">
        <f t="shared" si="285"/>
        <v>0</v>
      </c>
      <c r="I1861" s="1509">
        <v>0</v>
      </c>
      <c r="J1861" s="1509">
        <v>0</v>
      </c>
      <c r="K1861" s="1509"/>
      <c r="L1861" s="1509"/>
      <c r="M1861" s="1509">
        <f t="shared" si="286"/>
        <v>0</v>
      </c>
      <c r="N1861" s="1509">
        <f t="shared" si="287"/>
        <v>0</v>
      </c>
      <c r="O1861" s="1510">
        <f t="shared" si="288"/>
        <v>0</v>
      </c>
      <c r="P1861" s="1453">
        <f t="shared" si="289"/>
        <v>0</v>
      </c>
    </row>
    <row r="1862" spans="1:16" ht="43.5" outlineLevel="1" x14ac:dyDescent="0.25">
      <c r="A1862" s="1506" t="str">
        <f t="shared" si="282"/>
        <v>HO
DPR 8</v>
      </c>
      <c r="B1862" s="1507" t="str">
        <f t="shared" si="282"/>
        <v>Replacement of Fire Tenders at Various Power Stations of Mahagenco</v>
      </c>
      <c r="C1862" s="1506" t="str">
        <f t="shared" si="282"/>
        <v>MERC/CAPEX/20172018/4653</v>
      </c>
      <c r="D1862" s="1508">
        <f t="shared" si="282"/>
        <v>43052</v>
      </c>
      <c r="E1862" s="1509">
        <f t="shared" si="282"/>
        <v>3.97</v>
      </c>
      <c r="F1862" s="1509">
        <f t="shared" si="283"/>
        <v>0</v>
      </c>
      <c r="G1862" s="1509">
        <f t="shared" si="284"/>
        <v>0</v>
      </c>
      <c r="H1862" s="1509">
        <f t="shared" si="285"/>
        <v>0</v>
      </c>
      <c r="I1862" s="1509">
        <v>0</v>
      </c>
      <c r="J1862" s="1509">
        <v>0</v>
      </c>
      <c r="K1862" s="1509"/>
      <c r="L1862" s="1509"/>
      <c r="M1862" s="1509">
        <f t="shared" si="286"/>
        <v>0</v>
      </c>
      <c r="N1862" s="1509">
        <f t="shared" si="287"/>
        <v>0</v>
      </c>
      <c r="O1862" s="1510">
        <f t="shared" si="288"/>
        <v>0</v>
      </c>
      <c r="P1862" s="1453">
        <f t="shared" si="289"/>
        <v>0</v>
      </c>
    </row>
    <row r="1863" spans="1:16" ht="43.5" outlineLevel="1" x14ac:dyDescent="0.25">
      <c r="A1863" s="1511" t="str">
        <f t="shared" si="282"/>
        <v>HO
DPR 8.1</v>
      </c>
      <c r="B1863" s="1512" t="str">
        <f t="shared" si="282"/>
        <v>Advance Multipurpose Fire Tender for Parli 6-7</v>
      </c>
      <c r="C1863" s="1511" t="str">
        <f t="shared" si="282"/>
        <v>MERC/CAPEX/20172018/4653</v>
      </c>
      <c r="D1863" s="1378">
        <f t="shared" si="282"/>
        <v>43052</v>
      </c>
      <c r="E1863" s="1513">
        <f t="shared" si="282"/>
        <v>2.72</v>
      </c>
      <c r="F1863" s="1509">
        <f t="shared" si="283"/>
        <v>1.7765</v>
      </c>
      <c r="G1863" s="1509">
        <f t="shared" si="284"/>
        <v>1.7765</v>
      </c>
      <c r="H1863" s="1509">
        <f t="shared" si="285"/>
        <v>0</v>
      </c>
      <c r="I1863" s="1509">
        <v>0</v>
      </c>
      <c r="J1863" s="1509">
        <v>0</v>
      </c>
      <c r="K1863" s="1509"/>
      <c r="L1863" s="1509"/>
      <c r="M1863" s="1509">
        <f t="shared" si="286"/>
        <v>0</v>
      </c>
      <c r="N1863" s="1509">
        <f t="shared" si="287"/>
        <v>0</v>
      </c>
      <c r="O1863" s="1510">
        <f t="shared" si="288"/>
        <v>0</v>
      </c>
      <c r="P1863" s="1453">
        <f t="shared" si="289"/>
        <v>0</v>
      </c>
    </row>
    <row r="1864" spans="1:16" ht="43.5" outlineLevel="1" x14ac:dyDescent="0.25">
      <c r="A1864" s="1511" t="str">
        <f t="shared" si="282"/>
        <v>HO
DPR 8.2</v>
      </c>
      <c r="B1864" s="1512" t="str">
        <f t="shared" si="282"/>
        <v>Normal Multipurpose Fire Tender Parli 6-7</v>
      </c>
      <c r="C1864" s="1511" t="str">
        <f t="shared" si="282"/>
        <v>MERC/CAPEX/20172018/4653</v>
      </c>
      <c r="D1864" s="1378">
        <f t="shared" si="282"/>
        <v>43052</v>
      </c>
      <c r="E1864" s="1513">
        <f t="shared" si="282"/>
        <v>1.25</v>
      </c>
      <c r="F1864" s="1509">
        <f t="shared" si="283"/>
        <v>0</v>
      </c>
      <c r="G1864" s="1509">
        <f t="shared" si="284"/>
        <v>0</v>
      </c>
      <c r="H1864" s="1509">
        <f t="shared" si="285"/>
        <v>0</v>
      </c>
      <c r="I1864" s="1509">
        <v>0</v>
      </c>
      <c r="J1864" s="1509">
        <v>0</v>
      </c>
      <c r="K1864" s="1509"/>
      <c r="L1864" s="1509"/>
      <c r="M1864" s="1509">
        <f t="shared" si="286"/>
        <v>0</v>
      </c>
      <c r="N1864" s="1509">
        <f t="shared" si="287"/>
        <v>0</v>
      </c>
      <c r="O1864" s="1510">
        <f t="shared" si="288"/>
        <v>0</v>
      </c>
      <c r="P1864" s="1453">
        <f t="shared" si="289"/>
        <v>0</v>
      </c>
    </row>
    <row r="1865" spans="1:16" outlineLevel="1" x14ac:dyDescent="0.25">
      <c r="A1865" s="1511">
        <f t="shared" si="282"/>
        <v>0</v>
      </c>
      <c r="B1865" s="1512" t="str">
        <f t="shared" si="282"/>
        <v>IDC</v>
      </c>
      <c r="C1865" s="1511" t="str">
        <f t="shared" si="282"/>
        <v>MERC/CAPEX/20172018/4653</v>
      </c>
      <c r="D1865" s="1378">
        <f t="shared" si="282"/>
        <v>43052</v>
      </c>
      <c r="E1865" s="1513">
        <f t="shared" si="282"/>
        <v>0</v>
      </c>
      <c r="F1865" s="1509">
        <f t="shared" si="283"/>
        <v>0</v>
      </c>
      <c r="G1865" s="1509">
        <f t="shared" si="284"/>
        <v>0</v>
      </c>
      <c r="H1865" s="1509">
        <f t="shared" si="285"/>
        <v>0</v>
      </c>
      <c r="I1865" s="1509">
        <v>0</v>
      </c>
      <c r="J1865" s="1509">
        <v>0</v>
      </c>
      <c r="K1865" s="1509"/>
      <c r="L1865" s="1509"/>
      <c r="M1865" s="1509">
        <f t="shared" si="286"/>
        <v>0</v>
      </c>
      <c r="N1865" s="1509">
        <f t="shared" si="287"/>
        <v>0</v>
      </c>
      <c r="O1865" s="1510">
        <f t="shared" si="288"/>
        <v>0</v>
      </c>
      <c r="P1865" s="1453">
        <f t="shared" si="289"/>
        <v>0</v>
      </c>
    </row>
    <row r="1866" spans="1:16" ht="43.5" outlineLevel="1" x14ac:dyDescent="0.25">
      <c r="A1866" s="1506" t="str">
        <f t="shared" si="282"/>
        <v>HO
DPR 10</v>
      </c>
      <c r="B1866" s="1507" t="str">
        <f t="shared" si="282"/>
        <v>Implementation of IB recommendations- Civil works at various TPS of Mahagenco</v>
      </c>
      <c r="C1866" s="1506" t="str">
        <f t="shared" si="282"/>
        <v>MERC/CAPEX/20172018/0177</v>
      </c>
      <c r="D1866" s="1508">
        <f t="shared" si="282"/>
        <v>43137</v>
      </c>
      <c r="E1866" s="1509">
        <f t="shared" si="282"/>
        <v>2.36</v>
      </c>
      <c r="F1866" s="1509">
        <f t="shared" si="283"/>
        <v>0</v>
      </c>
      <c r="G1866" s="1509">
        <f t="shared" si="284"/>
        <v>0</v>
      </c>
      <c r="H1866" s="1509">
        <f t="shared" si="285"/>
        <v>0</v>
      </c>
      <c r="I1866" s="1509">
        <v>0</v>
      </c>
      <c r="J1866" s="1509">
        <v>0</v>
      </c>
      <c r="K1866" s="1509"/>
      <c r="L1866" s="1509"/>
      <c r="M1866" s="1509">
        <f t="shared" si="286"/>
        <v>0</v>
      </c>
      <c r="N1866" s="1509">
        <f t="shared" si="287"/>
        <v>0</v>
      </c>
      <c r="O1866" s="1510">
        <f t="shared" si="288"/>
        <v>0</v>
      </c>
      <c r="P1866" s="1453">
        <f t="shared" si="289"/>
        <v>0</v>
      </c>
    </row>
    <row r="1867" spans="1:16" ht="43.5" outlineLevel="1" x14ac:dyDescent="0.25">
      <c r="A1867" s="1511" t="str">
        <f t="shared" si="282"/>
        <v>HO
DPR 10a</v>
      </c>
      <c r="B1867" s="1512" t="str">
        <f t="shared" si="282"/>
        <v>NEW PARLI (U-6 &amp; 7)</v>
      </c>
      <c r="C1867" s="1511" t="str">
        <f t="shared" si="282"/>
        <v>MERC/CAPEX/20172018/0177</v>
      </c>
      <c r="D1867" s="1378">
        <f t="shared" si="282"/>
        <v>43137</v>
      </c>
      <c r="E1867" s="1513">
        <f t="shared" si="282"/>
        <v>2.36</v>
      </c>
      <c r="F1867" s="1509">
        <f t="shared" si="283"/>
        <v>2.584952667</v>
      </c>
      <c r="G1867" s="1509">
        <f t="shared" si="284"/>
        <v>2.584952667</v>
      </c>
      <c r="H1867" s="1509">
        <f t="shared" si="285"/>
        <v>0</v>
      </c>
      <c r="I1867" s="1509">
        <v>0</v>
      </c>
      <c r="J1867" s="1509">
        <v>0</v>
      </c>
      <c r="K1867" s="1509"/>
      <c r="L1867" s="1509"/>
      <c r="M1867" s="1509">
        <f t="shared" si="286"/>
        <v>0</v>
      </c>
      <c r="N1867" s="1509">
        <f t="shared" si="287"/>
        <v>0</v>
      </c>
      <c r="O1867" s="1510">
        <f t="shared" si="288"/>
        <v>0</v>
      </c>
      <c r="P1867" s="1453">
        <f t="shared" si="289"/>
        <v>0</v>
      </c>
    </row>
    <row r="1868" spans="1:16" ht="43.5" outlineLevel="1" x14ac:dyDescent="0.25">
      <c r="A1868" s="1506" t="str">
        <f t="shared" si="282"/>
        <v>HO
DPR 15</v>
      </c>
      <c r="B1868" s="1507" t="str">
        <f t="shared" si="282"/>
        <v>Procurement &amp; Replacement of Complete Sets of Air Pre-heater Baskets at Nashik, Parli &amp; Chandrapur TPS of Mahagenco</v>
      </c>
      <c r="C1868" s="1506" t="str">
        <f t="shared" si="282"/>
        <v>MERC/CAPEX/2019-2020/643</v>
      </c>
      <c r="D1868" s="1508">
        <f t="shared" si="282"/>
        <v>43703</v>
      </c>
      <c r="E1868" s="1509">
        <f t="shared" si="282"/>
        <v>2.12</v>
      </c>
      <c r="F1868" s="1509">
        <f t="shared" si="283"/>
        <v>0</v>
      </c>
      <c r="G1868" s="1509">
        <f t="shared" si="284"/>
        <v>0</v>
      </c>
      <c r="H1868" s="1509">
        <f t="shared" si="285"/>
        <v>0</v>
      </c>
      <c r="I1868" s="1509">
        <v>0</v>
      </c>
      <c r="J1868" s="1509">
        <v>0</v>
      </c>
      <c r="K1868" s="1509"/>
      <c r="L1868" s="1509"/>
      <c r="M1868" s="1509">
        <f t="shared" si="286"/>
        <v>0</v>
      </c>
      <c r="N1868" s="1509">
        <f t="shared" si="287"/>
        <v>0</v>
      </c>
      <c r="O1868" s="1510">
        <f t="shared" si="288"/>
        <v>0</v>
      </c>
      <c r="P1868" s="1453">
        <f t="shared" si="289"/>
        <v>0</v>
      </c>
    </row>
    <row r="1869" spans="1:16" ht="43.5" outlineLevel="1" x14ac:dyDescent="0.25">
      <c r="A1869" s="1511" t="str">
        <f t="shared" si="282"/>
        <v>HO
DPR 15a</v>
      </c>
      <c r="B1869" s="1512" t="str">
        <f t="shared" si="282"/>
        <v>Procurement and Replacement of Complete sets of assembly of baskets for air preheater of type tri-sector APH 27 VI(T) 74” in NTPS unit no. 4 &amp; 5 (210MW). (2 Sets Per Unit)</v>
      </c>
      <c r="C1869" s="1511" t="str">
        <f t="shared" si="282"/>
        <v>MERC/CAPEX/2019-2020/643</v>
      </c>
      <c r="D1869" s="1378">
        <f t="shared" si="282"/>
        <v>43703</v>
      </c>
      <c r="E1869" s="1513">
        <f t="shared" si="282"/>
        <v>2.12</v>
      </c>
      <c r="F1869" s="1509">
        <f t="shared" si="283"/>
        <v>2.4580069300000003</v>
      </c>
      <c r="G1869" s="1509">
        <f t="shared" si="284"/>
        <v>2.4580069300000003</v>
      </c>
      <c r="H1869" s="1509">
        <f t="shared" si="285"/>
        <v>0</v>
      </c>
      <c r="I1869" s="1509">
        <v>0</v>
      </c>
      <c r="J1869" s="1509">
        <v>0</v>
      </c>
      <c r="K1869" s="1509"/>
      <c r="L1869" s="1509"/>
      <c r="M1869" s="1509">
        <f t="shared" si="286"/>
        <v>0</v>
      </c>
      <c r="N1869" s="1509">
        <f t="shared" si="287"/>
        <v>0</v>
      </c>
      <c r="O1869" s="1510">
        <f t="shared" si="288"/>
        <v>0</v>
      </c>
      <c r="P1869" s="1453">
        <f t="shared" si="289"/>
        <v>0</v>
      </c>
    </row>
    <row r="1870" spans="1:16" ht="43.5" outlineLevel="1" x14ac:dyDescent="0.25">
      <c r="A1870" s="1511" t="str">
        <f t="shared" si="282"/>
        <v>HO
DPR 16</v>
      </c>
      <c r="B1870" s="1512" t="str">
        <f t="shared" si="282"/>
        <v>Construction of new Administrative Building for Mahagenco at Vidyut Bhawan, Katol Road, Nagpur</v>
      </c>
      <c r="C1870" s="1511" t="str">
        <f t="shared" si="282"/>
        <v>MERC/CAPEX/2021-2022/MSPGCL/063</v>
      </c>
      <c r="D1870" s="1378">
        <f t="shared" si="282"/>
        <v>44604</v>
      </c>
      <c r="E1870" s="1513">
        <f t="shared" si="282"/>
        <v>57</v>
      </c>
      <c r="F1870" s="1509">
        <f t="shared" si="283"/>
        <v>0</v>
      </c>
      <c r="G1870" s="1509">
        <f t="shared" si="284"/>
        <v>0</v>
      </c>
      <c r="H1870" s="1509">
        <f t="shared" si="285"/>
        <v>0</v>
      </c>
      <c r="I1870" s="1509">
        <v>0</v>
      </c>
      <c r="J1870" s="1509">
        <v>0</v>
      </c>
      <c r="K1870" s="1509"/>
      <c r="L1870" s="1509"/>
      <c r="M1870" s="1509">
        <f t="shared" si="286"/>
        <v>0</v>
      </c>
      <c r="N1870" s="1509">
        <f t="shared" si="287"/>
        <v>0</v>
      </c>
      <c r="O1870" s="1510"/>
      <c r="P1870" s="1453"/>
    </row>
    <row r="1871" spans="1:16" ht="43.5" outlineLevel="1" x14ac:dyDescent="0.25">
      <c r="A1871" s="1511" t="str">
        <f t="shared" si="282"/>
        <v>HO
DPR 16.1</v>
      </c>
      <c r="B1871" s="1512" t="str">
        <f t="shared" si="282"/>
        <v>Construction of new Administrative Building for Mahagenco at Vidyut Bhawan, Katol Road, Nagpur</v>
      </c>
      <c r="C1871" s="1511" t="str">
        <f t="shared" si="282"/>
        <v>MERC/CAPEX/2021-2022/MSPGCL/063</v>
      </c>
      <c r="D1871" s="1378">
        <f t="shared" si="282"/>
        <v>44604</v>
      </c>
      <c r="E1871" s="1513">
        <f t="shared" si="282"/>
        <v>54.24</v>
      </c>
      <c r="F1871" s="1509">
        <f t="shared" si="283"/>
        <v>0</v>
      </c>
      <c r="G1871" s="1509">
        <f t="shared" si="284"/>
        <v>0</v>
      </c>
      <c r="H1871" s="1509">
        <f t="shared" si="285"/>
        <v>0</v>
      </c>
      <c r="I1871" s="1509">
        <v>0</v>
      </c>
      <c r="J1871" s="1509">
        <v>0</v>
      </c>
      <c r="K1871" s="1509"/>
      <c r="L1871" s="1509"/>
      <c r="M1871" s="1509">
        <f t="shared" si="286"/>
        <v>0</v>
      </c>
      <c r="N1871" s="1509">
        <f t="shared" si="287"/>
        <v>0</v>
      </c>
      <c r="O1871" s="1510"/>
      <c r="P1871" s="1453"/>
    </row>
    <row r="1872" spans="1:16" outlineLevel="1" x14ac:dyDescent="0.25">
      <c r="A1872" s="1511">
        <f t="shared" si="282"/>
        <v>0</v>
      </c>
      <c r="B1872" s="1512" t="str">
        <f t="shared" si="282"/>
        <v>IDC</v>
      </c>
      <c r="C1872" s="1511" t="str">
        <f t="shared" si="282"/>
        <v>MERC/CAPEX/2021-2022/MSPGCL/063</v>
      </c>
      <c r="D1872" s="1378">
        <f t="shared" si="282"/>
        <v>44604</v>
      </c>
      <c r="E1872" s="1513">
        <f t="shared" si="282"/>
        <v>2.76</v>
      </c>
      <c r="F1872" s="1509">
        <f t="shared" si="283"/>
        <v>0</v>
      </c>
      <c r="G1872" s="1509">
        <f t="shared" si="284"/>
        <v>0</v>
      </c>
      <c r="H1872" s="1509">
        <f t="shared" si="285"/>
        <v>0</v>
      </c>
      <c r="I1872" s="1509">
        <v>0</v>
      </c>
      <c r="J1872" s="1509">
        <v>0</v>
      </c>
      <c r="K1872" s="1509"/>
      <c r="L1872" s="1509"/>
      <c r="M1872" s="1509">
        <f t="shared" si="286"/>
        <v>0</v>
      </c>
      <c r="N1872" s="1509">
        <f t="shared" si="287"/>
        <v>0</v>
      </c>
      <c r="O1872" s="1510"/>
      <c r="P1872" s="1453"/>
    </row>
    <row r="1873" spans="1:16" ht="43.5" outlineLevel="1" x14ac:dyDescent="0.25">
      <c r="A1873" s="1511" t="str">
        <f t="shared" si="282"/>
        <v>HO
DPR 17</v>
      </c>
      <c r="B1873" s="1512" t="str">
        <f t="shared" si="282"/>
        <v>Centralized Monitoring Solution</v>
      </c>
      <c r="C1873" s="1511" t="str">
        <f t="shared" si="282"/>
        <v>MERC/CAPEX/MSPGCL/2023-24/0576</v>
      </c>
      <c r="D1873" s="1378">
        <f t="shared" si="282"/>
        <v>45232</v>
      </c>
      <c r="E1873" s="1513">
        <f t="shared" si="282"/>
        <v>69.308999999999997</v>
      </c>
      <c r="F1873" s="1509">
        <f t="shared" si="283"/>
        <v>0</v>
      </c>
      <c r="G1873" s="1509">
        <f t="shared" si="284"/>
        <v>0</v>
      </c>
      <c r="H1873" s="1509">
        <f t="shared" si="285"/>
        <v>0</v>
      </c>
      <c r="I1873" s="1509">
        <v>0</v>
      </c>
      <c r="J1873" s="1509">
        <v>0</v>
      </c>
      <c r="K1873" s="1509"/>
      <c r="L1873" s="1509"/>
      <c r="M1873" s="1509">
        <f t="shared" si="286"/>
        <v>0</v>
      </c>
      <c r="N1873" s="1509">
        <f t="shared" si="287"/>
        <v>0</v>
      </c>
      <c r="O1873" s="1510"/>
      <c r="P1873" s="1453"/>
    </row>
    <row r="1874" spans="1:16" ht="43.5" outlineLevel="1" x14ac:dyDescent="0.25">
      <c r="A1874" s="1511" t="str">
        <f t="shared" si="282"/>
        <v>HO
DPR 17.1</v>
      </c>
      <c r="B1874" s="1512" t="str">
        <f t="shared" si="282"/>
        <v>Centralized Monitoring Solution</v>
      </c>
      <c r="C1874" s="1511" t="str">
        <f t="shared" si="282"/>
        <v>MERC/CAPEX/MSPGCL/2023-24/0576</v>
      </c>
      <c r="D1874" s="1378">
        <f t="shared" si="282"/>
        <v>45232</v>
      </c>
      <c r="E1874" s="1513">
        <f t="shared" si="282"/>
        <v>66.009</v>
      </c>
      <c r="F1874" s="1509">
        <f t="shared" si="283"/>
        <v>4.46</v>
      </c>
      <c r="G1874" s="1509">
        <f t="shared" si="284"/>
        <v>4.46</v>
      </c>
      <c r="H1874" s="1509">
        <f t="shared" si="285"/>
        <v>0</v>
      </c>
      <c r="I1874" s="1509">
        <v>0</v>
      </c>
      <c r="J1874" s="1509">
        <v>0</v>
      </c>
      <c r="K1874" s="1509"/>
      <c r="L1874" s="1509"/>
      <c r="M1874" s="1509">
        <f t="shared" si="286"/>
        <v>0</v>
      </c>
      <c r="N1874" s="1509">
        <f t="shared" si="287"/>
        <v>0</v>
      </c>
      <c r="O1874" s="1510"/>
      <c r="P1874" s="1453"/>
    </row>
    <row r="1875" spans="1:16" outlineLevel="1" x14ac:dyDescent="0.25">
      <c r="A1875" s="1511">
        <f t="shared" ref="A1875:E1890" si="290">A1518</f>
        <v>0</v>
      </c>
      <c r="B1875" s="1512" t="str">
        <f t="shared" si="290"/>
        <v>IDC</v>
      </c>
      <c r="C1875" s="1511" t="str">
        <f t="shared" si="290"/>
        <v>MERC/CAPEX/MSPGCL/2023-24/0576</v>
      </c>
      <c r="D1875" s="1378">
        <f t="shared" si="290"/>
        <v>45232</v>
      </c>
      <c r="E1875" s="1513">
        <f t="shared" si="290"/>
        <v>3.3</v>
      </c>
      <c r="F1875" s="1509">
        <f t="shared" si="283"/>
        <v>0</v>
      </c>
      <c r="G1875" s="1509">
        <f t="shared" si="284"/>
        <v>0</v>
      </c>
      <c r="H1875" s="1509">
        <f t="shared" si="285"/>
        <v>0</v>
      </c>
      <c r="I1875" s="1509">
        <v>0</v>
      </c>
      <c r="J1875" s="1509">
        <v>0</v>
      </c>
      <c r="K1875" s="1509"/>
      <c r="L1875" s="1509"/>
      <c r="M1875" s="1509">
        <f t="shared" si="286"/>
        <v>0</v>
      </c>
      <c r="N1875" s="1509">
        <f t="shared" si="287"/>
        <v>0</v>
      </c>
      <c r="O1875" s="1510"/>
      <c r="P1875" s="1453"/>
    </row>
    <row r="1876" spans="1:16" ht="29" outlineLevel="1" x14ac:dyDescent="0.25">
      <c r="A1876" s="1506">
        <f t="shared" si="290"/>
        <v>23</v>
      </c>
      <c r="B1876" s="1507" t="str">
        <f t="shared" si="290"/>
        <v>Coal Handling Plant Environment Improvement Schemes at U-6&amp;7 CHP (2X250MW) Parli TPS</v>
      </c>
      <c r="C1876" s="1506" t="str">
        <f t="shared" si="290"/>
        <v>Yet to be approve</v>
      </c>
      <c r="D1876" s="1378" t="str">
        <f t="shared" si="290"/>
        <v>-</v>
      </c>
      <c r="E1876" s="1513">
        <f t="shared" si="290"/>
        <v>0</v>
      </c>
      <c r="F1876" s="1509">
        <f t="shared" si="283"/>
        <v>0</v>
      </c>
      <c r="G1876" s="1509">
        <f t="shared" si="284"/>
        <v>0</v>
      </c>
      <c r="H1876" s="1509">
        <f t="shared" si="285"/>
        <v>0</v>
      </c>
      <c r="I1876" s="1509">
        <v>0</v>
      </c>
      <c r="J1876" s="1509">
        <v>0</v>
      </c>
      <c r="K1876" s="1509"/>
      <c r="L1876" s="1509"/>
      <c r="M1876" s="1509">
        <f t="shared" si="286"/>
        <v>0</v>
      </c>
      <c r="N1876" s="1509">
        <f t="shared" si="287"/>
        <v>0</v>
      </c>
      <c r="O1876" s="1510">
        <f t="shared" ref="O1876:O1884" si="291">MAX(0,IF(M1876=0,0,IF(G1876+M1876&lt;E1876,M1876,E1876-G1876)))</f>
        <v>0</v>
      </c>
      <c r="P1876" s="1453">
        <f t="shared" ref="P1876:P1884" si="292">M1876-O1876</f>
        <v>0</v>
      </c>
    </row>
    <row r="1877" spans="1:16" ht="43.5" outlineLevel="1" x14ac:dyDescent="0.25">
      <c r="A1877" s="1511">
        <f t="shared" si="290"/>
        <v>23.1</v>
      </c>
      <c r="B1877" s="1515" t="str">
        <f t="shared" si="290"/>
        <v>Scheme-1: Design, Engineering, Manufacturing, Supply, Installation and Commissioning of Dedusting System ( Dust Extraction System) for Crusher House and Bunker House at  Unit -6 &amp; 7 at CHP Parli  TPS.</v>
      </c>
      <c r="C1877" s="1511" t="str">
        <f t="shared" si="290"/>
        <v>Yet to be approve</v>
      </c>
      <c r="D1877" s="1378" t="str">
        <f t="shared" si="290"/>
        <v>-</v>
      </c>
      <c r="E1877" s="1513">
        <f t="shared" si="290"/>
        <v>0</v>
      </c>
      <c r="F1877" s="1509">
        <f t="shared" si="283"/>
        <v>12.96</v>
      </c>
      <c r="G1877" s="1509">
        <f t="shared" si="284"/>
        <v>12.96</v>
      </c>
      <c r="H1877" s="1509">
        <f t="shared" si="285"/>
        <v>0</v>
      </c>
      <c r="I1877" s="1509">
        <v>0</v>
      </c>
      <c r="J1877" s="1509">
        <v>0</v>
      </c>
      <c r="K1877" s="1509"/>
      <c r="L1877" s="1509"/>
      <c r="M1877" s="1509">
        <f t="shared" si="286"/>
        <v>0</v>
      </c>
      <c r="N1877" s="1509">
        <f t="shared" si="287"/>
        <v>0</v>
      </c>
      <c r="O1877" s="1510">
        <f t="shared" si="291"/>
        <v>0</v>
      </c>
      <c r="P1877" s="1453">
        <f t="shared" si="292"/>
        <v>0</v>
      </c>
    </row>
    <row r="1878" spans="1:16" ht="43.5" outlineLevel="1" x14ac:dyDescent="0.25">
      <c r="A1878" s="1511">
        <f t="shared" si="290"/>
        <v>23.2</v>
      </c>
      <c r="B1878" s="1515" t="str">
        <f t="shared" si="290"/>
        <v>Scheme-2: Supply, Installation, Erection &amp; Commissioning of medium velocity water spray dust suppression system at CHP U-6/7 coal yard Crusher house &amp; Link Conveyor at Parli TPS.</v>
      </c>
      <c r="C1878" s="1511" t="str">
        <f t="shared" si="290"/>
        <v>Yet to be approve</v>
      </c>
      <c r="D1878" s="1378" t="str">
        <f t="shared" si="290"/>
        <v>-</v>
      </c>
      <c r="E1878" s="1513">
        <f t="shared" si="290"/>
        <v>0</v>
      </c>
      <c r="F1878" s="1509">
        <f t="shared" si="283"/>
        <v>3.52</v>
      </c>
      <c r="G1878" s="1509">
        <f t="shared" si="284"/>
        <v>3.52</v>
      </c>
      <c r="H1878" s="1509">
        <f t="shared" si="285"/>
        <v>0</v>
      </c>
      <c r="I1878" s="1509">
        <v>0</v>
      </c>
      <c r="J1878" s="1509">
        <v>0</v>
      </c>
      <c r="K1878" s="1509"/>
      <c r="L1878" s="1509"/>
      <c r="M1878" s="1509">
        <f t="shared" si="286"/>
        <v>0</v>
      </c>
      <c r="N1878" s="1509">
        <f t="shared" si="287"/>
        <v>0</v>
      </c>
      <c r="O1878" s="1510">
        <f t="shared" si="291"/>
        <v>0</v>
      </c>
      <c r="P1878" s="1453">
        <f t="shared" si="292"/>
        <v>0</v>
      </c>
    </row>
    <row r="1879" spans="1:16" ht="58" outlineLevel="1" x14ac:dyDescent="0.25">
      <c r="A1879" s="1511">
        <f t="shared" si="290"/>
        <v>23.3</v>
      </c>
      <c r="B1879" s="1515" t="str">
        <f t="shared" si="290"/>
        <v>Scheme-3: Supply, Installation, Commissioning of Fire Hydrant &amp; Spray line above ground around  stacker yard and crusher house, wagon tippler through conveyor belt with DV &amp; DV Shed at CHP U-6/7.</v>
      </c>
      <c r="C1879" s="1506" t="str">
        <f t="shared" si="290"/>
        <v>Yet to be approve</v>
      </c>
      <c r="D1879" s="1378" t="str">
        <f t="shared" si="290"/>
        <v>-</v>
      </c>
      <c r="E1879" s="1513">
        <f t="shared" si="290"/>
        <v>0</v>
      </c>
      <c r="F1879" s="1509">
        <f t="shared" si="283"/>
        <v>3.54</v>
      </c>
      <c r="G1879" s="1509">
        <f t="shared" si="284"/>
        <v>3.54</v>
      </c>
      <c r="H1879" s="1509">
        <f t="shared" si="285"/>
        <v>0</v>
      </c>
      <c r="I1879" s="1509">
        <v>0</v>
      </c>
      <c r="J1879" s="1509">
        <v>0</v>
      </c>
      <c r="K1879" s="1509"/>
      <c r="L1879" s="1509"/>
      <c r="M1879" s="1509">
        <f t="shared" si="286"/>
        <v>0</v>
      </c>
      <c r="N1879" s="1509">
        <f t="shared" si="287"/>
        <v>0</v>
      </c>
      <c r="O1879" s="1510">
        <f t="shared" si="291"/>
        <v>0</v>
      </c>
      <c r="P1879" s="1453">
        <f t="shared" si="292"/>
        <v>0</v>
      </c>
    </row>
    <row r="1880" spans="1:16" ht="43.5" outlineLevel="1" x14ac:dyDescent="0.25">
      <c r="A1880" s="1511">
        <f t="shared" si="290"/>
        <v>23.4</v>
      </c>
      <c r="B1880" s="1515" t="str">
        <f t="shared" si="290"/>
        <v>Scheme-4: Design, Manufacturing, Supply, Erection and Commissioning of DRY FOG Dust Suppression system at Wagon Tippler, Conveyor Belt Transfer point at U-6/7 CHP Parli TPS.</v>
      </c>
      <c r="C1880" s="1511" t="str">
        <f t="shared" si="290"/>
        <v>Yet to be approve</v>
      </c>
      <c r="D1880" s="1378" t="str">
        <f t="shared" si="290"/>
        <v>-</v>
      </c>
      <c r="E1880" s="1513">
        <f t="shared" si="290"/>
        <v>0</v>
      </c>
      <c r="F1880" s="1509">
        <f t="shared" si="283"/>
        <v>7</v>
      </c>
      <c r="G1880" s="1509">
        <f t="shared" si="284"/>
        <v>7</v>
      </c>
      <c r="H1880" s="1509">
        <f t="shared" si="285"/>
        <v>0</v>
      </c>
      <c r="I1880" s="1509">
        <v>0</v>
      </c>
      <c r="J1880" s="1509">
        <v>0</v>
      </c>
      <c r="K1880" s="1509"/>
      <c r="L1880" s="1509"/>
      <c r="M1880" s="1509">
        <f t="shared" si="286"/>
        <v>0</v>
      </c>
      <c r="N1880" s="1509">
        <f t="shared" si="287"/>
        <v>0</v>
      </c>
      <c r="O1880" s="1510">
        <f t="shared" si="291"/>
        <v>0</v>
      </c>
      <c r="P1880" s="1453">
        <f t="shared" si="292"/>
        <v>0</v>
      </c>
    </row>
    <row r="1881" spans="1:16" outlineLevel="1" x14ac:dyDescent="0.25">
      <c r="A1881" s="1511">
        <f t="shared" si="290"/>
        <v>0</v>
      </c>
      <c r="B1881" s="1515" t="str">
        <f t="shared" si="290"/>
        <v>IDC</v>
      </c>
      <c r="C1881" s="1396" t="str">
        <f t="shared" si="290"/>
        <v>Yet to be approve</v>
      </c>
      <c r="D1881" s="1378" t="str">
        <f t="shared" si="290"/>
        <v>-</v>
      </c>
      <c r="E1881" s="1513">
        <f t="shared" si="290"/>
        <v>0</v>
      </c>
      <c r="F1881" s="1509">
        <f t="shared" si="283"/>
        <v>0</v>
      </c>
      <c r="G1881" s="1509">
        <f t="shared" si="284"/>
        <v>0</v>
      </c>
      <c r="H1881" s="1509">
        <f t="shared" si="285"/>
        <v>0</v>
      </c>
      <c r="I1881" s="1509">
        <v>0</v>
      </c>
      <c r="J1881" s="1509">
        <v>0</v>
      </c>
      <c r="K1881" s="1509"/>
      <c r="L1881" s="1509"/>
      <c r="M1881" s="1509">
        <f t="shared" si="286"/>
        <v>0</v>
      </c>
      <c r="N1881" s="1509">
        <f t="shared" si="287"/>
        <v>0</v>
      </c>
      <c r="O1881" s="1510">
        <f t="shared" si="291"/>
        <v>0</v>
      </c>
      <c r="P1881" s="1453">
        <f t="shared" si="292"/>
        <v>0</v>
      </c>
    </row>
    <row r="1882" spans="1:16" ht="29" outlineLevel="1" x14ac:dyDescent="0.25">
      <c r="A1882" s="1506">
        <f t="shared" si="290"/>
        <v>24</v>
      </c>
      <c r="B1882" s="1507" t="str">
        <f t="shared" si="290"/>
        <v>Coal Mill Performance Improvement Schemes at U-6 &amp; 7 (2 x 250 MW) Parli TPS</v>
      </c>
      <c r="C1882" s="1506" t="str">
        <f t="shared" si="290"/>
        <v>Yet to be approve</v>
      </c>
      <c r="D1882" s="1378" t="str">
        <f t="shared" si="290"/>
        <v>-</v>
      </c>
      <c r="E1882" s="1513">
        <f t="shared" si="290"/>
        <v>0</v>
      </c>
      <c r="F1882" s="1509">
        <f t="shared" si="283"/>
        <v>0</v>
      </c>
      <c r="G1882" s="1509">
        <f t="shared" si="284"/>
        <v>0</v>
      </c>
      <c r="H1882" s="1509">
        <f t="shared" si="285"/>
        <v>0</v>
      </c>
      <c r="I1882" s="1509">
        <v>0</v>
      </c>
      <c r="J1882" s="1509">
        <v>0</v>
      </c>
      <c r="K1882" s="1509"/>
      <c r="L1882" s="1509"/>
      <c r="M1882" s="1509">
        <f t="shared" si="286"/>
        <v>0</v>
      </c>
      <c r="N1882" s="1509">
        <f t="shared" si="287"/>
        <v>0</v>
      </c>
      <c r="O1882" s="1510">
        <f t="shared" si="291"/>
        <v>0</v>
      </c>
      <c r="P1882" s="1453">
        <f t="shared" si="292"/>
        <v>0</v>
      </c>
    </row>
    <row r="1883" spans="1:16" ht="43.5" outlineLevel="1" x14ac:dyDescent="0.25">
      <c r="A1883" s="1511">
        <f t="shared" si="290"/>
        <v>24.1</v>
      </c>
      <c r="B1883" s="1515" t="str">
        <f t="shared" si="290"/>
        <v xml:space="preserve">Scheme-1: Procurement And Replacement Of Internals For Reducer Gear Box Szn-630 &amp; Sbn-630 for Bbd-4772 Coal Mills Of 250mw At Unit 6,7  Parli </v>
      </c>
      <c r="C1883" s="1396" t="str">
        <f t="shared" si="290"/>
        <v>Yet to be approve</v>
      </c>
      <c r="D1883" s="1378" t="str">
        <f t="shared" si="290"/>
        <v>-</v>
      </c>
      <c r="E1883" s="1513">
        <f t="shared" si="290"/>
        <v>0</v>
      </c>
      <c r="F1883" s="1509">
        <f t="shared" si="283"/>
        <v>6.5</v>
      </c>
      <c r="G1883" s="1509">
        <f t="shared" si="284"/>
        <v>6.5</v>
      </c>
      <c r="H1883" s="1509">
        <f t="shared" si="285"/>
        <v>0</v>
      </c>
      <c r="I1883" s="1509">
        <v>0</v>
      </c>
      <c r="J1883" s="1509">
        <v>0</v>
      </c>
      <c r="K1883" s="1509"/>
      <c r="L1883" s="1509"/>
      <c r="M1883" s="1509">
        <f t="shared" si="286"/>
        <v>0</v>
      </c>
      <c r="N1883" s="1509">
        <f t="shared" si="287"/>
        <v>0</v>
      </c>
      <c r="O1883" s="1510">
        <f t="shared" si="291"/>
        <v>0</v>
      </c>
      <c r="P1883" s="1453">
        <f t="shared" si="292"/>
        <v>0</v>
      </c>
    </row>
    <row r="1884" spans="1:16" ht="43.5" outlineLevel="1" x14ac:dyDescent="0.25">
      <c r="A1884" s="1511">
        <f t="shared" si="290"/>
        <v>24.2</v>
      </c>
      <c r="B1884" s="1515" t="str">
        <f t="shared" si="290"/>
        <v>Scheme-2: Supply, Replacement, Erection And Installation Of Foundation Deck Springs Assembly (Vibration Isolation System) For Bbd-4772 Coal Mill Of For 250mw Unit-6&amp;7 At Parli Tps..</v>
      </c>
      <c r="C1884" s="1396" t="str">
        <f t="shared" si="290"/>
        <v>Yet to be approve</v>
      </c>
      <c r="D1884" s="1378" t="str">
        <f t="shared" si="290"/>
        <v>-</v>
      </c>
      <c r="E1884" s="1513">
        <f t="shared" si="290"/>
        <v>0</v>
      </c>
      <c r="F1884" s="1509">
        <f t="shared" si="283"/>
        <v>4.01</v>
      </c>
      <c r="G1884" s="1509">
        <f t="shared" si="284"/>
        <v>4.01</v>
      </c>
      <c r="H1884" s="1509">
        <f t="shared" si="285"/>
        <v>0</v>
      </c>
      <c r="I1884" s="1509">
        <v>0</v>
      </c>
      <c r="J1884" s="1509">
        <v>0</v>
      </c>
      <c r="K1884" s="1509"/>
      <c r="L1884" s="1509"/>
      <c r="M1884" s="1509">
        <f t="shared" si="286"/>
        <v>0</v>
      </c>
      <c r="N1884" s="1509">
        <f t="shared" si="287"/>
        <v>0</v>
      </c>
      <c r="O1884" s="1510">
        <f t="shared" si="291"/>
        <v>0</v>
      </c>
      <c r="P1884" s="1453">
        <f t="shared" si="292"/>
        <v>0</v>
      </c>
    </row>
    <row r="1885" spans="1:16" ht="29" outlineLevel="1" x14ac:dyDescent="0.25">
      <c r="A1885" s="1511">
        <f t="shared" si="290"/>
        <v>24.3</v>
      </c>
      <c r="B1885" s="1515" t="str">
        <f t="shared" si="290"/>
        <v>Scheme-3: Procurement And Installation of Girth Gear And Pinion Of Coal Mill Bbd-4772 For Unit-6,7 At Parli TPS.</v>
      </c>
      <c r="C1885" s="1396" t="str">
        <f t="shared" si="290"/>
        <v>Yet to be approve</v>
      </c>
      <c r="D1885" s="1378" t="str">
        <f t="shared" si="290"/>
        <v>-</v>
      </c>
      <c r="E1885" s="1513">
        <f t="shared" si="290"/>
        <v>0</v>
      </c>
      <c r="F1885" s="1509">
        <f t="shared" si="283"/>
        <v>14.24</v>
      </c>
      <c r="G1885" s="1509">
        <f t="shared" si="284"/>
        <v>14.24</v>
      </c>
      <c r="H1885" s="1509">
        <f t="shared" si="285"/>
        <v>0</v>
      </c>
      <c r="I1885" s="1509">
        <v>0</v>
      </c>
      <c r="J1885" s="1509">
        <v>0</v>
      </c>
      <c r="K1885" s="1509"/>
      <c r="L1885" s="1509"/>
      <c r="M1885" s="1509">
        <f t="shared" si="286"/>
        <v>0</v>
      </c>
      <c r="N1885" s="1509">
        <f t="shared" si="287"/>
        <v>0</v>
      </c>
    </row>
    <row r="1886" spans="1:16" ht="29" outlineLevel="1" x14ac:dyDescent="0.25">
      <c r="A1886" s="1511">
        <f t="shared" si="290"/>
        <v>24.4</v>
      </c>
      <c r="B1886" s="1515" t="str">
        <f t="shared" si="290"/>
        <v xml:space="preserve">Scheme-4: Procurement And Installation of Drive Shaft Assembly Of Coal Mill BBD-4772 For Unit-6 ,7 At Parli TPS. </v>
      </c>
      <c r="C1886" s="1396" t="str">
        <f t="shared" si="290"/>
        <v>Yet to be approve</v>
      </c>
      <c r="D1886" s="1378" t="str">
        <f t="shared" si="290"/>
        <v>-</v>
      </c>
      <c r="E1886" s="1513">
        <f t="shared" si="290"/>
        <v>0</v>
      </c>
      <c r="F1886" s="1509">
        <f t="shared" si="283"/>
        <v>9.18</v>
      </c>
      <c r="G1886" s="1509">
        <f t="shared" si="284"/>
        <v>9.18</v>
      </c>
      <c r="H1886" s="1509">
        <f t="shared" si="285"/>
        <v>0</v>
      </c>
      <c r="I1886" s="1509">
        <v>0</v>
      </c>
      <c r="J1886" s="1509">
        <v>0</v>
      </c>
      <c r="K1886" s="1509"/>
      <c r="L1886" s="1509"/>
      <c r="M1886" s="1509">
        <f t="shared" si="286"/>
        <v>0</v>
      </c>
      <c r="N1886" s="1509">
        <f t="shared" si="287"/>
        <v>0</v>
      </c>
    </row>
    <row r="1887" spans="1:16" ht="29" outlineLevel="1" x14ac:dyDescent="0.25">
      <c r="A1887" s="1511">
        <f t="shared" si="290"/>
        <v>24.5</v>
      </c>
      <c r="B1887" s="1515" t="str">
        <f t="shared" si="290"/>
        <v>Scheme-5: Procurement And Replacement of  Bearing Shell Liner For Bbd-4772 Coal Mills Of 250mw At Unit 6,7  Parli TPS.</v>
      </c>
      <c r="C1887" s="1396" t="str">
        <f t="shared" si="290"/>
        <v>Yet to be approve</v>
      </c>
      <c r="D1887" s="1378" t="str">
        <f t="shared" si="290"/>
        <v>-</v>
      </c>
      <c r="E1887" s="1513">
        <f t="shared" si="290"/>
        <v>0</v>
      </c>
      <c r="F1887" s="1509">
        <f t="shared" si="283"/>
        <v>8.19</v>
      </c>
      <c r="G1887" s="1509">
        <f t="shared" si="284"/>
        <v>8.19</v>
      </c>
      <c r="H1887" s="1509">
        <f t="shared" si="285"/>
        <v>0</v>
      </c>
      <c r="I1887" s="1509">
        <v>0</v>
      </c>
      <c r="J1887" s="1509">
        <v>0</v>
      </c>
      <c r="K1887" s="1509"/>
      <c r="L1887" s="1509"/>
      <c r="M1887" s="1509">
        <f t="shared" si="286"/>
        <v>0</v>
      </c>
      <c r="N1887" s="1509">
        <f t="shared" si="287"/>
        <v>0</v>
      </c>
    </row>
    <row r="1888" spans="1:16" outlineLevel="1" x14ac:dyDescent="0.25">
      <c r="A1888" s="1511">
        <f t="shared" si="290"/>
        <v>0</v>
      </c>
      <c r="B1888" s="1515" t="str">
        <f t="shared" si="290"/>
        <v>IDC</v>
      </c>
      <c r="C1888" s="1396" t="str">
        <f t="shared" si="290"/>
        <v>Yet to be approve</v>
      </c>
      <c r="D1888" s="1378" t="str">
        <f t="shared" si="290"/>
        <v>-</v>
      </c>
      <c r="E1888" s="1513">
        <f t="shared" si="290"/>
        <v>0</v>
      </c>
      <c r="F1888" s="1509">
        <f t="shared" si="283"/>
        <v>2</v>
      </c>
      <c r="G1888" s="1509">
        <f t="shared" si="284"/>
        <v>2</v>
      </c>
      <c r="H1888" s="1509">
        <f t="shared" si="285"/>
        <v>0</v>
      </c>
      <c r="I1888" s="1509">
        <v>0</v>
      </c>
      <c r="J1888" s="1509">
        <v>0</v>
      </c>
      <c r="K1888" s="1509"/>
      <c r="L1888" s="1509"/>
      <c r="M1888" s="1509">
        <f t="shared" si="286"/>
        <v>0</v>
      </c>
      <c r="N1888" s="1509">
        <f t="shared" si="287"/>
        <v>0</v>
      </c>
    </row>
    <row r="1889" spans="1:16" outlineLevel="1" x14ac:dyDescent="0.25">
      <c r="A1889" s="1506">
        <f t="shared" si="290"/>
        <v>25</v>
      </c>
      <c r="B1889" s="1507" t="str">
        <f t="shared" si="290"/>
        <v>Administrative building</v>
      </c>
      <c r="C1889" s="1506" t="str">
        <f t="shared" si="290"/>
        <v>Yet to be approved</v>
      </c>
      <c r="D1889" s="1378" t="str">
        <f t="shared" si="290"/>
        <v>-</v>
      </c>
      <c r="E1889" s="1513">
        <f t="shared" si="290"/>
        <v>0</v>
      </c>
      <c r="F1889" s="1509">
        <f t="shared" si="283"/>
        <v>0</v>
      </c>
      <c r="G1889" s="1509">
        <f t="shared" si="284"/>
        <v>0</v>
      </c>
      <c r="H1889" s="1509">
        <f t="shared" si="285"/>
        <v>0</v>
      </c>
      <c r="I1889" s="1509">
        <v>0</v>
      </c>
      <c r="J1889" s="1509">
        <v>0</v>
      </c>
      <c r="K1889" s="1509"/>
      <c r="L1889" s="1509"/>
      <c r="M1889" s="1509">
        <f t="shared" si="286"/>
        <v>0</v>
      </c>
      <c r="N1889" s="1509">
        <f t="shared" si="287"/>
        <v>0</v>
      </c>
      <c r="O1889" s="1510"/>
      <c r="P1889" s="1453"/>
    </row>
    <row r="1890" spans="1:16" outlineLevel="1" x14ac:dyDescent="0.25">
      <c r="A1890" s="1511">
        <f t="shared" si="290"/>
        <v>25.1</v>
      </c>
      <c r="B1890" s="1515" t="str">
        <f t="shared" si="290"/>
        <v>Administrative building</v>
      </c>
      <c r="C1890" s="1396" t="str">
        <f t="shared" si="290"/>
        <v>Yet to be approved</v>
      </c>
      <c r="D1890" s="1378" t="str">
        <f t="shared" si="290"/>
        <v>-</v>
      </c>
      <c r="E1890" s="1513">
        <f t="shared" si="290"/>
        <v>0</v>
      </c>
      <c r="F1890" s="1509">
        <f t="shared" si="283"/>
        <v>0</v>
      </c>
      <c r="G1890" s="1509">
        <f t="shared" si="284"/>
        <v>0</v>
      </c>
      <c r="H1890" s="1509">
        <f t="shared" si="285"/>
        <v>0</v>
      </c>
      <c r="I1890" s="1509">
        <v>0</v>
      </c>
      <c r="J1890" s="1509">
        <v>25</v>
      </c>
      <c r="K1890" s="1509"/>
      <c r="L1890" s="1509"/>
      <c r="M1890" s="1509">
        <f t="shared" si="286"/>
        <v>25</v>
      </c>
      <c r="N1890" s="1509">
        <f t="shared" si="287"/>
        <v>-25</v>
      </c>
    </row>
    <row r="1891" spans="1:16" ht="72.5" outlineLevel="1" x14ac:dyDescent="0.25">
      <c r="A1891" s="1511">
        <f t="shared" ref="A1891:E1906" si="293">A1534</f>
        <v>26</v>
      </c>
      <c r="B1891" s="1515" t="str">
        <f t="shared" si="293"/>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1891" s="1396" t="str">
        <f t="shared" si="293"/>
        <v>Yet to be approved</v>
      </c>
      <c r="D1891" s="1378" t="str">
        <f t="shared" si="293"/>
        <v>-</v>
      </c>
      <c r="E1891" s="1513">
        <f t="shared" si="293"/>
        <v>0</v>
      </c>
      <c r="F1891" s="1509">
        <f t="shared" si="283"/>
        <v>0</v>
      </c>
      <c r="G1891" s="1509">
        <f t="shared" si="284"/>
        <v>0</v>
      </c>
      <c r="H1891" s="1509">
        <f t="shared" si="285"/>
        <v>0</v>
      </c>
      <c r="I1891" s="1509">
        <v>0</v>
      </c>
      <c r="J1891" s="1509">
        <v>0</v>
      </c>
      <c r="K1891" s="1509"/>
      <c r="L1891" s="1509"/>
      <c r="M1891" s="1509">
        <f t="shared" si="286"/>
        <v>0</v>
      </c>
      <c r="N1891" s="1509">
        <f t="shared" si="287"/>
        <v>0</v>
      </c>
    </row>
    <row r="1892" spans="1:16" ht="29" outlineLevel="1" x14ac:dyDescent="0.25">
      <c r="A1892" s="1511">
        <f t="shared" si="293"/>
        <v>26.1</v>
      </c>
      <c r="B1892" s="1515" t="str">
        <f t="shared" si="293"/>
        <v>Refurbishment of spare HPT module (Common pool item) at TM U#6,7 Parli TPS</v>
      </c>
      <c r="C1892" s="1396" t="str">
        <f t="shared" si="293"/>
        <v>Yet to be approved</v>
      </c>
      <c r="D1892" s="1378" t="str">
        <f t="shared" si="293"/>
        <v>-</v>
      </c>
      <c r="E1892" s="1513">
        <f t="shared" si="293"/>
        <v>0</v>
      </c>
      <c r="F1892" s="1509">
        <f t="shared" si="283"/>
        <v>9.2100000000000009</v>
      </c>
      <c r="G1892" s="1509">
        <f t="shared" si="284"/>
        <v>9.2100000000000009</v>
      </c>
      <c r="H1892" s="1509">
        <f t="shared" si="285"/>
        <v>0</v>
      </c>
      <c r="I1892" s="1509">
        <v>0</v>
      </c>
      <c r="J1892" s="1509">
        <v>0</v>
      </c>
      <c r="K1892" s="1509"/>
      <c r="L1892" s="1509"/>
      <c r="M1892" s="1509">
        <f t="shared" si="286"/>
        <v>0</v>
      </c>
      <c r="N1892" s="1509">
        <f t="shared" si="287"/>
        <v>0</v>
      </c>
    </row>
    <row r="1893" spans="1:16" ht="29" outlineLevel="1" x14ac:dyDescent="0.25">
      <c r="A1893" s="1511">
        <f t="shared" si="293"/>
        <v>26.2</v>
      </c>
      <c r="B1893" s="1515" t="str">
        <f t="shared" si="293"/>
        <v xml:space="preserve"> Design, Erection, Testing &amp; Commissioning of Energy Efficient Air Washer (cooling) System  at Unit 6&amp;7 NPTPS, Parli-V.</v>
      </c>
      <c r="C1893" s="1396" t="str">
        <f t="shared" si="293"/>
        <v>Yet to be approved</v>
      </c>
      <c r="D1893" s="1378" t="str">
        <f t="shared" si="293"/>
        <v>-</v>
      </c>
      <c r="E1893" s="1513">
        <f t="shared" si="293"/>
        <v>0</v>
      </c>
      <c r="F1893" s="1509">
        <f t="shared" si="283"/>
        <v>14.61</v>
      </c>
      <c r="G1893" s="1509">
        <f t="shared" si="284"/>
        <v>14.61</v>
      </c>
      <c r="H1893" s="1509">
        <f t="shared" si="285"/>
        <v>0</v>
      </c>
      <c r="I1893" s="1509">
        <v>0</v>
      </c>
      <c r="J1893" s="1509">
        <v>0</v>
      </c>
      <c r="K1893" s="1509"/>
      <c r="L1893" s="1509"/>
      <c r="M1893" s="1509">
        <f t="shared" si="286"/>
        <v>0</v>
      </c>
      <c r="N1893" s="1509">
        <f t="shared" si="287"/>
        <v>0</v>
      </c>
    </row>
    <row r="1894" spans="1:16" ht="29" outlineLevel="1" x14ac:dyDescent="0.25">
      <c r="A1894" s="1511">
        <f t="shared" si="293"/>
        <v>26.3</v>
      </c>
      <c r="B1894" s="1515" t="str">
        <f t="shared" si="293"/>
        <v>Upgradation of reciprocating compressor into screw compressor  at U#6</v>
      </c>
      <c r="C1894" s="1396" t="str">
        <f t="shared" si="293"/>
        <v>Yet to be approved</v>
      </c>
      <c r="D1894" s="1378" t="str">
        <f t="shared" si="293"/>
        <v>-</v>
      </c>
      <c r="E1894" s="1513">
        <f t="shared" si="293"/>
        <v>0</v>
      </c>
      <c r="F1894" s="1509">
        <f t="shared" si="283"/>
        <v>9.2100000000000009</v>
      </c>
      <c r="G1894" s="1509">
        <f t="shared" si="284"/>
        <v>9.2100000000000009</v>
      </c>
      <c r="H1894" s="1509">
        <f t="shared" si="285"/>
        <v>0</v>
      </c>
      <c r="I1894" s="1509">
        <v>0</v>
      </c>
      <c r="J1894" s="1509">
        <v>0</v>
      </c>
      <c r="K1894" s="1509"/>
      <c r="L1894" s="1509"/>
      <c r="M1894" s="1509">
        <f t="shared" si="286"/>
        <v>0</v>
      </c>
      <c r="N1894" s="1509">
        <f t="shared" si="287"/>
        <v>0</v>
      </c>
    </row>
    <row r="1895" spans="1:16" ht="29" outlineLevel="1" x14ac:dyDescent="0.25">
      <c r="A1895" s="1511">
        <f t="shared" si="293"/>
        <v>26.4</v>
      </c>
      <c r="B1895" s="1515" t="str">
        <f t="shared" si="293"/>
        <v>Upgradation of existing chiller AC plant for PCR,Service Building,VFD area at NPTPS Parli -V</v>
      </c>
      <c r="C1895" s="1396" t="str">
        <f t="shared" si="293"/>
        <v>Yet to be approved</v>
      </c>
      <c r="D1895" s="1378" t="str">
        <f t="shared" si="293"/>
        <v>-</v>
      </c>
      <c r="E1895" s="1513">
        <f t="shared" si="293"/>
        <v>0</v>
      </c>
      <c r="F1895" s="1509">
        <f t="shared" si="283"/>
        <v>8.6199999999999992</v>
      </c>
      <c r="G1895" s="1509">
        <f t="shared" si="284"/>
        <v>8.6199999999999992</v>
      </c>
      <c r="H1895" s="1509">
        <f t="shared" si="285"/>
        <v>0</v>
      </c>
      <c r="I1895" s="1509">
        <v>0</v>
      </c>
      <c r="J1895" s="1509">
        <v>0</v>
      </c>
      <c r="K1895" s="1509"/>
      <c r="L1895" s="1509"/>
      <c r="M1895" s="1509">
        <f t="shared" si="286"/>
        <v>0</v>
      </c>
      <c r="N1895" s="1509">
        <f t="shared" si="287"/>
        <v>0</v>
      </c>
    </row>
    <row r="1896" spans="1:16" outlineLevel="1" x14ac:dyDescent="0.25">
      <c r="A1896" s="1511">
        <f t="shared" si="293"/>
        <v>0</v>
      </c>
      <c r="B1896" s="1515" t="str">
        <f t="shared" si="293"/>
        <v>IDC</v>
      </c>
      <c r="C1896" s="1396">
        <f t="shared" si="293"/>
        <v>0</v>
      </c>
      <c r="D1896" s="1378" t="str">
        <f t="shared" si="293"/>
        <v>-</v>
      </c>
      <c r="E1896" s="1513">
        <f t="shared" si="293"/>
        <v>0</v>
      </c>
      <c r="F1896" s="1509">
        <f t="shared" si="283"/>
        <v>1.41</v>
      </c>
      <c r="G1896" s="1509">
        <f t="shared" si="284"/>
        <v>1.41</v>
      </c>
      <c r="H1896" s="1509">
        <f t="shared" si="285"/>
        <v>0</v>
      </c>
      <c r="I1896" s="1509">
        <v>0</v>
      </c>
      <c r="J1896" s="1509">
        <v>0</v>
      </c>
      <c r="K1896" s="1509"/>
      <c r="L1896" s="1509"/>
      <c r="M1896" s="1509">
        <f t="shared" si="286"/>
        <v>0</v>
      </c>
      <c r="N1896" s="1509">
        <f t="shared" si="287"/>
        <v>0</v>
      </c>
    </row>
    <row r="1897" spans="1:16" ht="58" outlineLevel="1" x14ac:dyDescent="0.25">
      <c r="A1897" s="1506" t="str">
        <f t="shared" si="293"/>
        <v>Covid Related Work</v>
      </c>
      <c r="B1897" s="1507" t="str">
        <f t="shared" si="293"/>
        <v>U#6,7 Medical02 Oxygen Gr&amp;Cyl Ozonization Plant501</v>
      </c>
      <c r="C1897" s="1506" t="str">
        <f t="shared" si="293"/>
        <v>N.A.</v>
      </c>
      <c r="D1897" s="1508" t="str">
        <f t="shared" si="293"/>
        <v>-</v>
      </c>
      <c r="E1897" s="1509">
        <f t="shared" si="293"/>
        <v>0</v>
      </c>
      <c r="F1897" s="1509">
        <f t="shared" si="283"/>
        <v>3.8414035910000002</v>
      </c>
      <c r="G1897" s="1509">
        <f t="shared" si="284"/>
        <v>3.8414035910000002</v>
      </c>
      <c r="H1897" s="1509">
        <f t="shared" si="285"/>
        <v>0</v>
      </c>
      <c r="I1897" s="1509">
        <v>0</v>
      </c>
      <c r="J1897" s="1509">
        <v>0</v>
      </c>
      <c r="K1897" s="1509"/>
      <c r="L1897" s="1509"/>
      <c r="M1897" s="1509">
        <f t="shared" si="286"/>
        <v>0</v>
      </c>
      <c r="N1897" s="1509">
        <f t="shared" si="287"/>
        <v>0</v>
      </c>
      <c r="O1897" s="1510"/>
      <c r="P1897" s="1453"/>
    </row>
    <row r="1898" spans="1:16" outlineLevel="1" x14ac:dyDescent="0.25">
      <c r="A1898" s="1511">
        <f t="shared" si="293"/>
        <v>0</v>
      </c>
      <c r="B1898" s="1515">
        <f t="shared" si="293"/>
        <v>0</v>
      </c>
      <c r="C1898" s="1396">
        <f t="shared" si="293"/>
        <v>0</v>
      </c>
      <c r="D1898" s="1378" t="str">
        <f t="shared" si="293"/>
        <v>-</v>
      </c>
      <c r="E1898" s="1505">
        <f t="shared" si="293"/>
        <v>0</v>
      </c>
      <c r="F1898" s="1509">
        <f t="shared" si="283"/>
        <v>0</v>
      </c>
      <c r="G1898" s="1509">
        <f t="shared" si="284"/>
        <v>0</v>
      </c>
      <c r="H1898" s="1509">
        <f t="shared" si="285"/>
        <v>0</v>
      </c>
      <c r="I1898" s="1509">
        <v>0</v>
      </c>
      <c r="J1898" s="1509">
        <v>0</v>
      </c>
      <c r="K1898" s="1509"/>
      <c r="L1898" s="1509"/>
      <c r="M1898" s="1509">
        <f t="shared" si="286"/>
        <v>0</v>
      </c>
      <c r="N1898" s="1509">
        <f t="shared" si="287"/>
        <v>0</v>
      </c>
    </row>
    <row r="1899" spans="1:16" ht="18.5" outlineLevel="1" x14ac:dyDescent="0.25">
      <c r="A1899" s="1339" t="str">
        <f t="shared" si="293"/>
        <v>B</v>
      </c>
      <c r="B1899" s="1339" t="str">
        <f t="shared" si="293"/>
        <v>Asset received from Project of 6-7</v>
      </c>
      <c r="C1899" s="1396">
        <f t="shared" si="293"/>
        <v>0</v>
      </c>
      <c r="D1899" s="1378" t="str">
        <f t="shared" si="293"/>
        <v>-</v>
      </c>
      <c r="E1899" s="1505">
        <f t="shared" si="293"/>
        <v>0</v>
      </c>
      <c r="F1899" s="1509">
        <f t="shared" si="283"/>
        <v>0</v>
      </c>
      <c r="G1899" s="1509">
        <f t="shared" si="284"/>
        <v>0</v>
      </c>
      <c r="H1899" s="1509">
        <f t="shared" si="285"/>
        <v>0</v>
      </c>
      <c r="I1899" s="1509">
        <v>0</v>
      </c>
      <c r="J1899" s="1509">
        <v>0</v>
      </c>
      <c r="K1899" s="1509"/>
      <c r="L1899" s="1509"/>
      <c r="M1899" s="1509">
        <f t="shared" si="286"/>
        <v>0</v>
      </c>
      <c r="N1899" s="1509">
        <f t="shared" si="287"/>
        <v>0</v>
      </c>
    </row>
    <row r="1900" spans="1:16" outlineLevel="1" x14ac:dyDescent="0.25">
      <c r="A1900" s="1511">
        <f t="shared" si="293"/>
        <v>1</v>
      </c>
      <c r="B1900" s="1515" t="str">
        <f t="shared" si="293"/>
        <v>Enhanced Land Compensation LAR No-127/2003</v>
      </c>
      <c r="C1900" s="1396" t="str">
        <f t="shared" si="293"/>
        <v>N.A.</v>
      </c>
      <c r="D1900" s="1378" t="str">
        <f t="shared" si="293"/>
        <v>-</v>
      </c>
      <c r="E1900" s="1505">
        <f t="shared" si="293"/>
        <v>0</v>
      </c>
      <c r="F1900" s="1509">
        <f t="shared" si="283"/>
        <v>0.72651449999999995</v>
      </c>
      <c r="G1900" s="1509">
        <f t="shared" si="284"/>
        <v>0.72651449999999995</v>
      </c>
      <c r="H1900" s="1509">
        <f t="shared" si="285"/>
        <v>0</v>
      </c>
      <c r="I1900" s="1509">
        <v>0</v>
      </c>
      <c r="J1900" s="1509">
        <v>0</v>
      </c>
      <c r="K1900" s="1509"/>
      <c r="L1900" s="1509"/>
      <c r="M1900" s="1509">
        <f t="shared" si="286"/>
        <v>0</v>
      </c>
      <c r="N1900" s="1509">
        <f t="shared" si="287"/>
        <v>0</v>
      </c>
    </row>
    <row r="1901" spans="1:16" outlineLevel="1" x14ac:dyDescent="0.25">
      <c r="A1901" s="1511">
        <f t="shared" si="293"/>
        <v>2</v>
      </c>
      <c r="B1901" s="1515" t="str">
        <f t="shared" si="293"/>
        <v>Assets rec. from Project Boiler Plant and Equipments</v>
      </c>
      <c r="C1901" s="1396" t="str">
        <f t="shared" si="293"/>
        <v>N.A.</v>
      </c>
      <c r="D1901" s="1378" t="str">
        <f t="shared" si="293"/>
        <v>-</v>
      </c>
      <c r="E1901" s="1505">
        <f t="shared" si="293"/>
        <v>0</v>
      </c>
      <c r="F1901" s="1509">
        <f t="shared" si="283"/>
        <v>14.2796416</v>
      </c>
      <c r="G1901" s="1509">
        <f t="shared" si="284"/>
        <v>14.2796416</v>
      </c>
      <c r="H1901" s="1509">
        <f t="shared" si="285"/>
        <v>0</v>
      </c>
      <c r="I1901" s="1509">
        <v>0</v>
      </c>
      <c r="J1901" s="1509">
        <v>0</v>
      </c>
      <c r="K1901" s="1509"/>
      <c r="L1901" s="1509"/>
      <c r="M1901" s="1509">
        <f t="shared" si="286"/>
        <v>0</v>
      </c>
      <c r="N1901" s="1509">
        <f t="shared" si="287"/>
        <v>0</v>
      </c>
    </row>
    <row r="1902" spans="1:16" outlineLevel="1" x14ac:dyDescent="0.25">
      <c r="A1902" s="1511">
        <f t="shared" si="293"/>
        <v>3</v>
      </c>
      <c r="B1902" s="1515" t="str">
        <f t="shared" si="293"/>
        <v>Assets rec. from Project &amp; CivilBoiler Plant and Equipments</v>
      </c>
      <c r="C1902" s="1396" t="str">
        <f t="shared" si="293"/>
        <v>N.A.</v>
      </c>
      <c r="D1902" s="1378" t="str">
        <f t="shared" si="293"/>
        <v>-</v>
      </c>
      <c r="E1902" s="1505">
        <f t="shared" si="293"/>
        <v>0</v>
      </c>
      <c r="F1902" s="1509">
        <f t="shared" si="283"/>
        <v>0.118890178</v>
      </c>
      <c r="G1902" s="1509">
        <f t="shared" si="284"/>
        <v>0.118890178</v>
      </c>
      <c r="H1902" s="1509">
        <f t="shared" si="285"/>
        <v>0</v>
      </c>
      <c r="I1902" s="1509">
        <v>0</v>
      </c>
      <c r="J1902" s="1509">
        <v>0</v>
      </c>
      <c r="K1902" s="1509"/>
      <c r="L1902" s="1509"/>
      <c r="M1902" s="1509">
        <f t="shared" si="286"/>
        <v>0</v>
      </c>
      <c r="N1902" s="1509">
        <f t="shared" si="287"/>
        <v>0</v>
      </c>
    </row>
    <row r="1903" spans="1:16" ht="29" outlineLevel="1" x14ac:dyDescent="0.25">
      <c r="A1903" s="1511">
        <f t="shared" si="293"/>
        <v>4</v>
      </c>
      <c r="B1903" s="1515" t="str">
        <f t="shared" si="293"/>
        <v>Received from project 2010-11 - mechanical works o f Boiler Plant and Equipments</v>
      </c>
      <c r="C1903" s="1396" t="str">
        <f t="shared" si="293"/>
        <v>N.A.</v>
      </c>
      <c r="D1903" s="1378" t="str">
        <f t="shared" si="293"/>
        <v>-</v>
      </c>
      <c r="E1903" s="1505">
        <f t="shared" si="293"/>
        <v>0</v>
      </c>
      <c r="F1903" s="1509">
        <f t="shared" si="283"/>
        <v>0.118890178</v>
      </c>
      <c r="G1903" s="1509">
        <f t="shared" si="284"/>
        <v>0.118890178</v>
      </c>
      <c r="H1903" s="1509">
        <f t="shared" si="285"/>
        <v>0</v>
      </c>
      <c r="I1903" s="1509">
        <v>0</v>
      </c>
      <c r="J1903" s="1509">
        <v>0</v>
      </c>
      <c r="K1903" s="1509"/>
      <c r="L1903" s="1509"/>
      <c r="M1903" s="1509">
        <f t="shared" si="286"/>
        <v>0</v>
      </c>
      <c r="N1903" s="1509">
        <f t="shared" si="287"/>
        <v>0</v>
      </c>
    </row>
    <row r="1904" spans="1:16" outlineLevel="1" x14ac:dyDescent="0.25">
      <c r="A1904" s="1511">
        <f t="shared" si="293"/>
        <v>5</v>
      </c>
      <c r="B1904" s="1515" t="str">
        <f t="shared" si="293"/>
        <v>Assets Received from project 2010-11 - Ash handling plant</v>
      </c>
      <c r="C1904" s="1396" t="str">
        <f t="shared" si="293"/>
        <v>N.A.</v>
      </c>
      <c r="D1904" s="1378" t="str">
        <f t="shared" si="293"/>
        <v>-</v>
      </c>
      <c r="E1904" s="1505">
        <f t="shared" si="293"/>
        <v>0</v>
      </c>
      <c r="F1904" s="1509">
        <f t="shared" si="283"/>
        <v>7.6350699999999994E-2</v>
      </c>
      <c r="G1904" s="1509">
        <f t="shared" si="284"/>
        <v>7.6350699999999994E-2</v>
      </c>
      <c r="H1904" s="1509">
        <f t="shared" si="285"/>
        <v>0</v>
      </c>
      <c r="I1904" s="1509">
        <v>0</v>
      </c>
      <c r="J1904" s="1509">
        <v>0</v>
      </c>
      <c r="K1904" s="1509"/>
      <c r="L1904" s="1509"/>
      <c r="M1904" s="1509">
        <f t="shared" si="286"/>
        <v>0</v>
      </c>
      <c r="N1904" s="1509">
        <f t="shared" si="287"/>
        <v>0</v>
      </c>
    </row>
    <row r="1905" spans="1:14" outlineLevel="1" x14ac:dyDescent="0.25">
      <c r="A1905" s="1511">
        <f t="shared" si="293"/>
        <v>6</v>
      </c>
      <c r="B1905" s="1515" t="str">
        <f t="shared" si="293"/>
        <v>Bolero Jeep MH 19 AE 6941</v>
      </c>
      <c r="C1905" s="1396" t="str">
        <f t="shared" si="293"/>
        <v>N.A.</v>
      </c>
      <c r="D1905" s="1378" t="str">
        <f t="shared" si="293"/>
        <v>-</v>
      </c>
      <c r="E1905" s="1505">
        <f t="shared" si="293"/>
        <v>0</v>
      </c>
      <c r="F1905" s="1509">
        <f t="shared" si="283"/>
        <v>4.2359800000000003E-2</v>
      </c>
      <c r="G1905" s="1509">
        <f t="shared" si="284"/>
        <v>4.2359800000000003E-2</v>
      </c>
      <c r="H1905" s="1509">
        <f t="shared" si="285"/>
        <v>0</v>
      </c>
      <c r="I1905" s="1509">
        <v>0</v>
      </c>
      <c r="J1905" s="1509">
        <v>0</v>
      </c>
      <c r="K1905" s="1509"/>
      <c r="L1905" s="1509"/>
      <c r="M1905" s="1509">
        <f t="shared" si="286"/>
        <v>0</v>
      </c>
      <c r="N1905" s="1509">
        <f t="shared" si="287"/>
        <v>0</v>
      </c>
    </row>
    <row r="1906" spans="1:14" customFormat="1" outlineLevel="1" x14ac:dyDescent="0.25">
      <c r="A1906" s="1511">
        <f t="shared" si="293"/>
        <v>7</v>
      </c>
      <c r="B1906" s="1515" t="str">
        <f t="shared" si="293"/>
        <v>Land owned under full title</v>
      </c>
      <c r="C1906" s="1396" t="str">
        <f t="shared" si="293"/>
        <v>N.A.</v>
      </c>
      <c r="D1906" s="1378" t="str">
        <f t="shared" si="293"/>
        <v>-</v>
      </c>
      <c r="E1906" s="1505">
        <f t="shared" si="293"/>
        <v>0</v>
      </c>
      <c r="F1906" s="1509">
        <f t="shared" si="283"/>
        <v>0.60786030000000002</v>
      </c>
      <c r="G1906" s="1509">
        <f t="shared" si="284"/>
        <v>0.60786030000000002</v>
      </c>
      <c r="H1906" s="1509">
        <f t="shared" si="285"/>
        <v>0</v>
      </c>
      <c r="I1906" s="1509">
        <v>0</v>
      </c>
      <c r="J1906" s="1509">
        <v>0</v>
      </c>
      <c r="K1906" s="1509"/>
      <c r="L1906" s="1509"/>
      <c r="M1906" s="1509">
        <f t="shared" si="286"/>
        <v>0</v>
      </c>
      <c r="N1906" s="1509">
        <f t="shared" si="287"/>
        <v>0</v>
      </c>
    </row>
    <row r="1907" spans="1:14" customFormat="1" outlineLevel="1" x14ac:dyDescent="0.25">
      <c r="A1907" s="1511">
        <f t="shared" ref="A1907:E1922" si="294">A1550</f>
        <v>8</v>
      </c>
      <c r="B1907" s="1515" t="str">
        <f t="shared" si="294"/>
        <v>Assets rec. from Project &amp; CivilBoiler Plant and Equipments</v>
      </c>
      <c r="C1907" s="1396" t="str">
        <f t="shared" si="294"/>
        <v>N.A.</v>
      </c>
      <c r="D1907" s="1378" t="str">
        <f t="shared" si="294"/>
        <v>-</v>
      </c>
      <c r="E1907" s="1505">
        <f t="shared" si="294"/>
        <v>0</v>
      </c>
      <c r="F1907" s="1509">
        <f t="shared" si="283"/>
        <v>2.6342887240000001</v>
      </c>
      <c r="G1907" s="1509">
        <f t="shared" si="284"/>
        <v>2.6342887240000001</v>
      </c>
      <c r="H1907" s="1509">
        <f t="shared" si="285"/>
        <v>0</v>
      </c>
      <c r="I1907" s="1509">
        <v>0</v>
      </c>
      <c r="J1907" s="1509">
        <v>0</v>
      </c>
      <c r="K1907" s="1509"/>
      <c r="L1907" s="1509"/>
      <c r="M1907" s="1509">
        <f t="shared" si="286"/>
        <v>0</v>
      </c>
      <c r="N1907" s="1509">
        <f t="shared" si="287"/>
        <v>0</v>
      </c>
    </row>
    <row r="1908" spans="1:14" customFormat="1" ht="29" outlineLevel="1" x14ac:dyDescent="0.25">
      <c r="A1908" s="1511">
        <f t="shared" si="294"/>
        <v>9</v>
      </c>
      <c r="B1908" s="1515" t="str">
        <f t="shared" si="294"/>
        <v>Received from project 2010-11 - mechanical works o f Boiler Plant and Equipments</v>
      </c>
      <c r="C1908" s="1396" t="str">
        <f t="shared" si="294"/>
        <v>N.A.</v>
      </c>
      <c r="D1908" s="1378" t="str">
        <f t="shared" si="294"/>
        <v>-</v>
      </c>
      <c r="E1908" s="1505">
        <f t="shared" si="294"/>
        <v>0</v>
      </c>
      <c r="F1908" s="1509">
        <f t="shared" si="283"/>
        <v>2.6342887240000001</v>
      </c>
      <c r="G1908" s="1509">
        <f t="shared" si="284"/>
        <v>2.6342887240000001</v>
      </c>
      <c r="H1908" s="1509">
        <f t="shared" si="285"/>
        <v>0</v>
      </c>
      <c r="I1908" s="1509">
        <v>0</v>
      </c>
      <c r="J1908" s="1509">
        <v>0</v>
      </c>
      <c r="K1908" s="1509"/>
      <c r="L1908" s="1509"/>
      <c r="M1908" s="1509">
        <f t="shared" si="286"/>
        <v>0</v>
      </c>
      <c r="N1908" s="1509">
        <f t="shared" si="287"/>
        <v>0</v>
      </c>
    </row>
    <row r="1909" spans="1:14" customFormat="1" outlineLevel="1" x14ac:dyDescent="0.25">
      <c r="A1909" s="1511">
        <f t="shared" si="294"/>
        <v>10</v>
      </c>
      <c r="B1909" s="1515" t="str">
        <f t="shared" si="294"/>
        <v>Received from Project 2010-11 - Crane   Hoising Equipment</v>
      </c>
      <c r="C1909" s="1396" t="str">
        <f t="shared" si="294"/>
        <v>N.A.</v>
      </c>
      <c r="D1909" s="1378" t="str">
        <f t="shared" si="294"/>
        <v>-</v>
      </c>
      <c r="E1909" s="1505">
        <f t="shared" si="294"/>
        <v>0</v>
      </c>
      <c r="F1909" s="1509">
        <f t="shared" si="283"/>
        <v>1.20114E-2</v>
      </c>
      <c r="G1909" s="1509">
        <f t="shared" si="284"/>
        <v>1.20114E-2</v>
      </c>
      <c r="H1909" s="1509">
        <f t="shared" si="285"/>
        <v>0</v>
      </c>
      <c r="I1909" s="1509">
        <v>0</v>
      </c>
      <c r="J1909" s="1509">
        <v>0</v>
      </c>
      <c r="K1909" s="1509"/>
      <c r="L1909" s="1509"/>
      <c r="M1909" s="1509">
        <f t="shared" si="286"/>
        <v>0</v>
      </c>
      <c r="N1909" s="1509">
        <f t="shared" si="287"/>
        <v>0</v>
      </c>
    </row>
    <row r="1910" spans="1:14" customFormat="1" outlineLevel="1" x14ac:dyDescent="0.25">
      <c r="A1910" s="1511">
        <f t="shared" si="294"/>
        <v>11</v>
      </c>
      <c r="B1910" s="1515" t="str">
        <f t="shared" si="294"/>
        <v>Enhancd Land CompnstnLarNo134/2003 Srvy No3Jlalp</v>
      </c>
      <c r="C1910" s="1396">
        <f t="shared" si="294"/>
        <v>0</v>
      </c>
      <c r="D1910" s="1378" t="str">
        <f t="shared" si="294"/>
        <v>-</v>
      </c>
      <c r="E1910" s="1505">
        <f t="shared" si="294"/>
        <v>0</v>
      </c>
      <c r="F1910" s="1509">
        <f t="shared" si="283"/>
        <v>0.4706939</v>
      </c>
      <c r="G1910" s="1509">
        <f t="shared" si="284"/>
        <v>0.4706939</v>
      </c>
      <c r="H1910" s="1509">
        <f t="shared" si="285"/>
        <v>0</v>
      </c>
      <c r="I1910" s="1509">
        <v>0</v>
      </c>
      <c r="J1910" s="1509">
        <v>0</v>
      </c>
      <c r="K1910" s="1509"/>
      <c r="L1910" s="1509"/>
      <c r="M1910" s="1509">
        <f t="shared" si="286"/>
        <v>0</v>
      </c>
      <c r="N1910" s="1509">
        <f t="shared" si="287"/>
        <v>0</v>
      </c>
    </row>
    <row r="1911" spans="1:14" customFormat="1" outlineLevel="1" x14ac:dyDescent="0.25">
      <c r="A1911" s="1511">
        <f t="shared" si="294"/>
        <v>12</v>
      </c>
      <c r="B1911" s="1515" t="str">
        <f t="shared" si="294"/>
        <v>Enhancd Land CompnstnLarNo273/2010Sangam Gat24,54,</v>
      </c>
      <c r="C1911" s="1396">
        <f t="shared" si="294"/>
        <v>0</v>
      </c>
      <c r="D1911" s="1378" t="str">
        <f t="shared" si="294"/>
        <v>-</v>
      </c>
      <c r="E1911" s="1505">
        <f t="shared" si="294"/>
        <v>0</v>
      </c>
      <c r="F1911" s="1509">
        <f t="shared" si="283"/>
        <v>0.32731569999999999</v>
      </c>
      <c r="G1911" s="1509">
        <f t="shared" si="284"/>
        <v>0.32731569999999999</v>
      </c>
      <c r="H1911" s="1509">
        <f t="shared" si="285"/>
        <v>0</v>
      </c>
      <c r="I1911" s="1509">
        <v>0</v>
      </c>
      <c r="J1911" s="1509">
        <v>0</v>
      </c>
      <c r="K1911" s="1509"/>
      <c r="L1911" s="1509"/>
      <c r="M1911" s="1509">
        <f t="shared" si="286"/>
        <v>0</v>
      </c>
      <c r="N1911" s="1509">
        <f t="shared" si="287"/>
        <v>0</v>
      </c>
    </row>
    <row r="1912" spans="1:14" customFormat="1" outlineLevel="1" x14ac:dyDescent="0.25">
      <c r="A1912" s="1511">
        <f t="shared" si="294"/>
        <v>13</v>
      </c>
      <c r="B1912" s="1515" t="str">
        <f t="shared" si="294"/>
        <v>Enhancd Land CompnstnLarNo273/2010Sangam Gat24,54,</v>
      </c>
      <c r="C1912" s="1396">
        <f t="shared" si="294"/>
        <v>0</v>
      </c>
      <c r="D1912" s="1378" t="str">
        <f t="shared" si="294"/>
        <v>-</v>
      </c>
      <c r="E1912" s="1505">
        <f t="shared" si="294"/>
        <v>0</v>
      </c>
      <c r="F1912" s="1509">
        <f t="shared" si="283"/>
        <v>8.7899000000000005E-2</v>
      </c>
      <c r="G1912" s="1509">
        <f t="shared" si="284"/>
        <v>8.7899000000000005E-2</v>
      </c>
      <c r="H1912" s="1509">
        <f t="shared" si="285"/>
        <v>0</v>
      </c>
      <c r="I1912" s="1509">
        <v>0</v>
      </c>
      <c r="J1912" s="1509">
        <v>0</v>
      </c>
      <c r="K1912" s="1509"/>
      <c r="L1912" s="1509"/>
      <c r="M1912" s="1509">
        <f t="shared" si="286"/>
        <v>0</v>
      </c>
      <c r="N1912" s="1509">
        <f t="shared" si="287"/>
        <v>0</v>
      </c>
    </row>
    <row r="1913" spans="1:14" customFormat="1" ht="29" outlineLevel="1" x14ac:dyDescent="0.25">
      <c r="A1913" s="1511">
        <f t="shared" si="294"/>
        <v>14</v>
      </c>
      <c r="B1913" s="1515" t="str">
        <f t="shared" si="294"/>
        <v>Received from project 2010-11 - mechanical works of Boiler Plant and Equipments</v>
      </c>
      <c r="C1913" s="1396">
        <f t="shared" si="294"/>
        <v>0</v>
      </c>
      <c r="D1913" s="1378" t="str">
        <f t="shared" si="294"/>
        <v>-</v>
      </c>
      <c r="E1913" s="1505">
        <f t="shared" si="294"/>
        <v>0</v>
      </c>
      <c r="F1913" s="1509">
        <f t="shared" si="283"/>
        <v>6.8807868000000001</v>
      </c>
      <c r="G1913" s="1509">
        <f t="shared" si="284"/>
        <v>6.8807868000000001</v>
      </c>
      <c r="H1913" s="1509">
        <f t="shared" si="285"/>
        <v>0</v>
      </c>
      <c r="I1913" s="1509">
        <v>0</v>
      </c>
      <c r="J1913" s="1509">
        <v>0</v>
      </c>
      <c r="K1913" s="1509"/>
      <c r="L1913" s="1509"/>
      <c r="M1913" s="1509">
        <f t="shared" si="286"/>
        <v>0</v>
      </c>
      <c r="N1913" s="1509">
        <f t="shared" si="287"/>
        <v>0</v>
      </c>
    </row>
    <row r="1914" spans="1:14" customFormat="1" outlineLevel="1" x14ac:dyDescent="0.25">
      <c r="A1914" s="1511">
        <f t="shared" si="294"/>
        <v>15</v>
      </c>
      <c r="B1914" s="1515" t="str">
        <f t="shared" si="294"/>
        <v>Compnsn payment agst land acquired</v>
      </c>
      <c r="C1914" s="1396">
        <f t="shared" si="294"/>
        <v>0</v>
      </c>
      <c r="D1914" s="1378" t="str">
        <f t="shared" si="294"/>
        <v>-</v>
      </c>
      <c r="E1914" s="1505">
        <f t="shared" si="294"/>
        <v>0</v>
      </c>
      <c r="F1914" s="1509">
        <f t="shared" si="283"/>
        <v>1.1658021999999999</v>
      </c>
      <c r="G1914" s="1509">
        <f t="shared" si="284"/>
        <v>1.1658021999999999</v>
      </c>
      <c r="H1914" s="1509">
        <f t="shared" si="285"/>
        <v>0</v>
      </c>
      <c r="I1914" s="1509">
        <v>0</v>
      </c>
      <c r="J1914" s="1509">
        <v>0</v>
      </c>
      <c r="K1914" s="1509"/>
      <c r="L1914" s="1509"/>
      <c r="M1914" s="1509">
        <f t="shared" si="286"/>
        <v>0</v>
      </c>
      <c r="N1914" s="1509">
        <f t="shared" si="287"/>
        <v>0</v>
      </c>
    </row>
    <row r="1915" spans="1:14" customFormat="1" ht="18.5" outlineLevel="1" x14ac:dyDescent="0.25">
      <c r="A1915" s="1339" t="str">
        <f t="shared" si="294"/>
        <v>C</v>
      </c>
      <c r="B1915" s="1339" t="str">
        <f t="shared" si="294"/>
        <v>Yet to be submitted to MERC</v>
      </c>
      <c r="C1915" s="1339">
        <f t="shared" si="294"/>
        <v>0</v>
      </c>
      <c r="D1915" s="1378" t="str">
        <f t="shared" si="294"/>
        <v>-</v>
      </c>
      <c r="E1915" s="1505">
        <f t="shared" si="294"/>
        <v>0</v>
      </c>
      <c r="F1915" s="1509">
        <f t="shared" si="283"/>
        <v>0</v>
      </c>
      <c r="G1915" s="1509">
        <f t="shared" si="284"/>
        <v>0</v>
      </c>
      <c r="H1915" s="1509">
        <f t="shared" si="285"/>
        <v>0</v>
      </c>
      <c r="I1915" s="1509">
        <v>0</v>
      </c>
      <c r="J1915" s="1509">
        <v>0</v>
      </c>
      <c r="K1915" s="1509"/>
      <c r="L1915" s="1509"/>
      <c r="M1915" s="1509">
        <f t="shared" si="286"/>
        <v>0</v>
      </c>
      <c r="N1915" s="1509">
        <f t="shared" si="287"/>
        <v>0</v>
      </c>
    </row>
    <row r="1916" spans="1:14" customFormat="1" ht="58" outlineLevel="1" x14ac:dyDescent="0.25">
      <c r="A1916" s="1506">
        <f t="shared" si="294"/>
        <v>2</v>
      </c>
      <c r="B1916" s="1507" t="str">
        <f t="shared" si="294"/>
        <v>Upgradation of PCAL to PADO upgradation Charger, UPS &amp; upgradation of fast bus transfer scheme, Installation, Erection and Commissioning of Mill Fire Detection System at U#6,7, HT motors procurement &amp; PLC upgradation.</v>
      </c>
      <c r="C1916" s="1506" t="str">
        <f t="shared" si="294"/>
        <v>Yet to be approved</v>
      </c>
      <c r="D1916" s="1507" t="str">
        <f t="shared" si="294"/>
        <v>-</v>
      </c>
      <c r="E1916" s="1506">
        <f t="shared" si="294"/>
        <v>0</v>
      </c>
      <c r="F1916" s="1509">
        <f t="shared" si="283"/>
        <v>0</v>
      </c>
      <c r="G1916" s="1509">
        <f t="shared" si="284"/>
        <v>0</v>
      </c>
      <c r="H1916" s="1509">
        <f t="shared" si="285"/>
        <v>0</v>
      </c>
      <c r="I1916" s="1509">
        <v>0</v>
      </c>
      <c r="J1916" s="1509">
        <v>0</v>
      </c>
      <c r="K1916" s="1509"/>
      <c r="L1916" s="1509"/>
      <c r="M1916" s="1509">
        <f t="shared" si="286"/>
        <v>0</v>
      </c>
      <c r="N1916" s="1509">
        <f t="shared" si="287"/>
        <v>0</v>
      </c>
    </row>
    <row r="1917" spans="1:14" customFormat="1" ht="43.5" outlineLevel="1" x14ac:dyDescent="0.25">
      <c r="A1917" s="1511">
        <f t="shared" si="294"/>
        <v>2.1</v>
      </c>
      <c r="B1917" s="1515" t="str">
        <f t="shared" si="294"/>
        <v xml:space="preserve">Supply, Erection &amp; Commissioning of 24 V,4500 AH Battery Charger at Unit 6&amp;7,220 V,2500 AH Battery Charger at U-6&amp;7, And110 V,400 AH Battery Charger at Khadka, Naikota Pump House, Parli Vaijnath. </v>
      </c>
      <c r="C1917" s="1396" t="str">
        <f t="shared" si="294"/>
        <v>Yet to be approved</v>
      </c>
      <c r="D1917" s="1378" t="str">
        <f t="shared" si="294"/>
        <v>-</v>
      </c>
      <c r="E1917" s="1505">
        <f t="shared" si="294"/>
        <v>0</v>
      </c>
      <c r="F1917" s="1509">
        <f t="shared" si="283"/>
        <v>6.73</v>
      </c>
      <c r="G1917" s="1509">
        <f t="shared" si="284"/>
        <v>6.73</v>
      </c>
      <c r="H1917" s="1509">
        <f t="shared" si="285"/>
        <v>0</v>
      </c>
      <c r="I1917" s="1509">
        <v>0</v>
      </c>
      <c r="J1917" s="1509">
        <v>0</v>
      </c>
      <c r="K1917" s="1509"/>
      <c r="L1917" s="1509"/>
      <c r="M1917" s="1509">
        <f t="shared" si="286"/>
        <v>0</v>
      </c>
      <c r="N1917" s="1509">
        <f t="shared" si="287"/>
        <v>0</v>
      </c>
    </row>
    <row r="1918" spans="1:14" customFormat="1" ht="29" outlineLevel="1" x14ac:dyDescent="0.25">
      <c r="A1918" s="1511">
        <f t="shared" si="294"/>
        <v>2.2000000000000002</v>
      </c>
      <c r="B1918" s="1515" t="str">
        <f t="shared" si="294"/>
        <v xml:space="preserve">Supply, Erection &amp; Commissioning of 80 KVA UPS at U-6&amp;7, Parli Vaijnath. </v>
      </c>
      <c r="C1918" s="1396" t="str">
        <f t="shared" si="294"/>
        <v>Yet to be approved</v>
      </c>
      <c r="D1918" s="1378" t="str">
        <f t="shared" si="294"/>
        <v>-</v>
      </c>
      <c r="E1918" s="1505">
        <f t="shared" si="294"/>
        <v>0</v>
      </c>
      <c r="F1918" s="1509">
        <f t="shared" si="283"/>
        <v>1.7850999999999999</v>
      </c>
      <c r="G1918" s="1509">
        <f t="shared" si="284"/>
        <v>1.7850999999999999</v>
      </c>
      <c r="H1918" s="1509">
        <f t="shared" si="285"/>
        <v>0</v>
      </c>
      <c r="I1918" s="1509">
        <v>0</v>
      </c>
      <c r="J1918" s="1509">
        <v>0</v>
      </c>
      <c r="K1918" s="1509"/>
      <c r="L1918" s="1509"/>
      <c r="M1918" s="1509">
        <f t="shared" si="286"/>
        <v>0</v>
      </c>
      <c r="N1918" s="1509">
        <f t="shared" si="287"/>
        <v>0</v>
      </c>
    </row>
    <row r="1919" spans="1:14" customFormat="1" outlineLevel="1" x14ac:dyDescent="0.25">
      <c r="A1919" s="1511">
        <f t="shared" si="294"/>
        <v>2.2999999999999998</v>
      </c>
      <c r="B1919" s="1515" t="str">
        <f t="shared" si="294"/>
        <v>Up-gradation of BTS system at Unit 6 &amp; 7 , Parli-Vaijnath.</v>
      </c>
      <c r="C1919" s="1396" t="str">
        <f t="shared" si="294"/>
        <v>Yet to be approved</v>
      </c>
      <c r="D1919" s="1378" t="str">
        <f t="shared" si="294"/>
        <v>-</v>
      </c>
      <c r="E1919" s="1505">
        <f t="shared" si="294"/>
        <v>0</v>
      </c>
      <c r="F1919" s="1509">
        <f t="shared" si="283"/>
        <v>5.3761000000000001</v>
      </c>
      <c r="G1919" s="1509">
        <f t="shared" si="284"/>
        <v>5.3761000000000001</v>
      </c>
      <c r="H1919" s="1509">
        <f t="shared" si="285"/>
        <v>0</v>
      </c>
      <c r="I1919" s="1509">
        <v>0</v>
      </c>
      <c r="J1919" s="1509">
        <v>0</v>
      </c>
      <c r="K1919" s="1509"/>
      <c r="L1919" s="1509"/>
      <c r="M1919" s="1509">
        <f t="shared" si="286"/>
        <v>0</v>
      </c>
      <c r="N1919" s="1509">
        <f t="shared" si="287"/>
        <v>0</v>
      </c>
    </row>
    <row r="1920" spans="1:14" customFormat="1" ht="29" outlineLevel="1" x14ac:dyDescent="0.25">
      <c r="A1920" s="1511">
        <f t="shared" si="294"/>
        <v>2.4</v>
      </c>
      <c r="B1920" s="1515" t="str">
        <f t="shared" si="294"/>
        <v>Supply Installation, erection, and commissioning of Mill fire detection system at U# 6,7 NPTPS, Parli- V</v>
      </c>
      <c r="C1920" s="1396" t="str">
        <f t="shared" si="294"/>
        <v>Yet to be approved</v>
      </c>
      <c r="D1920" s="1378" t="str">
        <f t="shared" si="294"/>
        <v>-</v>
      </c>
      <c r="E1920" s="1505">
        <f t="shared" si="294"/>
        <v>0</v>
      </c>
      <c r="F1920" s="1509">
        <f t="shared" si="283"/>
        <v>2.9378000000000002</v>
      </c>
      <c r="G1920" s="1509">
        <f t="shared" si="284"/>
        <v>2.9378000000000002</v>
      </c>
      <c r="H1920" s="1509">
        <f t="shared" si="285"/>
        <v>0</v>
      </c>
      <c r="I1920" s="1509">
        <v>0</v>
      </c>
      <c r="J1920" s="1509">
        <v>0</v>
      </c>
      <c r="K1920" s="1509"/>
      <c r="L1920" s="1509"/>
      <c r="M1920" s="1509">
        <f t="shared" si="286"/>
        <v>0</v>
      </c>
      <c r="N1920" s="1509">
        <f t="shared" si="287"/>
        <v>0</v>
      </c>
    </row>
    <row r="1921" spans="1:14" customFormat="1" ht="43.5" outlineLevel="1" x14ac:dyDescent="0.25">
      <c r="A1921" s="1511">
        <f t="shared" si="294"/>
        <v>2.5</v>
      </c>
      <c r="B1921" s="1515" t="str">
        <f t="shared" si="294"/>
        <v>Upgradation of Existing PCal System with Plant Performance Analysis Diagnostic and   Optimization System (PADO) at Unit - 6,7 New Parli TPS, Parli-V.</v>
      </c>
      <c r="C1921" s="1396" t="str">
        <f t="shared" si="294"/>
        <v>Yet to be approved</v>
      </c>
      <c r="D1921" s="1378" t="str">
        <f t="shared" si="294"/>
        <v>-</v>
      </c>
      <c r="E1921" s="1505">
        <f t="shared" si="294"/>
        <v>0</v>
      </c>
      <c r="F1921" s="1509">
        <f t="shared" si="283"/>
        <v>2.7534000000000001</v>
      </c>
      <c r="G1921" s="1509">
        <f t="shared" si="284"/>
        <v>2.7534000000000001</v>
      </c>
      <c r="H1921" s="1509">
        <f t="shared" si="285"/>
        <v>0</v>
      </c>
      <c r="I1921" s="1509">
        <v>0</v>
      </c>
      <c r="J1921" s="1509">
        <v>0</v>
      </c>
      <c r="K1921" s="1509"/>
      <c r="L1921" s="1509"/>
      <c r="M1921" s="1509">
        <f t="shared" si="286"/>
        <v>0</v>
      </c>
      <c r="N1921" s="1509">
        <f t="shared" si="287"/>
        <v>0</v>
      </c>
    </row>
    <row r="1922" spans="1:14" customFormat="1" ht="58" outlineLevel="1" x14ac:dyDescent="0.25">
      <c r="A1922" s="1511">
        <f t="shared" si="294"/>
        <v>2.6</v>
      </c>
      <c r="B1922" s="1515" t="str">
        <f t="shared" si="294"/>
        <v>Upgradation of expired and vulnerable SCADA, Operating System, and Hardware to improve life and communication system of DM Plant and Condenser Polishing Plant Unit 6&amp;7 250 MW at NPTPS Parli V".</v>
      </c>
      <c r="C1922" s="1396" t="str">
        <f t="shared" si="294"/>
        <v>Yet to be approved</v>
      </c>
      <c r="D1922" s="1378" t="str">
        <f t="shared" si="294"/>
        <v>-</v>
      </c>
      <c r="E1922" s="1505">
        <f t="shared" si="294"/>
        <v>0</v>
      </c>
      <c r="F1922" s="1509">
        <f t="shared" si="283"/>
        <v>4.58</v>
      </c>
      <c r="G1922" s="1509">
        <f t="shared" si="284"/>
        <v>4.58</v>
      </c>
      <c r="H1922" s="1509">
        <f t="shared" si="285"/>
        <v>0</v>
      </c>
      <c r="I1922" s="1509">
        <v>0</v>
      </c>
      <c r="J1922" s="1509">
        <v>0</v>
      </c>
      <c r="K1922" s="1509"/>
      <c r="L1922" s="1509"/>
      <c r="M1922" s="1509">
        <f t="shared" si="286"/>
        <v>0</v>
      </c>
      <c r="N1922" s="1509">
        <f t="shared" si="287"/>
        <v>0</v>
      </c>
    </row>
    <row r="1923" spans="1:14" customFormat="1" outlineLevel="1" x14ac:dyDescent="0.25">
      <c r="A1923" s="1511">
        <f t="shared" ref="A1923:E1938" si="295">A1566</f>
        <v>2.7</v>
      </c>
      <c r="B1923" s="1515" t="str">
        <f t="shared" si="295"/>
        <v>Procurement of Energy efficient HT motors at U#6,7, TPS Parli-V</v>
      </c>
      <c r="C1923" s="1396" t="str">
        <f t="shared" si="295"/>
        <v>Yet to be approved</v>
      </c>
      <c r="D1923" s="1378" t="str">
        <f t="shared" si="295"/>
        <v>-</v>
      </c>
      <c r="E1923" s="1505">
        <f t="shared" si="295"/>
        <v>0</v>
      </c>
      <c r="F1923" s="1509">
        <f t="shared" ref="F1923:F1986" si="296">F1566+I1566</f>
        <v>19.402799999999999</v>
      </c>
      <c r="G1923" s="1509">
        <f t="shared" ref="G1923:G1986" si="297">G1566+M1566</f>
        <v>19.402799999999999</v>
      </c>
      <c r="H1923" s="1509">
        <f t="shared" si="285"/>
        <v>0</v>
      </c>
      <c r="I1923" s="1509">
        <v>0</v>
      </c>
      <c r="J1923" s="1509">
        <v>0</v>
      </c>
      <c r="K1923" s="1509"/>
      <c r="L1923" s="1509"/>
      <c r="M1923" s="1509">
        <f t="shared" si="286"/>
        <v>0</v>
      </c>
      <c r="N1923" s="1509">
        <f t="shared" si="287"/>
        <v>0</v>
      </c>
    </row>
    <row r="1924" spans="1:14" customFormat="1" outlineLevel="1" x14ac:dyDescent="0.25">
      <c r="A1924" s="1515">
        <f t="shared" si="295"/>
        <v>0</v>
      </c>
      <c r="B1924" s="1515" t="str">
        <f t="shared" si="295"/>
        <v>IDC</v>
      </c>
      <c r="C1924" s="1396">
        <f t="shared" si="295"/>
        <v>0</v>
      </c>
      <c r="D1924" s="1378" t="str">
        <f t="shared" si="295"/>
        <v>-</v>
      </c>
      <c r="E1924" s="1505">
        <f t="shared" si="295"/>
        <v>0</v>
      </c>
      <c r="F1924" s="1509">
        <f t="shared" si="296"/>
        <v>0.8</v>
      </c>
      <c r="G1924" s="1509">
        <f t="shared" si="297"/>
        <v>0.8</v>
      </c>
      <c r="H1924" s="1509">
        <f t="shared" ref="H1924:H1987" si="298">F1924-G1924</f>
        <v>0</v>
      </c>
      <c r="I1924" s="1509">
        <v>0</v>
      </c>
      <c r="J1924" s="1509">
        <v>0</v>
      </c>
      <c r="K1924" s="1509"/>
      <c r="L1924" s="1509"/>
      <c r="M1924" s="1509">
        <f t="shared" ref="M1924:M1974" si="299">SUM(J1924:L1924)</f>
        <v>0</v>
      </c>
      <c r="N1924" s="1509">
        <f t="shared" ref="N1924:N1987" si="300">H1924+I1924-M1924</f>
        <v>0</v>
      </c>
    </row>
    <row r="1925" spans="1:14" customFormat="1" ht="43.5" outlineLevel="1" x14ac:dyDescent="0.25">
      <c r="A1925" s="1506">
        <f t="shared" si="295"/>
        <v>3</v>
      </c>
      <c r="B1925" s="1507" t="str">
        <f t="shared" si="295"/>
        <v>DPR on Supply, Installation, and commissioning of complete Governing rack assembly at Unit -06 &amp; 07 TPS Parli-V &amp; Procurement of LPT inner-inner casing at Unit 07 TPS Parli-V.</v>
      </c>
      <c r="C1925" s="1506" t="str">
        <f t="shared" si="295"/>
        <v>Yet to be approved</v>
      </c>
      <c r="D1925" s="1507" t="str">
        <f t="shared" si="295"/>
        <v>-</v>
      </c>
      <c r="E1925" s="1506">
        <f t="shared" si="295"/>
        <v>0</v>
      </c>
      <c r="F1925" s="1509">
        <f t="shared" si="296"/>
        <v>0</v>
      </c>
      <c r="G1925" s="1509">
        <f t="shared" si="297"/>
        <v>0</v>
      </c>
      <c r="H1925" s="1509">
        <f t="shared" si="298"/>
        <v>0</v>
      </c>
      <c r="I1925" s="1509">
        <v>0</v>
      </c>
      <c r="J1925" s="1509">
        <v>0</v>
      </c>
      <c r="K1925" s="1509"/>
      <c r="L1925" s="1509"/>
      <c r="M1925" s="1509">
        <f t="shared" si="299"/>
        <v>0</v>
      </c>
      <c r="N1925" s="1509">
        <f t="shared" si="300"/>
        <v>0</v>
      </c>
    </row>
    <row r="1926" spans="1:14" customFormat="1" ht="29" outlineLevel="1" x14ac:dyDescent="0.25">
      <c r="A1926" s="1511">
        <f t="shared" si="295"/>
        <v>3.1</v>
      </c>
      <c r="B1926" s="1515" t="str">
        <f t="shared" si="295"/>
        <v>Supply, Installation and Commissioning of complete governing rack assembly at Unit-06 TPS ,PARLI-V</v>
      </c>
      <c r="C1926" s="1396" t="str">
        <f t="shared" si="295"/>
        <v>Yet to be approved</v>
      </c>
      <c r="D1926" s="1378" t="str">
        <f t="shared" si="295"/>
        <v>-</v>
      </c>
      <c r="E1926" s="1505">
        <f t="shared" si="295"/>
        <v>0</v>
      </c>
      <c r="F1926" s="1509">
        <f t="shared" si="296"/>
        <v>23.423100000000002</v>
      </c>
      <c r="G1926" s="1509">
        <f t="shared" si="297"/>
        <v>23.423100000000002</v>
      </c>
      <c r="H1926" s="1509">
        <f t="shared" si="298"/>
        <v>0</v>
      </c>
      <c r="I1926" s="1509">
        <v>0</v>
      </c>
      <c r="J1926" s="1509">
        <v>0</v>
      </c>
      <c r="K1926" s="1509"/>
      <c r="L1926" s="1509"/>
      <c r="M1926" s="1509">
        <f t="shared" si="299"/>
        <v>0</v>
      </c>
      <c r="N1926" s="1509">
        <f t="shared" si="300"/>
        <v>0</v>
      </c>
    </row>
    <row r="1927" spans="1:14" customFormat="1" outlineLevel="1" x14ac:dyDescent="0.25">
      <c r="A1927" s="1511">
        <f t="shared" si="295"/>
        <v>3.2</v>
      </c>
      <c r="B1927" s="1515" t="str">
        <f t="shared" si="295"/>
        <v>Procurement of LPT inner-inner casing at Unit- 7 TPS, Parli-V</v>
      </c>
      <c r="C1927" s="1396" t="str">
        <f t="shared" si="295"/>
        <v>Yet to be approved</v>
      </c>
      <c r="D1927" s="1378" t="str">
        <f t="shared" si="295"/>
        <v>-</v>
      </c>
      <c r="E1927" s="1505">
        <f t="shared" si="295"/>
        <v>0</v>
      </c>
      <c r="F1927" s="1509">
        <f t="shared" si="296"/>
        <v>15.57</v>
      </c>
      <c r="G1927" s="1509">
        <f t="shared" si="297"/>
        <v>15.57</v>
      </c>
      <c r="H1927" s="1509">
        <f t="shared" si="298"/>
        <v>0</v>
      </c>
      <c r="I1927" s="1509">
        <v>0</v>
      </c>
      <c r="J1927" s="1509">
        <v>0</v>
      </c>
      <c r="K1927" s="1509"/>
      <c r="L1927" s="1509"/>
      <c r="M1927" s="1509">
        <f t="shared" si="299"/>
        <v>0</v>
      </c>
      <c r="N1927" s="1509">
        <f t="shared" si="300"/>
        <v>0</v>
      </c>
    </row>
    <row r="1928" spans="1:14" customFormat="1" outlineLevel="1" x14ac:dyDescent="0.25">
      <c r="A1928" s="1511">
        <f t="shared" si="295"/>
        <v>0</v>
      </c>
      <c r="B1928" s="1515" t="str">
        <f t="shared" si="295"/>
        <v>IDC</v>
      </c>
      <c r="C1928" s="1396" t="str">
        <f t="shared" si="295"/>
        <v>Yet to be approved</v>
      </c>
      <c r="D1928" s="1378" t="str">
        <f t="shared" si="295"/>
        <v>-</v>
      </c>
      <c r="E1928" s="1505">
        <f t="shared" si="295"/>
        <v>0</v>
      </c>
      <c r="F1928" s="1509">
        <f t="shared" si="296"/>
        <v>0</v>
      </c>
      <c r="G1928" s="1509">
        <f t="shared" si="297"/>
        <v>0</v>
      </c>
      <c r="H1928" s="1509">
        <f t="shared" si="298"/>
        <v>0</v>
      </c>
      <c r="I1928" s="1509">
        <v>0</v>
      </c>
      <c r="J1928" s="1509">
        <v>0</v>
      </c>
      <c r="K1928" s="1509"/>
      <c r="L1928" s="1509"/>
      <c r="M1928" s="1509">
        <f t="shared" si="299"/>
        <v>0</v>
      </c>
      <c r="N1928" s="1509">
        <f t="shared" si="300"/>
        <v>0</v>
      </c>
    </row>
    <row r="1929" spans="1:14" customFormat="1" ht="101.5" outlineLevel="1" x14ac:dyDescent="0.25">
      <c r="A1929" s="1506">
        <f t="shared" si="295"/>
        <v>4</v>
      </c>
      <c r="B1929" s="1507" t="str">
        <f t="shared" si="295"/>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1929" s="1506" t="str">
        <f t="shared" si="295"/>
        <v>Yet to be approved</v>
      </c>
      <c r="D1929" s="1507" t="str">
        <f t="shared" si="295"/>
        <v>-</v>
      </c>
      <c r="E1929" s="1506">
        <f t="shared" si="295"/>
        <v>0</v>
      </c>
      <c r="F1929" s="1509">
        <f t="shared" si="296"/>
        <v>0</v>
      </c>
      <c r="G1929" s="1509">
        <f t="shared" si="297"/>
        <v>0</v>
      </c>
      <c r="H1929" s="1509">
        <f t="shared" si="298"/>
        <v>0</v>
      </c>
      <c r="I1929" s="1509">
        <v>0</v>
      </c>
      <c r="J1929" s="1509">
        <v>0</v>
      </c>
      <c r="K1929" s="1509"/>
      <c r="L1929" s="1509"/>
      <c r="M1929" s="1509">
        <f t="shared" si="299"/>
        <v>0</v>
      </c>
      <c r="N1929" s="1509">
        <f t="shared" si="300"/>
        <v>0</v>
      </c>
    </row>
    <row r="1930" spans="1:14" customFormat="1" ht="29" outlineLevel="1" x14ac:dyDescent="0.25">
      <c r="A1930" s="1511">
        <f t="shared" si="295"/>
        <v>4.0999999999999996</v>
      </c>
      <c r="B1930" s="1515" t="str">
        <f t="shared" si="295"/>
        <v>Procurement of Energy Efficient Cartridges of Boiler Feed Pumps at Unit #6&amp;7 Parli TPS and BFP booster pumps at Unit 6,7 Parli Vaijnath.</v>
      </c>
      <c r="C1930" s="1396" t="str">
        <f t="shared" si="295"/>
        <v>Yet to be approved</v>
      </c>
      <c r="D1930" s="1378" t="str">
        <f t="shared" si="295"/>
        <v>-</v>
      </c>
      <c r="E1930" s="1505">
        <f t="shared" si="295"/>
        <v>0</v>
      </c>
      <c r="F1930" s="1509">
        <f t="shared" si="296"/>
        <v>15</v>
      </c>
      <c r="G1930" s="1509">
        <f t="shared" si="297"/>
        <v>15</v>
      </c>
      <c r="H1930" s="1509">
        <f t="shared" si="298"/>
        <v>0</v>
      </c>
      <c r="I1930" s="1509">
        <v>0</v>
      </c>
      <c r="J1930" s="1509">
        <v>0</v>
      </c>
      <c r="K1930" s="1509"/>
      <c r="L1930" s="1509"/>
      <c r="M1930" s="1509">
        <f t="shared" si="299"/>
        <v>0</v>
      </c>
      <c r="N1930" s="1509">
        <f t="shared" si="300"/>
        <v>0</v>
      </c>
    </row>
    <row r="1931" spans="1:14" customFormat="1" ht="29" outlineLevel="1" x14ac:dyDescent="0.25">
      <c r="A1931" s="1511">
        <f t="shared" si="295"/>
        <v>4.2</v>
      </c>
      <c r="B1931" s="1515" t="str">
        <f t="shared" si="295"/>
        <v>Refurbishment of existing M/s Jindal make H2 gas Dryer at Unit #6&amp;7 Parli TPS</v>
      </c>
      <c r="C1931" s="1396" t="str">
        <f t="shared" si="295"/>
        <v>Yet to be approved</v>
      </c>
      <c r="D1931" s="1378" t="str">
        <f t="shared" si="295"/>
        <v>-</v>
      </c>
      <c r="E1931" s="1505">
        <f t="shared" si="295"/>
        <v>0</v>
      </c>
      <c r="F1931" s="1509">
        <f t="shared" si="296"/>
        <v>3.51</v>
      </c>
      <c r="G1931" s="1509">
        <f t="shared" si="297"/>
        <v>3.51</v>
      </c>
      <c r="H1931" s="1509">
        <f t="shared" si="298"/>
        <v>0</v>
      </c>
      <c r="I1931" s="1509">
        <v>0</v>
      </c>
      <c r="J1931" s="1509">
        <v>0</v>
      </c>
      <c r="K1931" s="1509"/>
      <c r="L1931" s="1509"/>
      <c r="M1931" s="1509">
        <f t="shared" si="299"/>
        <v>0</v>
      </c>
      <c r="N1931" s="1509">
        <f t="shared" si="300"/>
        <v>0</v>
      </c>
    </row>
    <row r="1932" spans="1:14" customFormat="1" ht="29" outlineLevel="1" x14ac:dyDescent="0.25">
      <c r="A1932" s="1511">
        <f t="shared" si="295"/>
        <v>4.3</v>
      </c>
      <c r="B1932" s="1515" t="str">
        <f t="shared" si="295"/>
        <v>Refurbishment of existing M/s Donaldson make Instrument Air Dryer at Unit#6 Parli TPS</v>
      </c>
      <c r="C1932" s="1396" t="str">
        <f t="shared" si="295"/>
        <v>Yet to be approved</v>
      </c>
      <c r="D1932" s="1378" t="str">
        <f t="shared" si="295"/>
        <v>-</v>
      </c>
      <c r="E1932" s="1505">
        <f t="shared" si="295"/>
        <v>0</v>
      </c>
      <c r="F1932" s="1509">
        <f t="shared" si="296"/>
        <v>4.59</v>
      </c>
      <c r="G1932" s="1509">
        <f t="shared" si="297"/>
        <v>4.59</v>
      </c>
      <c r="H1932" s="1509">
        <f t="shared" si="298"/>
        <v>0</v>
      </c>
      <c r="I1932" s="1509">
        <v>0</v>
      </c>
      <c r="J1932" s="1509">
        <v>0</v>
      </c>
      <c r="K1932" s="1509"/>
      <c r="L1932" s="1509"/>
      <c r="M1932" s="1509">
        <f t="shared" si="299"/>
        <v>0</v>
      </c>
      <c r="N1932" s="1509">
        <f t="shared" si="300"/>
        <v>0</v>
      </c>
    </row>
    <row r="1933" spans="1:14" customFormat="1" ht="58" outlineLevel="1" x14ac:dyDescent="0.25">
      <c r="A1933" s="1511">
        <f t="shared" si="295"/>
        <v>4.4000000000000004</v>
      </c>
      <c r="B1933" s="1515" t="str">
        <f t="shared" si="295"/>
        <v xml:space="preserve"> Repair and refurbishment of flowmore make ACW pump v.t model 24h/2 stage drawing no. csd/96502082k5(A)&amp; HSC booster pump model fig 5821 size 350 x 300 drawing no. csd/96502082k5(b) at unit#6,7.</v>
      </c>
      <c r="C1933" s="1396" t="str">
        <f t="shared" si="295"/>
        <v>Yet to be approved</v>
      </c>
      <c r="D1933" s="1378" t="str">
        <f t="shared" si="295"/>
        <v>-</v>
      </c>
      <c r="E1933" s="1505">
        <f t="shared" si="295"/>
        <v>0</v>
      </c>
      <c r="F1933" s="1509">
        <f t="shared" si="296"/>
        <v>3.89</v>
      </c>
      <c r="G1933" s="1509">
        <f t="shared" si="297"/>
        <v>3.89</v>
      </c>
      <c r="H1933" s="1509">
        <f t="shared" si="298"/>
        <v>0</v>
      </c>
      <c r="I1933" s="1509">
        <v>0</v>
      </c>
      <c r="J1933" s="1509">
        <v>0</v>
      </c>
      <c r="K1933" s="1509"/>
      <c r="L1933" s="1509"/>
      <c r="M1933" s="1509">
        <f t="shared" si="299"/>
        <v>0</v>
      </c>
      <c r="N1933" s="1509">
        <f t="shared" si="300"/>
        <v>0</v>
      </c>
    </row>
    <row r="1934" spans="1:14" customFormat="1" outlineLevel="1" x14ac:dyDescent="0.25">
      <c r="A1934" s="1511">
        <f t="shared" si="295"/>
        <v>0</v>
      </c>
      <c r="B1934" s="1515" t="str">
        <f t="shared" si="295"/>
        <v>IDC</v>
      </c>
      <c r="C1934" s="1396" t="str">
        <f t="shared" si="295"/>
        <v>Yet to be approved</v>
      </c>
      <c r="D1934" s="1378" t="str">
        <f t="shared" si="295"/>
        <v>-</v>
      </c>
      <c r="E1934" s="1505">
        <f t="shared" si="295"/>
        <v>0</v>
      </c>
      <c r="F1934" s="1509">
        <f t="shared" si="296"/>
        <v>0</v>
      </c>
      <c r="G1934" s="1509">
        <f t="shared" si="297"/>
        <v>0</v>
      </c>
      <c r="H1934" s="1509">
        <f t="shared" si="298"/>
        <v>0</v>
      </c>
      <c r="I1934" s="1509">
        <v>0</v>
      </c>
      <c r="J1934" s="1509">
        <v>0</v>
      </c>
      <c r="K1934" s="1509"/>
      <c r="L1934" s="1509"/>
      <c r="M1934" s="1509">
        <f t="shared" si="299"/>
        <v>0</v>
      </c>
      <c r="N1934" s="1509">
        <f t="shared" si="300"/>
        <v>0</v>
      </c>
    </row>
    <row r="1935" spans="1:14" customFormat="1" outlineLevel="1" x14ac:dyDescent="0.25">
      <c r="A1935" s="1506">
        <f t="shared" si="295"/>
        <v>5</v>
      </c>
      <c r="B1935" s="1507" t="str">
        <f t="shared" si="295"/>
        <v>Bolier Improvement schemes at  U#6,7 Parli TPS</v>
      </c>
      <c r="C1935" s="1506" t="str">
        <f t="shared" si="295"/>
        <v>Yet to be approved</v>
      </c>
      <c r="D1935" s="1507" t="str">
        <f t="shared" si="295"/>
        <v>-</v>
      </c>
      <c r="E1935" s="1506">
        <f t="shared" si="295"/>
        <v>0</v>
      </c>
      <c r="F1935" s="1509">
        <f t="shared" si="296"/>
        <v>0</v>
      </c>
      <c r="G1935" s="1509">
        <f t="shared" si="297"/>
        <v>0</v>
      </c>
      <c r="H1935" s="1509">
        <f t="shared" si="298"/>
        <v>0</v>
      </c>
      <c r="I1935" s="1509">
        <v>0</v>
      </c>
      <c r="J1935" s="1509">
        <v>0</v>
      </c>
      <c r="K1935" s="1509"/>
      <c r="L1935" s="1509"/>
      <c r="M1935" s="1509">
        <f t="shared" si="299"/>
        <v>0</v>
      </c>
      <c r="N1935" s="1509">
        <f t="shared" si="300"/>
        <v>0</v>
      </c>
    </row>
    <row r="1936" spans="1:14" customFormat="1" ht="29" outlineLevel="1" x14ac:dyDescent="0.25">
      <c r="A1936" s="1511">
        <f t="shared" si="295"/>
        <v>5.0999999999999996</v>
      </c>
      <c r="B1936" s="1515" t="str">
        <f t="shared" si="295"/>
        <v>Procurment &amp; replacement of Four complete set of APH basket ay U#6 &amp; 7</v>
      </c>
      <c r="C1936" s="1396" t="str">
        <f t="shared" si="295"/>
        <v>Yet to be approved</v>
      </c>
      <c r="D1936" s="1378" t="str">
        <f t="shared" si="295"/>
        <v>-</v>
      </c>
      <c r="E1936" s="1505">
        <f t="shared" si="295"/>
        <v>0</v>
      </c>
      <c r="F1936" s="1509">
        <f t="shared" si="296"/>
        <v>10</v>
      </c>
      <c r="G1936" s="1509">
        <f t="shared" si="297"/>
        <v>10</v>
      </c>
      <c r="H1936" s="1509">
        <f t="shared" si="298"/>
        <v>0</v>
      </c>
      <c r="I1936" s="1509">
        <v>0</v>
      </c>
      <c r="J1936" s="1509">
        <v>0</v>
      </c>
      <c r="K1936" s="1509"/>
      <c r="L1936" s="1509"/>
      <c r="M1936" s="1509">
        <f t="shared" si="299"/>
        <v>0</v>
      </c>
      <c r="N1936" s="1509">
        <f t="shared" si="300"/>
        <v>0</v>
      </c>
    </row>
    <row r="1937" spans="1:14" customFormat="1" ht="29" outlineLevel="1" x14ac:dyDescent="0.25">
      <c r="A1937" s="1511">
        <f t="shared" si="295"/>
        <v>5.2</v>
      </c>
      <c r="B1937" s="1515" t="str">
        <f t="shared" si="295"/>
        <v>PROCUREMENT &amp; REPLACEMENT OF COAL COMPARATMENT ASSEMBLIES FOR 250 MW UNIT-6 &amp; 7 AT PARLI TPS</v>
      </c>
      <c r="C1937" s="1396" t="str">
        <f t="shared" si="295"/>
        <v>Yet to be approved</v>
      </c>
      <c r="D1937" s="1378" t="str">
        <f t="shared" si="295"/>
        <v>-</v>
      </c>
      <c r="E1937" s="1505">
        <f t="shared" si="295"/>
        <v>0</v>
      </c>
      <c r="F1937" s="1509">
        <f t="shared" si="296"/>
        <v>2.5499999999999998</v>
      </c>
      <c r="G1937" s="1509">
        <f t="shared" si="297"/>
        <v>2.5499999999999998</v>
      </c>
      <c r="H1937" s="1509">
        <f t="shared" si="298"/>
        <v>0</v>
      </c>
      <c r="I1937" s="1509">
        <v>0</v>
      </c>
      <c r="J1937" s="1509">
        <v>0</v>
      </c>
      <c r="K1937" s="1509"/>
      <c r="L1937" s="1509"/>
      <c r="M1937" s="1509">
        <f t="shared" si="299"/>
        <v>0</v>
      </c>
      <c r="N1937" s="1509">
        <f t="shared" si="300"/>
        <v>0</v>
      </c>
    </row>
    <row r="1938" spans="1:14" customFormat="1" ht="29" outlineLevel="1" x14ac:dyDescent="0.25">
      <c r="A1938" s="1511">
        <f t="shared" si="295"/>
        <v>5.3</v>
      </c>
      <c r="B1938" s="1515" t="str">
        <f t="shared" si="295"/>
        <v>Procurement &amp; replacement  of complete set of Reheater coils for U- 6 &amp; 7</v>
      </c>
      <c r="C1938" s="1396" t="str">
        <f t="shared" si="295"/>
        <v>Yet to be approved</v>
      </c>
      <c r="D1938" s="1378" t="str">
        <f t="shared" si="295"/>
        <v>-</v>
      </c>
      <c r="E1938" s="1505">
        <f t="shared" si="295"/>
        <v>0</v>
      </c>
      <c r="F1938" s="1509">
        <f t="shared" si="296"/>
        <v>22.5</v>
      </c>
      <c r="G1938" s="1509">
        <f t="shared" si="297"/>
        <v>22.5</v>
      </c>
      <c r="H1938" s="1509">
        <f t="shared" si="298"/>
        <v>0</v>
      </c>
      <c r="I1938" s="1509">
        <v>0</v>
      </c>
      <c r="J1938" s="1509">
        <v>0</v>
      </c>
      <c r="K1938" s="1509"/>
      <c r="L1938" s="1509"/>
      <c r="M1938" s="1509">
        <f t="shared" si="299"/>
        <v>0</v>
      </c>
      <c r="N1938" s="1509">
        <f t="shared" si="300"/>
        <v>0</v>
      </c>
    </row>
    <row r="1939" spans="1:14" customFormat="1" ht="29" outlineLevel="1" x14ac:dyDescent="0.25">
      <c r="A1939" s="1511">
        <f t="shared" ref="A1939:E1954" si="301">A1582</f>
        <v>5.4</v>
      </c>
      <c r="B1939" s="1515" t="str">
        <f t="shared" si="301"/>
        <v>Procurement &amp; replacement  of complete set of Platen SH coil for U- 6 &amp; 7</v>
      </c>
      <c r="C1939" s="1396" t="str">
        <f t="shared" si="301"/>
        <v>Yet to be approved</v>
      </c>
      <c r="D1939" s="1378" t="str">
        <f t="shared" si="301"/>
        <v>-</v>
      </c>
      <c r="E1939" s="1505">
        <f t="shared" si="301"/>
        <v>0</v>
      </c>
      <c r="F1939" s="1509">
        <f t="shared" si="296"/>
        <v>25.5</v>
      </c>
      <c r="G1939" s="1509">
        <f t="shared" si="297"/>
        <v>25.5</v>
      </c>
      <c r="H1939" s="1509">
        <f t="shared" si="298"/>
        <v>0</v>
      </c>
      <c r="I1939" s="1509">
        <v>0</v>
      </c>
      <c r="J1939" s="1509">
        <v>0</v>
      </c>
      <c r="K1939" s="1509"/>
      <c r="L1939" s="1509"/>
      <c r="M1939" s="1509">
        <f t="shared" si="299"/>
        <v>0</v>
      </c>
      <c r="N1939" s="1509">
        <f t="shared" si="300"/>
        <v>0</v>
      </c>
    </row>
    <row r="1940" spans="1:14" customFormat="1" outlineLevel="1" x14ac:dyDescent="0.25">
      <c r="A1940" s="1511">
        <f t="shared" si="301"/>
        <v>5.5</v>
      </c>
      <c r="B1940" s="1515" t="str">
        <f t="shared" si="301"/>
        <v>Procurement &amp; replacement of  shell liner for U-6&amp;7</v>
      </c>
      <c r="C1940" s="1396" t="str">
        <f t="shared" si="301"/>
        <v>Yet to be approved</v>
      </c>
      <c r="D1940" s="1378" t="str">
        <f t="shared" si="301"/>
        <v>-</v>
      </c>
      <c r="E1940" s="1505">
        <f t="shared" si="301"/>
        <v>0</v>
      </c>
      <c r="F1940" s="1509">
        <f t="shared" si="296"/>
        <v>3.5</v>
      </c>
      <c r="G1940" s="1509">
        <f t="shared" si="297"/>
        <v>3.5</v>
      </c>
      <c r="H1940" s="1509">
        <f t="shared" si="298"/>
        <v>0</v>
      </c>
      <c r="I1940" s="1509">
        <v>0</v>
      </c>
      <c r="J1940" s="1509">
        <v>0</v>
      </c>
      <c r="K1940" s="1509"/>
      <c r="L1940" s="1509"/>
      <c r="M1940" s="1509">
        <f t="shared" si="299"/>
        <v>0</v>
      </c>
      <c r="N1940" s="1509">
        <f t="shared" si="300"/>
        <v>0</v>
      </c>
    </row>
    <row r="1941" spans="1:14" customFormat="1" ht="29" outlineLevel="1" x14ac:dyDescent="0.25">
      <c r="A1941" s="1511">
        <f t="shared" si="301"/>
        <v>5.6</v>
      </c>
      <c r="B1941" s="1515" t="str">
        <f t="shared" si="301"/>
        <v>Procurement &amp; replacement of  FD fan assembly with blade set at U#6,7</v>
      </c>
      <c r="C1941" s="1396" t="str">
        <f t="shared" si="301"/>
        <v>Yet to be approved</v>
      </c>
      <c r="D1941" s="1378" t="str">
        <f t="shared" si="301"/>
        <v>-</v>
      </c>
      <c r="E1941" s="1505">
        <f t="shared" si="301"/>
        <v>0</v>
      </c>
      <c r="F1941" s="1509">
        <f t="shared" si="296"/>
        <v>8</v>
      </c>
      <c r="G1941" s="1509">
        <f t="shared" si="297"/>
        <v>8</v>
      </c>
      <c r="H1941" s="1509">
        <f t="shared" si="298"/>
        <v>0</v>
      </c>
      <c r="I1941" s="1509">
        <v>0</v>
      </c>
      <c r="J1941" s="1509">
        <v>0</v>
      </c>
      <c r="K1941" s="1509"/>
      <c r="L1941" s="1509"/>
      <c r="M1941" s="1509">
        <f t="shared" si="299"/>
        <v>0</v>
      </c>
      <c r="N1941" s="1509">
        <f t="shared" si="300"/>
        <v>0</v>
      </c>
    </row>
    <row r="1942" spans="1:14" customFormat="1" outlineLevel="1" x14ac:dyDescent="0.25">
      <c r="A1942" s="1511">
        <f t="shared" si="301"/>
        <v>0</v>
      </c>
      <c r="B1942" s="1515" t="str">
        <f t="shared" si="301"/>
        <v>IDC</v>
      </c>
      <c r="C1942" s="1396" t="str">
        <f t="shared" si="301"/>
        <v>Yet to be approved</v>
      </c>
      <c r="D1942" s="1378" t="str">
        <f t="shared" si="301"/>
        <v>-</v>
      </c>
      <c r="E1942" s="1505">
        <f t="shared" si="301"/>
        <v>0</v>
      </c>
      <c r="F1942" s="1509">
        <f t="shared" si="296"/>
        <v>0</v>
      </c>
      <c r="G1942" s="1509">
        <f t="shared" si="297"/>
        <v>0</v>
      </c>
      <c r="H1942" s="1509">
        <f t="shared" si="298"/>
        <v>0</v>
      </c>
      <c r="I1942" s="1509">
        <v>0</v>
      </c>
      <c r="J1942" s="1509">
        <v>0</v>
      </c>
      <c r="K1942" s="1509"/>
      <c r="L1942" s="1509"/>
      <c r="M1942" s="1509">
        <f t="shared" si="299"/>
        <v>0</v>
      </c>
      <c r="N1942" s="1509">
        <f t="shared" si="300"/>
        <v>0</v>
      </c>
    </row>
    <row r="1943" spans="1:14" customFormat="1" outlineLevel="1" x14ac:dyDescent="0.25">
      <c r="A1943" s="1506">
        <f t="shared" si="301"/>
        <v>6</v>
      </c>
      <c r="B1943" s="1507" t="str">
        <f t="shared" si="301"/>
        <v>Bolier plant performance Improvement schemes at  U#6,7 Parli TPS</v>
      </c>
      <c r="C1943" s="1506" t="str">
        <f t="shared" si="301"/>
        <v>Yet to be approved</v>
      </c>
      <c r="D1943" s="1507" t="str">
        <f t="shared" si="301"/>
        <v>-</v>
      </c>
      <c r="E1943" s="1506">
        <f t="shared" si="301"/>
        <v>0</v>
      </c>
      <c r="F1943" s="1509">
        <f t="shared" si="296"/>
        <v>0</v>
      </c>
      <c r="G1943" s="1509">
        <f t="shared" si="297"/>
        <v>0</v>
      </c>
      <c r="H1943" s="1509">
        <f t="shared" si="298"/>
        <v>0</v>
      </c>
      <c r="I1943" s="1509">
        <v>0</v>
      </c>
      <c r="J1943" s="1509">
        <v>0</v>
      </c>
      <c r="K1943" s="1509"/>
      <c r="L1943" s="1509"/>
      <c r="M1943" s="1509">
        <f t="shared" si="299"/>
        <v>0</v>
      </c>
      <c r="N1943" s="1509">
        <f t="shared" si="300"/>
        <v>0</v>
      </c>
    </row>
    <row r="1944" spans="1:14" customFormat="1" ht="29" outlineLevel="1" x14ac:dyDescent="0.25">
      <c r="A1944" s="1511">
        <f t="shared" si="301"/>
        <v>6.1</v>
      </c>
      <c r="B1944" s="1515" t="str">
        <f t="shared" si="301"/>
        <v xml:space="preserve"> PROCUREMENT &amp; REPLACEMENT OF COAL COMPARATMENT ASSEMBLIES FOR 250 MW UNIT-6 &amp; 7 AT PARLI TPS</v>
      </c>
      <c r="C1944" s="1396" t="str">
        <f t="shared" si="301"/>
        <v>Yet to be approved</v>
      </c>
      <c r="D1944" s="1378" t="str">
        <f t="shared" si="301"/>
        <v>-</v>
      </c>
      <c r="E1944" s="1505">
        <f t="shared" si="301"/>
        <v>0</v>
      </c>
      <c r="F1944" s="1509">
        <f t="shared" si="296"/>
        <v>0</v>
      </c>
      <c r="G1944" s="1509">
        <f t="shared" si="297"/>
        <v>0</v>
      </c>
      <c r="H1944" s="1509">
        <f t="shared" si="298"/>
        <v>0</v>
      </c>
      <c r="I1944" s="1509">
        <v>1.35</v>
      </c>
      <c r="J1944" s="1509">
        <v>1.35</v>
      </c>
      <c r="K1944" s="1509"/>
      <c r="L1944" s="1509"/>
      <c r="M1944" s="1509">
        <f t="shared" si="299"/>
        <v>1.35</v>
      </c>
      <c r="N1944" s="1509">
        <f t="shared" si="300"/>
        <v>0</v>
      </c>
    </row>
    <row r="1945" spans="1:14" customFormat="1" outlineLevel="1" x14ac:dyDescent="0.25">
      <c r="A1945" s="1511">
        <f t="shared" si="301"/>
        <v>6.2</v>
      </c>
      <c r="B1945" s="1515" t="str">
        <f t="shared" si="301"/>
        <v>Procurement &amp; replacement of  shell liner for U-6&amp;7</v>
      </c>
      <c r="C1945" s="1396" t="str">
        <f t="shared" si="301"/>
        <v>Yet to be approved</v>
      </c>
      <c r="D1945" s="1378" t="str">
        <f t="shared" si="301"/>
        <v>-</v>
      </c>
      <c r="E1945" s="1505">
        <f t="shared" si="301"/>
        <v>0</v>
      </c>
      <c r="F1945" s="1509">
        <f t="shared" si="296"/>
        <v>0</v>
      </c>
      <c r="G1945" s="1509">
        <f t="shared" si="297"/>
        <v>0</v>
      </c>
      <c r="H1945" s="1509">
        <f t="shared" si="298"/>
        <v>0</v>
      </c>
      <c r="I1945" s="1509">
        <v>0</v>
      </c>
      <c r="J1945" s="1509">
        <v>0</v>
      </c>
      <c r="K1945" s="1509"/>
      <c r="L1945" s="1509"/>
      <c r="M1945" s="1509">
        <f t="shared" si="299"/>
        <v>0</v>
      </c>
      <c r="N1945" s="1509">
        <f t="shared" si="300"/>
        <v>0</v>
      </c>
    </row>
    <row r="1946" spans="1:14" customFormat="1" ht="29" outlineLevel="1" x14ac:dyDescent="0.25">
      <c r="A1946" s="1511">
        <f t="shared" si="301"/>
        <v>6.3</v>
      </c>
      <c r="B1946" s="1515" t="str">
        <f t="shared" si="301"/>
        <v>Procurement &amp; replacement of water wall Z panel &amp; water wall soot blower panel at U#6,7</v>
      </c>
      <c r="C1946" s="1396" t="str">
        <f t="shared" si="301"/>
        <v>Yet to be approved</v>
      </c>
      <c r="D1946" s="1378" t="str">
        <f t="shared" si="301"/>
        <v>-</v>
      </c>
      <c r="E1946" s="1505">
        <f t="shared" si="301"/>
        <v>0</v>
      </c>
      <c r="F1946" s="1509">
        <f t="shared" si="296"/>
        <v>0</v>
      </c>
      <c r="G1946" s="1509">
        <f t="shared" si="297"/>
        <v>0</v>
      </c>
      <c r="H1946" s="1509">
        <f t="shared" si="298"/>
        <v>0</v>
      </c>
      <c r="I1946" s="1509">
        <v>3.5</v>
      </c>
      <c r="J1946" s="1509">
        <v>3.5</v>
      </c>
      <c r="K1946" s="1509"/>
      <c r="L1946" s="1509"/>
      <c r="M1946" s="1509">
        <f t="shared" si="299"/>
        <v>3.5</v>
      </c>
      <c r="N1946" s="1509">
        <f t="shared" si="300"/>
        <v>0</v>
      </c>
    </row>
    <row r="1947" spans="1:14" customFormat="1" ht="29" outlineLevel="1" x14ac:dyDescent="0.25">
      <c r="A1947" s="1511">
        <f t="shared" si="301"/>
        <v>6.4</v>
      </c>
      <c r="B1947" s="1515" t="str">
        <f t="shared" si="301"/>
        <v>Procurement &amp; Replacement of Two complete set of APH Baskets at 250 MW Unit-7, Parli TPS.</v>
      </c>
      <c r="C1947" s="1396" t="str">
        <f t="shared" si="301"/>
        <v>Yet to be approved</v>
      </c>
      <c r="D1947" s="1378" t="str">
        <f t="shared" si="301"/>
        <v>-</v>
      </c>
      <c r="E1947" s="1505">
        <f t="shared" si="301"/>
        <v>0</v>
      </c>
      <c r="F1947" s="1509">
        <f t="shared" si="296"/>
        <v>0</v>
      </c>
      <c r="G1947" s="1509">
        <f t="shared" si="297"/>
        <v>0</v>
      </c>
      <c r="H1947" s="1509">
        <f t="shared" si="298"/>
        <v>0</v>
      </c>
      <c r="I1947" s="1509">
        <v>0</v>
      </c>
      <c r="J1947" s="1509">
        <v>0</v>
      </c>
      <c r="K1947" s="1509"/>
      <c r="L1947" s="1509"/>
      <c r="M1947" s="1509">
        <f t="shared" si="299"/>
        <v>0</v>
      </c>
      <c r="N1947" s="1509">
        <f t="shared" si="300"/>
        <v>0</v>
      </c>
    </row>
    <row r="1948" spans="1:14" customFormat="1" outlineLevel="1" x14ac:dyDescent="0.25">
      <c r="A1948" s="1511">
        <f t="shared" si="301"/>
        <v>0</v>
      </c>
      <c r="B1948" s="1515" t="str">
        <f t="shared" si="301"/>
        <v>IDC</v>
      </c>
      <c r="C1948" s="1396" t="str">
        <f t="shared" si="301"/>
        <v>Yet to be approved</v>
      </c>
      <c r="D1948" s="1378" t="str">
        <f t="shared" si="301"/>
        <v>-</v>
      </c>
      <c r="E1948" s="1505">
        <f t="shared" si="301"/>
        <v>0</v>
      </c>
      <c r="F1948" s="1509">
        <f t="shared" si="296"/>
        <v>0</v>
      </c>
      <c r="G1948" s="1509">
        <f t="shared" si="297"/>
        <v>0</v>
      </c>
      <c r="H1948" s="1509">
        <f t="shared" si="298"/>
        <v>0</v>
      </c>
      <c r="I1948" s="1509">
        <v>0</v>
      </c>
      <c r="J1948" s="1509">
        <v>0</v>
      </c>
      <c r="K1948" s="1509"/>
      <c r="L1948" s="1509"/>
      <c r="M1948" s="1509">
        <f t="shared" si="299"/>
        <v>0</v>
      </c>
      <c r="N1948" s="1509">
        <f t="shared" si="300"/>
        <v>0</v>
      </c>
    </row>
    <row r="1949" spans="1:14" customFormat="1" outlineLevel="1" x14ac:dyDescent="0.25">
      <c r="A1949" s="1506">
        <f t="shared" si="301"/>
        <v>7</v>
      </c>
      <c r="B1949" s="1507" t="str">
        <f t="shared" si="301"/>
        <v>ESP Upgradation at U#6,7</v>
      </c>
      <c r="C1949" s="1506" t="str">
        <f t="shared" si="301"/>
        <v>Yet to be approved</v>
      </c>
      <c r="D1949" s="1507" t="str">
        <f t="shared" si="301"/>
        <v>-</v>
      </c>
      <c r="E1949" s="1506">
        <f t="shared" si="301"/>
        <v>0</v>
      </c>
      <c r="F1949" s="1509">
        <f t="shared" si="296"/>
        <v>0</v>
      </c>
      <c r="G1949" s="1509">
        <f t="shared" si="297"/>
        <v>0</v>
      </c>
      <c r="H1949" s="1509">
        <f t="shared" si="298"/>
        <v>0</v>
      </c>
      <c r="I1949" s="1509">
        <v>0</v>
      </c>
      <c r="J1949" s="1509">
        <v>0</v>
      </c>
      <c r="K1949" s="1509"/>
      <c r="L1949" s="1509"/>
      <c r="M1949" s="1509">
        <f t="shared" si="299"/>
        <v>0</v>
      </c>
      <c r="N1949" s="1509">
        <f t="shared" si="300"/>
        <v>0</v>
      </c>
    </row>
    <row r="1950" spans="1:14" customFormat="1" ht="58" outlineLevel="1" x14ac:dyDescent="0.25">
      <c r="A1950" s="1511">
        <f t="shared" si="301"/>
        <v>7.1</v>
      </c>
      <c r="B1950" s="1515" t="str">
        <f t="shared" si="301"/>
        <v xml:space="preserve"> Procurement &amp; replacement of all emitting coils &amp; collecting plates of ESP &amp; Procurement &amp; replacement of ESP internals at U#6,7 Parli TPS &amp; Replacement of thermal insulation of boiler, ducts &amp; steam piping along with supply</v>
      </c>
      <c r="C1950" s="1396" t="str">
        <f t="shared" si="301"/>
        <v>Yet to be approved</v>
      </c>
      <c r="D1950" s="1378" t="str">
        <f t="shared" si="301"/>
        <v>-</v>
      </c>
      <c r="E1950" s="1505">
        <f t="shared" si="301"/>
        <v>0</v>
      </c>
      <c r="F1950" s="1509">
        <f t="shared" si="296"/>
        <v>0</v>
      </c>
      <c r="G1950" s="1509">
        <f t="shared" si="297"/>
        <v>0</v>
      </c>
      <c r="H1950" s="1509">
        <f t="shared" si="298"/>
        <v>0</v>
      </c>
      <c r="I1950" s="1509">
        <v>25</v>
      </c>
      <c r="J1950" s="1509">
        <v>25</v>
      </c>
      <c r="K1950" s="1509"/>
      <c r="L1950" s="1509"/>
      <c r="M1950" s="1509">
        <f t="shared" si="299"/>
        <v>25</v>
      </c>
      <c r="N1950" s="1509">
        <f t="shared" si="300"/>
        <v>0</v>
      </c>
    </row>
    <row r="1951" spans="1:14" customFormat="1" ht="29" outlineLevel="1" x14ac:dyDescent="0.25">
      <c r="A1951" s="1511">
        <f t="shared" si="301"/>
        <v>7.2</v>
      </c>
      <c r="B1951" s="1515" t="str">
        <f t="shared" si="301"/>
        <v xml:space="preserve"> Replacement of thermal insulation of boiler, ducts &amp; steam piping along with supply</v>
      </c>
      <c r="C1951" s="1396" t="str">
        <f t="shared" si="301"/>
        <v>Yet to be approved</v>
      </c>
      <c r="D1951" s="1378" t="str">
        <f t="shared" si="301"/>
        <v>-</v>
      </c>
      <c r="E1951" s="1505">
        <f t="shared" si="301"/>
        <v>0</v>
      </c>
      <c r="F1951" s="1509">
        <f t="shared" si="296"/>
        <v>0</v>
      </c>
      <c r="G1951" s="1509">
        <f t="shared" si="297"/>
        <v>0</v>
      </c>
      <c r="H1951" s="1509">
        <f t="shared" si="298"/>
        <v>0</v>
      </c>
      <c r="I1951" s="1509">
        <v>0</v>
      </c>
      <c r="J1951" s="1509">
        <v>0</v>
      </c>
      <c r="K1951" s="1509"/>
      <c r="L1951" s="1509"/>
      <c r="M1951" s="1509">
        <f t="shared" si="299"/>
        <v>0</v>
      </c>
      <c r="N1951" s="1509">
        <f t="shared" si="300"/>
        <v>0</v>
      </c>
    </row>
    <row r="1952" spans="1:14" customFormat="1" outlineLevel="1" x14ac:dyDescent="0.25">
      <c r="A1952" s="1511">
        <f t="shared" si="301"/>
        <v>0</v>
      </c>
      <c r="B1952" s="1515" t="str">
        <f t="shared" si="301"/>
        <v>IDC</v>
      </c>
      <c r="C1952" s="1396" t="str">
        <f t="shared" si="301"/>
        <v>Yet to be approved</v>
      </c>
      <c r="D1952" s="1378" t="str">
        <f t="shared" si="301"/>
        <v>-</v>
      </c>
      <c r="E1952" s="1505">
        <f t="shared" si="301"/>
        <v>0</v>
      </c>
      <c r="F1952" s="1509">
        <f t="shared" si="296"/>
        <v>0</v>
      </c>
      <c r="G1952" s="1509">
        <f t="shared" si="297"/>
        <v>0</v>
      </c>
      <c r="H1952" s="1509">
        <f t="shared" si="298"/>
        <v>0</v>
      </c>
      <c r="I1952" s="1509">
        <v>0</v>
      </c>
      <c r="J1952" s="1509">
        <v>0</v>
      </c>
      <c r="K1952" s="1509"/>
      <c r="L1952" s="1509"/>
      <c r="M1952" s="1509">
        <f t="shared" si="299"/>
        <v>0</v>
      </c>
      <c r="N1952" s="1509">
        <f t="shared" si="300"/>
        <v>0</v>
      </c>
    </row>
    <row r="1953" spans="1:14" customFormat="1" outlineLevel="1" x14ac:dyDescent="0.25">
      <c r="A1953" s="1506">
        <f t="shared" si="301"/>
        <v>8</v>
      </c>
      <c r="B1953" s="1507" t="str">
        <f t="shared" si="301"/>
        <v>Augmentation of Dautpur &amp; Sandawa premises water recovery system</v>
      </c>
      <c r="C1953" s="1506" t="str">
        <f t="shared" si="301"/>
        <v>Yet to be approved</v>
      </c>
      <c r="D1953" s="1507" t="str">
        <f t="shared" si="301"/>
        <v>-</v>
      </c>
      <c r="E1953" s="1506">
        <f t="shared" si="301"/>
        <v>0</v>
      </c>
      <c r="F1953" s="1509">
        <f t="shared" si="296"/>
        <v>0</v>
      </c>
      <c r="G1953" s="1509">
        <f t="shared" si="297"/>
        <v>0</v>
      </c>
      <c r="H1953" s="1509">
        <f t="shared" si="298"/>
        <v>0</v>
      </c>
      <c r="I1953" s="1509">
        <v>0</v>
      </c>
      <c r="J1953" s="1509">
        <v>0</v>
      </c>
      <c r="K1953" s="1509"/>
      <c r="L1953" s="1509"/>
      <c r="M1953" s="1509">
        <f t="shared" si="299"/>
        <v>0</v>
      </c>
      <c r="N1953" s="1509">
        <f t="shared" si="300"/>
        <v>0</v>
      </c>
    </row>
    <row r="1954" spans="1:14" customFormat="1" ht="29" outlineLevel="1" x14ac:dyDescent="0.25">
      <c r="A1954" s="1511">
        <f t="shared" si="301"/>
        <v>8.1</v>
      </c>
      <c r="B1954" s="1515" t="str">
        <f t="shared" si="301"/>
        <v>Supply, erection &amp; commissioning of VT pumps for waste water recovery at TM-NPTPS, Parli-V</v>
      </c>
      <c r="C1954" s="1396" t="str">
        <f t="shared" si="301"/>
        <v>Yet to be approved</v>
      </c>
      <c r="D1954" s="1378" t="str">
        <f t="shared" si="301"/>
        <v>-</v>
      </c>
      <c r="E1954" s="1505">
        <f t="shared" si="301"/>
        <v>0</v>
      </c>
      <c r="F1954" s="1509">
        <f t="shared" si="296"/>
        <v>9.3000000000000007</v>
      </c>
      <c r="G1954" s="1509">
        <f t="shared" si="297"/>
        <v>9.3000000000000007</v>
      </c>
      <c r="H1954" s="1509">
        <f t="shared" si="298"/>
        <v>0</v>
      </c>
      <c r="I1954" s="1509">
        <v>0</v>
      </c>
      <c r="J1954" s="1509">
        <v>0</v>
      </c>
      <c r="K1954" s="1509"/>
      <c r="L1954" s="1509"/>
      <c r="M1954" s="1509">
        <f t="shared" si="299"/>
        <v>0</v>
      </c>
      <c r="N1954" s="1509">
        <f t="shared" si="300"/>
        <v>0</v>
      </c>
    </row>
    <row r="1955" spans="1:14" customFormat="1" ht="43.5" outlineLevel="1" x14ac:dyDescent="0.25">
      <c r="A1955" s="1511">
        <f t="shared" ref="A1955:E1970" si="302">A1598</f>
        <v>8.1999999999999993</v>
      </c>
      <c r="B1955" s="1515" t="str">
        <f t="shared" si="302"/>
        <v>RENOVATION OF ASH WATER RECOVERY SUPPLY SYSTEM INCLUDING ERECTION &amp; COMMISSIONING LT BOARD 11KV/415V SUBSTATION WITH 11KV OH LINE AT SANDWA &amp; DAUTPUR PUMP HOUSE</v>
      </c>
      <c r="C1955" s="1396" t="str">
        <f t="shared" si="302"/>
        <v>Yet to be approved</v>
      </c>
      <c r="D1955" s="1378" t="str">
        <f t="shared" si="302"/>
        <v>-</v>
      </c>
      <c r="E1955" s="1505">
        <f t="shared" si="302"/>
        <v>0</v>
      </c>
      <c r="F1955" s="1509">
        <f t="shared" si="296"/>
        <v>12.42</v>
      </c>
      <c r="G1955" s="1509">
        <f t="shared" si="297"/>
        <v>12.42</v>
      </c>
      <c r="H1955" s="1509">
        <f t="shared" si="298"/>
        <v>0</v>
      </c>
      <c r="I1955" s="1509">
        <v>0</v>
      </c>
      <c r="J1955" s="1509">
        <v>0</v>
      </c>
      <c r="K1955" s="1509"/>
      <c r="L1955" s="1509"/>
      <c r="M1955" s="1509">
        <f t="shared" si="299"/>
        <v>0</v>
      </c>
      <c r="N1955" s="1509">
        <f t="shared" si="300"/>
        <v>0</v>
      </c>
    </row>
    <row r="1956" spans="1:14" customFormat="1" ht="29" outlineLevel="1" x14ac:dyDescent="0.25">
      <c r="A1956" s="1511">
        <f t="shared" si="302"/>
        <v>8.3000000000000007</v>
      </c>
      <c r="B1956" s="1515" t="str">
        <f t="shared" si="302"/>
        <v>Construction of New Sandwa recovery pump house at NPTPS Parli Vaijnath.</v>
      </c>
      <c r="C1956" s="1396" t="str">
        <f t="shared" si="302"/>
        <v>Yet to be approved</v>
      </c>
      <c r="D1956" s="1378" t="str">
        <f t="shared" si="302"/>
        <v>-</v>
      </c>
      <c r="E1956" s="1505">
        <f t="shared" si="302"/>
        <v>0</v>
      </c>
      <c r="F1956" s="1509">
        <f t="shared" si="296"/>
        <v>4.1399999999999997</v>
      </c>
      <c r="G1956" s="1509">
        <f t="shared" si="297"/>
        <v>4.1399999999999997</v>
      </c>
      <c r="H1956" s="1509">
        <f t="shared" si="298"/>
        <v>0</v>
      </c>
      <c r="I1956" s="1509">
        <v>0</v>
      </c>
      <c r="J1956" s="1509">
        <v>0</v>
      </c>
      <c r="K1956" s="1509"/>
      <c r="L1956" s="1509"/>
      <c r="M1956" s="1509">
        <f t="shared" si="299"/>
        <v>0</v>
      </c>
      <c r="N1956" s="1509">
        <f t="shared" si="300"/>
        <v>0</v>
      </c>
    </row>
    <row r="1957" spans="1:14" customFormat="1" outlineLevel="1" x14ac:dyDescent="0.25">
      <c r="A1957" s="1511">
        <f t="shared" si="302"/>
        <v>0</v>
      </c>
      <c r="B1957" s="1515" t="str">
        <f t="shared" si="302"/>
        <v>IDC</v>
      </c>
      <c r="C1957" s="1396" t="str">
        <f t="shared" si="302"/>
        <v>Yet to be approved</v>
      </c>
      <c r="D1957" s="1378" t="str">
        <f t="shared" si="302"/>
        <v>-</v>
      </c>
      <c r="E1957" s="1505">
        <f t="shared" si="302"/>
        <v>0</v>
      </c>
      <c r="F1957" s="1509">
        <f t="shared" si="296"/>
        <v>0</v>
      </c>
      <c r="G1957" s="1509">
        <f t="shared" si="297"/>
        <v>0</v>
      </c>
      <c r="H1957" s="1509">
        <f t="shared" si="298"/>
        <v>0</v>
      </c>
      <c r="I1957" s="1509">
        <v>0</v>
      </c>
      <c r="J1957" s="1509">
        <v>0</v>
      </c>
      <c r="K1957" s="1509"/>
      <c r="L1957" s="1509"/>
      <c r="M1957" s="1509">
        <f t="shared" si="299"/>
        <v>0</v>
      </c>
      <c r="N1957" s="1509">
        <f t="shared" si="300"/>
        <v>0</v>
      </c>
    </row>
    <row r="1958" spans="1:14" customFormat="1" ht="43.5" outlineLevel="1" x14ac:dyDescent="0.25">
      <c r="A1958" s="1506">
        <f t="shared" si="302"/>
        <v>9</v>
      </c>
      <c r="B1958" s="1507" t="str">
        <f t="shared" si="302"/>
        <v>DPR on Modification of governing system from low pressure to high pressure at Unit-06 TPS, PARLI-V and Procurement of  CW pumps at Unit 6,7 Parli Vaijnath.</v>
      </c>
      <c r="C1958" s="1506" t="str">
        <f t="shared" si="302"/>
        <v>Yet to be approved</v>
      </c>
      <c r="D1958" s="1507" t="str">
        <f t="shared" si="302"/>
        <v>-</v>
      </c>
      <c r="E1958" s="1506">
        <f t="shared" si="302"/>
        <v>0</v>
      </c>
      <c r="F1958" s="1509">
        <f t="shared" si="296"/>
        <v>0</v>
      </c>
      <c r="G1958" s="1509">
        <f t="shared" si="297"/>
        <v>0</v>
      </c>
      <c r="H1958" s="1509">
        <f t="shared" si="298"/>
        <v>0</v>
      </c>
      <c r="I1958" s="1509">
        <v>0</v>
      </c>
      <c r="J1958" s="1509">
        <v>0</v>
      </c>
      <c r="K1958" s="1509"/>
      <c r="L1958" s="1509"/>
      <c r="M1958" s="1509">
        <f t="shared" si="299"/>
        <v>0</v>
      </c>
      <c r="N1958" s="1509">
        <f t="shared" si="300"/>
        <v>0</v>
      </c>
    </row>
    <row r="1959" spans="1:14" customFormat="1" ht="29" outlineLevel="1" x14ac:dyDescent="0.25">
      <c r="A1959" s="1511">
        <f t="shared" si="302"/>
        <v>9.1</v>
      </c>
      <c r="B1959" s="1515" t="str">
        <f t="shared" si="302"/>
        <v>Modification of governing system from low pressure to high pressure at Unit-06 TPS, PARLI-V</v>
      </c>
      <c r="C1959" s="1396">
        <f t="shared" si="302"/>
        <v>0</v>
      </c>
      <c r="D1959" s="1378" t="str">
        <f t="shared" si="302"/>
        <v>-</v>
      </c>
      <c r="E1959" s="1505">
        <f t="shared" si="302"/>
        <v>0</v>
      </c>
      <c r="F1959" s="1509">
        <f t="shared" si="296"/>
        <v>15</v>
      </c>
      <c r="G1959" s="1509">
        <f t="shared" si="297"/>
        <v>15</v>
      </c>
      <c r="H1959" s="1509">
        <f t="shared" si="298"/>
        <v>0</v>
      </c>
      <c r="I1959" s="1509">
        <v>0</v>
      </c>
      <c r="J1959" s="1509">
        <v>0</v>
      </c>
      <c r="K1959" s="1509"/>
      <c r="L1959" s="1509"/>
      <c r="M1959" s="1509">
        <f t="shared" si="299"/>
        <v>0</v>
      </c>
      <c r="N1959" s="1509">
        <f t="shared" si="300"/>
        <v>0</v>
      </c>
    </row>
    <row r="1960" spans="1:14" customFormat="1" outlineLevel="1" x14ac:dyDescent="0.25">
      <c r="A1960" s="1511">
        <f t="shared" si="302"/>
        <v>9.1999999999999993</v>
      </c>
      <c r="B1960" s="1515" t="str">
        <f t="shared" si="302"/>
        <v>Procurement of  CW pumps at Unit 6,7 Parli Vaijnath</v>
      </c>
      <c r="C1960" s="1396" t="str">
        <f t="shared" si="302"/>
        <v>Yet to be approved</v>
      </c>
      <c r="D1960" s="1378" t="str">
        <f t="shared" si="302"/>
        <v>-</v>
      </c>
      <c r="E1960" s="1505">
        <f t="shared" si="302"/>
        <v>0</v>
      </c>
      <c r="F1960" s="1509">
        <f t="shared" si="296"/>
        <v>23</v>
      </c>
      <c r="G1960" s="1509">
        <f t="shared" si="297"/>
        <v>23</v>
      </c>
      <c r="H1960" s="1509">
        <f t="shared" si="298"/>
        <v>0</v>
      </c>
      <c r="I1960" s="1509">
        <v>0</v>
      </c>
      <c r="J1960" s="1509">
        <v>0</v>
      </c>
      <c r="K1960" s="1509"/>
      <c r="L1960" s="1509"/>
      <c r="M1960" s="1509">
        <f t="shared" si="299"/>
        <v>0</v>
      </c>
      <c r="N1960" s="1509">
        <f t="shared" si="300"/>
        <v>0</v>
      </c>
    </row>
    <row r="1961" spans="1:14" customFormat="1" outlineLevel="1" x14ac:dyDescent="0.25">
      <c r="A1961" s="1511">
        <f t="shared" si="302"/>
        <v>0</v>
      </c>
      <c r="B1961" s="1515" t="str">
        <f t="shared" si="302"/>
        <v>IDC</v>
      </c>
      <c r="C1961" s="1396" t="str">
        <f t="shared" si="302"/>
        <v>Yet to be approved</v>
      </c>
      <c r="D1961" s="1378" t="str">
        <f t="shared" si="302"/>
        <v>-</v>
      </c>
      <c r="E1961" s="1505">
        <f t="shared" si="302"/>
        <v>0</v>
      </c>
      <c r="F1961" s="1509">
        <f t="shared" si="296"/>
        <v>0</v>
      </c>
      <c r="G1961" s="1509">
        <f t="shared" si="297"/>
        <v>0</v>
      </c>
      <c r="H1961" s="1509">
        <f t="shared" si="298"/>
        <v>0</v>
      </c>
      <c r="I1961" s="1509">
        <v>0</v>
      </c>
      <c r="J1961" s="1509">
        <v>0</v>
      </c>
      <c r="K1961" s="1509"/>
      <c r="L1961" s="1509"/>
      <c r="M1961" s="1509">
        <f t="shared" si="299"/>
        <v>0</v>
      </c>
      <c r="N1961" s="1509">
        <f t="shared" si="300"/>
        <v>0</v>
      </c>
    </row>
    <row r="1962" spans="1:14" customFormat="1" ht="29" outlineLevel="1" x14ac:dyDescent="0.25">
      <c r="A1962" s="1506">
        <f t="shared" si="302"/>
        <v>10</v>
      </c>
      <c r="B1962" s="1507" t="str">
        <f t="shared" si="302"/>
        <v>DPR on Procurement of  HP, IP and LP Turbine  bladesat Unit 6,7 Parli Vaijnath.</v>
      </c>
      <c r="C1962" s="1506" t="str">
        <f t="shared" si="302"/>
        <v>Yet to be approved</v>
      </c>
      <c r="D1962" s="1507" t="str">
        <f t="shared" si="302"/>
        <v>-</v>
      </c>
      <c r="E1962" s="1506">
        <f t="shared" si="302"/>
        <v>0</v>
      </c>
      <c r="F1962" s="1509">
        <f t="shared" si="296"/>
        <v>0</v>
      </c>
      <c r="G1962" s="1509">
        <f t="shared" si="297"/>
        <v>0</v>
      </c>
      <c r="H1962" s="1509">
        <f t="shared" si="298"/>
        <v>0</v>
      </c>
      <c r="I1962" s="1509">
        <v>0</v>
      </c>
      <c r="J1962" s="1509">
        <v>0</v>
      </c>
      <c r="K1962" s="1509"/>
      <c r="L1962" s="1509"/>
      <c r="M1962" s="1509">
        <f t="shared" si="299"/>
        <v>0</v>
      </c>
      <c r="N1962" s="1509">
        <f t="shared" si="300"/>
        <v>0</v>
      </c>
    </row>
    <row r="1963" spans="1:14" customFormat="1" ht="29" outlineLevel="1" x14ac:dyDescent="0.25">
      <c r="A1963" s="1511">
        <f t="shared" si="302"/>
        <v>10.1</v>
      </c>
      <c r="B1963" s="1515" t="str">
        <f t="shared" si="302"/>
        <v>Procurement of  HP, IP and LP Turbine  blade set Unit 6,7 Parli Vaijnath.</v>
      </c>
      <c r="C1963" s="1396" t="str">
        <f t="shared" si="302"/>
        <v>Yet to be approved</v>
      </c>
      <c r="D1963" s="1378" t="str">
        <f t="shared" si="302"/>
        <v>-</v>
      </c>
      <c r="E1963" s="1505">
        <f t="shared" si="302"/>
        <v>0</v>
      </c>
      <c r="F1963" s="1509">
        <f t="shared" si="296"/>
        <v>25</v>
      </c>
      <c r="G1963" s="1509">
        <f t="shared" si="297"/>
        <v>25</v>
      </c>
      <c r="H1963" s="1509">
        <f t="shared" si="298"/>
        <v>0</v>
      </c>
      <c r="I1963" s="1509">
        <v>0</v>
      </c>
      <c r="J1963" s="1509">
        <v>0</v>
      </c>
      <c r="K1963" s="1509"/>
      <c r="L1963" s="1509"/>
      <c r="M1963" s="1509">
        <f t="shared" si="299"/>
        <v>0</v>
      </c>
      <c r="N1963" s="1509">
        <f t="shared" si="300"/>
        <v>0</v>
      </c>
    </row>
    <row r="1964" spans="1:14" customFormat="1" outlineLevel="1" x14ac:dyDescent="0.25">
      <c r="A1964" s="1511">
        <f t="shared" si="302"/>
        <v>0</v>
      </c>
      <c r="B1964" s="1515" t="str">
        <f t="shared" si="302"/>
        <v>IDC</v>
      </c>
      <c r="C1964" s="1396" t="str">
        <f t="shared" si="302"/>
        <v>Yet to be approved</v>
      </c>
      <c r="D1964" s="1378" t="str">
        <f t="shared" si="302"/>
        <v>-</v>
      </c>
      <c r="E1964" s="1505">
        <f t="shared" si="302"/>
        <v>0</v>
      </c>
      <c r="F1964" s="1509">
        <f t="shared" si="296"/>
        <v>0</v>
      </c>
      <c r="G1964" s="1509">
        <f t="shared" si="297"/>
        <v>0</v>
      </c>
      <c r="H1964" s="1509">
        <f t="shared" si="298"/>
        <v>0</v>
      </c>
      <c r="I1964" s="1509">
        <v>0</v>
      </c>
      <c r="J1964" s="1509">
        <v>0</v>
      </c>
      <c r="K1964" s="1509"/>
      <c r="L1964" s="1509"/>
      <c r="M1964" s="1509">
        <f t="shared" si="299"/>
        <v>0</v>
      </c>
      <c r="N1964" s="1509">
        <f t="shared" si="300"/>
        <v>0</v>
      </c>
    </row>
    <row r="1965" spans="1:14" customFormat="1" outlineLevel="1" x14ac:dyDescent="0.25">
      <c r="A1965" s="1506">
        <f t="shared" si="302"/>
        <v>11</v>
      </c>
      <c r="B1965" s="1507" t="str">
        <f t="shared" si="302"/>
        <v>DPR on Procurement of  CEP pumps</v>
      </c>
      <c r="C1965" s="1506" t="str">
        <f t="shared" si="302"/>
        <v>Yet to be approved</v>
      </c>
      <c r="D1965" s="1507" t="str">
        <f t="shared" si="302"/>
        <v>-</v>
      </c>
      <c r="E1965" s="1506">
        <f t="shared" si="302"/>
        <v>0</v>
      </c>
      <c r="F1965" s="1509">
        <f t="shared" si="296"/>
        <v>0</v>
      </c>
      <c r="G1965" s="1509">
        <f t="shared" si="297"/>
        <v>0</v>
      </c>
      <c r="H1965" s="1509">
        <f t="shared" si="298"/>
        <v>0</v>
      </c>
      <c r="I1965" s="1509">
        <v>0</v>
      </c>
      <c r="J1965" s="1509">
        <v>0</v>
      </c>
      <c r="K1965" s="1509"/>
      <c r="L1965" s="1509"/>
      <c r="M1965" s="1509">
        <f t="shared" si="299"/>
        <v>0</v>
      </c>
      <c r="N1965" s="1509">
        <f t="shared" si="300"/>
        <v>0</v>
      </c>
    </row>
    <row r="1966" spans="1:14" customFormat="1" outlineLevel="1" x14ac:dyDescent="0.25">
      <c r="A1966" s="1511">
        <f t="shared" si="302"/>
        <v>11.1</v>
      </c>
      <c r="B1966" s="1515" t="str">
        <f t="shared" si="302"/>
        <v>Procurement of  CEP pumps</v>
      </c>
      <c r="C1966" s="1396" t="str">
        <f t="shared" si="302"/>
        <v>Yet to be approved</v>
      </c>
      <c r="D1966" s="1378" t="str">
        <f t="shared" si="302"/>
        <v>-</v>
      </c>
      <c r="E1966" s="1505">
        <f t="shared" si="302"/>
        <v>0</v>
      </c>
      <c r="F1966" s="1509">
        <f t="shared" si="296"/>
        <v>25</v>
      </c>
      <c r="G1966" s="1509">
        <f t="shared" si="297"/>
        <v>25</v>
      </c>
      <c r="H1966" s="1509">
        <f t="shared" si="298"/>
        <v>0</v>
      </c>
      <c r="I1966" s="1509">
        <v>0</v>
      </c>
      <c r="J1966" s="1509">
        <v>0</v>
      </c>
      <c r="K1966" s="1509"/>
      <c r="L1966" s="1509"/>
      <c r="M1966" s="1509">
        <f t="shared" si="299"/>
        <v>0</v>
      </c>
      <c r="N1966" s="1509">
        <f t="shared" si="300"/>
        <v>0</v>
      </c>
    </row>
    <row r="1967" spans="1:14" customFormat="1" outlineLevel="1" x14ac:dyDescent="0.25">
      <c r="A1967" s="1511">
        <f t="shared" si="302"/>
        <v>0</v>
      </c>
      <c r="B1967" s="1515" t="str">
        <f t="shared" si="302"/>
        <v>IDC</v>
      </c>
      <c r="C1967" s="1396" t="str">
        <f t="shared" si="302"/>
        <v>Yet to be approved</v>
      </c>
      <c r="D1967" s="1378" t="str">
        <f t="shared" si="302"/>
        <v>-</v>
      </c>
      <c r="E1967" s="1505">
        <f t="shared" si="302"/>
        <v>0</v>
      </c>
      <c r="F1967" s="1509">
        <f t="shared" si="296"/>
        <v>0</v>
      </c>
      <c r="G1967" s="1509">
        <f t="shared" si="297"/>
        <v>0</v>
      </c>
      <c r="H1967" s="1509">
        <f t="shared" si="298"/>
        <v>0</v>
      </c>
      <c r="I1967" s="1509">
        <v>0</v>
      </c>
      <c r="J1967" s="1509">
        <v>0</v>
      </c>
      <c r="K1967" s="1509"/>
      <c r="L1967" s="1509"/>
      <c r="M1967" s="1509">
        <f t="shared" si="299"/>
        <v>0</v>
      </c>
      <c r="N1967" s="1509">
        <f t="shared" si="300"/>
        <v>0</v>
      </c>
    </row>
    <row r="1968" spans="1:14" customFormat="1" ht="29" outlineLevel="1" x14ac:dyDescent="0.25">
      <c r="A1968" s="1506">
        <f t="shared" si="302"/>
        <v>12</v>
      </c>
      <c r="B1968" s="1507" t="str">
        <f t="shared" si="302"/>
        <v xml:space="preserve">DPR on Retrofitting of NDCT at Unit 6,7 Parli Vaijnath. and Upgradation of existing chiller AC plant for at Unit 7 Parli Vaijnath. </v>
      </c>
      <c r="C1968" s="1506" t="str">
        <f t="shared" si="302"/>
        <v>Yet to be approved</v>
      </c>
      <c r="D1968" s="1507" t="str">
        <f t="shared" si="302"/>
        <v>-</v>
      </c>
      <c r="E1968" s="1506">
        <f t="shared" si="302"/>
        <v>0</v>
      </c>
      <c r="F1968" s="1509">
        <f t="shared" si="296"/>
        <v>0</v>
      </c>
      <c r="G1968" s="1509">
        <f t="shared" si="297"/>
        <v>0</v>
      </c>
      <c r="H1968" s="1509">
        <f t="shared" si="298"/>
        <v>0</v>
      </c>
      <c r="I1968" s="1509">
        <v>0</v>
      </c>
      <c r="J1968" s="1509">
        <v>0</v>
      </c>
      <c r="K1968" s="1509"/>
      <c r="L1968" s="1509"/>
      <c r="M1968" s="1509">
        <f t="shared" si="299"/>
        <v>0</v>
      </c>
      <c r="N1968" s="1509">
        <f t="shared" si="300"/>
        <v>0</v>
      </c>
    </row>
    <row r="1969" spans="1:14" customFormat="1" outlineLevel="1" x14ac:dyDescent="0.25">
      <c r="A1969" s="1511">
        <f t="shared" si="302"/>
        <v>12.1</v>
      </c>
      <c r="B1969" s="1515" t="str">
        <f t="shared" si="302"/>
        <v>Retrofitting of NDCT at Unit 6,7 Parli Vaijnath.</v>
      </c>
      <c r="C1969" s="1396" t="str">
        <f t="shared" si="302"/>
        <v>Yet to be approved</v>
      </c>
      <c r="D1969" s="1378" t="str">
        <f t="shared" si="302"/>
        <v>-</v>
      </c>
      <c r="E1969" s="1505">
        <f t="shared" si="302"/>
        <v>0</v>
      </c>
      <c r="F1969" s="1509">
        <f t="shared" si="296"/>
        <v>25</v>
      </c>
      <c r="G1969" s="1509">
        <f t="shared" si="297"/>
        <v>25</v>
      </c>
      <c r="H1969" s="1509">
        <f t="shared" si="298"/>
        <v>0</v>
      </c>
      <c r="I1969" s="1509">
        <v>0</v>
      </c>
      <c r="J1969" s="1509">
        <v>0</v>
      </c>
      <c r="K1969" s="1509"/>
      <c r="L1969" s="1509"/>
      <c r="M1969" s="1509">
        <f t="shared" si="299"/>
        <v>0</v>
      </c>
      <c r="N1969" s="1509">
        <f t="shared" si="300"/>
        <v>0</v>
      </c>
    </row>
    <row r="1970" spans="1:14" customFormat="1" outlineLevel="1" x14ac:dyDescent="0.25">
      <c r="A1970" s="1511">
        <f t="shared" si="302"/>
        <v>12.2</v>
      </c>
      <c r="B1970" s="1515" t="str">
        <f t="shared" si="302"/>
        <v>Upgradation of existing chiller AC plant for at Unit 7 Parli Vaijnath.</v>
      </c>
      <c r="C1970" s="1396" t="str">
        <f t="shared" si="302"/>
        <v>Yet to be approved</v>
      </c>
      <c r="D1970" s="1378" t="str">
        <f t="shared" si="302"/>
        <v>-</v>
      </c>
      <c r="E1970" s="1505">
        <f t="shared" si="302"/>
        <v>0</v>
      </c>
      <c r="F1970" s="1509">
        <f t="shared" si="296"/>
        <v>9</v>
      </c>
      <c r="G1970" s="1509">
        <f t="shared" si="297"/>
        <v>9</v>
      </c>
      <c r="H1970" s="1509">
        <f t="shared" si="298"/>
        <v>0</v>
      </c>
      <c r="I1970" s="1509">
        <v>0</v>
      </c>
      <c r="J1970" s="1509">
        <v>0</v>
      </c>
      <c r="K1970" s="1509"/>
      <c r="L1970" s="1509"/>
      <c r="M1970" s="1509">
        <f t="shared" si="299"/>
        <v>0</v>
      </c>
      <c r="N1970" s="1509">
        <f t="shared" si="300"/>
        <v>0</v>
      </c>
    </row>
    <row r="1971" spans="1:14" customFormat="1" outlineLevel="1" x14ac:dyDescent="0.25">
      <c r="A1971" s="1511">
        <f t="shared" ref="A1971:E1986" si="303">A1614</f>
        <v>0</v>
      </c>
      <c r="B1971" s="1515" t="str">
        <f t="shared" si="303"/>
        <v>IDC</v>
      </c>
      <c r="C1971" s="1396" t="str">
        <f t="shared" si="303"/>
        <v>Yet to be approved</v>
      </c>
      <c r="D1971" s="1378" t="str">
        <f t="shared" si="303"/>
        <v>-</v>
      </c>
      <c r="E1971" s="1505">
        <f t="shared" si="303"/>
        <v>0</v>
      </c>
      <c r="F1971" s="1509">
        <f t="shared" si="296"/>
        <v>0</v>
      </c>
      <c r="G1971" s="1509">
        <f t="shared" si="297"/>
        <v>0</v>
      </c>
      <c r="H1971" s="1509">
        <f t="shared" si="298"/>
        <v>0</v>
      </c>
      <c r="I1971" s="1509">
        <v>0</v>
      </c>
      <c r="J1971" s="1509">
        <v>0</v>
      </c>
      <c r="K1971" s="1509"/>
      <c r="L1971" s="1509"/>
      <c r="M1971" s="1509">
        <f t="shared" si="299"/>
        <v>0</v>
      </c>
      <c r="N1971" s="1509">
        <f t="shared" si="300"/>
        <v>0</v>
      </c>
    </row>
    <row r="1972" spans="1:14" customFormat="1" outlineLevel="1" x14ac:dyDescent="0.25">
      <c r="A1972" s="1506">
        <f t="shared" si="303"/>
        <v>13</v>
      </c>
      <c r="B1972" s="1507" t="str">
        <f t="shared" si="303"/>
        <v>DPR on various types of coolers at TPS Parli-Vaijnath</v>
      </c>
      <c r="C1972" s="1506" t="str">
        <f t="shared" si="303"/>
        <v>Yet to be approved</v>
      </c>
      <c r="D1972" s="1507" t="str">
        <f t="shared" si="303"/>
        <v>-</v>
      </c>
      <c r="E1972" s="1506">
        <f t="shared" si="303"/>
        <v>0</v>
      </c>
      <c r="F1972" s="1509">
        <f t="shared" si="296"/>
        <v>0</v>
      </c>
      <c r="G1972" s="1509">
        <f t="shared" si="297"/>
        <v>0</v>
      </c>
      <c r="H1972" s="1509">
        <f t="shared" si="298"/>
        <v>0</v>
      </c>
      <c r="I1972" s="1509">
        <v>0</v>
      </c>
      <c r="J1972" s="1509">
        <v>0</v>
      </c>
      <c r="K1972" s="1509"/>
      <c r="L1972" s="1509"/>
      <c r="M1972" s="1509">
        <f t="shared" si="299"/>
        <v>0</v>
      </c>
      <c r="N1972" s="1509">
        <f t="shared" si="300"/>
        <v>0</v>
      </c>
    </row>
    <row r="1973" spans="1:14" customFormat="1" ht="29" outlineLevel="1" x14ac:dyDescent="0.25">
      <c r="A1973" s="1511">
        <f t="shared" si="303"/>
        <v>13.1</v>
      </c>
      <c r="B1973" s="1515" t="str">
        <f t="shared" si="303"/>
        <v>Procurement of H2 cooler, BFP coolers, generator exciter cooler, seal oil coolers at Unit 6,7 Parli Vaijnath.</v>
      </c>
      <c r="C1973" s="1396" t="str">
        <f t="shared" si="303"/>
        <v>Yet to be approved</v>
      </c>
      <c r="D1973" s="1378" t="str">
        <f t="shared" si="303"/>
        <v>-</v>
      </c>
      <c r="E1973" s="1505">
        <f t="shared" si="303"/>
        <v>0</v>
      </c>
      <c r="F1973" s="1509">
        <f t="shared" si="296"/>
        <v>28</v>
      </c>
      <c r="G1973" s="1509">
        <f t="shared" si="297"/>
        <v>28</v>
      </c>
      <c r="H1973" s="1509">
        <f t="shared" si="298"/>
        <v>0</v>
      </c>
      <c r="I1973" s="1509">
        <v>0</v>
      </c>
      <c r="J1973" s="1509">
        <v>0</v>
      </c>
      <c r="K1973" s="1509"/>
      <c r="L1973" s="1509"/>
      <c r="M1973" s="1509">
        <f t="shared" si="299"/>
        <v>0</v>
      </c>
      <c r="N1973" s="1509">
        <f t="shared" si="300"/>
        <v>0</v>
      </c>
    </row>
    <row r="1974" spans="1:14" customFormat="1" outlineLevel="1" x14ac:dyDescent="0.25">
      <c r="A1974" s="1511">
        <f t="shared" si="303"/>
        <v>0</v>
      </c>
      <c r="B1974" s="1515" t="str">
        <f t="shared" si="303"/>
        <v>IDC</v>
      </c>
      <c r="C1974" s="1396" t="str">
        <f t="shared" si="303"/>
        <v>Yet to be approved</v>
      </c>
      <c r="D1974" s="1378" t="str">
        <f t="shared" si="303"/>
        <v>-</v>
      </c>
      <c r="E1974" s="1505">
        <f t="shared" si="303"/>
        <v>0</v>
      </c>
      <c r="F1974" s="1509">
        <f t="shared" si="296"/>
        <v>0</v>
      </c>
      <c r="G1974" s="1509">
        <f t="shared" si="297"/>
        <v>0</v>
      </c>
      <c r="H1974" s="1509">
        <f t="shared" si="298"/>
        <v>0</v>
      </c>
      <c r="I1974" s="1509">
        <v>0</v>
      </c>
      <c r="J1974" s="1509">
        <v>0</v>
      </c>
      <c r="K1974" s="1509"/>
      <c r="L1974" s="1509"/>
      <c r="M1974" s="1509">
        <f t="shared" si="299"/>
        <v>0</v>
      </c>
      <c r="N1974" s="1509">
        <f t="shared" si="300"/>
        <v>0</v>
      </c>
    </row>
    <row r="1975" spans="1:14" customFormat="1" ht="72.5" outlineLevel="1" x14ac:dyDescent="0.25">
      <c r="A1975" s="1506">
        <f t="shared" si="303"/>
        <v>14</v>
      </c>
      <c r="B1975" s="1507" t="str">
        <f t="shared" si="303"/>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1975" s="1506" t="str">
        <f t="shared" si="303"/>
        <v>Yet to be approved</v>
      </c>
      <c r="D1975" s="1507" t="str">
        <f t="shared" si="303"/>
        <v>-</v>
      </c>
      <c r="E1975" s="1506">
        <f t="shared" si="303"/>
        <v>0</v>
      </c>
      <c r="F1975" s="1509">
        <f t="shared" si="296"/>
        <v>0</v>
      </c>
      <c r="G1975" s="1509">
        <f t="shared" si="297"/>
        <v>0</v>
      </c>
      <c r="H1975" s="1509">
        <f t="shared" si="298"/>
        <v>0</v>
      </c>
      <c r="I1975" s="1509">
        <v>0</v>
      </c>
      <c r="J1975" s="1509">
        <v>0</v>
      </c>
      <c r="K1975" s="1509"/>
      <c r="L1975" s="1509"/>
      <c r="M1975" s="1509">
        <f t="shared" ref="M1975:M2038" si="304">SUM(J1975:L1975)</f>
        <v>0</v>
      </c>
      <c r="N1975" s="1509">
        <f t="shared" si="300"/>
        <v>0</v>
      </c>
    </row>
    <row r="1976" spans="1:14" customFormat="1" outlineLevel="1" x14ac:dyDescent="0.25">
      <c r="A1976" s="1511">
        <f t="shared" si="303"/>
        <v>14.1</v>
      </c>
      <c r="B1976" s="1515" t="str">
        <f t="shared" si="303"/>
        <v>Upgradation of screw type compressor at U#7 Parli Vaijnath.</v>
      </c>
      <c r="C1976" s="1396" t="str">
        <f t="shared" si="303"/>
        <v>Yet to be approved</v>
      </c>
      <c r="D1976" s="1378" t="str">
        <f t="shared" si="303"/>
        <v>-</v>
      </c>
      <c r="E1976" s="1505">
        <f t="shared" si="303"/>
        <v>0</v>
      </c>
      <c r="F1976" s="1509">
        <f t="shared" si="296"/>
        <v>11</v>
      </c>
      <c r="G1976" s="1509">
        <f t="shared" si="297"/>
        <v>11</v>
      </c>
      <c r="H1976" s="1509">
        <f t="shared" si="298"/>
        <v>0</v>
      </c>
      <c r="I1976" s="1509">
        <v>0</v>
      </c>
      <c r="J1976" s="1509">
        <v>0</v>
      </c>
      <c r="K1976" s="1509"/>
      <c r="L1976" s="1509"/>
      <c r="M1976" s="1509">
        <f t="shared" si="304"/>
        <v>0</v>
      </c>
      <c r="N1976" s="1509">
        <f t="shared" si="300"/>
        <v>0</v>
      </c>
    </row>
    <row r="1977" spans="1:14" customFormat="1" ht="29" outlineLevel="1" x14ac:dyDescent="0.25">
      <c r="A1977" s="1511">
        <f t="shared" si="303"/>
        <v>14.2</v>
      </c>
      <c r="B1977" s="1515" t="str">
        <f t="shared" si="303"/>
        <v>Supply, erection &amp; commissioning of Fire Fighting pressure system (pneumatic) at unit 6,7 and 8 at PTPS, Parli-V</v>
      </c>
      <c r="C1977" s="1396" t="str">
        <f t="shared" si="303"/>
        <v>Yet to be approved</v>
      </c>
      <c r="D1977" s="1378" t="str">
        <f t="shared" si="303"/>
        <v>-</v>
      </c>
      <c r="E1977" s="1505">
        <f t="shared" si="303"/>
        <v>0</v>
      </c>
      <c r="F1977" s="1509">
        <f t="shared" si="296"/>
        <v>12</v>
      </c>
      <c r="G1977" s="1509">
        <f t="shared" si="297"/>
        <v>12</v>
      </c>
      <c r="H1977" s="1509">
        <f t="shared" si="298"/>
        <v>0</v>
      </c>
      <c r="I1977" s="1509">
        <v>0</v>
      </c>
      <c r="J1977" s="1509">
        <v>0</v>
      </c>
      <c r="K1977" s="1509"/>
      <c r="L1977" s="1509"/>
      <c r="M1977" s="1509">
        <f t="shared" si="304"/>
        <v>0</v>
      </c>
      <c r="N1977" s="1509">
        <f t="shared" si="300"/>
        <v>0</v>
      </c>
    </row>
    <row r="1978" spans="1:14" customFormat="1" ht="29" outlineLevel="1" x14ac:dyDescent="0.25">
      <c r="A1978" s="1511">
        <f t="shared" si="303"/>
        <v>14.3</v>
      </c>
      <c r="B1978" s="1515" t="str">
        <f t="shared" si="303"/>
        <v>Procurement of BFP discharge valve, BFP recirculation valve and gland steam inlet / outlet valves at Unit 6,7 Parli Vaijnath.</v>
      </c>
      <c r="C1978" s="1396" t="str">
        <f t="shared" si="303"/>
        <v>Yet to be approved</v>
      </c>
      <c r="D1978" s="1378" t="str">
        <f t="shared" si="303"/>
        <v>-</v>
      </c>
      <c r="E1978" s="1505">
        <f t="shared" si="303"/>
        <v>0</v>
      </c>
      <c r="F1978" s="1509">
        <f t="shared" si="296"/>
        <v>11</v>
      </c>
      <c r="G1978" s="1509">
        <f t="shared" si="297"/>
        <v>11</v>
      </c>
      <c r="H1978" s="1509">
        <f t="shared" si="298"/>
        <v>0</v>
      </c>
      <c r="I1978" s="1509">
        <v>0</v>
      </c>
      <c r="J1978" s="1509">
        <v>0</v>
      </c>
      <c r="K1978" s="1509"/>
      <c r="L1978" s="1509"/>
      <c r="M1978" s="1509">
        <f t="shared" si="304"/>
        <v>0</v>
      </c>
      <c r="N1978" s="1509">
        <f t="shared" si="300"/>
        <v>0</v>
      </c>
    </row>
    <row r="1979" spans="1:14" customFormat="1" outlineLevel="1" x14ac:dyDescent="0.25">
      <c r="A1979" s="1511">
        <f t="shared" si="303"/>
        <v>0</v>
      </c>
      <c r="B1979" s="1515" t="str">
        <f t="shared" si="303"/>
        <v>IDC</v>
      </c>
      <c r="C1979" s="1396" t="str">
        <f t="shared" si="303"/>
        <v>Yet to be approved</v>
      </c>
      <c r="D1979" s="1378" t="str">
        <f t="shared" si="303"/>
        <v>-</v>
      </c>
      <c r="E1979" s="1505">
        <f t="shared" si="303"/>
        <v>0</v>
      </c>
      <c r="F1979" s="1509">
        <f t="shared" si="296"/>
        <v>0</v>
      </c>
      <c r="G1979" s="1509">
        <f t="shared" si="297"/>
        <v>0</v>
      </c>
      <c r="H1979" s="1509">
        <f t="shared" si="298"/>
        <v>0</v>
      </c>
      <c r="I1979" s="1509">
        <v>0</v>
      </c>
      <c r="J1979" s="1509">
        <v>0</v>
      </c>
      <c r="K1979" s="1509"/>
      <c r="L1979" s="1509"/>
      <c r="M1979" s="1509">
        <f t="shared" si="304"/>
        <v>0</v>
      </c>
      <c r="N1979" s="1509">
        <f t="shared" si="300"/>
        <v>0</v>
      </c>
    </row>
    <row r="1980" spans="1:14" customFormat="1" ht="29" outlineLevel="1" x14ac:dyDescent="0.25">
      <c r="A1980" s="1506">
        <f t="shared" si="303"/>
        <v>15</v>
      </c>
      <c r="B1980" s="1507" t="str">
        <f t="shared" si="303"/>
        <v>COAL HANDLING PLANT PERFORMANCE IMPROVEMENT BY SYSTEM UPGRADATION  AT Unit 6 ,7 CHP ( 2X 250MW), Parli TPS.</v>
      </c>
      <c r="C1980" s="1506" t="str">
        <f t="shared" si="303"/>
        <v>Yet to be approved</v>
      </c>
      <c r="D1980" s="1507" t="str">
        <f t="shared" si="303"/>
        <v>-</v>
      </c>
      <c r="E1980" s="1506">
        <f t="shared" si="303"/>
        <v>0</v>
      </c>
      <c r="F1980" s="1509">
        <f t="shared" si="296"/>
        <v>0</v>
      </c>
      <c r="G1980" s="1509">
        <f t="shared" si="297"/>
        <v>0</v>
      </c>
      <c r="H1980" s="1509">
        <f t="shared" si="298"/>
        <v>0</v>
      </c>
      <c r="I1980" s="1509">
        <v>0</v>
      </c>
      <c r="J1980" s="1509">
        <v>0</v>
      </c>
      <c r="K1980" s="1509"/>
      <c r="L1980" s="1509"/>
      <c r="M1980" s="1509">
        <f t="shared" si="304"/>
        <v>0</v>
      </c>
      <c r="N1980" s="1509">
        <f t="shared" si="300"/>
        <v>0</v>
      </c>
    </row>
    <row r="1981" spans="1:14" customFormat="1" ht="43.5" outlineLevel="1" x14ac:dyDescent="0.25">
      <c r="A1981" s="1511">
        <f t="shared" si="303"/>
        <v>15.1</v>
      </c>
      <c r="B1981" s="1515" t="str">
        <f t="shared" si="303"/>
        <v>Refurbishment of single stream conveyor drives : Procurement of Various types of Gearbox for single stream conveyor drives of 2X 250 MW CHP U6&amp;7 Parli TPS.</v>
      </c>
      <c r="C1981" s="1396" t="str">
        <f t="shared" si="303"/>
        <v>Yet to be approved</v>
      </c>
      <c r="D1981" s="1378" t="str">
        <f t="shared" si="303"/>
        <v>-</v>
      </c>
      <c r="E1981" s="1505">
        <f t="shared" si="303"/>
        <v>0</v>
      </c>
      <c r="F1981" s="1509">
        <f t="shared" si="296"/>
        <v>8.3699999999999992</v>
      </c>
      <c r="G1981" s="1509">
        <f t="shared" si="297"/>
        <v>8.3699999999999992</v>
      </c>
      <c r="H1981" s="1509">
        <f t="shared" si="298"/>
        <v>0</v>
      </c>
      <c r="I1981" s="1509">
        <v>0</v>
      </c>
      <c r="J1981" s="1509">
        <v>0</v>
      </c>
      <c r="K1981" s="1509"/>
      <c r="L1981" s="1509"/>
      <c r="M1981" s="1509">
        <f t="shared" si="304"/>
        <v>0</v>
      </c>
      <c r="N1981" s="1509">
        <f t="shared" si="300"/>
        <v>0</v>
      </c>
    </row>
    <row r="1982" spans="1:14" customFormat="1" ht="43.5" outlineLevel="1" x14ac:dyDescent="0.25">
      <c r="A1982" s="1511">
        <f t="shared" si="303"/>
        <v>15.2</v>
      </c>
      <c r="B1982" s="1515" t="str">
        <f t="shared" si="303"/>
        <v>Refurbishment of single stream conveyor drives : Procurement of Various types of fluid couplings for single stream conveyor drives of 2X 250 MW CHP U6&amp;7 Parli TPS.</v>
      </c>
      <c r="C1982" s="1396" t="str">
        <f t="shared" si="303"/>
        <v>Yet to be approved</v>
      </c>
      <c r="D1982" s="1378" t="str">
        <f t="shared" si="303"/>
        <v>-</v>
      </c>
      <c r="E1982" s="1505">
        <f t="shared" si="303"/>
        <v>0</v>
      </c>
      <c r="F1982" s="1509">
        <f t="shared" si="296"/>
        <v>0.46</v>
      </c>
      <c r="G1982" s="1509">
        <f t="shared" si="297"/>
        <v>0.46</v>
      </c>
      <c r="H1982" s="1509">
        <f t="shared" si="298"/>
        <v>0</v>
      </c>
      <c r="I1982" s="1509">
        <v>0</v>
      </c>
      <c r="J1982" s="1509">
        <v>0</v>
      </c>
      <c r="K1982" s="1509"/>
      <c r="L1982" s="1509"/>
      <c r="M1982" s="1509">
        <f t="shared" si="304"/>
        <v>0</v>
      </c>
      <c r="N1982" s="1509">
        <f t="shared" si="300"/>
        <v>0</v>
      </c>
    </row>
    <row r="1983" spans="1:14" customFormat="1" ht="43.5" outlineLevel="1" x14ac:dyDescent="0.25">
      <c r="A1983" s="1511">
        <f t="shared" si="303"/>
        <v>15.3</v>
      </c>
      <c r="B1983" s="1515" t="str">
        <f t="shared" si="303"/>
        <v xml:space="preserve">Refurbishment of single stream conveyor drives : Procurement of ENERGY EFFICIENT HT MOTORS for single stream conveyor drives of 2X 250 MW CHP U6&amp;7 Parli TPS.      </v>
      </c>
      <c r="C1983" s="1396" t="str">
        <f t="shared" si="303"/>
        <v>Yet to be approved</v>
      </c>
      <c r="D1983" s="1378" t="str">
        <f t="shared" si="303"/>
        <v>-</v>
      </c>
      <c r="E1983" s="1505">
        <f t="shared" si="303"/>
        <v>0</v>
      </c>
      <c r="F1983" s="1509">
        <f t="shared" si="296"/>
        <v>2.87</v>
      </c>
      <c r="G1983" s="1509">
        <f t="shared" si="297"/>
        <v>2.87</v>
      </c>
      <c r="H1983" s="1509">
        <f t="shared" si="298"/>
        <v>0</v>
      </c>
      <c r="I1983" s="1509">
        <v>0</v>
      </c>
      <c r="J1983" s="1509">
        <v>0</v>
      </c>
      <c r="K1983" s="1509"/>
      <c r="L1983" s="1509"/>
      <c r="M1983" s="1509">
        <f t="shared" si="304"/>
        <v>0</v>
      </c>
      <c r="N1983" s="1509">
        <f t="shared" si="300"/>
        <v>0</v>
      </c>
    </row>
    <row r="1984" spans="1:14" customFormat="1" ht="43.5" outlineLevel="1" x14ac:dyDescent="0.25">
      <c r="A1984" s="1511">
        <f t="shared" si="303"/>
        <v>15.4</v>
      </c>
      <c r="B1984" s="1515" t="str">
        <f t="shared" si="303"/>
        <v>Refurbishment of single stream conveyor drives :  Procurement of HT vacuum circuit breakers for single stream conveyor drives of 2X 250 MW CHP U6&amp;7 Parli TPS.</v>
      </c>
      <c r="C1984" s="1396" t="str">
        <f t="shared" si="303"/>
        <v>Yet to be approved</v>
      </c>
      <c r="D1984" s="1378" t="str">
        <f t="shared" si="303"/>
        <v>-</v>
      </c>
      <c r="E1984" s="1505">
        <f t="shared" si="303"/>
        <v>0</v>
      </c>
      <c r="F1984" s="1509">
        <f t="shared" si="296"/>
        <v>0.78</v>
      </c>
      <c r="G1984" s="1509">
        <f t="shared" si="297"/>
        <v>0.78</v>
      </c>
      <c r="H1984" s="1509">
        <f t="shared" si="298"/>
        <v>0</v>
      </c>
      <c r="I1984" s="1509">
        <v>0</v>
      </c>
      <c r="J1984" s="1509">
        <v>0</v>
      </c>
      <c r="K1984" s="1509"/>
      <c r="L1984" s="1509"/>
      <c r="M1984" s="1509">
        <f t="shared" si="304"/>
        <v>0</v>
      </c>
      <c r="N1984" s="1509">
        <f t="shared" si="300"/>
        <v>0</v>
      </c>
    </row>
    <row r="1985" spans="1:14" customFormat="1" ht="29" outlineLevel="1" x14ac:dyDescent="0.25">
      <c r="A1985" s="1511">
        <f t="shared" si="303"/>
        <v>15.5</v>
      </c>
      <c r="B1985" s="1515" t="str">
        <f t="shared" si="303"/>
        <v xml:space="preserve">Supply, Erection &amp; Commissioning of street light from U6/7 railway gate to loco shed of CHP U6/7 NPTPS Parli-V </v>
      </c>
      <c r="C1985" s="1396" t="str">
        <f t="shared" si="303"/>
        <v>Yet to be approved</v>
      </c>
      <c r="D1985" s="1378" t="str">
        <f t="shared" si="303"/>
        <v>-</v>
      </c>
      <c r="E1985" s="1505">
        <f t="shared" si="303"/>
        <v>0</v>
      </c>
      <c r="F1985" s="1509">
        <f t="shared" si="296"/>
        <v>1.25</v>
      </c>
      <c r="G1985" s="1509">
        <f t="shared" si="297"/>
        <v>1.25</v>
      </c>
      <c r="H1985" s="1509">
        <f t="shared" si="298"/>
        <v>0</v>
      </c>
      <c r="I1985" s="1509">
        <v>0</v>
      </c>
      <c r="J1985" s="1509">
        <v>0</v>
      </c>
      <c r="K1985" s="1509"/>
      <c r="L1985" s="1509"/>
      <c r="M1985" s="1509">
        <f t="shared" si="304"/>
        <v>0</v>
      </c>
      <c r="N1985" s="1509">
        <f t="shared" si="300"/>
        <v>0</v>
      </c>
    </row>
    <row r="1986" spans="1:14" customFormat="1" outlineLevel="1" x14ac:dyDescent="0.25">
      <c r="A1986" s="1511">
        <f t="shared" si="303"/>
        <v>15.6</v>
      </c>
      <c r="B1986" s="1515" t="str">
        <f t="shared" si="303"/>
        <v>Strengthening of U-6 Bunkers at CHP NPTPS</v>
      </c>
      <c r="C1986" s="1396" t="str">
        <f t="shared" si="303"/>
        <v>Yet to be approved</v>
      </c>
      <c r="D1986" s="1378" t="str">
        <f t="shared" si="303"/>
        <v>-</v>
      </c>
      <c r="E1986" s="1505">
        <f t="shared" si="303"/>
        <v>0</v>
      </c>
      <c r="F1986" s="1509">
        <f t="shared" si="296"/>
        <v>8.7899999999999991</v>
      </c>
      <c r="G1986" s="1509">
        <f t="shared" si="297"/>
        <v>8.7899999999999991</v>
      </c>
      <c r="H1986" s="1509">
        <f t="shared" si="298"/>
        <v>0</v>
      </c>
      <c r="I1986" s="1509">
        <v>0</v>
      </c>
      <c r="J1986" s="1509">
        <v>0</v>
      </c>
      <c r="K1986" s="1509"/>
      <c r="L1986" s="1509"/>
      <c r="M1986" s="1509">
        <f t="shared" si="304"/>
        <v>0</v>
      </c>
      <c r="N1986" s="1509">
        <f t="shared" si="300"/>
        <v>0</v>
      </c>
    </row>
    <row r="1987" spans="1:14" customFormat="1" ht="29" outlineLevel="1" x14ac:dyDescent="0.25">
      <c r="A1987" s="1511">
        <f t="shared" ref="A1987:E2002" si="305">A1630</f>
        <v>15.7</v>
      </c>
      <c r="B1987" s="1515" t="str">
        <f t="shared" si="305"/>
        <v>Supply and commissioning of Suspended Magnets for U-6,7 CHP NPTPS</v>
      </c>
      <c r="C1987" s="1396" t="str">
        <f t="shared" si="305"/>
        <v>Yet to be approved</v>
      </c>
      <c r="D1987" s="1378" t="str">
        <f t="shared" si="305"/>
        <v>-</v>
      </c>
      <c r="E1987" s="1505">
        <f t="shared" si="305"/>
        <v>0</v>
      </c>
      <c r="F1987" s="1509">
        <f t="shared" ref="F1987:F2050" si="306">F1630+I1630</f>
        <v>2.5499999999999998</v>
      </c>
      <c r="G1987" s="1509">
        <f t="shared" ref="G1987:G2050" si="307">G1630+M1630</f>
        <v>2.5499999999999998</v>
      </c>
      <c r="H1987" s="1509">
        <f t="shared" si="298"/>
        <v>0</v>
      </c>
      <c r="I1987" s="1509">
        <v>0</v>
      </c>
      <c r="J1987" s="1509">
        <v>0</v>
      </c>
      <c r="K1987" s="1509"/>
      <c r="L1987" s="1509"/>
      <c r="M1987" s="1509">
        <f t="shared" si="304"/>
        <v>0</v>
      </c>
      <c r="N1987" s="1509">
        <f t="shared" si="300"/>
        <v>0</v>
      </c>
    </row>
    <row r="1988" spans="1:14" customFormat="1" ht="29" outlineLevel="1" x14ac:dyDescent="0.25">
      <c r="A1988" s="1511">
        <f t="shared" si="305"/>
        <v>15.8</v>
      </c>
      <c r="B1988" s="1515" t="str">
        <f t="shared" si="305"/>
        <v>Modification of 60 KG rail track with laying crossover turnout at NMVP sliding CHP NPTPS</v>
      </c>
      <c r="C1988" s="1396" t="str">
        <f t="shared" si="305"/>
        <v>Yet to be approved</v>
      </c>
      <c r="D1988" s="1378" t="str">
        <f t="shared" si="305"/>
        <v>-</v>
      </c>
      <c r="E1988" s="1505">
        <f t="shared" si="305"/>
        <v>0</v>
      </c>
      <c r="F1988" s="1509">
        <f t="shared" si="306"/>
        <v>4.75</v>
      </c>
      <c r="G1988" s="1509">
        <f t="shared" si="307"/>
        <v>4.75</v>
      </c>
      <c r="H1988" s="1509">
        <f t="shared" ref="H1988:H2051" si="308">F1988-G1988</f>
        <v>0</v>
      </c>
      <c r="I1988" s="1509">
        <v>0</v>
      </c>
      <c r="J1988" s="1509">
        <v>0</v>
      </c>
      <c r="K1988" s="1509"/>
      <c r="L1988" s="1509"/>
      <c r="M1988" s="1509">
        <f t="shared" si="304"/>
        <v>0</v>
      </c>
      <c r="N1988" s="1509">
        <f t="shared" ref="N1988:N2051" si="309">H1988+I1988-M1988</f>
        <v>0</v>
      </c>
    </row>
    <row r="1989" spans="1:14" customFormat="1" outlineLevel="1" x14ac:dyDescent="0.25">
      <c r="A1989" s="1511">
        <f t="shared" si="305"/>
        <v>0</v>
      </c>
      <c r="B1989" s="1515" t="str">
        <f t="shared" si="305"/>
        <v>IDC</v>
      </c>
      <c r="C1989" s="1396" t="str">
        <f t="shared" si="305"/>
        <v>Yet to be approved</v>
      </c>
      <c r="D1989" s="1378" t="str">
        <f t="shared" si="305"/>
        <v>-</v>
      </c>
      <c r="E1989" s="1505">
        <f t="shared" si="305"/>
        <v>0</v>
      </c>
      <c r="F1989" s="1509">
        <f t="shared" si="306"/>
        <v>0</v>
      </c>
      <c r="G1989" s="1509">
        <f t="shared" si="307"/>
        <v>0</v>
      </c>
      <c r="H1989" s="1509">
        <f t="shared" si="308"/>
        <v>0</v>
      </c>
      <c r="I1989" s="1509">
        <v>0</v>
      </c>
      <c r="J1989" s="1509">
        <v>0</v>
      </c>
      <c r="K1989" s="1509"/>
      <c r="L1989" s="1509"/>
      <c r="M1989" s="1509">
        <f t="shared" si="304"/>
        <v>0</v>
      </c>
      <c r="N1989" s="1509">
        <f t="shared" si="309"/>
        <v>0</v>
      </c>
    </row>
    <row r="1990" spans="1:14" customFormat="1" ht="29" outlineLevel="1" x14ac:dyDescent="0.25">
      <c r="A1990" s="1506">
        <f t="shared" si="305"/>
        <v>16</v>
      </c>
      <c r="B1990" s="1507" t="str">
        <f t="shared" si="305"/>
        <v>DPR for normalization and stabilization of coal handling plant performance at Parli TPS</v>
      </c>
      <c r="C1990" s="1506">
        <f t="shared" si="305"/>
        <v>0</v>
      </c>
      <c r="D1990" s="1507" t="str">
        <f t="shared" si="305"/>
        <v>-</v>
      </c>
      <c r="E1990" s="1506">
        <f t="shared" si="305"/>
        <v>0</v>
      </c>
      <c r="F1990" s="1509">
        <f t="shared" si="306"/>
        <v>0</v>
      </c>
      <c r="G1990" s="1509">
        <f t="shared" si="307"/>
        <v>0</v>
      </c>
      <c r="H1990" s="1509">
        <f t="shared" si="308"/>
        <v>0</v>
      </c>
      <c r="I1990" s="1509">
        <v>0</v>
      </c>
      <c r="J1990" s="1509">
        <v>0</v>
      </c>
      <c r="K1990" s="1509"/>
      <c r="L1990" s="1509"/>
      <c r="M1990" s="1509">
        <f t="shared" si="304"/>
        <v>0</v>
      </c>
      <c r="N1990" s="1509">
        <f t="shared" si="309"/>
        <v>0</v>
      </c>
    </row>
    <row r="1991" spans="1:14" customFormat="1" outlineLevel="1" x14ac:dyDescent="0.25">
      <c r="A1991" s="1511">
        <f t="shared" si="305"/>
        <v>16.100000000000001</v>
      </c>
      <c r="B1991" s="1515" t="str">
        <f t="shared" si="305"/>
        <v>Procurement of U-6,7 W/T Major spares</v>
      </c>
      <c r="C1991" s="1396" t="str">
        <f t="shared" si="305"/>
        <v>Yet to be approved</v>
      </c>
      <c r="D1991" s="1378" t="str">
        <f t="shared" si="305"/>
        <v>-</v>
      </c>
      <c r="E1991" s="1505">
        <f t="shared" si="305"/>
        <v>0</v>
      </c>
      <c r="F1991" s="1509">
        <f t="shared" si="306"/>
        <v>10</v>
      </c>
      <c r="G1991" s="1509">
        <f t="shared" si="307"/>
        <v>10</v>
      </c>
      <c r="H1991" s="1509">
        <f t="shared" si="308"/>
        <v>0</v>
      </c>
      <c r="I1991" s="1509">
        <v>0</v>
      </c>
      <c r="J1991" s="1509">
        <v>0</v>
      </c>
      <c r="K1991" s="1509"/>
      <c r="L1991" s="1509"/>
      <c r="M1991" s="1509">
        <f t="shared" si="304"/>
        <v>0</v>
      </c>
      <c r="N1991" s="1509">
        <f t="shared" si="309"/>
        <v>0</v>
      </c>
    </row>
    <row r="1992" spans="1:14" customFormat="1" outlineLevel="1" x14ac:dyDescent="0.25">
      <c r="A1992" s="1511">
        <f t="shared" si="305"/>
        <v>16.2</v>
      </c>
      <c r="B1992" s="1515" t="str">
        <f t="shared" si="305"/>
        <v>Supply of impact crusher major spares for CHP U-6/7</v>
      </c>
      <c r="C1992" s="1396" t="str">
        <f t="shared" si="305"/>
        <v>Yet to be approved</v>
      </c>
      <c r="D1992" s="1378" t="str">
        <f t="shared" si="305"/>
        <v>-</v>
      </c>
      <c r="E1992" s="1505">
        <f t="shared" si="305"/>
        <v>0</v>
      </c>
      <c r="F1992" s="1509">
        <f t="shared" si="306"/>
        <v>5</v>
      </c>
      <c r="G1992" s="1509">
        <f t="shared" si="307"/>
        <v>5</v>
      </c>
      <c r="H1992" s="1509">
        <f t="shared" si="308"/>
        <v>0</v>
      </c>
      <c r="I1992" s="1509">
        <v>0</v>
      </c>
      <c r="J1992" s="1509">
        <v>0</v>
      </c>
      <c r="K1992" s="1509"/>
      <c r="L1992" s="1509"/>
      <c r="M1992" s="1509">
        <f t="shared" si="304"/>
        <v>0</v>
      </c>
      <c r="N1992" s="1509">
        <f t="shared" si="309"/>
        <v>0</v>
      </c>
    </row>
    <row r="1993" spans="1:14" customFormat="1" outlineLevel="1" x14ac:dyDescent="0.25">
      <c r="A1993" s="1511">
        <f t="shared" si="305"/>
        <v>16.3</v>
      </c>
      <c r="B1993" s="1515" t="str">
        <f t="shared" si="305"/>
        <v>Provision of Soft starter / VFD for Various conveyor</v>
      </c>
      <c r="C1993" s="1396" t="str">
        <f t="shared" si="305"/>
        <v>Yet to be approved</v>
      </c>
      <c r="D1993" s="1378" t="str">
        <f t="shared" si="305"/>
        <v>-</v>
      </c>
      <c r="E1993" s="1505">
        <f t="shared" si="305"/>
        <v>0</v>
      </c>
      <c r="F1993" s="1509">
        <f t="shared" si="306"/>
        <v>8</v>
      </c>
      <c r="G1993" s="1509">
        <f t="shared" si="307"/>
        <v>8</v>
      </c>
      <c r="H1993" s="1509">
        <f t="shared" si="308"/>
        <v>0</v>
      </c>
      <c r="I1993" s="1509">
        <v>0</v>
      </c>
      <c r="J1993" s="1509">
        <v>0</v>
      </c>
      <c r="K1993" s="1509"/>
      <c r="L1993" s="1509"/>
      <c r="M1993" s="1509">
        <f t="shared" si="304"/>
        <v>0</v>
      </c>
      <c r="N1993" s="1509">
        <f t="shared" si="309"/>
        <v>0</v>
      </c>
    </row>
    <row r="1994" spans="1:14" customFormat="1" outlineLevel="1" x14ac:dyDescent="0.25">
      <c r="A1994" s="1511">
        <f t="shared" si="305"/>
        <v>16.399999999999999</v>
      </c>
      <c r="B1994" s="1515" t="str">
        <f t="shared" si="305"/>
        <v>Upgradation of siemens make PLC at U-6/7.</v>
      </c>
      <c r="C1994" s="1396" t="str">
        <f t="shared" si="305"/>
        <v>Yet to be approved</v>
      </c>
      <c r="D1994" s="1378" t="str">
        <f t="shared" si="305"/>
        <v>-</v>
      </c>
      <c r="E1994" s="1505">
        <f t="shared" si="305"/>
        <v>0</v>
      </c>
      <c r="F1994" s="1509">
        <f t="shared" si="306"/>
        <v>8</v>
      </c>
      <c r="G1994" s="1509">
        <f t="shared" si="307"/>
        <v>8</v>
      </c>
      <c r="H1994" s="1509">
        <f t="shared" si="308"/>
        <v>0</v>
      </c>
      <c r="I1994" s="1509">
        <v>0</v>
      </c>
      <c r="J1994" s="1509">
        <v>0</v>
      </c>
      <c r="K1994" s="1509"/>
      <c r="L1994" s="1509"/>
      <c r="M1994" s="1509">
        <f t="shared" si="304"/>
        <v>0</v>
      </c>
      <c r="N1994" s="1509">
        <f t="shared" si="309"/>
        <v>0</v>
      </c>
    </row>
    <row r="1995" spans="1:14" customFormat="1" outlineLevel="1" x14ac:dyDescent="0.25">
      <c r="A1995" s="1511">
        <f t="shared" si="305"/>
        <v>16.5</v>
      </c>
      <c r="B1995" s="1515" t="str">
        <f t="shared" si="305"/>
        <v>Procurement of U-6/7 Stacker reclaimer major spares</v>
      </c>
      <c r="C1995" s="1396" t="str">
        <f t="shared" si="305"/>
        <v>Yet to be approved</v>
      </c>
      <c r="D1995" s="1378" t="str">
        <f t="shared" si="305"/>
        <v>-</v>
      </c>
      <c r="E1995" s="1505">
        <f t="shared" si="305"/>
        <v>0</v>
      </c>
      <c r="F1995" s="1509">
        <f t="shared" si="306"/>
        <v>12</v>
      </c>
      <c r="G1995" s="1509">
        <f t="shared" si="307"/>
        <v>12</v>
      </c>
      <c r="H1995" s="1509">
        <f t="shared" si="308"/>
        <v>0</v>
      </c>
      <c r="I1995" s="1509">
        <v>0</v>
      </c>
      <c r="J1995" s="1509">
        <v>0</v>
      </c>
      <c r="K1995" s="1509"/>
      <c r="L1995" s="1509"/>
      <c r="M1995" s="1509">
        <f t="shared" si="304"/>
        <v>0</v>
      </c>
      <c r="N1995" s="1509">
        <f t="shared" si="309"/>
        <v>0</v>
      </c>
    </row>
    <row r="1996" spans="1:14" customFormat="1" ht="29" outlineLevel="1" x14ac:dyDescent="0.25">
      <c r="A1996" s="1511">
        <f t="shared" si="305"/>
        <v>16.600000000000001</v>
      </c>
      <c r="B1996" s="1515" t="str">
        <f t="shared" si="305"/>
        <v>Design, supply and commissioning of solar operated lighting system in CHP  U-6,7</v>
      </c>
      <c r="C1996" s="1396" t="str">
        <f t="shared" si="305"/>
        <v>Yet to be approved</v>
      </c>
      <c r="D1996" s="1378" t="str">
        <f t="shared" si="305"/>
        <v>-</v>
      </c>
      <c r="E1996" s="1505">
        <f t="shared" si="305"/>
        <v>0</v>
      </c>
      <c r="F1996" s="1509">
        <f t="shared" si="306"/>
        <v>15</v>
      </c>
      <c r="G1996" s="1509">
        <f t="shared" si="307"/>
        <v>15</v>
      </c>
      <c r="H1996" s="1509">
        <f t="shared" si="308"/>
        <v>0</v>
      </c>
      <c r="I1996" s="1509">
        <v>0</v>
      </c>
      <c r="J1996" s="1509">
        <v>0</v>
      </c>
      <c r="K1996" s="1509"/>
      <c r="L1996" s="1509"/>
      <c r="M1996" s="1509">
        <f t="shared" si="304"/>
        <v>0</v>
      </c>
      <c r="N1996" s="1509">
        <f t="shared" si="309"/>
        <v>0</v>
      </c>
    </row>
    <row r="1997" spans="1:14" customFormat="1" outlineLevel="1" x14ac:dyDescent="0.25">
      <c r="A1997" s="1511">
        <f t="shared" si="305"/>
        <v>16.7</v>
      </c>
      <c r="B1997" s="1515" t="str">
        <f t="shared" si="305"/>
        <v>Installation of CCTV survillance system alongwith all conveyors.</v>
      </c>
      <c r="C1997" s="1396" t="str">
        <f t="shared" si="305"/>
        <v>Yet to be approved</v>
      </c>
      <c r="D1997" s="1378" t="str">
        <f t="shared" si="305"/>
        <v>-</v>
      </c>
      <c r="E1997" s="1505">
        <f t="shared" si="305"/>
        <v>0</v>
      </c>
      <c r="F1997" s="1509">
        <f t="shared" si="306"/>
        <v>4</v>
      </c>
      <c r="G1997" s="1509">
        <f t="shared" si="307"/>
        <v>4</v>
      </c>
      <c r="H1997" s="1509">
        <f t="shared" si="308"/>
        <v>0</v>
      </c>
      <c r="I1997" s="1509">
        <v>0</v>
      </c>
      <c r="J1997" s="1509">
        <v>0</v>
      </c>
      <c r="K1997" s="1509"/>
      <c r="L1997" s="1509"/>
      <c r="M1997" s="1509">
        <f t="shared" si="304"/>
        <v>0</v>
      </c>
      <c r="N1997" s="1509">
        <f t="shared" si="309"/>
        <v>0</v>
      </c>
    </row>
    <row r="1998" spans="1:14" customFormat="1" ht="29" outlineLevel="1" x14ac:dyDescent="0.25">
      <c r="A1998" s="1511">
        <f t="shared" si="305"/>
        <v>16.8</v>
      </c>
      <c r="B1998" s="1515" t="str">
        <f t="shared" si="305"/>
        <v xml:space="preserve"> Upgradation / Retrofication of Bunker Lifts of Unit-6 &amp; Unit-7 at CHP TPS Parli-V.</v>
      </c>
      <c r="C1998" s="1396" t="str">
        <f t="shared" si="305"/>
        <v>Yet to be approved</v>
      </c>
      <c r="D1998" s="1378" t="str">
        <f t="shared" si="305"/>
        <v>-</v>
      </c>
      <c r="E1998" s="1505">
        <f t="shared" si="305"/>
        <v>0</v>
      </c>
      <c r="F1998" s="1509">
        <f t="shared" si="306"/>
        <v>3.25</v>
      </c>
      <c r="G1998" s="1509">
        <f t="shared" si="307"/>
        <v>3.25</v>
      </c>
      <c r="H1998" s="1509">
        <f t="shared" si="308"/>
        <v>0</v>
      </c>
      <c r="I1998" s="1509">
        <v>0</v>
      </c>
      <c r="J1998" s="1509">
        <v>0</v>
      </c>
      <c r="K1998" s="1509"/>
      <c r="L1998" s="1509"/>
      <c r="M1998" s="1509">
        <f t="shared" si="304"/>
        <v>0</v>
      </c>
      <c r="N1998" s="1509">
        <f t="shared" si="309"/>
        <v>0</v>
      </c>
    </row>
    <row r="1999" spans="1:14" customFormat="1" outlineLevel="1" x14ac:dyDescent="0.25">
      <c r="A1999" s="1511">
        <f t="shared" si="305"/>
        <v>0</v>
      </c>
      <c r="B1999" s="1515" t="str">
        <f t="shared" si="305"/>
        <v>IDC</v>
      </c>
      <c r="C1999" s="1396" t="str">
        <f t="shared" si="305"/>
        <v>Yet to be approved</v>
      </c>
      <c r="D1999" s="1378" t="str">
        <f t="shared" si="305"/>
        <v>-</v>
      </c>
      <c r="E1999" s="1505">
        <f t="shared" si="305"/>
        <v>0</v>
      </c>
      <c r="F1999" s="1509">
        <f t="shared" si="306"/>
        <v>0</v>
      </c>
      <c r="G1999" s="1509">
        <f t="shared" si="307"/>
        <v>0</v>
      </c>
      <c r="H1999" s="1509">
        <f t="shared" si="308"/>
        <v>0</v>
      </c>
      <c r="I1999" s="1509">
        <v>0</v>
      </c>
      <c r="J1999" s="1509">
        <v>0</v>
      </c>
      <c r="K1999" s="1509"/>
      <c r="L1999" s="1509"/>
      <c r="M1999" s="1509">
        <f t="shared" si="304"/>
        <v>0</v>
      </c>
      <c r="N1999" s="1509">
        <f t="shared" si="309"/>
        <v>0</v>
      </c>
    </row>
    <row r="2000" spans="1:14" customFormat="1" outlineLevel="1" x14ac:dyDescent="0.25">
      <c r="A2000" s="1506">
        <f t="shared" si="305"/>
        <v>17</v>
      </c>
      <c r="B2000" s="1507" t="str">
        <f t="shared" si="305"/>
        <v>DPR for maximiation of Coal Handling Plant efficiency.</v>
      </c>
      <c r="C2000" s="1506" t="str">
        <f t="shared" si="305"/>
        <v>Yet to be approved</v>
      </c>
      <c r="D2000" s="1507" t="str">
        <f t="shared" si="305"/>
        <v>-</v>
      </c>
      <c r="E2000" s="1506">
        <f t="shared" si="305"/>
        <v>0</v>
      </c>
      <c r="F2000" s="1509">
        <f t="shared" si="306"/>
        <v>0</v>
      </c>
      <c r="G2000" s="1509">
        <f t="shared" si="307"/>
        <v>0</v>
      </c>
      <c r="H2000" s="1509">
        <f t="shared" si="308"/>
        <v>0</v>
      </c>
      <c r="I2000" s="1509">
        <v>0</v>
      </c>
      <c r="J2000" s="1509">
        <v>0</v>
      </c>
      <c r="K2000" s="1509"/>
      <c r="L2000" s="1509"/>
      <c r="M2000" s="1509">
        <f t="shared" si="304"/>
        <v>0</v>
      </c>
      <c r="N2000" s="1509">
        <f t="shared" si="309"/>
        <v>0</v>
      </c>
    </row>
    <row r="2001" spans="1:14" customFormat="1" outlineLevel="1" x14ac:dyDescent="0.25">
      <c r="A2001" s="1511">
        <f t="shared" si="305"/>
        <v>17.100000000000001</v>
      </c>
      <c r="B2001" s="1515" t="str">
        <f t="shared" si="305"/>
        <v>W/T control room &amp; bunker house battery &amp; UPS upgradation</v>
      </c>
      <c r="C2001" s="1396" t="str">
        <f t="shared" si="305"/>
        <v>Yet to be approved</v>
      </c>
      <c r="D2001" s="1378" t="str">
        <f t="shared" si="305"/>
        <v>-</v>
      </c>
      <c r="E2001" s="1505">
        <f t="shared" si="305"/>
        <v>0</v>
      </c>
      <c r="F2001" s="1509">
        <f t="shared" si="306"/>
        <v>0</v>
      </c>
      <c r="G2001" s="1509">
        <f t="shared" si="307"/>
        <v>0</v>
      </c>
      <c r="H2001" s="1509">
        <f t="shared" si="308"/>
        <v>0</v>
      </c>
      <c r="I2001" s="1509">
        <v>3</v>
      </c>
      <c r="J2001" s="1509">
        <v>3</v>
      </c>
      <c r="K2001" s="1509"/>
      <c r="L2001" s="1509"/>
      <c r="M2001" s="1509">
        <f t="shared" si="304"/>
        <v>3</v>
      </c>
      <c r="N2001" s="1509">
        <f t="shared" si="309"/>
        <v>0</v>
      </c>
    </row>
    <row r="2002" spans="1:14" customFormat="1" outlineLevel="1" x14ac:dyDescent="0.25">
      <c r="A2002" s="1511">
        <f t="shared" si="305"/>
        <v>17.2</v>
      </c>
      <c r="B2002" s="1515" t="str">
        <f t="shared" si="305"/>
        <v>Provision of Soft starter / VFD for Various conveyor</v>
      </c>
      <c r="C2002" s="1396" t="str">
        <f t="shared" si="305"/>
        <v>Yet to be approved</v>
      </c>
      <c r="D2002" s="1378" t="str">
        <f t="shared" si="305"/>
        <v>-</v>
      </c>
      <c r="E2002" s="1505">
        <f t="shared" si="305"/>
        <v>0</v>
      </c>
      <c r="F2002" s="1509">
        <f t="shared" si="306"/>
        <v>0</v>
      </c>
      <c r="G2002" s="1509">
        <f t="shared" si="307"/>
        <v>0</v>
      </c>
      <c r="H2002" s="1509">
        <f t="shared" si="308"/>
        <v>0</v>
      </c>
      <c r="I2002" s="1509">
        <v>8</v>
      </c>
      <c r="J2002" s="1509">
        <v>8</v>
      </c>
      <c r="K2002" s="1509"/>
      <c r="L2002" s="1509"/>
      <c r="M2002" s="1509">
        <f t="shared" si="304"/>
        <v>8</v>
      </c>
      <c r="N2002" s="1509">
        <f t="shared" si="309"/>
        <v>0</v>
      </c>
    </row>
    <row r="2003" spans="1:14" customFormat="1" ht="29" outlineLevel="1" x14ac:dyDescent="0.25">
      <c r="A2003" s="1511">
        <f t="shared" ref="A2003:E2018" si="310">A1646</f>
        <v>17.3</v>
      </c>
      <c r="B2003" s="1515" t="str">
        <f t="shared" si="310"/>
        <v>Structure Strengthening of Conveyor NO. 3 and Stacker Reclaimer Rail at U-6/7 CHP</v>
      </c>
      <c r="C2003" s="1396" t="str">
        <f t="shared" si="310"/>
        <v>Yet to be approved</v>
      </c>
      <c r="D2003" s="1378" t="str">
        <f t="shared" si="310"/>
        <v>-</v>
      </c>
      <c r="E2003" s="1505">
        <f t="shared" si="310"/>
        <v>0</v>
      </c>
      <c r="F2003" s="1509">
        <f t="shared" si="306"/>
        <v>0</v>
      </c>
      <c r="G2003" s="1509">
        <f t="shared" si="307"/>
        <v>0</v>
      </c>
      <c r="H2003" s="1509">
        <f t="shared" si="308"/>
        <v>0</v>
      </c>
      <c r="I2003" s="1509">
        <v>3</v>
      </c>
      <c r="J2003" s="1509">
        <v>3</v>
      </c>
      <c r="K2003" s="1509"/>
      <c r="L2003" s="1509"/>
      <c r="M2003" s="1509">
        <f t="shared" si="304"/>
        <v>3</v>
      </c>
      <c r="N2003" s="1509">
        <f t="shared" si="309"/>
        <v>0</v>
      </c>
    </row>
    <row r="2004" spans="1:14" customFormat="1" outlineLevel="1" x14ac:dyDescent="0.25">
      <c r="A2004" s="1511">
        <f t="shared" si="310"/>
        <v>17.399999999999999</v>
      </c>
      <c r="B2004" s="1515" t="str">
        <f t="shared" si="310"/>
        <v>Modernization/modification of Conveyor HT/LT cables at U-6/7 CHP.</v>
      </c>
      <c r="C2004" s="1396" t="str">
        <f t="shared" si="310"/>
        <v>Yet to be approved</v>
      </c>
      <c r="D2004" s="1378" t="str">
        <f t="shared" si="310"/>
        <v>-</v>
      </c>
      <c r="E2004" s="1505">
        <f t="shared" si="310"/>
        <v>0</v>
      </c>
      <c r="F2004" s="1509">
        <f t="shared" si="306"/>
        <v>0</v>
      </c>
      <c r="G2004" s="1509">
        <f t="shared" si="307"/>
        <v>0</v>
      </c>
      <c r="H2004" s="1509">
        <f t="shared" si="308"/>
        <v>0</v>
      </c>
      <c r="I2004" s="1509">
        <v>4</v>
      </c>
      <c r="J2004" s="1509">
        <v>4</v>
      </c>
      <c r="K2004" s="1509"/>
      <c r="L2004" s="1509"/>
      <c r="M2004" s="1509">
        <f t="shared" si="304"/>
        <v>4</v>
      </c>
      <c r="N2004" s="1509">
        <f t="shared" si="309"/>
        <v>0</v>
      </c>
    </row>
    <row r="2005" spans="1:14" customFormat="1" ht="29" outlineLevel="1" x14ac:dyDescent="0.25">
      <c r="A2005" s="1511">
        <f t="shared" si="310"/>
        <v>17.5</v>
      </c>
      <c r="B2005" s="1515" t="str">
        <f t="shared" si="310"/>
        <v>Modernization of EOT cranes and Hoist at various junction tower and various location of CHP U-6/7</v>
      </c>
      <c r="C2005" s="1396" t="str">
        <f t="shared" si="310"/>
        <v>Yet to be approved</v>
      </c>
      <c r="D2005" s="1378" t="str">
        <f t="shared" si="310"/>
        <v>-</v>
      </c>
      <c r="E2005" s="1505">
        <f t="shared" si="310"/>
        <v>0</v>
      </c>
      <c r="F2005" s="1509">
        <f t="shared" si="306"/>
        <v>0</v>
      </c>
      <c r="G2005" s="1509">
        <f t="shared" si="307"/>
        <v>0</v>
      </c>
      <c r="H2005" s="1509">
        <f t="shared" si="308"/>
        <v>0</v>
      </c>
      <c r="I2005" s="1509">
        <v>3</v>
      </c>
      <c r="J2005" s="1509">
        <v>3</v>
      </c>
      <c r="K2005" s="1509"/>
      <c r="L2005" s="1509"/>
      <c r="M2005" s="1509">
        <f t="shared" si="304"/>
        <v>3</v>
      </c>
      <c r="N2005" s="1509">
        <f t="shared" si="309"/>
        <v>0</v>
      </c>
    </row>
    <row r="2006" spans="1:14" customFormat="1" outlineLevel="1" x14ac:dyDescent="0.25">
      <c r="A2006" s="1511">
        <f t="shared" si="310"/>
        <v>17.600000000000001</v>
      </c>
      <c r="B2006" s="1515" t="str">
        <f t="shared" si="310"/>
        <v>Renovation / retrofitting of shuttle conveyor at CHP U-6/7.</v>
      </c>
      <c r="C2006" s="1396" t="str">
        <f t="shared" si="310"/>
        <v>Yet to be approved</v>
      </c>
      <c r="D2006" s="1378" t="str">
        <f t="shared" si="310"/>
        <v>-</v>
      </c>
      <c r="E2006" s="1505">
        <f t="shared" si="310"/>
        <v>0</v>
      </c>
      <c r="F2006" s="1509">
        <f t="shared" si="306"/>
        <v>0</v>
      </c>
      <c r="G2006" s="1509">
        <f t="shared" si="307"/>
        <v>0</v>
      </c>
      <c r="H2006" s="1509">
        <f t="shared" si="308"/>
        <v>0</v>
      </c>
      <c r="I2006" s="1509">
        <v>4</v>
      </c>
      <c r="J2006" s="1509">
        <v>4</v>
      </c>
      <c r="K2006" s="1509"/>
      <c r="L2006" s="1509"/>
      <c r="M2006" s="1509">
        <f t="shared" si="304"/>
        <v>4</v>
      </c>
      <c r="N2006" s="1509">
        <f t="shared" si="309"/>
        <v>0</v>
      </c>
    </row>
    <row r="2007" spans="1:14" customFormat="1" outlineLevel="1" x14ac:dyDescent="0.25">
      <c r="A2007" s="1511">
        <f t="shared" si="310"/>
        <v>17.7</v>
      </c>
      <c r="B2007" s="1515" t="str">
        <f t="shared" si="310"/>
        <v>Upgradation/renovation of bunker lift at RSC-6 &amp; 7 of CHP U-6/7</v>
      </c>
      <c r="C2007" s="1396" t="str">
        <f t="shared" si="310"/>
        <v>Yet to be approved</v>
      </c>
      <c r="D2007" s="1378" t="str">
        <f t="shared" si="310"/>
        <v>-</v>
      </c>
      <c r="E2007" s="1505">
        <f t="shared" si="310"/>
        <v>0</v>
      </c>
      <c r="F2007" s="1509">
        <f t="shared" si="306"/>
        <v>0</v>
      </c>
      <c r="G2007" s="1509">
        <f t="shared" si="307"/>
        <v>0</v>
      </c>
      <c r="H2007" s="1509">
        <f t="shared" si="308"/>
        <v>0</v>
      </c>
      <c r="I2007" s="1509">
        <v>4</v>
      </c>
      <c r="J2007" s="1509">
        <v>4</v>
      </c>
      <c r="K2007" s="1509"/>
      <c r="L2007" s="1509"/>
      <c r="M2007" s="1509">
        <f t="shared" si="304"/>
        <v>4</v>
      </c>
      <c r="N2007" s="1509">
        <f t="shared" si="309"/>
        <v>0</v>
      </c>
    </row>
    <row r="2008" spans="1:14" customFormat="1" outlineLevel="1" x14ac:dyDescent="0.25">
      <c r="A2008" s="1511">
        <f t="shared" si="310"/>
        <v>0</v>
      </c>
      <c r="B2008" s="1515" t="str">
        <f t="shared" si="310"/>
        <v>IDC</v>
      </c>
      <c r="C2008" s="1396" t="str">
        <f t="shared" si="310"/>
        <v>Yet to be approved</v>
      </c>
      <c r="D2008" s="1378" t="str">
        <f t="shared" si="310"/>
        <v>-</v>
      </c>
      <c r="E2008" s="1505">
        <f t="shared" si="310"/>
        <v>0</v>
      </c>
      <c r="F2008" s="1509">
        <f t="shared" si="306"/>
        <v>0</v>
      </c>
      <c r="G2008" s="1509">
        <f t="shared" si="307"/>
        <v>0</v>
      </c>
      <c r="H2008" s="1509">
        <f t="shared" si="308"/>
        <v>0</v>
      </c>
      <c r="I2008" s="1509">
        <v>0</v>
      </c>
      <c r="J2008" s="1509">
        <v>0</v>
      </c>
      <c r="K2008" s="1509"/>
      <c r="L2008" s="1509"/>
      <c r="M2008" s="1509">
        <f t="shared" si="304"/>
        <v>0</v>
      </c>
      <c r="N2008" s="1509">
        <f t="shared" si="309"/>
        <v>0</v>
      </c>
    </row>
    <row r="2009" spans="1:14" customFormat="1" outlineLevel="1" x14ac:dyDescent="0.25">
      <c r="A2009" s="1506">
        <f t="shared" si="310"/>
        <v>18</v>
      </c>
      <c r="B2009" s="1507" t="str">
        <f t="shared" si="310"/>
        <v>DPR on life enhancement of Coal Handling Plant</v>
      </c>
      <c r="C2009" s="1506" t="str">
        <f t="shared" si="310"/>
        <v>Yet to be approved</v>
      </c>
      <c r="D2009" s="1507" t="str">
        <f t="shared" si="310"/>
        <v>-</v>
      </c>
      <c r="E2009" s="1506">
        <f t="shared" si="310"/>
        <v>0</v>
      </c>
      <c r="F2009" s="1509">
        <f t="shared" si="306"/>
        <v>0</v>
      </c>
      <c r="G2009" s="1509">
        <f t="shared" si="307"/>
        <v>0</v>
      </c>
      <c r="H2009" s="1509">
        <f t="shared" si="308"/>
        <v>0</v>
      </c>
      <c r="I2009" s="1509">
        <v>0</v>
      </c>
      <c r="J2009" s="1509">
        <v>0</v>
      </c>
      <c r="K2009" s="1509"/>
      <c r="L2009" s="1509"/>
      <c r="M2009" s="1509">
        <f t="shared" si="304"/>
        <v>0</v>
      </c>
      <c r="N2009" s="1509">
        <f t="shared" si="309"/>
        <v>0</v>
      </c>
    </row>
    <row r="2010" spans="1:14" customFormat="1" ht="29" outlineLevel="1" x14ac:dyDescent="0.25">
      <c r="A2010" s="1511">
        <f t="shared" si="310"/>
        <v>18.100000000000001</v>
      </c>
      <c r="B2010" s="1515" t="str">
        <f t="shared" si="310"/>
        <v>Renovation, upgradation  &amp; capacity enhancement of LT switch gear panels at W/T, S/R and CHP control Switch board at CHP U-6/7.</v>
      </c>
      <c r="C2010" s="1396" t="str">
        <f t="shared" si="310"/>
        <v>Yet to be approved</v>
      </c>
      <c r="D2010" s="1378" t="str">
        <f t="shared" si="310"/>
        <v>-</v>
      </c>
      <c r="E2010" s="1505">
        <f t="shared" si="310"/>
        <v>0</v>
      </c>
      <c r="F2010" s="1509">
        <f t="shared" si="306"/>
        <v>0</v>
      </c>
      <c r="G2010" s="1509">
        <f t="shared" si="307"/>
        <v>0</v>
      </c>
      <c r="H2010" s="1509">
        <f t="shared" si="308"/>
        <v>0</v>
      </c>
      <c r="I2010" s="1509">
        <v>0</v>
      </c>
      <c r="J2010" s="1509">
        <v>0</v>
      </c>
      <c r="K2010" s="1509"/>
      <c r="L2010" s="1509"/>
      <c r="M2010" s="1509">
        <f t="shared" si="304"/>
        <v>0</v>
      </c>
      <c r="N2010" s="1509">
        <f t="shared" si="309"/>
        <v>0</v>
      </c>
    </row>
    <row r="2011" spans="1:14" customFormat="1" outlineLevel="1" x14ac:dyDescent="0.25">
      <c r="A2011" s="1511">
        <f t="shared" si="310"/>
        <v>18.2</v>
      </c>
      <c r="B2011" s="1515" t="str">
        <f t="shared" si="310"/>
        <v>Procurement &amp; installation of Belt tear detection system</v>
      </c>
      <c r="C2011" s="1396" t="str">
        <f t="shared" si="310"/>
        <v>Yet to be approved</v>
      </c>
      <c r="D2011" s="1378" t="str">
        <f t="shared" si="310"/>
        <v>-</v>
      </c>
      <c r="E2011" s="1505">
        <f t="shared" si="310"/>
        <v>0</v>
      </c>
      <c r="F2011" s="1509">
        <f t="shared" si="306"/>
        <v>0</v>
      </c>
      <c r="G2011" s="1509">
        <f t="shared" si="307"/>
        <v>0</v>
      </c>
      <c r="H2011" s="1509">
        <f t="shared" si="308"/>
        <v>0</v>
      </c>
      <c r="I2011" s="1509">
        <v>0</v>
      </c>
      <c r="J2011" s="1509">
        <v>0</v>
      </c>
      <c r="K2011" s="1509"/>
      <c r="L2011" s="1509"/>
      <c r="M2011" s="1509">
        <f t="shared" si="304"/>
        <v>0</v>
      </c>
      <c r="N2011" s="1509">
        <f t="shared" si="309"/>
        <v>0</v>
      </c>
    </row>
    <row r="2012" spans="1:14" customFormat="1" outlineLevel="1" x14ac:dyDescent="0.25">
      <c r="A2012" s="1511">
        <f t="shared" si="310"/>
        <v>18.3</v>
      </c>
      <c r="B2012" s="1515" t="str">
        <f t="shared" si="310"/>
        <v>Conveyor gravity takeup infrastructure strengthening work</v>
      </c>
      <c r="C2012" s="1396" t="str">
        <f t="shared" si="310"/>
        <v>Yet to be approved</v>
      </c>
      <c r="D2012" s="1378" t="str">
        <f t="shared" si="310"/>
        <v>-</v>
      </c>
      <c r="E2012" s="1505">
        <f t="shared" si="310"/>
        <v>0</v>
      </c>
      <c r="F2012" s="1509">
        <f t="shared" si="306"/>
        <v>0</v>
      </c>
      <c r="G2012" s="1509">
        <f t="shared" si="307"/>
        <v>0</v>
      </c>
      <c r="H2012" s="1509">
        <f t="shared" si="308"/>
        <v>0</v>
      </c>
      <c r="I2012" s="1509">
        <v>0</v>
      </c>
      <c r="J2012" s="1509">
        <v>0</v>
      </c>
      <c r="K2012" s="1509"/>
      <c r="L2012" s="1509"/>
      <c r="M2012" s="1509">
        <f t="shared" si="304"/>
        <v>0</v>
      </c>
      <c r="N2012" s="1509">
        <f t="shared" si="309"/>
        <v>0</v>
      </c>
    </row>
    <row r="2013" spans="1:14" customFormat="1" outlineLevel="1" x14ac:dyDescent="0.25">
      <c r="A2013" s="1511">
        <f t="shared" si="310"/>
        <v>18.399999999999999</v>
      </c>
      <c r="B2013" s="1515" t="str">
        <f t="shared" si="310"/>
        <v>Replacement of vibrating feeder-I with Apron Feeder at CHP U-6/7.</v>
      </c>
      <c r="C2013" s="1396" t="str">
        <f t="shared" si="310"/>
        <v>Yet to be approved</v>
      </c>
      <c r="D2013" s="1378" t="str">
        <f t="shared" si="310"/>
        <v>-</v>
      </c>
      <c r="E2013" s="1505">
        <f t="shared" si="310"/>
        <v>0</v>
      </c>
      <c r="F2013" s="1509">
        <f t="shared" si="306"/>
        <v>0</v>
      </c>
      <c r="G2013" s="1509">
        <f t="shared" si="307"/>
        <v>0</v>
      </c>
      <c r="H2013" s="1509">
        <f t="shared" si="308"/>
        <v>0</v>
      </c>
      <c r="I2013" s="1509">
        <v>0</v>
      </c>
      <c r="J2013" s="1509">
        <v>0</v>
      </c>
      <c r="K2013" s="1509"/>
      <c r="L2013" s="1509"/>
      <c r="M2013" s="1509">
        <f t="shared" si="304"/>
        <v>0</v>
      </c>
      <c r="N2013" s="1509">
        <f t="shared" si="309"/>
        <v>0</v>
      </c>
    </row>
    <row r="2014" spans="1:14" customFormat="1" outlineLevel="1" x14ac:dyDescent="0.25">
      <c r="A2014" s="1511">
        <f t="shared" si="310"/>
        <v>0</v>
      </c>
      <c r="B2014" s="1515" t="str">
        <f t="shared" si="310"/>
        <v>IDC</v>
      </c>
      <c r="C2014" s="1396" t="str">
        <f t="shared" si="310"/>
        <v>Yet to be approved</v>
      </c>
      <c r="D2014" s="1378" t="str">
        <f t="shared" si="310"/>
        <v>-</v>
      </c>
      <c r="E2014" s="1505">
        <f t="shared" si="310"/>
        <v>0</v>
      </c>
      <c r="F2014" s="1509">
        <f t="shared" si="306"/>
        <v>0</v>
      </c>
      <c r="G2014" s="1509">
        <f t="shared" si="307"/>
        <v>0</v>
      </c>
      <c r="H2014" s="1509">
        <f t="shared" si="308"/>
        <v>0</v>
      </c>
      <c r="I2014" s="1509">
        <v>0</v>
      </c>
      <c r="J2014" s="1509">
        <v>0</v>
      </c>
      <c r="K2014" s="1509"/>
      <c r="L2014" s="1509"/>
      <c r="M2014" s="1509">
        <f t="shared" si="304"/>
        <v>0</v>
      </c>
      <c r="N2014" s="1509">
        <f t="shared" si="309"/>
        <v>0</v>
      </c>
    </row>
    <row r="2015" spans="1:14" customFormat="1" outlineLevel="1" x14ac:dyDescent="0.25">
      <c r="A2015" s="1506">
        <f t="shared" si="310"/>
        <v>19</v>
      </c>
      <c r="B2015" s="1507" t="str">
        <f t="shared" si="310"/>
        <v>DPR for stabiliazation of Coal Handling Performance.</v>
      </c>
      <c r="C2015" s="1506" t="str">
        <f t="shared" si="310"/>
        <v>Yet to be approved</v>
      </c>
      <c r="D2015" s="1507" t="str">
        <f t="shared" si="310"/>
        <v>-</v>
      </c>
      <c r="E2015" s="1506">
        <f t="shared" si="310"/>
        <v>0</v>
      </c>
      <c r="F2015" s="1509">
        <f t="shared" si="306"/>
        <v>0</v>
      </c>
      <c r="G2015" s="1509">
        <f t="shared" si="307"/>
        <v>0</v>
      </c>
      <c r="H2015" s="1509">
        <f t="shared" si="308"/>
        <v>0</v>
      </c>
      <c r="I2015" s="1509">
        <v>0</v>
      </c>
      <c r="J2015" s="1509">
        <v>0</v>
      </c>
      <c r="K2015" s="1509"/>
      <c r="L2015" s="1509"/>
      <c r="M2015" s="1509">
        <f t="shared" si="304"/>
        <v>0</v>
      </c>
      <c r="N2015" s="1509">
        <f t="shared" si="309"/>
        <v>0</v>
      </c>
    </row>
    <row r="2016" spans="1:14" customFormat="1" outlineLevel="1" x14ac:dyDescent="0.25">
      <c r="A2016" s="1511">
        <f t="shared" si="310"/>
        <v>19.100000000000001</v>
      </c>
      <c r="B2016" s="1515" t="str">
        <f t="shared" si="310"/>
        <v>Drive modification of Stacker Reclaimer slewing system.</v>
      </c>
      <c r="C2016" s="1396" t="str">
        <f t="shared" si="310"/>
        <v>Yet to be approved</v>
      </c>
      <c r="D2016" s="1378" t="str">
        <f t="shared" si="310"/>
        <v>-</v>
      </c>
      <c r="E2016" s="1505">
        <f t="shared" si="310"/>
        <v>0</v>
      </c>
      <c r="F2016" s="1509">
        <f t="shared" si="306"/>
        <v>0</v>
      </c>
      <c r="G2016" s="1509">
        <f t="shared" si="307"/>
        <v>0</v>
      </c>
      <c r="H2016" s="1509">
        <f t="shared" si="308"/>
        <v>0</v>
      </c>
      <c r="I2016" s="1509">
        <v>0</v>
      </c>
      <c r="J2016" s="1509">
        <v>0</v>
      </c>
      <c r="K2016" s="1509"/>
      <c r="L2016" s="1509"/>
      <c r="M2016" s="1509">
        <f t="shared" si="304"/>
        <v>0</v>
      </c>
      <c r="N2016" s="1509">
        <f t="shared" si="309"/>
        <v>0</v>
      </c>
    </row>
    <row r="2017" spans="1:14" customFormat="1" outlineLevel="1" x14ac:dyDescent="0.25">
      <c r="A2017" s="1511">
        <f t="shared" si="310"/>
        <v>19.2</v>
      </c>
      <c r="B2017" s="1515" t="str">
        <f t="shared" si="310"/>
        <v>Retrofitting of Side Arm Charger-I &amp; II at CHP U-6,7</v>
      </c>
      <c r="C2017" s="1396" t="str">
        <f t="shared" si="310"/>
        <v>Yet to be approved</v>
      </c>
      <c r="D2017" s="1378" t="str">
        <f t="shared" si="310"/>
        <v>-</v>
      </c>
      <c r="E2017" s="1505">
        <f t="shared" si="310"/>
        <v>0</v>
      </c>
      <c r="F2017" s="1509">
        <f t="shared" si="306"/>
        <v>0</v>
      </c>
      <c r="G2017" s="1509">
        <f t="shared" si="307"/>
        <v>0</v>
      </c>
      <c r="H2017" s="1509">
        <f t="shared" si="308"/>
        <v>0</v>
      </c>
      <c r="I2017" s="1509">
        <v>0</v>
      </c>
      <c r="J2017" s="1509">
        <v>0</v>
      </c>
      <c r="K2017" s="1509"/>
      <c r="L2017" s="1509"/>
      <c r="M2017" s="1509">
        <f t="shared" si="304"/>
        <v>0</v>
      </c>
      <c r="N2017" s="1509">
        <f t="shared" si="309"/>
        <v>0</v>
      </c>
    </row>
    <row r="2018" spans="1:14" customFormat="1" outlineLevel="1" x14ac:dyDescent="0.25">
      <c r="A2018" s="1511">
        <f t="shared" si="310"/>
        <v>19.3</v>
      </c>
      <c r="B2018" s="1515" t="str">
        <f t="shared" si="310"/>
        <v>Provision of open Wagon Tippler at CHP U-6/7</v>
      </c>
      <c r="C2018" s="1396" t="str">
        <f t="shared" si="310"/>
        <v>Yet to be approved</v>
      </c>
      <c r="D2018" s="1378" t="str">
        <f t="shared" si="310"/>
        <v>-</v>
      </c>
      <c r="E2018" s="1505">
        <f t="shared" si="310"/>
        <v>0</v>
      </c>
      <c r="F2018" s="1509">
        <f t="shared" si="306"/>
        <v>0</v>
      </c>
      <c r="G2018" s="1509">
        <f t="shared" si="307"/>
        <v>0</v>
      </c>
      <c r="H2018" s="1509">
        <f t="shared" si="308"/>
        <v>0</v>
      </c>
      <c r="I2018" s="1509">
        <v>0</v>
      </c>
      <c r="J2018" s="1509">
        <v>0</v>
      </c>
      <c r="K2018" s="1509"/>
      <c r="L2018" s="1509"/>
      <c r="M2018" s="1509">
        <f t="shared" si="304"/>
        <v>0</v>
      </c>
      <c r="N2018" s="1509">
        <f t="shared" si="309"/>
        <v>0</v>
      </c>
    </row>
    <row r="2019" spans="1:14" customFormat="1" outlineLevel="1" x14ac:dyDescent="0.25">
      <c r="A2019" s="1511">
        <f t="shared" ref="A2019:E2034" si="311">A1662</f>
        <v>19.399999999999999</v>
      </c>
      <c r="B2019" s="1515" t="str">
        <f t="shared" si="311"/>
        <v>Refurbishment of Apron Feeder at CHP U-6,7</v>
      </c>
      <c r="C2019" s="1396" t="str">
        <f t="shared" si="311"/>
        <v>Yet to be approved</v>
      </c>
      <c r="D2019" s="1378" t="str">
        <f t="shared" si="311"/>
        <v>-</v>
      </c>
      <c r="E2019" s="1505">
        <f t="shared" si="311"/>
        <v>0</v>
      </c>
      <c r="F2019" s="1509">
        <f t="shared" si="306"/>
        <v>0</v>
      </c>
      <c r="G2019" s="1509">
        <f t="shared" si="307"/>
        <v>0</v>
      </c>
      <c r="H2019" s="1509">
        <f t="shared" si="308"/>
        <v>0</v>
      </c>
      <c r="I2019" s="1509">
        <v>0</v>
      </c>
      <c r="J2019" s="1509">
        <v>0</v>
      </c>
      <c r="K2019" s="1509"/>
      <c r="L2019" s="1509"/>
      <c r="M2019" s="1509">
        <f t="shared" si="304"/>
        <v>0</v>
      </c>
      <c r="N2019" s="1509">
        <f t="shared" si="309"/>
        <v>0</v>
      </c>
    </row>
    <row r="2020" spans="1:14" customFormat="1" outlineLevel="1" x14ac:dyDescent="0.25">
      <c r="A2020" s="1511">
        <f t="shared" si="311"/>
        <v>0</v>
      </c>
      <c r="B2020" s="1515" t="str">
        <f t="shared" si="311"/>
        <v>IDC</v>
      </c>
      <c r="C2020" s="1396" t="str">
        <f t="shared" si="311"/>
        <v>Yet to be approved</v>
      </c>
      <c r="D2020" s="1378" t="str">
        <f t="shared" si="311"/>
        <v>-</v>
      </c>
      <c r="E2020" s="1505">
        <f t="shared" si="311"/>
        <v>0</v>
      </c>
      <c r="F2020" s="1509">
        <f t="shared" si="306"/>
        <v>0</v>
      </c>
      <c r="G2020" s="1509">
        <f t="shared" si="307"/>
        <v>0</v>
      </c>
      <c r="H2020" s="1509">
        <f t="shared" si="308"/>
        <v>0</v>
      </c>
      <c r="I2020" s="1509">
        <v>0</v>
      </c>
      <c r="J2020" s="1509">
        <v>0</v>
      </c>
      <c r="K2020" s="1509"/>
      <c r="L2020" s="1509"/>
      <c r="M2020" s="1509">
        <f t="shared" si="304"/>
        <v>0</v>
      </c>
      <c r="N2020" s="1509">
        <f t="shared" si="309"/>
        <v>0</v>
      </c>
    </row>
    <row r="2021" spans="1:14" customFormat="1" ht="29" outlineLevel="1" x14ac:dyDescent="0.25">
      <c r="A2021" s="1506">
        <f t="shared" si="311"/>
        <v>20</v>
      </c>
      <c r="B2021" s="1507" t="str">
        <f t="shared" si="311"/>
        <v>Procurement &amp; Replacement of 220V station batteries, 360V UPS batteries, 24V DCS batteries , 360V UPS AHP batteries at U6 &amp; U7 NPTPS</v>
      </c>
      <c r="C2021" s="1506" t="str">
        <f t="shared" si="311"/>
        <v>Yet to be approved</v>
      </c>
      <c r="D2021" s="1507" t="str">
        <f t="shared" si="311"/>
        <v>-</v>
      </c>
      <c r="E2021" s="1506">
        <f t="shared" si="311"/>
        <v>0</v>
      </c>
      <c r="F2021" s="1509">
        <f t="shared" si="306"/>
        <v>0</v>
      </c>
      <c r="G2021" s="1509">
        <f t="shared" si="307"/>
        <v>0</v>
      </c>
      <c r="H2021" s="1509">
        <f t="shared" si="308"/>
        <v>0</v>
      </c>
      <c r="I2021" s="1509">
        <v>0</v>
      </c>
      <c r="J2021" s="1509">
        <v>0</v>
      </c>
      <c r="K2021" s="1509"/>
      <c r="L2021" s="1509"/>
      <c r="M2021" s="1509">
        <f t="shared" si="304"/>
        <v>0</v>
      </c>
      <c r="N2021" s="1509">
        <f t="shared" si="309"/>
        <v>0</v>
      </c>
    </row>
    <row r="2022" spans="1:14" customFormat="1" ht="43.5" outlineLevel="1" x14ac:dyDescent="0.25">
      <c r="A2022" s="1511">
        <f t="shared" si="311"/>
        <v>20.100000000000001</v>
      </c>
      <c r="B2022" s="1515" t="str">
        <f t="shared" si="311"/>
        <v>Procurement &amp; Replacement of 220V station batteries, 360V UPS batteries, 24V DCS batteries , 360V UPS AHP batteries at U6 &amp; U7 NPTPS</v>
      </c>
      <c r="C2022" s="1396" t="str">
        <f t="shared" si="311"/>
        <v>Yet to be approved</v>
      </c>
      <c r="D2022" s="1378" t="str">
        <f t="shared" si="311"/>
        <v>-</v>
      </c>
      <c r="E2022" s="1505">
        <f t="shared" si="311"/>
        <v>0</v>
      </c>
      <c r="F2022" s="1509">
        <f t="shared" si="306"/>
        <v>0</v>
      </c>
      <c r="G2022" s="1509">
        <f t="shared" si="307"/>
        <v>0</v>
      </c>
      <c r="H2022" s="1509">
        <f t="shared" si="308"/>
        <v>0</v>
      </c>
      <c r="I2022" s="1509">
        <v>0</v>
      </c>
      <c r="J2022" s="1509">
        <v>0</v>
      </c>
      <c r="K2022" s="1509"/>
      <c r="L2022" s="1509"/>
      <c r="M2022" s="1509">
        <f t="shared" si="304"/>
        <v>0</v>
      </c>
      <c r="N2022" s="1509">
        <f t="shared" si="309"/>
        <v>0</v>
      </c>
    </row>
    <row r="2023" spans="1:14" customFormat="1" outlineLevel="1" x14ac:dyDescent="0.25">
      <c r="A2023" s="1511">
        <f t="shared" si="311"/>
        <v>0</v>
      </c>
      <c r="B2023" s="1515" t="str">
        <f t="shared" si="311"/>
        <v>IDC</v>
      </c>
      <c r="C2023" s="1396" t="str">
        <f t="shared" si="311"/>
        <v>Yet to be approved</v>
      </c>
      <c r="D2023" s="1378" t="str">
        <f t="shared" si="311"/>
        <v>-</v>
      </c>
      <c r="E2023" s="1505">
        <f t="shared" si="311"/>
        <v>0</v>
      </c>
      <c r="F2023" s="1509">
        <f t="shared" si="306"/>
        <v>0</v>
      </c>
      <c r="G2023" s="1509">
        <f t="shared" si="307"/>
        <v>0</v>
      </c>
      <c r="H2023" s="1509">
        <f t="shared" si="308"/>
        <v>0</v>
      </c>
      <c r="I2023" s="1509">
        <v>0</v>
      </c>
      <c r="J2023" s="1509">
        <v>0</v>
      </c>
      <c r="K2023" s="1509"/>
      <c r="L2023" s="1509"/>
      <c r="M2023" s="1509">
        <f t="shared" si="304"/>
        <v>0</v>
      </c>
      <c r="N2023" s="1509">
        <f t="shared" si="309"/>
        <v>0</v>
      </c>
    </row>
    <row r="2024" spans="1:14" customFormat="1" ht="29" outlineLevel="1" x14ac:dyDescent="0.25">
      <c r="A2024" s="1506">
        <f t="shared" si="311"/>
        <v>21</v>
      </c>
      <c r="B2024" s="1507" t="str">
        <f t="shared" si="311"/>
        <v>DPR on Various electricle maintenance schemes at Unit 6,7 NPTPS Parli-V</v>
      </c>
      <c r="C2024" s="1506" t="str">
        <f t="shared" si="311"/>
        <v>Yet to be approved</v>
      </c>
      <c r="D2024" s="1507" t="str">
        <f t="shared" si="311"/>
        <v>-</v>
      </c>
      <c r="E2024" s="1506">
        <f t="shared" si="311"/>
        <v>0</v>
      </c>
      <c r="F2024" s="1509">
        <f t="shared" si="306"/>
        <v>0</v>
      </c>
      <c r="G2024" s="1509">
        <f t="shared" si="307"/>
        <v>0</v>
      </c>
      <c r="H2024" s="1509">
        <f t="shared" si="308"/>
        <v>0</v>
      </c>
      <c r="I2024" s="1509">
        <v>0</v>
      </c>
      <c r="J2024" s="1509">
        <v>0</v>
      </c>
      <c r="K2024" s="1509"/>
      <c r="L2024" s="1509"/>
      <c r="M2024" s="1509">
        <f t="shared" si="304"/>
        <v>0</v>
      </c>
      <c r="N2024" s="1509">
        <f t="shared" si="309"/>
        <v>0</v>
      </c>
    </row>
    <row r="2025" spans="1:14" customFormat="1" ht="29" outlineLevel="1" x14ac:dyDescent="0.25">
      <c r="A2025" s="1511">
        <f t="shared" si="311"/>
        <v>21.1</v>
      </c>
      <c r="B2025" s="1515" t="str">
        <f t="shared" si="311"/>
        <v>Rennovation of Khadka &amp; Naikota switchyard including replacement of Transformer and 33 KV outdoor type VCBs</v>
      </c>
      <c r="C2025" s="1396" t="str">
        <f t="shared" si="311"/>
        <v>Yet to be approved</v>
      </c>
      <c r="D2025" s="1378" t="str">
        <f t="shared" si="311"/>
        <v>-</v>
      </c>
      <c r="E2025" s="1505">
        <f t="shared" si="311"/>
        <v>0</v>
      </c>
      <c r="F2025" s="1509">
        <f t="shared" si="306"/>
        <v>10</v>
      </c>
      <c r="G2025" s="1509">
        <f t="shared" si="307"/>
        <v>10</v>
      </c>
      <c r="H2025" s="1509">
        <f t="shared" si="308"/>
        <v>0</v>
      </c>
      <c r="I2025" s="1509">
        <v>0</v>
      </c>
      <c r="J2025" s="1509">
        <v>0</v>
      </c>
      <c r="K2025" s="1509"/>
      <c r="L2025" s="1509"/>
      <c r="M2025" s="1509">
        <f t="shared" si="304"/>
        <v>0</v>
      </c>
      <c r="N2025" s="1509">
        <f t="shared" si="309"/>
        <v>0</v>
      </c>
    </row>
    <row r="2026" spans="1:14" customFormat="1" ht="29" outlineLevel="1" x14ac:dyDescent="0.25">
      <c r="A2026" s="1511">
        <f t="shared" si="311"/>
        <v>21.2</v>
      </c>
      <c r="B2026" s="1515" t="str">
        <f t="shared" si="311"/>
        <v>Replacement of Khadka ,naikota 6.6 KV HT Breaker Panel , breaker trolleys and control cabinet</v>
      </c>
      <c r="C2026" s="1396" t="str">
        <f t="shared" si="311"/>
        <v>Yet to be approved</v>
      </c>
      <c r="D2026" s="1378" t="str">
        <f t="shared" si="311"/>
        <v>-</v>
      </c>
      <c r="E2026" s="1505">
        <f t="shared" si="311"/>
        <v>0</v>
      </c>
      <c r="F2026" s="1509">
        <f t="shared" si="306"/>
        <v>5</v>
      </c>
      <c r="G2026" s="1509">
        <f t="shared" si="307"/>
        <v>5</v>
      </c>
      <c r="H2026" s="1509">
        <f t="shared" si="308"/>
        <v>0</v>
      </c>
      <c r="I2026" s="1509">
        <v>0</v>
      </c>
      <c r="J2026" s="1509">
        <v>0</v>
      </c>
      <c r="K2026" s="1509"/>
      <c r="L2026" s="1509"/>
      <c r="M2026" s="1509">
        <f t="shared" si="304"/>
        <v>0</v>
      </c>
      <c r="N2026" s="1509">
        <f t="shared" si="309"/>
        <v>0</v>
      </c>
    </row>
    <row r="2027" spans="1:14" customFormat="1" outlineLevel="1" x14ac:dyDescent="0.25">
      <c r="A2027" s="1511">
        <f t="shared" si="311"/>
        <v>21.3</v>
      </c>
      <c r="B2027" s="1515" t="str">
        <f t="shared" si="311"/>
        <v>Replacement of LT breakers &amp; modules at Unit 7</v>
      </c>
      <c r="C2027" s="1396" t="str">
        <f t="shared" si="311"/>
        <v>Yet to be approved</v>
      </c>
      <c r="D2027" s="1378" t="str">
        <f t="shared" si="311"/>
        <v>-</v>
      </c>
      <c r="E2027" s="1505">
        <f t="shared" si="311"/>
        <v>0</v>
      </c>
      <c r="F2027" s="1509">
        <f t="shared" si="306"/>
        <v>10</v>
      </c>
      <c r="G2027" s="1509">
        <f t="shared" si="307"/>
        <v>10</v>
      </c>
      <c r="H2027" s="1509">
        <f t="shared" si="308"/>
        <v>0</v>
      </c>
      <c r="I2027" s="1509">
        <v>0</v>
      </c>
      <c r="J2027" s="1509">
        <v>0</v>
      </c>
      <c r="K2027" s="1509"/>
      <c r="L2027" s="1509"/>
      <c r="M2027" s="1509">
        <f t="shared" si="304"/>
        <v>0</v>
      </c>
      <c r="N2027" s="1509">
        <f t="shared" si="309"/>
        <v>0</v>
      </c>
    </row>
    <row r="2028" spans="1:14" customFormat="1" ht="29" outlineLevel="1" x14ac:dyDescent="0.25">
      <c r="A2028" s="1511">
        <f t="shared" si="311"/>
        <v>21.4</v>
      </c>
      <c r="B2028" s="1515" t="str">
        <f t="shared" si="311"/>
        <v>Rennovation/Replacement  of Boiler &amp; Turbine side lighting by energy efficient LED lighting at unit 6&amp;7, NPTPS, Parli vaijnath</v>
      </c>
      <c r="C2028" s="1396" t="str">
        <f t="shared" si="311"/>
        <v>Yet to be approved</v>
      </c>
      <c r="D2028" s="1378" t="str">
        <f t="shared" si="311"/>
        <v>-</v>
      </c>
      <c r="E2028" s="1505">
        <f t="shared" si="311"/>
        <v>0</v>
      </c>
      <c r="F2028" s="1509">
        <f t="shared" si="306"/>
        <v>3</v>
      </c>
      <c r="G2028" s="1509">
        <f t="shared" si="307"/>
        <v>3</v>
      </c>
      <c r="H2028" s="1509">
        <f t="shared" si="308"/>
        <v>0</v>
      </c>
      <c r="I2028" s="1509">
        <v>0</v>
      </c>
      <c r="J2028" s="1509">
        <v>0</v>
      </c>
      <c r="K2028" s="1509"/>
      <c r="L2028" s="1509"/>
      <c r="M2028" s="1509">
        <f t="shared" si="304"/>
        <v>0</v>
      </c>
      <c r="N2028" s="1509">
        <f t="shared" si="309"/>
        <v>0</v>
      </c>
    </row>
    <row r="2029" spans="1:14" customFormat="1" ht="29" outlineLevel="1" x14ac:dyDescent="0.25">
      <c r="A2029" s="1511">
        <f t="shared" si="311"/>
        <v>21.5</v>
      </c>
      <c r="B2029" s="1515" t="str">
        <f t="shared" si="311"/>
        <v>nstallation of VFD for CEP, FD Fan, Seal Air Fan &amp; HFO pump motors at unit 6&amp;7, NPTPS, Parli Vaijnath</v>
      </c>
      <c r="C2029" s="1396" t="str">
        <f t="shared" si="311"/>
        <v>Yet to be approved</v>
      </c>
      <c r="D2029" s="1378" t="str">
        <f t="shared" si="311"/>
        <v>-</v>
      </c>
      <c r="E2029" s="1505">
        <f t="shared" si="311"/>
        <v>0</v>
      </c>
      <c r="F2029" s="1509">
        <f t="shared" si="306"/>
        <v>10</v>
      </c>
      <c r="G2029" s="1509">
        <f t="shared" si="307"/>
        <v>10</v>
      </c>
      <c r="H2029" s="1509">
        <f t="shared" si="308"/>
        <v>0</v>
      </c>
      <c r="I2029" s="1509">
        <v>0</v>
      </c>
      <c r="J2029" s="1509">
        <v>0</v>
      </c>
      <c r="K2029" s="1509"/>
      <c r="L2029" s="1509"/>
      <c r="M2029" s="1509">
        <f t="shared" si="304"/>
        <v>0</v>
      </c>
      <c r="N2029" s="1509">
        <f t="shared" si="309"/>
        <v>0</v>
      </c>
    </row>
    <row r="2030" spans="1:14" customFormat="1" outlineLevel="1" x14ac:dyDescent="0.25">
      <c r="A2030" s="1511">
        <f t="shared" si="311"/>
        <v>0</v>
      </c>
      <c r="B2030" s="1515" t="str">
        <f t="shared" si="311"/>
        <v>IDC</v>
      </c>
      <c r="C2030" s="1396" t="str">
        <f t="shared" si="311"/>
        <v>Yet to be approved</v>
      </c>
      <c r="D2030" s="1378" t="str">
        <f t="shared" si="311"/>
        <v>-</v>
      </c>
      <c r="E2030" s="1505">
        <f t="shared" si="311"/>
        <v>0</v>
      </c>
      <c r="F2030" s="1509">
        <f t="shared" si="306"/>
        <v>0</v>
      </c>
      <c r="G2030" s="1509">
        <f t="shared" si="307"/>
        <v>0</v>
      </c>
      <c r="H2030" s="1509">
        <f t="shared" si="308"/>
        <v>0</v>
      </c>
      <c r="I2030" s="1509">
        <v>0</v>
      </c>
      <c r="J2030" s="1509">
        <v>0</v>
      </c>
      <c r="K2030" s="1509"/>
      <c r="L2030" s="1509"/>
      <c r="M2030" s="1509">
        <f t="shared" si="304"/>
        <v>0</v>
      </c>
      <c r="N2030" s="1509">
        <f t="shared" si="309"/>
        <v>0</v>
      </c>
    </row>
    <row r="2031" spans="1:14" customFormat="1" ht="29" outlineLevel="1" x14ac:dyDescent="0.25">
      <c r="A2031" s="1506">
        <f t="shared" si="311"/>
        <v>22</v>
      </c>
      <c r="B2031" s="1507" t="str">
        <f t="shared" si="311"/>
        <v>Renovation of Colony Electrical supply system &amp; also replacement of wiring of all Types of buildings ,street light,highmast etc</v>
      </c>
      <c r="C2031" s="1506" t="str">
        <f t="shared" si="311"/>
        <v>Yet to be approved</v>
      </c>
      <c r="D2031" s="1507" t="str">
        <f t="shared" si="311"/>
        <v>-</v>
      </c>
      <c r="E2031" s="1506">
        <f t="shared" si="311"/>
        <v>0</v>
      </c>
      <c r="F2031" s="1509">
        <f t="shared" si="306"/>
        <v>0</v>
      </c>
      <c r="G2031" s="1509">
        <f t="shared" si="307"/>
        <v>0</v>
      </c>
      <c r="H2031" s="1509">
        <f t="shared" si="308"/>
        <v>0</v>
      </c>
      <c r="I2031" s="1509">
        <v>0</v>
      </c>
      <c r="J2031" s="1509">
        <v>0</v>
      </c>
      <c r="K2031" s="1509"/>
      <c r="L2031" s="1509"/>
      <c r="M2031" s="1509">
        <f t="shared" si="304"/>
        <v>0</v>
      </c>
      <c r="N2031" s="1509">
        <f t="shared" si="309"/>
        <v>0</v>
      </c>
    </row>
    <row r="2032" spans="1:14" customFormat="1" ht="29" outlineLevel="1" x14ac:dyDescent="0.25">
      <c r="A2032" s="1511">
        <f t="shared" si="311"/>
        <v>22.1</v>
      </c>
      <c r="B2032" s="1515" t="str">
        <f t="shared" si="311"/>
        <v>Renovation of Colony Electrical supply system &amp; also replacement of wiring of all Types of buildings ,street light,highmast etc</v>
      </c>
      <c r="C2032" s="1396" t="str">
        <f t="shared" si="311"/>
        <v>Yet to be approved</v>
      </c>
      <c r="D2032" s="1378" t="str">
        <f t="shared" si="311"/>
        <v>-</v>
      </c>
      <c r="E2032" s="1505">
        <f t="shared" si="311"/>
        <v>0</v>
      </c>
      <c r="F2032" s="1509">
        <f t="shared" si="306"/>
        <v>25</v>
      </c>
      <c r="G2032" s="1509">
        <f t="shared" si="307"/>
        <v>25</v>
      </c>
      <c r="H2032" s="1509">
        <f t="shared" si="308"/>
        <v>0</v>
      </c>
      <c r="I2032" s="1509">
        <v>0</v>
      </c>
      <c r="J2032" s="1509">
        <v>0</v>
      </c>
      <c r="K2032" s="1509"/>
      <c r="L2032" s="1509"/>
      <c r="M2032" s="1509">
        <f t="shared" si="304"/>
        <v>0</v>
      </c>
      <c r="N2032" s="1509">
        <f t="shared" si="309"/>
        <v>0</v>
      </c>
    </row>
    <row r="2033" spans="1:14" customFormat="1" outlineLevel="1" x14ac:dyDescent="0.25">
      <c r="A2033" s="1511">
        <f t="shared" si="311"/>
        <v>0</v>
      </c>
      <c r="B2033" s="1515" t="str">
        <f t="shared" si="311"/>
        <v>IDC</v>
      </c>
      <c r="C2033" s="1396" t="str">
        <f t="shared" si="311"/>
        <v>Yet to be approved</v>
      </c>
      <c r="D2033" s="1378" t="str">
        <f t="shared" si="311"/>
        <v>-</v>
      </c>
      <c r="E2033" s="1505">
        <f t="shared" si="311"/>
        <v>0</v>
      </c>
      <c r="F2033" s="1509">
        <f t="shared" si="306"/>
        <v>0</v>
      </c>
      <c r="G2033" s="1509">
        <f t="shared" si="307"/>
        <v>0</v>
      </c>
      <c r="H2033" s="1509">
        <f t="shared" si="308"/>
        <v>0</v>
      </c>
      <c r="I2033" s="1509">
        <v>0</v>
      </c>
      <c r="J2033" s="1509">
        <v>0</v>
      </c>
      <c r="K2033" s="1509"/>
      <c r="L2033" s="1509"/>
      <c r="M2033" s="1509">
        <f t="shared" si="304"/>
        <v>0</v>
      </c>
      <c r="N2033" s="1509">
        <f t="shared" si="309"/>
        <v>0</v>
      </c>
    </row>
    <row r="2034" spans="1:14" customFormat="1" ht="58" outlineLevel="1" x14ac:dyDescent="0.25">
      <c r="A2034" s="1506">
        <f t="shared" si="311"/>
        <v>23</v>
      </c>
      <c r="B2034" s="1507" t="str">
        <f t="shared" si="311"/>
        <v xml:space="preserve"> UPGRADATION OF EXPIRED AND VULNERABLE Scada, operating system and hardware to improve life and communication system of IAC,OHP &amp; PTP plant UNIT 6&amp;7 250MW at NPTPS PARLI V" &amp; Emission Monitoring &amp; Water Quality Analysers system Upgradation Schemes</v>
      </c>
      <c r="C2034" s="1506" t="str">
        <f t="shared" si="311"/>
        <v>Yet to be approved</v>
      </c>
      <c r="D2034" s="1507" t="str">
        <f t="shared" si="311"/>
        <v>-</v>
      </c>
      <c r="E2034" s="1506">
        <f t="shared" si="311"/>
        <v>0</v>
      </c>
      <c r="F2034" s="1509">
        <f t="shared" si="306"/>
        <v>0</v>
      </c>
      <c r="G2034" s="1509">
        <f t="shared" si="307"/>
        <v>0</v>
      </c>
      <c r="H2034" s="1509">
        <f t="shared" si="308"/>
        <v>0</v>
      </c>
      <c r="I2034" s="1509">
        <v>0</v>
      </c>
      <c r="J2034" s="1509">
        <v>0</v>
      </c>
      <c r="K2034" s="1509"/>
      <c r="L2034" s="1509"/>
      <c r="M2034" s="1509">
        <f t="shared" si="304"/>
        <v>0</v>
      </c>
      <c r="N2034" s="1509">
        <f t="shared" si="309"/>
        <v>0</v>
      </c>
    </row>
    <row r="2035" spans="1:14" customFormat="1" ht="43.5" outlineLevel="1" x14ac:dyDescent="0.25">
      <c r="A2035" s="1511">
        <f t="shared" ref="A2035:E2050" si="312">A1678</f>
        <v>23.1</v>
      </c>
      <c r="B2035" s="1515" t="str">
        <f t="shared" si="312"/>
        <v>UPGRADATION OF EXPIRED AND VULNERABLE Scada, operating system and hardware to improve life and communication system of IAC,OHP &amp; PTP plant UNIT 6&amp;7 250MW at NPTPS PARLI V".</v>
      </c>
      <c r="C2035" s="1396" t="str">
        <f t="shared" si="312"/>
        <v>Yet to be approved</v>
      </c>
      <c r="D2035" s="1378" t="str">
        <f t="shared" si="312"/>
        <v>-</v>
      </c>
      <c r="E2035" s="1505">
        <f t="shared" si="312"/>
        <v>0</v>
      </c>
      <c r="F2035" s="1509">
        <f t="shared" si="306"/>
        <v>0</v>
      </c>
      <c r="G2035" s="1509">
        <f t="shared" si="307"/>
        <v>0</v>
      </c>
      <c r="H2035" s="1509">
        <f t="shared" si="308"/>
        <v>0</v>
      </c>
      <c r="I2035" s="1509">
        <v>2</v>
      </c>
      <c r="J2035" s="1509">
        <v>2</v>
      </c>
      <c r="K2035" s="1509"/>
      <c r="L2035" s="1509"/>
      <c r="M2035" s="1509">
        <f t="shared" si="304"/>
        <v>2</v>
      </c>
      <c r="N2035" s="1509">
        <f t="shared" si="309"/>
        <v>0</v>
      </c>
    </row>
    <row r="2036" spans="1:14" customFormat="1" outlineLevel="1" x14ac:dyDescent="0.25">
      <c r="A2036" s="1511">
        <f t="shared" si="312"/>
        <v>23.2</v>
      </c>
      <c r="B2036" s="1515" t="str">
        <f t="shared" si="312"/>
        <v>Up gradation of SWAS system at U 7,NPTPS</v>
      </c>
      <c r="C2036" s="1396" t="str">
        <f t="shared" si="312"/>
        <v>Yet to be approved</v>
      </c>
      <c r="D2036" s="1378" t="str">
        <f t="shared" si="312"/>
        <v>-</v>
      </c>
      <c r="E2036" s="1505">
        <f t="shared" si="312"/>
        <v>0</v>
      </c>
      <c r="F2036" s="1509">
        <f t="shared" si="306"/>
        <v>3</v>
      </c>
      <c r="G2036" s="1509">
        <f t="shared" si="307"/>
        <v>3</v>
      </c>
      <c r="H2036" s="1509">
        <f t="shared" si="308"/>
        <v>0</v>
      </c>
      <c r="I2036" s="1509">
        <v>0</v>
      </c>
      <c r="J2036" s="1509">
        <v>0</v>
      </c>
      <c r="K2036" s="1509"/>
      <c r="L2036" s="1509"/>
      <c r="M2036" s="1509">
        <f t="shared" si="304"/>
        <v>0</v>
      </c>
      <c r="N2036" s="1509">
        <f t="shared" si="309"/>
        <v>0</v>
      </c>
    </row>
    <row r="2037" spans="1:14" customFormat="1" outlineLevel="1" x14ac:dyDescent="0.25">
      <c r="A2037" s="1511">
        <f t="shared" si="312"/>
        <v>23.3</v>
      </c>
      <c r="B2037" s="1515" t="str">
        <f t="shared" si="312"/>
        <v>Oxygen measurement  APH and at ID outlet</v>
      </c>
      <c r="C2037" s="1396" t="str">
        <f t="shared" si="312"/>
        <v>Yet to be approved</v>
      </c>
      <c r="D2037" s="1378" t="str">
        <f t="shared" si="312"/>
        <v>-</v>
      </c>
      <c r="E2037" s="1505">
        <f t="shared" si="312"/>
        <v>0</v>
      </c>
      <c r="F2037" s="1509">
        <f t="shared" si="306"/>
        <v>1</v>
      </c>
      <c r="G2037" s="1509">
        <f t="shared" si="307"/>
        <v>1</v>
      </c>
      <c r="H2037" s="1509">
        <f t="shared" si="308"/>
        <v>0</v>
      </c>
      <c r="I2037" s="1509">
        <v>0</v>
      </c>
      <c r="J2037" s="1509">
        <v>0</v>
      </c>
      <c r="K2037" s="1509"/>
      <c r="L2037" s="1509"/>
      <c r="M2037" s="1509">
        <f t="shared" si="304"/>
        <v>0</v>
      </c>
      <c r="N2037" s="1509">
        <f t="shared" si="309"/>
        <v>0</v>
      </c>
    </row>
    <row r="2038" spans="1:14" customFormat="1" ht="29" outlineLevel="1" x14ac:dyDescent="0.25">
      <c r="A2038" s="1511">
        <f t="shared" si="312"/>
        <v>23.4</v>
      </c>
      <c r="B2038" s="1515" t="str">
        <f t="shared" si="312"/>
        <v>Up gradation of  Drum level measurement system at Unit – 6 &amp;7 New Parli TPS, Parli-V</v>
      </c>
      <c r="C2038" s="1396" t="str">
        <f t="shared" si="312"/>
        <v>Yet to be approved</v>
      </c>
      <c r="D2038" s="1378" t="str">
        <f t="shared" si="312"/>
        <v>-</v>
      </c>
      <c r="E2038" s="1505">
        <f t="shared" si="312"/>
        <v>0</v>
      </c>
      <c r="F2038" s="1509">
        <f t="shared" si="306"/>
        <v>3</v>
      </c>
      <c r="G2038" s="1509">
        <f t="shared" si="307"/>
        <v>3</v>
      </c>
      <c r="H2038" s="1509">
        <f t="shared" si="308"/>
        <v>0</v>
      </c>
      <c r="I2038" s="1509">
        <v>0</v>
      </c>
      <c r="J2038" s="1509">
        <v>0</v>
      </c>
      <c r="K2038" s="1509"/>
      <c r="L2038" s="1509"/>
      <c r="M2038" s="1509">
        <f t="shared" si="304"/>
        <v>0</v>
      </c>
      <c r="N2038" s="1509">
        <f t="shared" si="309"/>
        <v>0</v>
      </c>
    </row>
    <row r="2039" spans="1:14" customFormat="1" outlineLevel="1" x14ac:dyDescent="0.25">
      <c r="A2039" s="1511">
        <f t="shared" si="312"/>
        <v>23.5</v>
      </c>
      <c r="B2039" s="1515" t="str">
        <f t="shared" si="312"/>
        <v>OLCC SYSTEM UPGRADATION U6 &amp; U7</v>
      </c>
      <c r="C2039" s="1396" t="str">
        <f t="shared" si="312"/>
        <v>Yet to be approved</v>
      </c>
      <c r="D2039" s="1378" t="str">
        <f t="shared" si="312"/>
        <v>-</v>
      </c>
      <c r="E2039" s="1505">
        <f t="shared" si="312"/>
        <v>0</v>
      </c>
      <c r="F2039" s="1509">
        <f t="shared" si="306"/>
        <v>2</v>
      </c>
      <c r="G2039" s="1509">
        <f t="shared" si="307"/>
        <v>2</v>
      </c>
      <c r="H2039" s="1509">
        <f t="shared" si="308"/>
        <v>0</v>
      </c>
      <c r="I2039" s="1509">
        <v>0</v>
      </c>
      <c r="J2039" s="1509">
        <v>0</v>
      </c>
      <c r="K2039" s="1509"/>
      <c r="L2039" s="1509"/>
      <c r="M2039" s="1509">
        <f t="shared" ref="M2039:M2102" si="313">SUM(J2039:L2039)</f>
        <v>0</v>
      </c>
      <c r="N2039" s="1509">
        <f t="shared" si="309"/>
        <v>0</v>
      </c>
    </row>
    <row r="2040" spans="1:14" customFormat="1" ht="43.5" outlineLevel="1" x14ac:dyDescent="0.25">
      <c r="A2040" s="1511">
        <f t="shared" si="312"/>
        <v>23.6</v>
      </c>
      <c r="B2040" s="1515" t="str">
        <f t="shared" si="312"/>
        <v>Up gradation of  Boiler tubes leakage detection system &amp; Furnace flame mapping with video camera at Unit – 6 &amp;7 New Parli TPS, Parli-V</v>
      </c>
      <c r="C2040" s="1396" t="str">
        <f t="shared" si="312"/>
        <v>Yet to be approved</v>
      </c>
      <c r="D2040" s="1378" t="str">
        <f t="shared" si="312"/>
        <v>-</v>
      </c>
      <c r="E2040" s="1505">
        <f t="shared" si="312"/>
        <v>0</v>
      </c>
      <c r="F2040" s="1509">
        <f t="shared" si="306"/>
        <v>4</v>
      </c>
      <c r="G2040" s="1509">
        <f t="shared" si="307"/>
        <v>4</v>
      </c>
      <c r="H2040" s="1509">
        <f t="shared" si="308"/>
        <v>0</v>
      </c>
      <c r="I2040" s="1509">
        <v>0</v>
      </c>
      <c r="J2040" s="1509">
        <v>0</v>
      </c>
      <c r="K2040" s="1509"/>
      <c r="L2040" s="1509"/>
      <c r="M2040" s="1509">
        <f t="shared" si="313"/>
        <v>0</v>
      </c>
      <c r="N2040" s="1509">
        <f t="shared" si="309"/>
        <v>0</v>
      </c>
    </row>
    <row r="2041" spans="1:14" customFormat="1" outlineLevel="1" x14ac:dyDescent="0.25">
      <c r="A2041" s="1511">
        <f t="shared" si="312"/>
        <v>23.7</v>
      </c>
      <c r="B2041" s="1515" t="str">
        <f t="shared" si="312"/>
        <v>Unit7 LVS system SCADA/HMI  upgradation</v>
      </c>
      <c r="C2041" s="1396" t="str">
        <f t="shared" si="312"/>
        <v>Yet to be approved</v>
      </c>
      <c r="D2041" s="1378" t="str">
        <f t="shared" si="312"/>
        <v>-</v>
      </c>
      <c r="E2041" s="1505">
        <f t="shared" si="312"/>
        <v>0</v>
      </c>
      <c r="F2041" s="1509">
        <f t="shared" si="306"/>
        <v>1</v>
      </c>
      <c r="G2041" s="1509">
        <f t="shared" si="307"/>
        <v>1</v>
      </c>
      <c r="H2041" s="1509">
        <f t="shared" si="308"/>
        <v>0</v>
      </c>
      <c r="I2041" s="1509">
        <v>0</v>
      </c>
      <c r="J2041" s="1509">
        <v>0</v>
      </c>
      <c r="K2041" s="1509"/>
      <c r="L2041" s="1509"/>
      <c r="M2041" s="1509">
        <f t="shared" si="313"/>
        <v>0</v>
      </c>
      <c r="N2041" s="1509">
        <f t="shared" si="309"/>
        <v>0</v>
      </c>
    </row>
    <row r="2042" spans="1:14" customFormat="1" outlineLevel="1" x14ac:dyDescent="0.25">
      <c r="A2042" s="1511">
        <f t="shared" si="312"/>
        <v>23.8</v>
      </c>
      <c r="B2042" s="1515" t="str">
        <f t="shared" si="312"/>
        <v>Upgradation of Instrumentation &amp; control lab</v>
      </c>
      <c r="C2042" s="1396" t="str">
        <f t="shared" si="312"/>
        <v>Yet to be approved</v>
      </c>
      <c r="D2042" s="1378" t="str">
        <f t="shared" si="312"/>
        <v>-</v>
      </c>
      <c r="E2042" s="1505">
        <f t="shared" si="312"/>
        <v>0</v>
      </c>
      <c r="F2042" s="1509">
        <f t="shared" si="306"/>
        <v>1.5</v>
      </c>
      <c r="G2042" s="1509">
        <f t="shared" si="307"/>
        <v>1.5</v>
      </c>
      <c r="H2042" s="1509">
        <f t="shared" si="308"/>
        <v>0</v>
      </c>
      <c r="I2042" s="1509">
        <v>0</v>
      </c>
      <c r="J2042" s="1509">
        <v>0</v>
      </c>
      <c r="K2042" s="1509"/>
      <c r="L2042" s="1509"/>
      <c r="M2042" s="1509">
        <f t="shared" si="313"/>
        <v>0</v>
      </c>
      <c r="N2042" s="1509">
        <f t="shared" si="309"/>
        <v>0</v>
      </c>
    </row>
    <row r="2043" spans="1:14" customFormat="1" outlineLevel="1" x14ac:dyDescent="0.25">
      <c r="A2043" s="1511">
        <f t="shared" si="312"/>
        <v>0</v>
      </c>
      <c r="B2043" s="1515" t="str">
        <f t="shared" si="312"/>
        <v>IDC</v>
      </c>
      <c r="C2043" s="1396" t="str">
        <f t="shared" si="312"/>
        <v>Yet to be approved</v>
      </c>
      <c r="D2043" s="1378" t="str">
        <f t="shared" si="312"/>
        <v>-</v>
      </c>
      <c r="E2043" s="1505">
        <f t="shared" si="312"/>
        <v>0</v>
      </c>
      <c r="F2043" s="1509">
        <f t="shared" si="306"/>
        <v>0</v>
      </c>
      <c r="G2043" s="1509">
        <f t="shared" si="307"/>
        <v>0</v>
      </c>
      <c r="H2043" s="1509">
        <f t="shared" si="308"/>
        <v>0</v>
      </c>
      <c r="I2043" s="1509">
        <v>0</v>
      </c>
      <c r="J2043" s="1509">
        <v>0</v>
      </c>
      <c r="K2043" s="1509"/>
      <c r="L2043" s="1509"/>
      <c r="M2043" s="1509">
        <f t="shared" si="313"/>
        <v>0</v>
      </c>
      <c r="N2043" s="1509">
        <f t="shared" si="309"/>
        <v>0</v>
      </c>
    </row>
    <row r="2044" spans="1:14" customFormat="1" ht="29" outlineLevel="1" x14ac:dyDescent="0.25">
      <c r="A2044" s="1506">
        <f t="shared" si="312"/>
        <v>24</v>
      </c>
      <c r="B2044" s="1507" t="str">
        <f t="shared" si="312"/>
        <v>Control and monitoring system upgradation at U6&amp;7 NPTPS &amp; Various Instrumentation schemes at Unit 6,7, NPTPS Parli-V</v>
      </c>
      <c r="C2044" s="1506" t="str">
        <f t="shared" si="312"/>
        <v>Yet to be approved</v>
      </c>
      <c r="D2044" s="1507" t="str">
        <f t="shared" si="312"/>
        <v>-</v>
      </c>
      <c r="E2044" s="1506">
        <f t="shared" si="312"/>
        <v>0</v>
      </c>
      <c r="F2044" s="1509">
        <f t="shared" si="306"/>
        <v>0</v>
      </c>
      <c r="G2044" s="1509">
        <f t="shared" si="307"/>
        <v>0</v>
      </c>
      <c r="H2044" s="1509">
        <f t="shared" si="308"/>
        <v>0</v>
      </c>
      <c r="I2044" s="1509">
        <v>0</v>
      </c>
      <c r="J2044" s="1509">
        <v>0</v>
      </c>
      <c r="K2044" s="1509"/>
      <c r="L2044" s="1509"/>
      <c r="M2044" s="1509">
        <f t="shared" si="313"/>
        <v>0</v>
      </c>
      <c r="N2044" s="1509">
        <f t="shared" si="309"/>
        <v>0</v>
      </c>
    </row>
    <row r="2045" spans="1:14" customFormat="1" outlineLevel="1" x14ac:dyDescent="0.25">
      <c r="A2045" s="1511">
        <f t="shared" si="312"/>
        <v>24.1</v>
      </c>
      <c r="B2045" s="1515" t="str">
        <f t="shared" si="312"/>
        <v>Upgradation of level, flow &amp; pressure measurement system</v>
      </c>
      <c r="C2045" s="1396" t="str">
        <f t="shared" si="312"/>
        <v>Yet to be approved</v>
      </c>
      <c r="D2045" s="1378" t="str">
        <f t="shared" si="312"/>
        <v>-</v>
      </c>
      <c r="E2045" s="1505">
        <f t="shared" si="312"/>
        <v>0</v>
      </c>
      <c r="F2045" s="1509">
        <f t="shared" si="306"/>
        <v>0</v>
      </c>
      <c r="G2045" s="1509">
        <f t="shared" si="307"/>
        <v>0</v>
      </c>
      <c r="H2045" s="1509">
        <f t="shared" si="308"/>
        <v>0</v>
      </c>
      <c r="I2045" s="1509">
        <v>0</v>
      </c>
      <c r="J2045" s="1509">
        <v>0</v>
      </c>
      <c r="K2045" s="1509"/>
      <c r="L2045" s="1509"/>
      <c r="M2045" s="1509">
        <f t="shared" si="313"/>
        <v>0</v>
      </c>
      <c r="N2045" s="1509">
        <f t="shared" si="309"/>
        <v>0</v>
      </c>
    </row>
    <row r="2046" spans="1:14" customFormat="1" ht="29" outlineLevel="1" x14ac:dyDescent="0.25">
      <c r="A2046" s="1511">
        <f t="shared" si="312"/>
        <v>24.2</v>
      </c>
      <c r="B2046" s="1515" t="str">
        <f t="shared" si="312"/>
        <v>Up gradation of  Vibration Monitoring System(VMS) at Unit – 6 &amp;7 Parli TPS, Parli-V</v>
      </c>
      <c r="C2046" s="1396" t="str">
        <f t="shared" si="312"/>
        <v>Yet to be approved</v>
      </c>
      <c r="D2046" s="1378" t="str">
        <f t="shared" si="312"/>
        <v>-</v>
      </c>
      <c r="E2046" s="1505">
        <f t="shared" si="312"/>
        <v>0</v>
      </c>
      <c r="F2046" s="1509">
        <f t="shared" si="306"/>
        <v>0</v>
      </c>
      <c r="G2046" s="1509">
        <f t="shared" si="307"/>
        <v>0</v>
      </c>
      <c r="H2046" s="1509">
        <f t="shared" si="308"/>
        <v>0</v>
      </c>
      <c r="I2046" s="1509">
        <v>5</v>
      </c>
      <c r="J2046" s="1509">
        <v>5</v>
      </c>
      <c r="K2046" s="1509"/>
      <c r="L2046" s="1509"/>
      <c r="M2046" s="1509">
        <f t="shared" si="313"/>
        <v>5</v>
      </c>
      <c r="N2046" s="1509">
        <f t="shared" si="309"/>
        <v>0</v>
      </c>
    </row>
    <row r="2047" spans="1:14" customFormat="1" outlineLevel="1" x14ac:dyDescent="0.25">
      <c r="A2047" s="1511">
        <f t="shared" si="312"/>
        <v>24.3</v>
      </c>
      <c r="B2047" s="1515" t="str">
        <f t="shared" si="312"/>
        <v>Upgradation of feedstation valve contol instruments.</v>
      </c>
      <c r="C2047" s="1396" t="str">
        <f t="shared" si="312"/>
        <v>Yet to be approved</v>
      </c>
      <c r="D2047" s="1378" t="str">
        <f t="shared" si="312"/>
        <v>-</v>
      </c>
      <c r="E2047" s="1505">
        <f t="shared" si="312"/>
        <v>0</v>
      </c>
      <c r="F2047" s="1509">
        <f t="shared" si="306"/>
        <v>0</v>
      </c>
      <c r="G2047" s="1509">
        <f t="shared" si="307"/>
        <v>0</v>
      </c>
      <c r="H2047" s="1509">
        <f t="shared" si="308"/>
        <v>0</v>
      </c>
      <c r="I2047" s="1509">
        <v>0</v>
      </c>
      <c r="J2047" s="1509">
        <v>0</v>
      </c>
      <c r="K2047" s="1509"/>
      <c r="L2047" s="1509"/>
      <c r="M2047" s="1509">
        <f t="shared" si="313"/>
        <v>0</v>
      </c>
      <c r="N2047" s="1509">
        <f t="shared" si="309"/>
        <v>0</v>
      </c>
    </row>
    <row r="2048" spans="1:14" customFormat="1" ht="58" outlineLevel="1" x14ac:dyDescent="0.25">
      <c r="A2048" s="1511">
        <f t="shared" si="312"/>
        <v>24.4</v>
      </c>
      <c r="B2048" s="1515" t="str">
        <f t="shared" si="312"/>
        <v>Supply of various instuments like H2 Dew point measurement system spares, Hydrogen analyzer, H2 leak detection system spares etc.Critical/Non-Critical Spares sub-assembly for performance improvement</v>
      </c>
      <c r="C2048" s="1396" t="str">
        <f t="shared" si="312"/>
        <v>Yet to be approved</v>
      </c>
      <c r="D2048" s="1378" t="str">
        <f t="shared" si="312"/>
        <v>-</v>
      </c>
      <c r="E2048" s="1505">
        <f t="shared" si="312"/>
        <v>0</v>
      </c>
      <c r="F2048" s="1509">
        <f t="shared" si="306"/>
        <v>0</v>
      </c>
      <c r="G2048" s="1509">
        <f t="shared" si="307"/>
        <v>0</v>
      </c>
      <c r="H2048" s="1509">
        <f t="shared" si="308"/>
        <v>0</v>
      </c>
      <c r="I2048" s="1509">
        <v>3</v>
      </c>
      <c r="J2048" s="1509">
        <v>3</v>
      </c>
      <c r="K2048" s="1509"/>
      <c r="L2048" s="1509"/>
      <c r="M2048" s="1509">
        <f t="shared" si="313"/>
        <v>3</v>
      </c>
      <c r="N2048" s="1509">
        <f t="shared" si="309"/>
        <v>0</v>
      </c>
    </row>
    <row r="2049" spans="1:14" customFormat="1" outlineLevel="1" x14ac:dyDescent="0.25">
      <c r="A2049" s="1511">
        <f t="shared" si="312"/>
        <v>24.5</v>
      </c>
      <c r="B2049" s="1515" t="str">
        <f t="shared" si="312"/>
        <v>Online Water flow Monitoring System at Khadka</v>
      </c>
      <c r="C2049" s="1396" t="str">
        <f t="shared" si="312"/>
        <v>Yet to be approved</v>
      </c>
      <c r="D2049" s="1378" t="str">
        <f t="shared" si="312"/>
        <v>-</v>
      </c>
      <c r="E2049" s="1505">
        <f t="shared" si="312"/>
        <v>0</v>
      </c>
      <c r="F2049" s="1509">
        <f t="shared" si="306"/>
        <v>0</v>
      </c>
      <c r="G2049" s="1509">
        <f t="shared" si="307"/>
        <v>0</v>
      </c>
      <c r="H2049" s="1509">
        <f t="shared" si="308"/>
        <v>0</v>
      </c>
      <c r="I2049" s="1509">
        <v>0</v>
      </c>
      <c r="J2049" s="1509">
        <v>0</v>
      </c>
      <c r="K2049" s="1509"/>
      <c r="L2049" s="1509"/>
      <c r="M2049" s="1509">
        <f t="shared" si="313"/>
        <v>0</v>
      </c>
      <c r="N2049" s="1509">
        <f t="shared" si="309"/>
        <v>0</v>
      </c>
    </row>
    <row r="2050" spans="1:14" customFormat="1" ht="43.5" outlineLevel="1" x14ac:dyDescent="0.25">
      <c r="A2050" s="1511">
        <f t="shared" si="312"/>
        <v>24.6</v>
      </c>
      <c r="B2050" s="1515" t="str">
        <f t="shared" si="312"/>
        <v xml:space="preserve"> Upgradation of CO analyser at APH  inlete and SOX NOX gas analyser installed at ID discharge along with remote calibration facility and connectivity to CPCB and MPCB as per latest CPCB Guidelines </v>
      </c>
      <c r="C2050" s="1396" t="str">
        <f t="shared" si="312"/>
        <v>Yet to be approved</v>
      </c>
      <c r="D2050" s="1378" t="str">
        <f t="shared" si="312"/>
        <v>-</v>
      </c>
      <c r="E2050" s="1505">
        <f t="shared" si="312"/>
        <v>0</v>
      </c>
      <c r="F2050" s="1509">
        <f t="shared" si="306"/>
        <v>0</v>
      </c>
      <c r="G2050" s="1509">
        <f t="shared" si="307"/>
        <v>0</v>
      </c>
      <c r="H2050" s="1509">
        <f t="shared" si="308"/>
        <v>0</v>
      </c>
      <c r="I2050" s="1509">
        <v>0</v>
      </c>
      <c r="J2050" s="1509">
        <v>0</v>
      </c>
      <c r="K2050" s="1509"/>
      <c r="L2050" s="1509"/>
      <c r="M2050" s="1509">
        <f t="shared" si="313"/>
        <v>0</v>
      </c>
      <c r="N2050" s="1509">
        <f t="shared" si="309"/>
        <v>0</v>
      </c>
    </row>
    <row r="2051" spans="1:14" customFormat="1" ht="43.5" outlineLevel="1" x14ac:dyDescent="0.25">
      <c r="A2051" s="1511">
        <f t="shared" ref="A2051:E2066" si="314">A1694</f>
        <v>24.7</v>
      </c>
      <c r="B2051" s="1515" t="str">
        <f t="shared" si="314"/>
        <v>Supply, Erection and Commissioning of Effluent Analyser for the parameters like COD, BOD, TSS &amp; PH installed at ETP &amp; STP outlet of the NPTPS, Parli.       complying CPCB / MPCB Guidelines.</v>
      </c>
      <c r="C2051" s="1396" t="str">
        <f t="shared" si="314"/>
        <v>Yet to be approved</v>
      </c>
      <c r="D2051" s="1378" t="str">
        <f t="shared" si="314"/>
        <v>-</v>
      </c>
      <c r="E2051" s="1505">
        <f t="shared" si="314"/>
        <v>0</v>
      </c>
      <c r="F2051" s="1509">
        <f t="shared" ref="F2051:F2114" si="315">F1694+I1694</f>
        <v>0</v>
      </c>
      <c r="G2051" s="1509">
        <f t="shared" ref="G2051:G2114" si="316">G1694+M1694</f>
        <v>0</v>
      </c>
      <c r="H2051" s="1509">
        <f t="shared" si="308"/>
        <v>0</v>
      </c>
      <c r="I2051" s="1509">
        <v>0</v>
      </c>
      <c r="J2051" s="1509">
        <v>0</v>
      </c>
      <c r="K2051" s="1509"/>
      <c r="L2051" s="1509"/>
      <c r="M2051" s="1509">
        <f t="shared" si="313"/>
        <v>0</v>
      </c>
      <c r="N2051" s="1509">
        <f t="shared" si="309"/>
        <v>0</v>
      </c>
    </row>
    <row r="2052" spans="1:14" customFormat="1" outlineLevel="1" x14ac:dyDescent="0.25">
      <c r="A2052" s="1511">
        <f t="shared" si="314"/>
        <v>0</v>
      </c>
      <c r="B2052" s="1515" t="str">
        <f t="shared" si="314"/>
        <v>IDC</v>
      </c>
      <c r="C2052" s="1396" t="str">
        <f t="shared" si="314"/>
        <v>Yet to be approved</v>
      </c>
      <c r="D2052" s="1378" t="str">
        <f t="shared" si="314"/>
        <v>-</v>
      </c>
      <c r="E2052" s="1505">
        <f t="shared" si="314"/>
        <v>0</v>
      </c>
      <c r="F2052" s="1509">
        <f t="shared" si="315"/>
        <v>0</v>
      </c>
      <c r="G2052" s="1509">
        <f t="shared" si="316"/>
        <v>0</v>
      </c>
      <c r="H2052" s="1509">
        <f t="shared" ref="H2052:H2115" si="317">F2052-G2052</f>
        <v>0</v>
      </c>
      <c r="I2052" s="1509">
        <v>0</v>
      </c>
      <c r="J2052" s="1509">
        <v>0</v>
      </c>
      <c r="K2052" s="1509"/>
      <c r="L2052" s="1509"/>
      <c r="M2052" s="1509">
        <f t="shared" si="313"/>
        <v>0</v>
      </c>
      <c r="N2052" s="1509">
        <f t="shared" ref="N2052:N2115" si="318">H2052+I2052-M2052</f>
        <v>0</v>
      </c>
    </row>
    <row r="2053" spans="1:14" customFormat="1" ht="87" outlineLevel="1" x14ac:dyDescent="0.25">
      <c r="A2053" s="1506">
        <f t="shared" si="314"/>
        <v>25</v>
      </c>
      <c r="B2053" s="1507" t="str">
        <f t="shared" si="314"/>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2053" s="1506" t="str">
        <f t="shared" si="314"/>
        <v>Yet to be approved</v>
      </c>
      <c r="D2053" s="1507" t="str">
        <f t="shared" si="314"/>
        <v>-</v>
      </c>
      <c r="E2053" s="1506">
        <f t="shared" si="314"/>
        <v>0</v>
      </c>
      <c r="F2053" s="1509">
        <f t="shared" si="315"/>
        <v>0</v>
      </c>
      <c r="G2053" s="1509">
        <f t="shared" si="316"/>
        <v>0</v>
      </c>
      <c r="H2053" s="1509">
        <f t="shared" si="317"/>
        <v>0</v>
      </c>
      <c r="I2053" s="1509">
        <v>0</v>
      </c>
      <c r="J2053" s="1509">
        <v>0</v>
      </c>
      <c r="K2053" s="1509"/>
      <c r="L2053" s="1509"/>
      <c r="M2053" s="1509">
        <f t="shared" si="313"/>
        <v>0</v>
      </c>
      <c r="N2053" s="1509">
        <f t="shared" si="318"/>
        <v>0</v>
      </c>
    </row>
    <row r="2054" spans="1:14" customFormat="1" ht="58" outlineLevel="1" x14ac:dyDescent="0.25">
      <c r="A2054" s="1511">
        <f t="shared" si="314"/>
        <v>25.1</v>
      </c>
      <c r="B2054" s="1515" t="str">
        <f t="shared" si="314"/>
        <v>Work of replacement of damaged/leaky underground Fire Water Pipelines and Static Fire water Pumps at Plant (Unit-6, 7 &amp; 8) and ODP area of Parli TPS including required material viz. MSERW Pipes/Steel, etc.</v>
      </c>
      <c r="C2054" s="1396" t="str">
        <f t="shared" si="314"/>
        <v>Yet to be approved</v>
      </c>
      <c r="D2054" s="1378" t="str">
        <f t="shared" si="314"/>
        <v>-</v>
      </c>
      <c r="E2054" s="1505">
        <f t="shared" si="314"/>
        <v>0</v>
      </c>
      <c r="F2054" s="1509">
        <f t="shared" si="315"/>
        <v>17</v>
      </c>
      <c r="G2054" s="1509">
        <f t="shared" si="316"/>
        <v>17</v>
      </c>
      <c r="H2054" s="1509">
        <f t="shared" si="317"/>
        <v>0</v>
      </c>
      <c r="I2054" s="1509">
        <v>0</v>
      </c>
      <c r="J2054" s="1509">
        <v>0</v>
      </c>
      <c r="K2054" s="1509"/>
      <c r="L2054" s="1509"/>
      <c r="M2054" s="1509">
        <f t="shared" si="313"/>
        <v>0</v>
      </c>
      <c r="N2054" s="1509">
        <f t="shared" si="318"/>
        <v>0</v>
      </c>
    </row>
    <row r="2055" spans="1:14" customFormat="1" ht="58" outlineLevel="1" x14ac:dyDescent="0.25">
      <c r="A2055" s="1511">
        <f t="shared" si="314"/>
        <v>25.2</v>
      </c>
      <c r="B2055" s="1515" t="str">
        <f t="shared" si="314"/>
        <v>Restoration of Deluge Valve system along with work of repairing/reconstruction (with relocation for safe operation) of damaged Deluge Valve Houses at Plant &amp; ODP area of Parli TPS Unit#6, 7 &amp; 8.</v>
      </c>
      <c r="C2055" s="1396" t="str">
        <f t="shared" si="314"/>
        <v>Yet to be approved</v>
      </c>
      <c r="D2055" s="1378" t="str">
        <f t="shared" si="314"/>
        <v>-</v>
      </c>
      <c r="E2055" s="1505">
        <f t="shared" si="314"/>
        <v>0</v>
      </c>
      <c r="F2055" s="1509">
        <f t="shared" si="315"/>
        <v>10</v>
      </c>
      <c r="G2055" s="1509">
        <f t="shared" si="316"/>
        <v>10</v>
      </c>
      <c r="H2055" s="1509">
        <f t="shared" si="317"/>
        <v>0</v>
      </c>
      <c r="I2055" s="1509">
        <v>0</v>
      </c>
      <c r="J2055" s="1509">
        <v>0</v>
      </c>
      <c r="K2055" s="1509"/>
      <c r="L2055" s="1509"/>
      <c r="M2055" s="1509">
        <f t="shared" si="313"/>
        <v>0</v>
      </c>
      <c r="N2055" s="1509">
        <f t="shared" si="318"/>
        <v>0</v>
      </c>
    </row>
    <row r="2056" spans="1:14" customFormat="1" ht="29" outlineLevel="1" x14ac:dyDescent="0.25">
      <c r="A2056" s="1511">
        <f t="shared" si="314"/>
        <v>25.3</v>
      </c>
      <c r="B2056" s="1515" t="str">
        <f t="shared" si="314"/>
        <v>Supply, Rectification and Installation of addressable fire alarm system and Fire suppression system at unit 6 &amp; 7,Parli TPS.</v>
      </c>
      <c r="C2056" s="1396" t="str">
        <f t="shared" si="314"/>
        <v>Yet to be approved</v>
      </c>
      <c r="D2056" s="1378" t="str">
        <f t="shared" si="314"/>
        <v>-</v>
      </c>
      <c r="E2056" s="1505">
        <f t="shared" si="314"/>
        <v>0</v>
      </c>
      <c r="F2056" s="1509">
        <f t="shared" si="315"/>
        <v>7</v>
      </c>
      <c r="G2056" s="1509">
        <f t="shared" si="316"/>
        <v>7</v>
      </c>
      <c r="H2056" s="1509">
        <f t="shared" si="317"/>
        <v>0</v>
      </c>
      <c r="I2056" s="1509">
        <v>0</v>
      </c>
      <c r="J2056" s="1509">
        <v>0</v>
      </c>
      <c r="K2056" s="1509"/>
      <c r="L2056" s="1509"/>
      <c r="M2056" s="1509">
        <f t="shared" si="313"/>
        <v>0</v>
      </c>
      <c r="N2056" s="1509">
        <f t="shared" si="318"/>
        <v>0</v>
      </c>
    </row>
    <row r="2057" spans="1:14" customFormat="1" outlineLevel="1" x14ac:dyDescent="0.25">
      <c r="A2057" s="1511">
        <f t="shared" si="314"/>
        <v>0</v>
      </c>
      <c r="B2057" s="1515" t="str">
        <f t="shared" si="314"/>
        <v>IDC</v>
      </c>
      <c r="C2057" s="1396" t="str">
        <f t="shared" si="314"/>
        <v>Yet to be approved</v>
      </c>
      <c r="D2057" s="1378" t="str">
        <f t="shared" si="314"/>
        <v>-</v>
      </c>
      <c r="E2057" s="1505">
        <f t="shared" si="314"/>
        <v>0</v>
      </c>
      <c r="F2057" s="1509">
        <f t="shared" si="315"/>
        <v>0</v>
      </c>
      <c r="G2057" s="1509">
        <f t="shared" si="316"/>
        <v>0</v>
      </c>
      <c r="H2057" s="1509">
        <f t="shared" si="317"/>
        <v>0</v>
      </c>
      <c r="I2057" s="1509">
        <v>0</v>
      </c>
      <c r="J2057" s="1509">
        <v>0</v>
      </c>
      <c r="K2057" s="1509"/>
      <c r="L2057" s="1509"/>
      <c r="M2057" s="1509">
        <f t="shared" si="313"/>
        <v>0</v>
      </c>
      <c r="N2057" s="1509">
        <f t="shared" si="318"/>
        <v>0</v>
      </c>
    </row>
    <row r="2058" spans="1:14" customFormat="1" ht="29" outlineLevel="1" x14ac:dyDescent="0.25">
      <c r="A2058" s="1506">
        <f t="shared" si="314"/>
        <v>26</v>
      </c>
      <c r="B2058" s="1507" t="str">
        <f t="shared" si="314"/>
        <v>ASH  EVACUATION  IMPROVEMENT  AND  PERFORMANCE &amp; EFFICIENCY OF ASH HANDLING SYSTEM At NPTPS Parli-V AT TPS PARLI-V.</v>
      </c>
      <c r="C2058" s="1506" t="str">
        <f t="shared" si="314"/>
        <v>Yet to be approved</v>
      </c>
      <c r="D2058" s="1507" t="str">
        <f t="shared" si="314"/>
        <v>-</v>
      </c>
      <c r="E2058" s="1506">
        <f t="shared" si="314"/>
        <v>0</v>
      </c>
      <c r="F2058" s="1509">
        <f t="shared" si="315"/>
        <v>0</v>
      </c>
      <c r="G2058" s="1509">
        <f t="shared" si="316"/>
        <v>0</v>
      </c>
      <c r="H2058" s="1509">
        <f t="shared" si="317"/>
        <v>0</v>
      </c>
      <c r="I2058" s="1509">
        <v>0</v>
      </c>
      <c r="J2058" s="1509">
        <v>0</v>
      </c>
      <c r="K2058" s="1509"/>
      <c r="L2058" s="1509"/>
      <c r="M2058" s="1509">
        <f t="shared" si="313"/>
        <v>0</v>
      </c>
      <c r="N2058" s="1509">
        <f t="shared" si="318"/>
        <v>0</v>
      </c>
    </row>
    <row r="2059" spans="1:14" customFormat="1" ht="29" outlineLevel="1" x14ac:dyDescent="0.25">
      <c r="A2059" s="1511">
        <f t="shared" si="314"/>
        <v>26.1</v>
      </c>
      <c r="B2059" s="1515" t="str">
        <f t="shared" si="314"/>
        <v>DESIGN , SUPPLY &amp; REPLCEMENT OF  ASH DISPOSAL SLURRY PUMP  COMPLTE ASSEMBLY ALONG WITH GEAR BOX, MOTORS U-6</v>
      </c>
      <c r="C2059" s="1396" t="str">
        <f t="shared" si="314"/>
        <v>Yet to be approved</v>
      </c>
      <c r="D2059" s="1378" t="str">
        <f t="shared" si="314"/>
        <v>-</v>
      </c>
      <c r="E2059" s="1505">
        <f t="shared" si="314"/>
        <v>0</v>
      </c>
      <c r="F2059" s="1509">
        <f t="shared" si="315"/>
        <v>1.24</v>
      </c>
      <c r="G2059" s="1509">
        <f t="shared" si="316"/>
        <v>1.24</v>
      </c>
      <c r="H2059" s="1509">
        <f t="shared" si="317"/>
        <v>0</v>
      </c>
      <c r="I2059" s="1509">
        <v>0</v>
      </c>
      <c r="J2059" s="1509">
        <v>0</v>
      </c>
      <c r="K2059" s="1509"/>
      <c r="L2059" s="1509"/>
      <c r="M2059" s="1509">
        <f t="shared" si="313"/>
        <v>0</v>
      </c>
      <c r="N2059" s="1509">
        <f t="shared" si="318"/>
        <v>0</v>
      </c>
    </row>
    <row r="2060" spans="1:14" customFormat="1" ht="29" outlineLevel="1" x14ac:dyDescent="0.25">
      <c r="A2060" s="1511">
        <f t="shared" si="314"/>
        <v>26.2</v>
      </c>
      <c r="B2060" s="1515" t="str">
        <f t="shared" si="314"/>
        <v>DESIGN , SUPPLY &amp; REPLCEMENT OF  HP WATER PUMP COMPLTE ASSEMBLY ALONG WITH GEAR BOX, MOTORS U-6</v>
      </c>
      <c r="C2060" s="1396" t="str">
        <f t="shared" si="314"/>
        <v>Yet to be approved</v>
      </c>
      <c r="D2060" s="1378" t="str">
        <f t="shared" si="314"/>
        <v>-</v>
      </c>
      <c r="E2060" s="1505">
        <f t="shared" si="314"/>
        <v>0</v>
      </c>
      <c r="F2060" s="1509">
        <f t="shared" si="315"/>
        <v>1.17</v>
      </c>
      <c r="G2060" s="1509">
        <f t="shared" si="316"/>
        <v>1.17</v>
      </c>
      <c r="H2060" s="1509">
        <f t="shared" si="317"/>
        <v>0</v>
      </c>
      <c r="I2060" s="1509">
        <v>0</v>
      </c>
      <c r="J2060" s="1509">
        <v>0</v>
      </c>
      <c r="K2060" s="1509"/>
      <c r="L2060" s="1509"/>
      <c r="M2060" s="1509">
        <f t="shared" si="313"/>
        <v>0</v>
      </c>
      <c r="N2060" s="1509">
        <f t="shared" si="318"/>
        <v>0</v>
      </c>
    </row>
    <row r="2061" spans="1:14" customFormat="1" ht="29" outlineLevel="1" x14ac:dyDescent="0.25">
      <c r="A2061" s="1511">
        <f t="shared" si="314"/>
        <v>26.3</v>
      </c>
      <c r="B2061" s="1515" t="str">
        <f t="shared" si="314"/>
        <v>Upgradation of reciprocating  Conveying Air compressor into screw compressor  at U#6</v>
      </c>
      <c r="C2061" s="1396" t="str">
        <f t="shared" si="314"/>
        <v>Yet to be approved</v>
      </c>
      <c r="D2061" s="1378" t="str">
        <f t="shared" si="314"/>
        <v>-</v>
      </c>
      <c r="E2061" s="1505">
        <f t="shared" si="314"/>
        <v>0</v>
      </c>
      <c r="F2061" s="1509">
        <f t="shared" si="315"/>
        <v>5.98</v>
      </c>
      <c r="G2061" s="1509">
        <f t="shared" si="316"/>
        <v>5.98</v>
      </c>
      <c r="H2061" s="1509">
        <f t="shared" si="317"/>
        <v>0</v>
      </c>
      <c r="I2061" s="1509">
        <v>0</v>
      </c>
      <c r="J2061" s="1509">
        <v>0</v>
      </c>
      <c r="K2061" s="1509"/>
      <c r="L2061" s="1509"/>
      <c r="M2061" s="1509">
        <f t="shared" si="313"/>
        <v>0</v>
      </c>
      <c r="N2061" s="1509">
        <f t="shared" si="318"/>
        <v>0</v>
      </c>
    </row>
    <row r="2062" spans="1:14" customFormat="1" ht="29" outlineLevel="1" x14ac:dyDescent="0.25">
      <c r="A2062" s="1511">
        <f t="shared" si="314"/>
        <v>26.4</v>
      </c>
      <c r="B2062" s="1515" t="str">
        <f t="shared" si="314"/>
        <v>Upgradation of reciprocating  Instrument  Air compressor into screw compressor  at U#6</v>
      </c>
      <c r="C2062" s="1396" t="str">
        <f t="shared" si="314"/>
        <v>Yet to be approved</v>
      </c>
      <c r="D2062" s="1378" t="str">
        <f t="shared" si="314"/>
        <v>-</v>
      </c>
      <c r="E2062" s="1505">
        <f t="shared" si="314"/>
        <v>0</v>
      </c>
      <c r="F2062" s="1509">
        <f t="shared" si="315"/>
        <v>3.98</v>
      </c>
      <c r="G2062" s="1509">
        <f t="shared" si="316"/>
        <v>3.98</v>
      </c>
      <c r="H2062" s="1509">
        <f t="shared" si="317"/>
        <v>0</v>
      </c>
      <c r="I2062" s="1509">
        <v>0</v>
      </c>
      <c r="J2062" s="1509">
        <v>0</v>
      </c>
      <c r="K2062" s="1509"/>
      <c r="L2062" s="1509"/>
      <c r="M2062" s="1509">
        <f t="shared" si="313"/>
        <v>0</v>
      </c>
      <c r="N2062" s="1509">
        <f t="shared" si="318"/>
        <v>0</v>
      </c>
    </row>
    <row r="2063" spans="1:14" customFormat="1" ht="43.5" outlineLevel="1" x14ac:dyDescent="0.25">
      <c r="A2063" s="1511">
        <f t="shared" si="314"/>
        <v>26.5</v>
      </c>
      <c r="B2063" s="1515" t="str">
        <f t="shared" si="314"/>
        <v>Procurement &amp; replacement of 300 NB,200NB Cash Basalt Pipelines with the existing MSERW pipe of ash disposal system of Unit #6&amp;  7 at Parli TPS, Parli V .</v>
      </c>
      <c r="C2063" s="1396" t="str">
        <f t="shared" si="314"/>
        <v>Yet to be approved</v>
      </c>
      <c r="D2063" s="1378" t="str">
        <f t="shared" si="314"/>
        <v>-</v>
      </c>
      <c r="E2063" s="1505">
        <f t="shared" si="314"/>
        <v>0</v>
      </c>
      <c r="F2063" s="1509">
        <f t="shared" si="315"/>
        <v>6.61</v>
      </c>
      <c r="G2063" s="1509">
        <f t="shared" si="316"/>
        <v>6.61</v>
      </c>
      <c r="H2063" s="1509">
        <f t="shared" si="317"/>
        <v>0</v>
      </c>
      <c r="I2063" s="1509">
        <v>0</v>
      </c>
      <c r="J2063" s="1509">
        <v>0</v>
      </c>
      <c r="K2063" s="1509"/>
      <c r="L2063" s="1509"/>
      <c r="M2063" s="1509">
        <f t="shared" si="313"/>
        <v>0</v>
      </c>
      <c r="N2063" s="1509">
        <f t="shared" si="318"/>
        <v>0</v>
      </c>
    </row>
    <row r="2064" spans="1:14" customFormat="1" outlineLevel="1" x14ac:dyDescent="0.25">
      <c r="A2064" s="1511">
        <f t="shared" si="314"/>
        <v>26.6</v>
      </c>
      <c r="B2064" s="1515" t="str">
        <f t="shared" si="314"/>
        <v>DESIGN , SUPPLY &amp; REPLCEMENT  VACUUM PUMP U6</v>
      </c>
      <c r="C2064" s="1396" t="str">
        <f t="shared" si="314"/>
        <v>Yet to be approved</v>
      </c>
      <c r="D2064" s="1378" t="str">
        <f t="shared" si="314"/>
        <v>-</v>
      </c>
      <c r="E2064" s="1505">
        <f t="shared" si="314"/>
        <v>0</v>
      </c>
      <c r="F2064" s="1509">
        <f t="shared" si="315"/>
        <v>1.41</v>
      </c>
      <c r="G2064" s="1509">
        <f t="shared" si="316"/>
        <v>1.41</v>
      </c>
      <c r="H2064" s="1509">
        <f t="shared" si="317"/>
        <v>0</v>
      </c>
      <c r="I2064" s="1509">
        <v>0</v>
      </c>
      <c r="J2064" s="1509">
        <v>0</v>
      </c>
      <c r="K2064" s="1509"/>
      <c r="L2064" s="1509"/>
      <c r="M2064" s="1509">
        <f t="shared" si="313"/>
        <v>0</v>
      </c>
      <c r="N2064" s="1509">
        <f t="shared" si="318"/>
        <v>0</v>
      </c>
    </row>
    <row r="2065" spans="1:14" customFormat="1" ht="43.5" outlineLevel="1" x14ac:dyDescent="0.25">
      <c r="A2065" s="1511">
        <f t="shared" si="314"/>
        <v>26.7</v>
      </c>
      <c r="B2065" s="1515" t="str">
        <f t="shared" si="314"/>
        <v>Work of Repairing &amp; Reconditioning of Single Roll Clinker Grinder assembly from OEM on as and when required basis at AHP(2X250),Unit-6&amp;7 Parli TPS,Parli-V.</v>
      </c>
      <c r="C2065" s="1396" t="str">
        <f t="shared" si="314"/>
        <v>Yet to be approved</v>
      </c>
      <c r="D2065" s="1378" t="str">
        <f t="shared" si="314"/>
        <v>-</v>
      </c>
      <c r="E2065" s="1505">
        <f t="shared" si="314"/>
        <v>0</v>
      </c>
      <c r="F2065" s="1509">
        <f t="shared" si="315"/>
        <v>0.65</v>
      </c>
      <c r="G2065" s="1509">
        <f t="shared" si="316"/>
        <v>0.65</v>
      </c>
      <c r="H2065" s="1509">
        <f t="shared" si="317"/>
        <v>0</v>
      </c>
      <c r="I2065" s="1509">
        <v>0</v>
      </c>
      <c r="J2065" s="1509">
        <v>0</v>
      </c>
      <c r="K2065" s="1509"/>
      <c r="L2065" s="1509"/>
      <c r="M2065" s="1509">
        <f t="shared" si="313"/>
        <v>0</v>
      </c>
      <c r="N2065" s="1509">
        <f t="shared" si="318"/>
        <v>0</v>
      </c>
    </row>
    <row r="2066" spans="1:14" customFormat="1" ht="29" outlineLevel="1" x14ac:dyDescent="0.25">
      <c r="A2066" s="1511">
        <f t="shared" si="314"/>
        <v>26.8</v>
      </c>
      <c r="B2066" s="1515" t="str">
        <f t="shared" si="314"/>
        <v>Work of complete Reconditioning and refurbishment of various spares in Unit 6&amp;7, Parli TPS, Parli-V</v>
      </c>
      <c r="C2066" s="1396" t="str">
        <f t="shared" si="314"/>
        <v>Yet to be approved</v>
      </c>
      <c r="D2066" s="1378" t="str">
        <f t="shared" si="314"/>
        <v>-</v>
      </c>
      <c r="E2066" s="1505">
        <f t="shared" si="314"/>
        <v>0</v>
      </c>
      <c r="F2066" s="1509">
        <f t="shared" si="315"/>
        <v>0.73</v>
      </c>
      <c r="G2066" s="1509">
        <f t="shared" si="316"/>
        <v>0.73</v>
      </c>
      <c r="H2066" s="1509">
        <f t="shared" si="317"/>
        <v>0</v>
      </c>
      <c r="I2066" s="1509">
        <v>0</v>
      </c>
      <c r="J2066" s="1509">
        <v>0</v>
      </c>
      <c r="K2066" s="1509"/>
      <c r="L2066" s="1509"/>
      <c r="M2066" s="1509">
        <f t="shared" si="313"/>
        <v>0</v>
      </c>
      <c r="N2066" s="1509">
        <f t="shared" si="318"/>
        <v>0</v>
      </c>
    </row>
    <row r="2067" spans="1:14" customFormat="1" outlineLevel="1" x14ac:dyDescent="0.25">
      <c r="A2067" s="1511">
        <f t="shared" ref="A2067:E2082" si="319">A1710</f>
        <v>26.9</v>
      </c>
      <c r="B2067" s="1515" t="str">
        <f t="shared" si="319"/>
        <v>Transmission drive system &amp; Fluid coupling replacements.</v>
      </c>
      <c r="C2067" s="1396" t="str">
        <f t="shared" si="319"/>
        <v>Yet to be approved</v>
      </c>
      <c r="D2067" s="1378" t="str">
        <f t="shared" si="319"/>
        <v>-</v>
      </c>
      <c r="E2067" s="1505">
        <f t="shared" si="319"/>
        <v>0</v>
      </c>
      <c r="F2067" s="1509">
        <f t="shared" si="315"/>
        <v>2.92</v>
      </c>
      <c r="G2067" s="1509">
        <f t="shared" si="316"/>
        <v>2.92</v>
      </c>
      <c r="H2067" s="1509">
        <f t="shared" si="317"/>
        <v>0</v>
      </c>
      <c r="I2067" s="1509">
        <v>0</v>
      </c>
      <c r="J2067" s="1509">
        <v>0</v>
      </c>
      <c r="K2067" s="1509"/>
      <c r="L2067" s="1509"/>
      <c r="M2067" s="1509">
        <f t="shared" si="313"/>
        <v>0</v>
      </c>
      <c r="N2067" s="1509">
        <f t="shared" si="318"/>
        <v>0</v>
      </c>
    </row>
    <row r="2068" spans="1:14" customFormat="1" ht="29" outlineLevel="1" x14ac:dyDescent="0.25">
      <c r="A2068" s="1511">
        <f t="shared" si="319"/>
        <v>26.1</v>
      </c>
      <c r="B2068" s="1515" t="str">
        <f t="shared" si="319"/>
        <v>DESIGN , SUPPLY &amp; REPLCEMENT OF ASH INLET VALVE COMPLETE ASSEBLY U6</v>
      </c>
      <c r="C2068" s="1396" t="str">
        <f t="shared" si="319"/>
        <v>Yet to be approved</v>
      </c>
      <c r="D2068" s="1378" t="str">
        <f t="shared" si="319"/>
        <v>-</v>
      </c>
      <c r="E2068" s="1505">
        <f t="shared" si="319"/>
        <v>0</v>
      </c>
      <c r="F2068" s="1509">
        <f t="shared" si="315"/>
        <v>2.6</v>
      </c>
      <c r="G2068" s="1509">
        <f t="shared" si="316"/>
        <v>2.6</v>
      </c>
      <c r="H2068" s="1509">
        <f t="shared" si="317"/>
        <v>0</v>
      </c>
      <c r="I2068" s="1509">
        <v>0</v>
      </c>
      <c r="J2068" s="1509">
        <v>0</v>
      </c>
      <c r="K2068" s="1509"/>
      <c r="L2068" s="1509"/>
      <c r="M2068" s="1509">
        <f t="shared" si="313"/>
        <v>0</v>
      </c>
      <c r="N2068" s="1509">
        <f t="shared" si="318"/>
        <v>0</v>
      </c>
    </row>
    <row r="2069" spans="1:14" customFormat="1" ht="43.5" outlineLevel="1" x14ac:dyDescent="0.25">
      <c r="A2069" s="1511">
        <f t="shared" si="319"/>
        <v>26.11</v>
      </c>
      <c r="B2069" s="1515" t="str">
        <f t="shared" si="319"/>
        <v>UPGRADATION OF EXPIRED AND VULNERABLE Scada, operating system and hardware to improve life and communication system of Ash handling plant UNIT 6&amp;7 250MW at NPTPS PARLI V".</v>
      </c>
      <c r="C2069" s="1396" t="str">
        <f t="shared" si="319"/>
        <v>Yet to be approved</v>
      </c>
      <c r="D2069" s="1378" t="str">
        <f t="shared" si="319"/>
        <v>-</v>
      </c>
      <c r="E2069" s="1505">
        <f t="shared" si="319"/>
        <v>0</v>
      </c>
      <c r="F2069" s="1509">
        <f t="shared" si="315"/>
        <v>3</v>
      </c>
      <c r="G2069" s="1509">
        <f t="shared" si="316"/>
        <v>3</v>
      </c>
      <c r="H2069" s="1509">
        <f t="shared" si="317"/>
        <v>0</v>
      </c>
      <c r="I2069" s="1509">
        <v>0</v>
      </c>
      <c r="J2069" s="1509">
        <v>0</v>
      </c>
      <c r="K2069" s="1509"/>
      <c r="L2069" s="1509"/>
      <c r="M2069" s="1509">
        <f t="shared" si="313"/>
        <v>0</v>
      </c>
      <c r="N2069" s="1509">
        <f t="shared" si="318"/>
        <v>0</v>
      </c>
    </row>
    <row r="2070" spans="1:14" customFormat="1" outlineLevel="1" x14ac:dyDescent="0.25">
      <c r="A2070" s="1511">
        <f t="shared" si="319"/>
        <v>0</v>
      </c>
      <c r="B2070" s="1515" t="str">
        <f t="shared" si="319"/>
        <v>IDC</v>
      </c>
      <c r="C2070" s="1396" t="str">
        <f t="shared" si="319"/>
        <v>Yet to be approved</v>
      </c>
      <c r="D2070" s="1378" t="str">
        <f t="shared" si="319"/>
        <v>-</v>
      </c>
      <c r="E2070" s="1505">
        <f t="shared" si="319"/>
        <v>0</v>
      </c>
      <c r="F2070" s="1509">
        <f t="shared" si="315"/>
        <v>0</v>
      </c>
      <c r="G2070" s="1509">
        <f t="shared" si="316"/>
        <v>0</v>
      </c>
      <c r="H2070" s="1509">
        <f t="shared" si="317"/>
        <v>0</v>
      </c>
      <c r="I2070" s="1509">
        <v>0</v>
      </c>
      <c r="J2070" s="1509">
        <v>0</v>
      </c>
      <c r="K2070" s="1509"/>
      <c r="L2070" s="1509"/>
      <c r="M2070" s="1509">
        <f t="shared" si="313"/>
        <v>0</v>
      </c>
      <c r="N2070" s="1509">
        <f t="shared" si="318"/>
        <v>0</v>
      </c>
    </row>
    <row r="2071" spans="1:14" customFormat="1" ht="29" outlineLevel="1" x14ac:dyDescent="0.25">
      <c r="A2071" s="1506">
        <f t="shared" si="319"/>
        <v>27</v>
      </c>
      <c r="B2071" s="1507" t="str">
        <f t="shared" si="319"/>
        <v>ASH  EVACUATION  IMPROVEMENT  AND  PERFORMANCE &amp; EFFICIENCY OF ASH HANDLING SYSTEM At NPTPS Parli-V AT TPS PARLI-V.</v>
      </c>
      <c r="C2071" s="1506" t="str">
        <f t="shared" si="319"/>
        <v>Yet to be approved</v>
      </c>
      <c r="D2071" s="1507" t="str">
        <f t="shared" si="319"/>
        <v>-</v>
      </c>
      <c r="E2071" s="1506">
        <f t="shared" si="319"/>
        <v>0</v>
      </c>
      <c r="F2071" s="1509">
        <f t="shared" si="315"/>
        <v>0</v>
      </c>
      <c r="G2071" s="1509">
        <f t="shared" si="316"/>
        <v>0</v>
      </c>
      <c r="H2071" s="1509">
        <f t="shared" si="317"/>
        <v>0</v>
      </c>
      <c r="I2071" s="1509">
        <v>0</v>
      </c>
      <c r="J2071" s="1509">
        <v>0</v>
      </c>
      <c r="K2071" s="1509"/>
      <c r="L2071" s="1509"/>
      <c r="M2071" s="1509">
        <f t="shared" si="313"/>
        <v>0</v>
      </c>
      <c r="N2071" s="1509">
        <f t="shared" si="318"/>
        <v>0</v>
      </c>
    </row>
    <row r="2072" spans="1:14" customFormat="1" ht="29" outlineLevel="1" x14ac:dyDescent="0.25">
      <c r="A2072" s="1511">
        <f t="shared" si="319"/>
        <v>27.1</v>
      </c>
      <c r="B2072" s="1515" t="str">
        <f t="shared" si="319"/>
        <v>Upgradation of reciprocating  Conveying Air compressor into screw compressor  at U#7</v>
      </c>
      <c r="C2072" s="1396" t="str">
        <f t="shared" si="319"/>
        <v>Yet to be approved</v>
      </c>
      <c r="D2072" s="1378" t="str">
        <f t="shared" si="319"/>
        <v>-</v>
      </c>
      <c r="E2072" s="1505">
        <f t="shared" si="319"/>
        <v>0</v>
      </c>
      <c r="F2072" s="1509">
        <f t="shared" si="315"/>
        <v>5.98</v>
      </c>
      <c r="G2072" s="1509">
        <f t="shared" si="316"/>
        <v>5.98</v>
      </c>
      <c r="H2072" s="1509">
        <f t="shared" si="317"/>
        <v>0</v>
      </c>
      <c r="I2072" s="1509">
        <v>0</v>
      </c>
      <c r="J2072" s="1509">
        <v>0</v>
      </c>
      <c r="K2072" s="1509"/>
      <c r="L2072" s="1509"/>
      <c r="M2072" s="1509">
        <f t="shared" si="313"/>
        <v>0</v>
      </c>
      <c r="N2072" s="1509">
        <f t="shared" si="318"/>
        <v>0</v>
      </c>
    </row>
    <row r="2073" spans="1:14" customFormat="1" ht="29" outlineLevel="1" x14ac:dyDescent="0.25">
      <c r="A2073" s="1511">
        <f t="shared" si="319"/>
        <v>27.2</v>
      </c>
      <c r="B2073" s="1515" t="str">
        <f t="shared" si="319"/>
        <v>Upgradation of reciprocating  Instrument  Air compressor into screw compressor  at U#7</v>
      </c>
      <c r="C2073" s="1396" t="str">
        <f t="shared" si="319"/>
        <v>Yet to be approved</v>
      </c>
      <c r="D2073" s="1378" t="str">
        <f t="shared" si="319"/>
        <v>-</v>
      </c>
      <c r="E2073" s="1505">
        <f t="shared" si="319"/>
        <v>0</v>
      </c>
      <c r="F2073" s="1509">
        <f t="shared" si="315"/>
        <v>3.98</v>
      </c>
      <c r="G2073" s="1509">
        <f t="shared" si="316"/>
        <v>3.98</v>
      </c>
      <c r="H2073" s="1509">
        <f t="shared" si="317"/>
        <v>0</v>
      </c>
      <c r="I2073" s="1509">
        <v>0</v>
      </c>
      <c r="J2073" s="1509">
        <v>0</v>
      </c>
      <c r="K2073" s="1509"/>
      <c r="L2073" s="1509"/>
      <c r="M2073" s="1509">
        <f t="shared" si="313"/>
        <v>0</v>
      </c>
      <c r="N2073" s="1509">
        <f t="shared" si="318"/>
        <v>0</v>
      </c>
    </row>
    <row r="2074" spans="1:14" customFormat="1" ht="29" outlineLevel="1" x14ac:dyDescent="0.25">
      <c r="A2074" s="1511">
        <f t="shared" si="319"/>
        <v>27.3</v>
      </c>
      <c r="B2074" s="1515" t="str">
        <f t="shared" si="319"/>
        <v>DESIGN , SUPPLY &amp; REPLCEMENT OF  ASH DISPOSAL SLURRY PUMP  COMPLTE ASSEMBLY ALONG WITH GEAR BOX, MOTORS U-7</v>
      </c>
      <c r="C2074" s="1396" t="str">
        <f t="shared" si="319"/>
        <v>Yet to be approved</v>
      </c>
      <c r="D2074" s="1378" t="str">
        <f t="shared" si="319"/>
        <v>-</v>
      </c>
      <c r="E2074" s="1505">
        <f t="shared" si="319"/>
        <v>0</v>
      </c>
      <c r="F2074" s="1509">
        <f t="shared" si="315"/>
        <v>1.24</v>
      </c>
      <c r="G2074" s="1509">
        <f t="shared" si="316"/>
        <v>1.24</v>
      </c>
      <c r="H2074" s="1509">
        <f t="shared" si="317"/>
        <v>0</v>
      </c>
      <c r="I2074" s="1509">
        <v>0</v>
      </c>
      <c r="J2074" s="1509">
        <v>0</v>
      </c>
      <c r="K2074" s="1509"/>
      <c r="L2074" s="1509"/>
      <c r="M2074" s="1509">
        <f t="shared" si="313"/>
        <v>0</v>
      </c>
      <c r="N2074" s="1509">
        <f t="shared" si="318"/>
        <v>0</v>
      </c>
    </row>
    <row r="2075" spans="1:14" customFormat="1" ht="29" outlineLevel="1" x14ac:dyDescent="0.25">
      <c r="A2075" s="1511">
        <f t="shared" si="319"/>
        <v>27.4</v>
      </c>
      <c r="B2075" s="1515" t="str">
        <f t="shared" si="319"/>
        <v>DESIGN , SUPPLY &amp; REPLCEMENT OF  HP WATER PUMP COMPLTE ASSEMBLY ALONG WITH GEAR BOX, MOTORS U-7</v>
      </c>
      <c r="C2075" s="1396" t="str">
        <f t="shared" si="319"/>
        <v>Yet to be approved</v>
      </c>
      <c r="D2075" s="1378" t="str">
        <f t="shared" si="319"/>
        <v>-</v>
      </c>
      <c r="E2075" s="1505">
        <f t="shared" si="319"/>
        <v>0</v>
      </c>
      <c r="F2075" s="1509">
        <f t="shared" si="315"/>
        <v>1.17</v>
      </c>
      <c r="G2075" s="1509">
        <f t="shared" si="316"/>
        <v>1.17</v>
      </c>
      <c r="H2075" s="1509">
        <f t="shared" si="317"/>
        <v>0</v>
      </c>
      <c r="I2075" s="1509">
        <v>0</v>
      </c>
      <c r="J2075" s="1509">
        <v>0</v>
      </c>
      <c r="K2075" s="1509"/>
      <c r="L2075" s="1509"/>
      <c r="M2075" s="1509">
        <f t="shared" si="313"/>
        <v>0</v>
      </c>
      <c r="N2075" s="1509">
        <f t="shared" si="318"/>
        <v>0</v>
      </c>
    </row>
    <row r="2076" spans="1:14" customFormat="1" outlineLevel="1" x14ac:dyDescent="0.25">
      <c r="A2076" s="1511">
        <f t="shared" si="319"/>
        <v>27.5</v>
      </c>
      <c r="B2076" s="1515" t="str">
        <f t="shared" si="319"/>
        <v>DESIGN , SUPPLY &amp; REPLCEMENT  VACUUM PUMP U7.</v>
      </c>
      <c r="C2076" s="1396" t="str">
        <f t="shared" si="319"/>
        <v>Yet to be approved</v>
      </c>
      <c r="D2076" s="1378" t="str">
        <f t="shared" si="319"/>
        <v>-</v>
      </c>
      <c r="E2076" s="1505">
        <f t="shared" si="319"/>
        <v>0</v>
      </c>
      <c r="F2076" s="1509">
        <f t="shared" si="315"/>
        <v>1.41</v>
      </c>
      <c r="G2076" s="1509">
        <f t="shared" si="316"/>
        <v>1.41</v>
      </c>
      <c r="H2076" s="1509">
        <f t="shared" si="317"/>
        <v>0</v>
      </c>
      <c r="I2076" s="1509">
        <v>0</v>
      </c>
      <c r="J2076" s="1509">
        <v>0</v>
      </c>
      <c r="K2076" s="1509"/>
      <c r="L2076" s="1509"/>
      <c r="M2076" s="1509">
        <f t="shared" si="313"/>
        <v>0</v>
      </c>
      <c r="N2076" s="1509">
        <f t="shared" si="318"/>
        <v>0</v>
      </c>
    </row>
    <row r="2077" spans="1:14" customFormat="1" ht="29" outlineLevel="1" x14ac:dyDescent="0.25">
      <c r="A2077" s="1511">
        <f t="shared" si="319"/>
        <v>27.6</v>
      </c>
      <c r="B2077" s="1515" t="str">
        <f t="shared" si="319"/>
        <v>DESIGN , SUPPLY &amp; REPLCEMENT BRANCH SEGEGATION COMPLETE VALVE ASSEBLY U7</v>
      </c>
      <c r="C2077" s="1396" t="str">
        <f t="shared" si="319"/>
        <v>Yet to be approved</v>
      </c>
      <c r="D2077" s="1378" t="str">
        <f t="shared" si="319"/>
        <v>-</v>
      </c>
      <c r="E2077" s="1505">
        <f t="shared" si="319"/>
        <v>0</v>
      </c>
      <c r="F2077" s="1509">
        <f t="shared" si="315"/>
        <v>1</v>
      </c>
      <c r="G2077" s="1509">
        <f t="shared" si="316"/>
        <v>1</v>
      </c>
      <c r="H2077" s="1509">
        <f t="shared" si="317"/>
        <v>0</v>
      </c>
      <c r="I2077" s="1509">
        <v>0</v>
      </c>
      <c r="J2077" s="1509">
        <v>0</v>
      </c>
      <c r="K2077" s="1509"/>
      <c r="L2077" s="1509"/>
      <c r="M2077" s="1509">
        <f t="shared" si="313"/>
        <v>0</v>
      </c>
      <c r="N2077" s="1509">
        <f t="shared" si="318"/>
        <v>0</v>
      </c>
    </row>
    <row r="2078" spans="1:14" customFormat="1" ht="29" outlineLevel="1" x14ac:dyDescent="0.25">
      <c r="A2078" s="1511">
        <f t="shared" si="319"/>
        <v>27.7</v>
      </c>
      <c r="B2078" s="1515" t="str">
        <f t="shared" si="319"/>
        <v>DESIGN , SUPPLY &amp; REPLCEMENT BRANCH VALVE &amp; ASH INLET VALVE U7</v>
      </c>
      <c r="C2078" s="1396" t="str">
        <f t="shared" si="319"/>
        <v>Yet to be approved</v>
      </c>
      <c r="D2078" s="1378" t="str">
        <f t="shared" si="319"/>
        <v>-</v>
      </c>
      <c r="E2078" s="1505">
        <f t="shared" si="319"/>
        <v>0</v>
      </c>
      <c r="F2078" s="1509">
        <f t="shared" si="315"/>
        <v>2.6</v>
      </c>
      <c r="G2078" s="1509">
        <f t="shared" si="316"/>
        <v>2.6</v>
      </c>
      <c r="H2078" s="1509">
        <f t="shared" si="317"/>
        <v>0</v>
      </c>
      <c r="I2078" s="1509">
        <v>0</v>
      </c>
      <c r="J2078" s="1509">
        <v>0</v>
      </c>
      <c r="K2078" s="1509"/>
      <c r="L2078" s="1509"/>
      <c r="M2078" s="1509">
        <f t="shared" si="313"/>
        <v>0</v>
      </c>
      <c r="N2078" s="1509">
        <f t="shared" si="318"/>
        <v>0</v>
      </c>
    </row>
    <row r="2079" spans="1:14" customFormat="1" ht="43.5" outlineLevel="1" x14ac:dyDescent="0.25">
      <c r="A2079" s="1511">
        <f t="shared" si="319"/>
        <v>27.8</v>
      </c>
      <c r="B2079" s="1515" t="str">
        <f t="shared" si="319"/>
        <v>Procurement of MOTORS, RELAY ,BREAKERS &amp; RETROFITTING   for pumps , IAC/CAC to improve availability &amp; performance of Bottom ash,  Coarse Ash &amp;  fly ash system of AHP, unit -7</v>
      </c>
      <c r="C2079" s="1396" t="str">
        <f t="shared" si="319"/>
        <v>Yet to be approved</v>
      </c>
      <c r="D2079" s="1378" t="str">
        <f t="shared" si="319"/>
        <v>-</v>
      </c>
      <c r="E2079" s="1505">
        <f t="shared" si="319"/>
        <v>0</v>
      </c>
      <c r="F2079" s="1509">
        <f t="shared" si="315"/>
        <v>3.5</v>
      </c>
      <c r="G2079" s="1509">
        <f t="shared" si="316"/>
        <v>3.5</v>
      </c>
      <c r="H2079" s="1509">
        <f t="shared" si="317"/>
        <v>0</v>
      </c>
      <c r="I2079" s="1509">
        <v>0</v>
      </c>
      <c r="J2079" s="1509">
        <v>0</v>
      </c>
      <c r="K2079" s="1509"/>
      <c r="L2079" s="1509"/>
      <c r="M2079" s="1509">
        <f t="shared" si="313"/>
        <v>0</v>
      </c>
      <c r="N2079" s="1509">
        <f t="shared" si="318"/>
        <v>0</v>
      </c>
    </row>
    <row r="2080" spans="1:14" customFormat="1" outlineLevel="1" x14ac:dyDescent="0.25">
      <c r="A2080" s="1511">
        <f t="shared" si="319"/>
        <v>27.9</v>
      </c>
      <c r="B2080" s="1515" t="str">
        <f t="shared" si="319"/>
        <v>Procurement of Replcement Water valve, AUDCO valve</v>
      </c>
      <c r="C2080" s="1396" t="str">
        <f t="shared" si="319"/>
        <v>Yet to be approved</v>
      </c>
      <c r="D2080" s="1378" t="str">
        <f t="shared" si="319"/>
        <v>-</v>
      </c>
      <c r="E2080" s="1505">
        <f t="shared" si="319"/>
        <v>0</v>
      </c>
      <c r="F2080" s="1509">
        <f t="shared" si="315"/>
        <v>0.5</v>
      </c>
      <c r="G2080" s="1509">
        <f t="shared" si="316"/>
        <v>0.5</v>
      </c>
      <c r="H2080" s="1509">
        <f t="shared" si="317"/>
        <v>0</v>
      </c>
      <c r="I2080" s="1509">
        <v>0</v>
      </c>
      <c r="J2080" s="1509">
        <v>0</v>
      </c>
      <c r="K2080" s="1509"/>
      <c r="L2080" s="1509"/>
      <c r="M2080" s="1509">
        <f t="shared" si="313"/>
        <v>0</v>
      </c>
      <c r="N2080" s="1509">
        <f t="shared" si="318"/>
        <v>0</v>
      </c>
    </row>
    <row r="2081" spans="1:14" customFormat="1" outlineLevel="1" x14ac:dyDescent="0.25">
      <c r="A2081" s="1511">
        <f t="shared" si="319"/>
        <v>27.1</v>
      </c>
      <c r="B2081" s="1515" t="str">
        <f t="shared" si="319"/>
        <v>Procurement &amp; replacement of Bottom ash clinker grinder</v>
      </c>
      <c r="C2081" s="1396" t="str">
        <f t="shared" si="319"/>
        <v>Yet to be approved</v>
      </c>
      <c r="D2081" s="1378" t="str">
        <f t="shared" si="319"/>
        <v>-</v>
      </c>
      <c r="E2081" s="1505">
        <f t="shared" si="319"/>
        <v>0</v>
      </c>
      <c r="F2081" s="1509">
        <f t="shared" si="315"/>
        <v>1.89</v>
      </c>
      <c r="G2081" s="1509">
        <f t="shared" si="316"/>
        <v>1.89</v>
      </c>
      <c r="H2081" s="1509">
        <f t="shared" si="317"/>
        <v>0</v>
      </c>
      <c r="I2081" s="1509">
        <v>0</v>
      </c>
      <c r="J2081" s="1509">
        <v>0</v>
      </c>
      <c r="K2081" s="1509"/>
      <c r="L2081" s="1509"/>
      <c r="M2081" s="1509">
        <f t="shared" si="313"/>
        <v>0</v>
      </c>
      <c r="N2081" s="1509">
        <f t="shared" si="318"/>
        <v>0</v>
      </c>
    </row>
    <row r="2082" spans="1:14" customFormat="1" ht="43.5" outlineLevel="1" x14ac:dyDescent="0.25">
      <c r="A2082" s="1511">
        <f t="shared" si="319"/>
        <v>27.11</v>
      </c>
      <c r="B2082" s="1515" t="str">
        <f t="shared" si="319"/>
        <v>UPGRADATION OF EXPIRED AND VULNERABLE Scada, operating system and hardware to improve life and communication system of HCSD Ash handling plant UNIT 6&amp;7 250MW at NPTPS PARLI V"</v>
      </c>
      <c r="C2082" s="1396" t="str">
        <f t="shared" si="319"/>
        <v>Yet to be approved</v>
      </c>
      <c r="D2082" s="1378" t="str">
        <f t="shared" si="319"/>
        <v>-</v>
      </c>
      <c r="E2082" s="1505">
        <f t="shared" si="319"/>
        <v>0</v>
      </c>
      <c r="F2082" s="1509">
        <f t="shared" si="315"/>
        <v>2.5</v>
      </c>
      <c r="G2082" s="1509">
        <f t="shared" si="316"/>
        <v>2.5</v>
      </c>
      <c r="H2082" s="1509">
        <f t="shared" si="317"/>
        <v>0</v>
      </c>
      <c r="I2082" s="1509">
        <v>0</v>
      </c>
      <c r="J2082" s="1509">
        <v>0</v>
      </c>
      <c r="K2082" s="1509"/>
      <c r="L2082" s="1509"/>
      <c r="M2082" s="1509">
        <f t="shared" si="313"/>
        <v>0</v>
      </c>
      <c r="N2082" s="1509">
        <f t="shared" si="318"/>
        <v>0</v>
      </c>
    </row>
    <row r="2083" spans="1:14" customFormat="1" outlineLevel="1" x14ac:dyDescent="0.25">
      <c r="A2083" s="1511">
        <f t="shared" ref="A2083:E2098" si="320">A1726</f>
        <v>0</v>
      </c>
      <c r="B2083" s="1515" t="str">
        <f t="shared" si="320"/>
        <v>IDC</v>
      </c>
      <c r="C2083" s="1396" t="str">
        <f t="shared" si="320"/>
        <v>Yet to be approved</v>
      </c>
      <c r="D2083" s="1378" t="str">
        <f t="shared" si="320"/>
        <v>-</v>
      </c>
      <c r="E2083" s="1505">
        <f t="shared" si="320"/>
        <v>0</v>
      </c>
      <c r="F2083" s="1509">
        <f t="shared" si="315"/>
        <v>0</v>
      </c>
      <c r="G2083" s="1509">
        <f t="shared" si="316"/>
        <v>0</v>
      </c>
      <c r="H2083" s="1509">
        <f t="shared" si="317"/>
        <v>0</v>
      </c>
      <c r="I2083" s="1509">
        <v>0</v>
      </c>
      <c r="J2083" s="1509">
        <v>0</v>
      </c>
      <c r="K2083" s="1509"/>
      <c r="L2083" s="1509"/>
      <c r="M2083" s="1509">
        <f t="shared" si="313"/>
        <v>0</v>
      </c>
      <c r="N2083" s="1509">
        <f t="shared" si="318"/>
        <v>0</v>
      </c>
    </row>
    <row r="2084" spans="1:14" customFormat="1" ht="29" outlineLevel="1" x14ac:dyDescent="0.25">
      <c r="A2084" s="1506">
        <f t="shared" si="320"/>
        <v>28</v>
      </c>
      <c r="B2084" s="1507" t="str">
        <f t="shared" si="320"/>
        <v>ASH  EVACUATION  IMPROVEMENT  AND  PERFORMANCE &amp; EFFICIENCY OF ASH HANDLING SYSTEM At NPTPS Parli-V AT TPS PARLI-V.</v>
      </c>
      <c r="C2084" s="1506" t="str">
        <f t="shared" si="320"/>
        <v>Yet to be approved</v>
      </c>
      <c r="D2084" s="1507" t="str">
        <f t="shared" si="320"/>
        <v>-</v>
      </c>
      <c r="E2084" s="1506">
        <f t="shared" si="320"/>
        <v>0</v>
      </c>
      <c r="F2084" s="1509">
        <f t="shared" si="315"/>
        <v>0</v>
      </c>
      <c r="G2084" s="1509">
        <f t="shared" si="316"/>
        <v>0</v>
      </c>
      <c r="H2084" s="1509">
        <f t="shared" si="317"/>
        <v>0</v>
      </c>
      <c r="I2084" s="1509">
        <v>0</v>
      </c>
      <c r="J2084" s="1509">
        <v>0</v>
      </c>
      <c r="K2084" s="1509"/>
      <c r="L2084" s="1509"/>
      <c r="M2084" s="1509">
        <f t="shared" si="313"/>
        <v>0</v>
      </c>
      <c r="N2084" s="1509">
        <f t="shared" si="318"/>
        <v>0</v>
      </c>
    </row>
    <row r="2085" spans="1:14" customFormat="1" outlineLevel="1" x14ac:dyDescent="0.25">
      <c r="A2085" s="1511">
        <f t="shared" si="320"/>
        <v>28.1</v>
      </c>
      <c r="B2085" s="1515" t="str">
        <f t="shared" si="320"/>
        <v>GEHO pump critical assemblies replacement.</v>
      </c>
      <c r="C2085" s="1396" t="str">
        <f t="shared" si="320"/>
        <v>Yet to be approved</v>
      </c>
      <c r="D2085" s="1378" t="str">
        <f t="shared" si="320"/>
        <v>-</v>
      </c>
      <c r="E2085" s="1505">
        <f t="shared" si="320"/>
        <v>0</v>
      </c>
      <c r="F2085" s="1509">
        <f t="shared" si="315"/>
        <v>0</v>
      </c>
      <c r="G2085" s="1509">
        <f t="shared" si="316"/>
        <v>0</v>
      </c>
      <c r="H2085" s="1509">
        <f t="shared" si="317"/>
        <v>0</v>
      </c>
      <c r="I2085" s="1509">
        <v>13.32</v>
      </c>
      <c r="J2085" s="1509">
        <v>13.32</v>
      </c>
      <c r="K2085" s="1509"/>
      <c r="L2085" s="1509"/>
      <c r="M2085" s="1509">
        <f t="shared" si="313"/>
        <v>13.32</v>
      </c>
      <c r="N2085" s="1509">
        <f t="shared" si="318"/>
        <v>0</v>
      </c>
    </row>
    <row r="2086" spans="1:14" customFormat="1" ht="29" outlineLevel="1" x14ac:dyDescent="0.25">
      <c r="A2086" s="1511">
        <f t="shared" si="320"/>
        <v>28.2</v>
      </c>
      <c r="B2086" s="1515" t="str">
        <f t="shared" si="320"/>
        <v xml:space="preserve">DESIGN , SUPPLY &amp; REPLCEMENT OF  HP WATER PUMP COMPLTE ASSEMBLY ALONG WITH GEAR BOX, MOTORS </v>
      </c>
      <c r="C2086" s="1396" t="str">
        <f t="shared" si="320"/>
        <v>Yet to be approved</v>
      </c>
      <c r="D2086" s="1378" t="str">
        <f t="shared" si="320"/>
        <v>-</v>
      </c>
      <c r="E2086" s="1505">
        <f t="shared" si="320"/>
        <v>0</v>
      </c>
      <c r="F2086" s="1509">
        <f t="shared" si="315"/>
        <v>0</v>
      </c>
      <c r="G2086" s="1509">
        <f t="shared" si="316"/>
        <v>0</v>
      </c>
      <c r="H2086" s="1509">
        <f t="shared" si="317"/>
        <v>0</v>
      </c>
      <c r="I2086" s="1509">
        <v>1.17</v>
      </c>
      <c r="J2086" s="1509">
        <v>1.17</v>
      </c>
      <c r="K2086" s="1509"/>
      <c r="L2086" s="1509"/>
      <c r="M2086" s="1509">
        <f t="shared" si="313"/>
        <v>1.17</v>
      </c>
      <c r="N2086" s="1509">
        <f t="shared" si="318"/>
        <v>0</v>
      </c>
    </row>
    <row r="2087" spans="1:14" customFormat="1" outlineLevel="1" x14ac:dyDescent="0.25">
      <c r="A2087" s="1511">
        <f t="shared" si="320"/>
        <v>28.3</v>
      </c>
      <c r="B2087" s="1515" t="str">
        <f t="shared" si="320"/>
        <v>Upgradation of BA clinker grinder  at U#6/7</v>
      </c>
      <c r="C2087" s="1396" t="str">
        <f t="shared" si="320"/>
        <v>Yet to be approved</v>
      </c>
      <c r="D2087" s="1378" t="str">
        <f t="shared" si="320"/>
        <v>-</v>
      </c>
      <c r="E2087" s="1505">
        <f t="shared" si="320"/>
        <v>0</v>
      </c>
      <c r="F2087" s="1509">
        <f t="shared" si="315"/>
        <v>0</v>
      </c>
      <c r="G2087" s="1509">
        <f t="shared" si="316"/>
        <v>0</v>
      </c>
      <c r="H2087" s="1509">
        <f t="shared" si="317"/>
        <v>0</v>
      </c>
      <c r="I2087" s="1509">
        <v>2.08</v>
      </c>
      <c r="J2087" s="1509">
        <v>2.08</v>
      </c>
      <c r="K2087" s="1509"/>
      <c r="L2087" s="1509"/>
      <c r="M2087" s="1509">
        <f t="shared" si="313"/>
        <v>2.08</v>
      </c>
      <c r="N2087" s="1509">
        <f t="shared" si="318"/>
        <v>0</v>
      </c>
    </row>
    <row r="2088" spans="1:14" customFormat="1" ht="29" outlineLevel="1" x14ac:dyDescent="0.25">
      <c r="A2088" s="1511">
        <f t="shared" si="320"/>
        <v>28.4</v>
      </c>
      <c r="B2088" s="1515" t="str">
        <f t="shared" si="320"/>
        <v>Scheme 4: Spares for premium make ash mixer gear box H1-160 5.06/1, P2 O No.160106, Sr No.2RF 12629 &amp; H1-180 1.35/1</v>
      </c>
      <c r="C2088" s="1396" t="str">
        <f t="shared" si="320"/>
        <v>Yet to be approved</v>
      </c>
      <c r="D2088" s="1378" t="str">
        <f t="shared" si="320"/>
        <v>-</v>
      </c>
      <c r="E2088" s="1505">
        <f t="shared" si="320"/>
        <v>0</v>
      </c>
      <c r="F2088" s="1509">
        <f t="shared" si="315"/>
        <v>0</v>
      </c>
      <c r="G2088" s="1509">
        <f t="shared" si="316"/>
        <v>0</v>
      </c>
      <c r="H2088" s="1509">
        <f t="shared" si="317"/>
        <v>0</v>
      </c>
      <c r="I2088" s="1509">
        <v>0.42</v>
      </c>
      <c r="J2088" s="1509">
        <v>0.42</v>
      </c>
      <c r="K2088" s="1509"/>
      <c r="L2088" s="1509"/>
      <c r="M2088" s="1509">
        <f t="shared" si="313"/>
        <v>0.42</v>
      </c>
      <c r="N2088" s="1509">
        <f t="shared" si="318"/>
        <v>0</v>
      </c>
    </row>
    <row r="2089" spans="1:14" customFormat="1" outlineLevel="1" x14ac:dyDescent="0.25">
      <c r="A2089" s="1511">
        <f t="shared" si="320"/>
        <v>28.5</v>
      </c>
      <c r="B2089" s="1515" t="str">
        <f t="shared" si="320"/>
        <v>Spares for premium make ash mixer gear box  VB2SA-225 17.1/1p1</v>
      </c>
      <c r="C2089" s="1396" t="str">
        <f t="shared" si="320"/>
        <v>Yet to be approved</v>
      </c>
      <c r="D2089" s="1378" t="str">
        <f t="shared" si="320"/>
        <v>-</v>
      </c>
      <c r="E2089" s="1505">
        <f t="shared" si="320"/>
        <v>0</v>
      </c>
      <c r="F2089" s="1509">
        <f t="shared" si="315"/>
        <v>0</v>
      </c>
      <c r="G2089" s="1509">
        <f t="shared" si="316"/>
        <v>0</v>
      </c>
      <c r="H2089" s="1509">
        <f t="shared" si="317"/>
        <v>0</v>
      </c>
      <c r="I2089" s="1509">
        <v>0.34</v>
      </c>
      <c r="J2089" s="1509">
        <v>0.34</v>
      </c>
      <c r="K2089" s="1509"/>
      <c r="L2089" s="1509"/>
      <c r="M2089" s="1509">
        <f t="shared" si="313"/>
        <v>0.34</v>
      </c>
      <c r="N2089" s="1509">
        <f t="shared" si="318"/>
        <v>0</v>
      </c>
    </row>
    <row r="2090" spans="1:14" customFormat="1" outlineLevel="1" x14ac:dyDescent="0.25">
      <c r="A2090" s="1511">
        <f t="shared" si="320"/>
        <v>28.6</v>
      </c>
      <c r="B2090" s="1515" t="str">
        <f t="shared" si="320"/>
        <v xml:space="preserve">DESIGN , SUPPLY &amp; REPLCEMENT  VACUUM PUMP  </v>
      </c>
      <c r="C2090" s="1396" t="str">
        <f t="shared" si="320"/>
        <v>Yet to be approved</v>
      </c>
      <c r="D2090" s="1378" t="str">
        <f t="shared" si="320"/>
        <v>-</v>
      </c>
      <c r="E2090" s="1505">
        <f t="shared" si="320"/>
        <v>0</v>
      </c>
      <c r="F2090" s="1509">
        <f t="shared" si="315"/>
        <v>0</v>
      </c>
      <c r="G2090" s="1509">
        <f t="shared" si="316"/>
        <v>0</v>
      </c>
      <c r="H2090" s="1509">
        <f t="shared" si="317"/>
        <v>0</v>
      </c>
      <c r="I2090" s="1509">
        <v>1.41</v>
      </c>
      <c r="J2090" s="1509">
        <v>1.41</v>
      </c>
      <c r="K2090" s="1509"/>
      <c r="L2090" s="1509"/>
      <c r="M2090" s="1509">
        <f t="shared" si="313"/>
        <v>1.41</v>
      </c>
      <c r="N2090" s="1509">
        <f t="shared" si="318"/>
        <v>0</v>
      </c>
    </row>
    <row r="2091" spans="1:14" customFormat="1" outlineLevel="1" x14ac:dyDescent="0.25">
      <c r="A2091" s="1511">
        <f t="shared" si="320"/>
        <v>0</v>
      </c>
      <c r="B2091" s="1515" t="str">
        <f t="shared" si="320"/>
        <v>IDC</v>
      </c>
      <c r="C2091" s="1396" t="str">
        <f t="shared" si="320"/>
        <v>Yet to be approved</v>
      </c>
      <c r="D2091" s="1378" t="str">
        <f t="shared" si="320"/>
        <v>-</v>
      </c>
      <c r="E2091" s="1505">
        <f t="shared" si="320"/>
        <v>0</v>
      </c>
      <c r="F2091" s="1509">
        <f t="shared" si="315"/>
        <v>0</v>
      </c>
      <c r="G2091" s="1509">
        <f t="shared" si="316"/>
        <v>0</v>
      </c>
      <c r="H2091" s="1509">
        <f t="shared" si="317"/>
        <v>0</v>
      </c>
      <c r="I2091" s="1509">
        <v>0</v>
      </c>
      <c r="J2091" s="1509">
        <v>0</v>
      </c>
      <c r="K2091" s="1509"/>
      <c r="L2091" s="1509"/>
      <c r="M2091" s="1509">
        <f t="shared" si="313"/>
        <v>0</v>
      </c>
      <c r="N2091" s="1509">
        <f t="shared" si="318"/>
        <v>0</v>
      </c>
    </row>
    <row r="2092" spans="1:14" customFormat="1" ht="29" outlineLevel="1" x14ac:dyDescent="0.25">
      <c r="A2092" s="1506">
        <f t="shared" si="320"/>
        <v>29</v>
      </c>
      <c r="B2092" s="1507" t="str">
        <f t="shared" si="320"/>
        <v>ASH  EVACUATION  IMPROVEMENT  AND  PERFORMANCE &amp; EFFICIENCY OF ASH HANDLING SYSTEM At NPTPS Parli-V AT TPS PARLI-V.</v>
      </c>
      <c r="C2092" s="1506" t="str">
        <f t="shared" si="320"/>
        <v>Yet to be approved</v>
      </c>
      <c r="D2092" s="1507" t="str">
        <f t="shared" si="320"/>
        <v>-</v>
      </c>
      <c r="E2092" s="1506">
        <f t="shared" si="320"/>
        <v>0</v>
      </c>
      <c r="F2092" s="1509">
        <f t="shared" si="315"/>
        <v>0</v>
      </c>
      <c r="G2092" s="1509">
        <f t="shared" si="316"/>
        <v>0</v>
      </c>
      <c r="H2092" s="1509">
        <f t="shared" si="317"/>
        <v>0</v>
      </c>
      <c r="I2092" s="1509">
        <v>0</v>
      </c>
      <c r="J2092" s="1509">
        <v>0</v>
      </c>
      <c r="K2092" s="1509"/>
      <c r="L2092" s="1509"/>
      <c r="M2092" s="1509">
        <f t="shared" si="313"/>
        <v>0</v>
      </c>
      <c r="N2092" s="1509">
        <f t="shared" si="318"/>
        <v>0</v>
      </c>
    </row>
    <row r="2093" spans="1:14" customFormat="1" ht="43.5" outlineLevel="1" x14ac:dyDescent="0.25">
      <c r="A2093" s="1511">
        <f t="shared" si="320"/>
        <v>29.1</v>
      </c>
      <c r="B2093" s="1515" t="str">
        <f t="shared" si="320"/>
        <v>Procurement &amp; replacement of 300 NB,200NB Cash Basalt Pipelines with the existing MSERW pipe of ash disposal system of Unit #6&amp;  7 at Parli TPS, Parli V .</v>
      </c>
      <c r="C2093" s="1396" t="str">
        <f t="shared" si="320"/>
        <v>Yet to be approved</v>
      </c>
      <c r="D2093" s="1378" t="str">
        <f t="shared" si="320"/>
        <v>-</v>
      </c>
      <c r="E2093" s="1505">
        <f t="shared" si="320"/>
        <v>0</v>
      </c>
      <c r="F2093" s="1509">
        <f t="shared" si="315"/>
        <v>0</v>
      </c>
      <c r="G2093" s="1509">
        <f t="shared" si="316"/>
        <v>0</v>
      </c>
      <c r="H2093" s="1509">
        <f t="shared" si="317"/>
        <v>0</v>
      </c>
      <c r="I2093" s="1509">
        <v>0</v>
      </c>
      <c r="J2093" s="1509">
        <v>0</v>
      </c>
      <c r="K2093" s="1509"/>
      <c r="L2093" s="1509"/>
      <c r="M2093" s="1509">
        <f t="shared" si="313"/>
        <v>0</v>
      </c>
      <c r="N2093" s="1509">
        <f t="shared" si="318"/>
        <v>0</v>
      </c>
    </row>
    <row r="2094" spans="1:14" customFormat="1" ht="43.5" outlineLevel="1" x14ac:dyDescent="0.25">
      <c r="A2094" s="1511">
        <f t="shared" si="320"/>
        <v>29.2</v>
      </c>
      <c r="B2094" s="1515" t="str">
        <f t="shared" si="320"/>
        <v>Procurement of MOTORS, RELAY ,BREAKERS &amp; RETROFITTING   for pumps , IAC/CAC to improve availability &amp; performance of Bottom ash,  Coarse Ash &amp;  fly ash system of AHP, unit 6</v>
      </c>
      <c r="C2094" s="1396" t="str">
        <f t="shared" si="320"/>
        <v>Yet to be approved</v>
      </c>
      <c r="D2094" s="1378" t="str">
        <f t="shared" si="320"/>
        <v>-</v>
      </c>
      <c r="E2094" s="1505">
        <f t="shared" si="320"/>
        <v>0</v>
      </c>
      <c r="F2094" s="1509">
        <f t="shared" si="315"/>
        <v>0</v>
      </c>
      <c r="G2094" s="1509">
        <f t="shared" si="316"/>
        <v>0</v>
      </c>
      <c r="H2094" s="1509">
        <f t="shared" si="317"/>
        <v>0</v>
      </c>
      <c r="I2094" s="1509">
        <v>0</v>
      </c>
      <c r="J2094" s="1509">
        <v>0</v>
      </c>
      <c r="K2094" s="1509"/>
      <c r="L2094" s="1509"/>
      <c r="M2094" s="1509">
        <f t="shared" si="313"/>
        <v>0</v>
      </c>
      <c r="N2094" s="1509">
        <f t="shared" si="318"/>
        <v>0</v>
      </c>
    </row>
    <row r="2095" spans="1:14" customFormat="1" outlineLevel="1" x14ac:dyDescent="0.25">
      <c r="A2095" s="1511">
        <f t="shared" si="320"/>
        <v>29.3</v>
      </c>
      <c r="B2095" s="1515" t="str">
        <f t="shared" si="320"/>
        <v>DESIGN , SUPPLY &amp; REPLCEMENT  VACUUM PUMP U#6</v>
      </c>
      <c r="C2095" s="1396" t="str">
        <f t="shared" si="320"/>
        <v>Yet to be approved</v>
      </c>
      <c r="D2095" s="1378" t="str">
        <f t="shared" si="320"/>
        <v>-</v>
      </c>
      <c r="E2095" s="1505">
        <f t="shared" si="320"/>
        <v>0</v>
      </c>
      <c r="F2095" s="1509">
        <f t="shared" si="315"/>
        <v>0</v>
      </c>
      <c r="G2095" s="1509">
        <f t="shared" si="316"/>
        <v>0</v>
      </c>
      <c r="H2095" s="1509">
        <f t="shared" si="317"/>
        <v>0</v>
      </c>
      <c r="I2095" s="1509">
        <v>0</v>
      </c>
      <c r="J2095" s="1509">
        <v>0</v>
      </c>
      <c r="K2095" s="1509"/>
      <c r="L2095" s="1509"/>
      <c r="M2095" s="1509">
        <f t="shared" si="313"/>
        <v>0</v>
      </c>
      <c r="N2095" s="1509">
        <f t="shared" si="318"/>
        <v>0</v>
      </c>
    </row>
    <row r="2096" spans="1:14" customFormat="1" outlineLevel="1" x14ac:dyDescent="0.25">
      <c r="A2096" s="1511">
        <f t="shared" si="320"/>
        <v>0</v>
      </c>
      <c r="B2096" s="1515" t="str">
        <f t="shared" si="320"/>
        <v>IDC</v>
      </c>
      <c r="C2096" s="1396" t="str">
        <f t="shared" si="320"/>
        <v>Yet to be approved</v>
      </c>
      <c r="D2096" s="1378" t="str">
        <f t="shared" si="320"/>
        <v>-</v>
      </c>
      <c r="E2096" s="1505">
        <f t="shared" si="320"/>
        <v>0</v>
      </c>
      <c r="F2096" s="1509">
        <f t="shared" si="315"/>
        <v>0</v>
      </c>
      <c r="G2096" s="1509">
        <f t="shared" si="316"/>
        <v>0</v>
      </c>
      <c r="H2096" s="1509">
        <f t="shared" si="317"/>
        <v>0</v>
      </c>
      <c r="I2096" s="1509">
        <v>0</v>
      </c>
      <c r="J2096" s="1509">
        <v>0</v>
      </c>
      <c r="K2096" s="1509"/>
      <c r="L2096" s="1509"/>
      <c r="M2096" s="1509">
        <f t="shared" si="313"/>
        <v>0</v>
      </c>
      <c r="N2096" s="1509">
        <f t="shared" si="318"/>
        <v>0</v>
      </c>
    </row>
    <row r="2097" spans="1:14" customFormat="1" ht="29" outlineLevel="1" x14ac:dyDescent="0.25">
      <c r="A2097" s="1506">
        <f t="shared" si="320"/>
        <v>30</v>
      </c>
      <c r="B2097" s="1507" t="str">
        <f t="shared" si="320"/>
        <v>ASH  EVACUATION  IMPROVEMENT  AND  PERFORMANCE &amp; EFFICIENCY OF ASH HANDLING SYSTEM At NPTPS Parli-V AT TPS PARLI-V.</v>
      </c>
      <c r="C2097" s="1506" t="str">
        <f t="shared" si="320"/>
        <v>Yet to be approved</v>
      </c>
      <c r="D2097" s="1507" t="str">
        <f t="shared" si="320"/>
        <v>-</v>
      </c>
      <c r="E2097" s="1506">
        <f t="shared" si="320"/>
        <v>0</v>
      </c>
      <c r="F2097" s="1509">
        <f t="shared" si="315"/>
        <v>0</v>
      </c>
      <c r="G2097" s="1509">
        <f t="shared" si="316"/>
        <v>0</v>
      </c>
      <c r="H2097" s="1509">
        <f t="shared" si="317"/>
        <v>0</v>
      </c>
      <c r="I2097" s="1509">
        <v>0</v>
      </c>
      <c r="J2097" s="1509">
        <v>0</v>
      </c>
      <c r="K2097" s="1509"/>
      <c r="L2097" s="1509"/>
      <c r="M2097" s="1509">
        <f t="shared" si="313"/>
        <v>0</v>
      </c>
      <c r="N2097" s="1509">
        <f t="shared" si="318"/>
        <v>0</v>
      </c>
    </row>
    <row r="2098" spans="1:14" customFormat="1" outlineLevel="1" x14ac:dyDescent="0.25">
      <c r="A2098" s="1511">
        <f t="shared" si="320"/>
        <v>30.1</v>
      </c>
      <c r="B2098" s="1515" t="str">
        <f t="shared" si="320"/>
        <v>DESIGN , SUPPLY &amp; REPLCEMENT  VACUUM PUMP</v>
      </c>
      <c r="C2098" s="1396" t="str">
        <f t="shared" si="320"/>
        <v>Yet to be approved</v>
      </c>
      <c r="D2098" s="1378" t="str">
        <f t="shared" si="320"/>
        <v>-</v>
      </c>
      <c r="E2098" s="1505">
        <f t="shared" si="320"/>
        <v>0</v>
      </c>
      <c r="F2098" s="1509">
        <f t="shared" si="315"/>
        <v>0</v>
      </c>
      <c r="G2098" s="1509">
        <f t="shared" si="316"/>
        <v>0</v>
      </c>
      <c r="H2098" s="1509">
        <f t="shared" si="317"/>
        <v>0</v>
      </c>
      <c r="I2098" s="1509">
        <v>0</v>
      </c>
      <c r="J2098" s="1509">
        <v>0</v>
      </c>
      <c r="K2098" s="1509"/>
      <c r="L2098" s="1509"/>
      <c r="M2098" s="1509">
        <f t="shared" si="313"/>
        <v>0</v>
      </c>
      <c r="N2098" s="1509">
        <f t="shared" si="318"/>
        <v>0</v>
      </c>
    </row>
    <row r="2099" spans="1:14" customFormat="1" ht="29" outlineLevel="1" x14ac:dyDescent="0.25">
      <c r="A2099" s="1511">
        <f t="shared" ref="A2099:E2114" si="321">A1742</f>
        <v>30.2</v>
      </c>
      <c r="B2099" s="1515" t="str">
        <f t="shared" si="321"/>
        <v>DESIGN , SUPPLY &amp; REPLCEMENT OF  ASH DISPOSAL SLURRY PUMP  COMPLTE ASSEMBLY ALONG WITH GEAR BOX, MOTORS U-6&amp; 7</v>
      </c>
      <c r="C2099" s="1396" t="str">
        <f t="shared" si="321"/>
        <v>Yet to be approved</v>
      </c>
      <c r="D2099" s="1378" t="str">
        <f t="shared" si="321"/>
        <v>-</v>
      </c>
      <c r="E2099" s="1505">
        <f t="shared" si="321"/>
        <v>0</v>
      </c>
      <c r="F2099" s="1509">
        <f t="shared" si="315"/>
        <v>0</v>
      </c>
      <c r="G2099" s="1509">
        <f t="shared" si="316"/>
        <v>0</v>
      </c>
      <c r="H2099" s="1509">
        <f t="shared" si="317"/>
        <v>0</v>
      </c>
      <c r="I2099" s="1509">
        <v>0</v>
      </c>
      <c r="J2099" s="1509">
        <v>0</v>
      </c>
      <c r="K2099" s="1509"/>
      <c r="L2099" s="1509"/>
      <c r="M2099" s="1509">
        <f t="shared" si="313"/>
        <v>0</v>
      </c>
      <c r="N2099" s="1509">
        <f t="shared" si="318"/>
        <v>0</v>
      </c>
    </row>
    <row r="2100" spans="1:14" customFormat="1" ht="29" outlineLevel="1" x14ac:dyDescent="0.25">
      <c r="A2100" s="1511">
        <f t="shared" si="321"/>
        <v>30.3</v>
      </c>
      <c r="B2100" s="1515" t="str">
        <f t="shared" si="321"/>
        <v>DESIGN , SUPPLY &amp; REPLCEMENT OF  HP WATER PUMP COMPLTE ASSEMBLY ALONG WITH GEAR BOX, MOTORS U-6&amp; 7</v>
      </c>
      <c r="C2100" s="1396" t="str">
        <f t="shared" si="321"/>
        <v>Yet to be approved</v>
      </c>
      <c r="D2100" s="1378" t="str">
        <f t="shared" si="321"/>
        <v>-</v>
      </c>
      <c r="E2100" s="1505">
        <f t="shared" si="321"/>
        <v>0</v>
      </c>
      <c r="F2100" s="1509">
        <f t="shared" si="315"/>
        <v>0</v>
      </c>
      <c r="G2100" s="1509">
        <f t="shared" si="316"/>
        <v>0</v>
      </c>
      <c r="H2100" s="1509">
        <f t="shared" si="317"/>
        <v>0</v>
      </c>
      <c r="I2100" s="1509">
        <v>0</v>
      </c>
      <c r="J2100" s="1509">
        <v>0</v>
      </c>
      <c r="K2100" s="1509"/>
      <c r="L2100" s="1509"/>
      <c r="M2100" s="1509">
        <f t="shared" si="313"/>
        <v>0</v>
      </c>
      <c r="N2100" s="1509">
        <f t="shared" si="318"/>
        <v>0</v>
      </c>
    </row>
    <row r="2101" spans="1:14" customFormat="1" ht="43.5" outlineLevel="1" x14ac:dyDescent="0.25">
      <c r="A2101" s="1511">
        <f t="shared" si="321"/>
        <v>30.4</v>
      </c>
      <c r="B2101" s="1515" t="str">
        <f t="shared" si="321"/>
        <v xml:space="preserve"> Procurement of MOTORS, RELAY ,BREAKERS &amp; RETROFITTING   for HCSD  to improve availability &amp; performance of Bottom ash,  Coarse Ash &amp;  fly ash system of AHP, unit 6</v>
      </c>
      <c r="C2101" s="1396" t="str">
        <f t="shared" si="321"/>
        <v>Yet to be approved</v>
      </c>
      <c r="D2101" s="1378" t="str">
        <f t="shared" si="321"/>
        <v>-</v>
      </c>
      <c r="E2101" s="1505">
        <f t="shared" si="321"/>
        <v>0</v>
      </c>
      <c r="F2101" s="1509">
        <f t="shared" si="315"/>
        <v>0</v>
      </c>
      <c r="G2101" s="1509">
        <f t="shared" si="316"/>
        <v>0</v>
      </c>
      <c r="H2101" s="1509">
        <f t="shared" si="317"/>
        <v>0</v>
      </c>
      <c r="I2101" s="1509">
        <v>0</v>
      </c>
      <c r="J2101" s="1509">
        <v>0</v>
      </c>
      <c r="K2101" s="1509"/>
      <c r="L2101" s="1509"/>
      <c r="M2101" s="1509">
        <f t="shared" si="313"/>
        <v>0</v>
      </c>
      <c r="N2101" s="1509">
        <f t="shared" si="318"/>
        <v>0</v>
      </c>
    </row>
    <row r="2102" spans="1:14" customFormat="1" ht="29" outlineLevel="1" x14ac:dyDescent="0.25">
      <c r="A2102" s="1511">
        <f t="shared" si="321"/>
        <v>30.5</v>
      </c>
      <c r="B2102" s="1515" t="str">
        <f t="shared" si="321"/>
        <v>Upgradation of reciprocating  Conveying Air compressor into screw compressor  at U#6</v>
      </c>
      <c r="C2102" s="1396" t="str">
        <f t="shared" si="321"/>
        <v>Yet to be approved</v>
      </c>
      <c r="D2102" s="1378" t="str">
        <f t="shared" si="321"/>
        <v>-</v>
      </c>
      <c r="E2102" s="1505">
        <f t="shared" si="321"/>
        <v>0</v>
      </c>
      <c r="F2102" s="1509">
        <f t="shared" si="315"/>
        <v>0</v>
      </c>
      <c r="G2102" s="1509">
        <f t="shared" si="316"/>
        <v>0</v>
      </c>
      <c r="H2102" s="1509">
        <f t="shared" si="317"/>
        <v>0</v>
      </c>
      <c r="I2102" s="1509">
        <v>0</v>
      </c>
      <c r="J2102" s="1509">
        <v>0</v>
      </c>
      <c r="K2102" s="1509"/>
      <c r="L2102" s="1509"/>
      <c r="M2102" s="1509">
        <f t="shared" si="313"/>
        <v>0</v>
      </c>
      <c r="N2102" s="1509">
        <f t="shared" si="318"/>
        <v>0</v>
      </c>
    </row>
    <row r="2103" spans="1:14" customFormat="1" ht="29" outlineLevel="1" x14ac:dyDescent="0.25">
      <c r="A2103" s="1511">
        <f t="shared" si="321"/>
        <v>30.6</v>
      </c>
      <c r="B2103" s="1515" t="str">
        <f t="shared" si="321"/>
        <v xml:space="preserve">Upgradation of reciprocating  Instrument  Air compressor into screw compressor  at U#6  </v>
      </c>
      <c r="C2103" s="1396" t="str">
        <f t="shared" si="321"/>
        <v>Yet to be approved</v>
      </c>
      <c r="D2103" s="1378" t="str">
        <f t="shared" si="321"/>
        <v>-</v>
      </c>
      <c r="E2103" s="1505">
        <f t="shared" si="321"/>
        <v>0</v>
      </c>
      <c r="F2103" s="1509">
        <f t="shared" si="315"/>
        <v>0</v>
      </c>
      <c r="G2103" s="1509">
        <f t="shared" si="316"/>
        <v>0</v>
      </c>
      <c r="H2103" s="1509">
        <f t="shared" si="317"/>
        <v>0</v>
      </c>
      <c r="I2103" s="1509">
        <v>0</v>
      </c>
      <c r="J2103" s="1509">
        <v>0</v>
      </c>
      <c r="K2103" s="1509"/>
      <c r="L2103" s="1509"/>
      <c r="M2103" s="1509">
        <f t="shared" ref="M2103:M2146" si="322">SUM(J2103:L2103)</f>
        <v>0</v>
      </c>
      <c r="N2103" s="1509">
        <f t="shared" si="318"/>
        <v>0</v>
      </c>
    </row>
    <row r="2104" spans="1:14" customFormat="1" outlineLevel="1" x14ac:dyDescent="0.25">
      <c r="A2104" s="1511">
        <f t="shared" si="321"/>
        <v>0</v>
      </c>
      <c r="B2104" s="1515" t="str">
        <f t="shared" si="321"/>
        <v>IDC</v>
      </c>
      <c r="C2104" s="1396" t="str">
        <f t="shared" si="321"/>
        <v>Yet to be approved</v>
      </c>
      <c r="D2104" s="1378" t="str">
        <f t="shared" si="321"/>
        <v>-</v>
      </c>
      <c r="E2104" s="1505">
        <f t="shared" si="321"/>
        <v>0</v>
      </c>
      <c r="F2104" s="1509">
        <f t="shared" si="315"/>
        <v>0</v>
      </c>
      <c r="G2104" s="1509">
        <f t="shared" si="316"/>
        <v>0</v>
      </c>
      <c r="H2104" s="1509">
        <f t="shared" si="317"/>
        <v>0</v>
      </c>
      <c r="I2104" s="1509">
        <v>0</v>
      </c>
      <c r="J2104" s="1509">
        <v>0</v>
      </c>
      <c r="K2104" s="1509"/>
      <c r="L2104" s="1509"/>
      <c r="M2104" s="1509">
        <f t="shared" si="322"/>
        <v>0</v>
      </c>
      <c r="N2104" s="1509">
        <f t="shared" si="318"/>
        <v>0</v>
      </c>
    </row>
    <row r="2105" spans="1:14" customFormat="1" outlineLevel="1" x14ac:dyDescent="0.25">
      <c r="A2105" s="1506">
        <f t="shared" si="321"/>
        <v>31</v>
      </c>
      <c r="B2105" s="1507" t="str">
        <f t="shared" si="321"/>
        <v xml:space="preserve">Construction of VIP guest house building at TPS Parli Vaijnath  </v>
      </c>
      <c r="C2105" s="1506" t="str">
        <f t="shared" si="321"/>
        <v>Yet to be approved</v>
      </c>
      <c r="D2105" s="1507" t="str">
        <f t="shared" si="321"/>
        <v>-</v>
      </c>
      <c r="E2105" s="1506">
        <f t="shared" si="321"/>
        <v>0</v>
      </c>
      <c r="F2105" s="1509">
        <f t="shared" si="315"/>
        <v>0</v>
      </c>
      <c r="G2105" s="1509">
        <f t="shared" si="316"/>
        <v>0</v>
      </c>
      <c r="H2105" s="1509">
        <f t="shared" si="317"/>
        <v>0</v>
      </c>
      <c r="I2105" s="1509">
        <v>0</v>
      </c>
      <c r="J2105" s="1509">
        <v>0</v>
      </c>
      <c r="K2105" s="1509"/>
      <c r="L2105" s="1509"/>
      <c r="M2105" s="1509">
        <f t="shared" si="322"/>
        <v>0</v>
      </c>
      <c r="N2105" s="1509">
        <f t="shared" si="318"/>
        <v>0</v>
      </c>
    </row>
    <row r="2106" spans="1:14" customFormat="1" outlineLevel="1" x14ac:dyDescent="0.25">
      <c r="A2106" s="1511">
        <f t="shared" si="321"/>
        <v>31.1</v>
      </c>
      <c r="B2106" s="1515" t="str">
        <f t="shared" si="321"/>
        <v xml:space="preserve">Construction of VIP guest house building at TPS Parli Vaijnath  </v>
      </c>
      <c r="C2106" s="1396" t="str">
        <f t="shared" si="321"/>
        <v>Yet to be approved</v>
      </c>
      <c r="D2106" s="1378" t="str">
        <f t="shared" si="321"/>
        <v>-</v>
      </c>
      <c r="E2106" s="1505">
        <f t="shared" si="321"/>
        <v>0</v>
      </c>
      <c r="F2106" s="1509">
        <f t="shared" si="315"/>
        <v>26.98</v>
      </c>
      <c r="G2106" s="1509">
        <f t="shared" si="316"/>
        <v>26.98</v>
      </c>
      <c r="H2106" s="1509">
        <f t="shared" si="317"/>
        <v>0</v>
      </c>
      <c r="I2106" s="1509">
        <v>0</v>
      </c>
      <c r="J2106" s="1509">
        <v>0</v>
      </c>
      <c r="K2106" s="1509"/>
      <c r="L2106" s="1509"/>
      <c r="M2106" s="1509">
        <f t="shared" si="322"/>
        <v>0</v>
      </c>
      <c r="N2106" s="1509">
        <f t="shared" si="318"/>
        <v>0</v>
      </c>
    </row>
    <row r="2107" spans="1:14" customFormat="1" ht="43.5" outlineLevel="1" x14ac:dyDescent="0.25">
      <c r="A2107" s="1506">
        <f t="shared" si="321"/>
        <v>32</v>
      </c>
      <c r="B2107" s="1507" t="str">
        <f t="shared" si="321"/>
        <v xml:space="preserve"> Permanent water supply scheme for parli TPS by lifting water from Dead storage of Majalgaon dam and supplying through enclosed pipe line at New TPS Parli Vaijnath.</v>
      </c>
      <c r="C2107" s="1506" t="str">
        <f t="shared" si="321"/>
        <v>Yet to be approved</v>
      </c>
      <c r="D2107" s="1507" t="str">
        <f t="shared" si="321"/>
        <v>-</v>
      </c>
      <c r="E2107" s="1506">
        <f t="shared" si="321"/>
        <v>0</v>
      </c>
      <c r="F2107" s="1509">
        <f t="shared" si="315"/>
        <v>0</v>
      </c>
      <c r="G2107" s="1509">
        <f t="shared" si="316"/>
        <v>0</v>
      </c>
      <c r="H2107" s="1509">
        <f t="shared" si="317"/>
        <v>0</v>
      </c>
      <c r="I2107" s="1509">
        <v>0</v>
      </c>
      <c r="J2107" s="1509">
        <v>0</v>
      </c>
      <c r="K2107" s="1509"/>
      <c r="L2107" s="1509"/>
      <c r="M2107" s="1509">
        <f t="shared" si="322"/>
        <v>0</v>
      </c>
      <c r="N2107" s="1509">
        <f t="shared" si="318"/>
        <v>0</v>
      </c>
    </row>
    <row r="2108" spans="1:14" customFormat="1" ht="43.5" outlineLevel="1" x14ac:dyDescent="0.25">
      <c r="A2108" s="1511">
        <f t="shared" si="321"/>
        <v>32.1</v>
      </c>
      <c r="B2108" s="1515" t="str">
        <f t="shared" si="321"/>
        <v xml:space="preserve"> Permanent water supply scheme for parli TPS by lifting water from Dead storage of Majalgaon dam and supplying through enclosed pipe line at New TPS Parli Vaijnath.</v>
      </c>
      <c r="C2108" s="1396" t="str">
        <f t="shared" si="321"/>
        <v>Yet to be approved</v>
      </c>
      <c r="D2108" s="1378" t="str">
        <f t="shared" si="321"/>
        <v>-</v>
      </c>
      <c r="E2108" s="1505">
        <f t="shared" si="321"/>
        <v>0</v>
      </c>
      <c r="F2108" s="1509">
        <f t="shared" si="315"/>
        <v>200</v>
      </c>
      <c r="G2108" s="1509">
        <f t="shared" si="316"/>
        <v>0</v>
      </c>
      <c r="H2108" s="1509">
        <f t="shared" si="317"/>
        <v>200</v>
      </c>
      <c r="I2108" s="1509">
        <v>100</v>
      </c>
      <c r="J2108" s="1509">
        <v>0</v>
      </c>
      <c r="K2108" s="1509"/>
      <c r="L2108" s="1509"/>
      <c r="M2108" s="1509">
        <f t="shared" si="322"/>
        <v>0</v>
      </c>
      <c r="N2108" s="1509">
        <f t="shared" si="318"/>
        <v>300</v>
      </c>
    </row>
    <row r="2109" spans="1:14" customFormat="1" ht="29" outlineLevel="1" x14ac:dyDescent="0.25">
      <c r="A2109" s="1511">
        <f t="shared" si="321"/>
        <v>32.200000000000003</v>
      </c>
      <c r="B2109" s="1515" t="str">
        <f t="shared" si="321"/>
        <v>Providing drinking water supply to GSR Tank of Shaktikunj Vasahat from Unit 6,7 and 8 premises new TPS Parli Vaijnath</v>
      </c>
      <c r="C2109" s="1396" t="str">
        <f t="shared" si="321"/>
        <v>Yet to be approved</v>
      </c>
      <c r="D2109" s="1378" t="str">
        <f t="shared" si="321"/>
        <v>-</v>
      </c>
      <c r="E2109" s="1505">
        <f t="shared" si="321"/>
        <v>0</v>
      </c>
      <c r="F2109" s="1509">
        <f t="shared" si="315"/>
        <v>14.5</v>
      </c>
      <c r="G2109" s="1509">
        <f t="shared" si="316"/>
        <v>0</v>
      </c>
      <c r="H2109" s="1509">
        <f t="shared" si="317"/>
        <v>14.5</v>
      </c>
      <c r="I2109" s="1509">
        <v>2.5</v>
      </c>
      <c r="J2109" s="1509">
        <v>17</v>
      </c>
      <c r="K2109" s="1509"/>
      <c r="L2109" s="1509"/>
      <c r="M2109" s="1509">
        <f t="shared" si="322"/>
        <v>17</v>
      </c>
      <c r="N2109" s="1509">
        <f t="shared" si="318"/>
        <v>0</v>
      </c>
    </row>
    <row r="2110" spans="1:14" customFormat="1" outlineLevel="1" x14ac:dyDescent="0.25">
      <c r="A2110" s="1506">
        <f t="shared" si="321"/>
        <v>33</v>
      </c>
      <c r="B2110" s="1507" t="str">
        <f t="shared" si="321"/>
        <v>DPR on Raw water leackage arresting</v>
      </c>
      <c r="C2110" s="1506" t="str">
        <f t="shared" si="321"/>
        <v>Yet to be approved</v>
      </c>
      <c r="D2110" s="1507" t="str">
        <f t="shared" si="321"/>
        <v>-</v>
      </c>
      <c r="E2110" s="1506">
        <f t="shared" si="321"/>
        <v>0</v>
      </c>
      <c r="F2110" s="1509">
        <f t="shared" si="315"/>
        <v>0</v>
      </c>
      <c r="G2110" s="1509">
        <f t="shared" si="316"/>
        <v>0</v>
      </c>
      <c r="H2110" s="1509">
        <f t="shared" si="317"/>
        <v>0</v>
      </c>
      <c r="I2110" s="1509">
        <v>0</v>
      </c>
      <c r="J2110" s="1509">
        <v>0</v>
      </c>
      <c r="K2110" s="1509"/>
      <c r="L2110" s="1509"/>
      <c r="M2110" s="1509">
        <f t="shared" si="322"/>
        <v>0</v>
      </c>
      <c r="N2110" s="1509">
        <f t="shared" si="318"/>
        <v>0</v>
      </c>
    </row>
    <row r="2111" spans="1:14" customFormat="1" outlineLevel="1" x14ac:dyDescent="0.25">
      <c r="A2111" s="1511">
        <f t="shared" si="321"/>
        <v>33.1</v>
      </c>
      <c r="B2111" s="1515" t="str">
        <f t="shared" si="321"/>
        <v xml:space="preserve">Raw water leackage arresting </v>
      </c>
      <c r="C2111" s="1396" t="str">
        <f t="shared" si="321"/>
        <v>Yet to be approved</v>
      </c>
      <c r="D2111" s="1378" t="str">
        <f t="shared" si="321"/>
        <v>-</v>
      </c>
      <c r="E2111" s="1505">
        <f t="shared" si="321"/>
        <v>0</v>
      </c>
      <c r="F2111" s="1509">
        <f t="shared" si="315"/>
        <v>0</v>
      </c>
      <c r="G2111" s="1509">
        <f t="shared" si="316"/>
        <v>0</v>
      </c>
      <c r="H2111" s="1509">
        <f t="shared" si="317"/>
        <v>0</v>
      </c>
      <c r="I2111" s="1509">
        <v>36</v>
      </c>
      <c r="J2111" s="1509">
        <v>36</v>
      </c>
      <c r="K2111" s="1509"/>
      <c r="L2111" s="1509"/>
      <c r="M2111" s="1509">
        <f t="shared" si="322"/>
        <v>36</v>
      </c>
      <c r="N2111" s="1509">
        <f t="shared" si="318"/>
        <v>0</v>
      </c>
    </row>
    <row r="2112" spans="1:14" customFormat="1" ht="29" outlineLevel="1" x14ac:dyDescent="0.25">
      <c r="A2112" s="1506">
        <f t="shared" si="321"/>
        <v>34</v>
      </c>
      <c r="B2112" s="1507" t="str">
        <f t="shared" si="321"/>
        <v>NDCT structural strenthing and leackage arresting througth  basin and CW channel of Unit 6,7</v>
      </c>
      <c r="C2112" s="1506" t="str">
        <f t="shared" si="321"/>
        <v>Yet to be approved</v>
      </c>
      <c r="D2112" s="1507" t="str">
        <f t="shared" si="321"/>
        <v>-</v>
      </c>
      <c r="E2112" s="1506">
        <f t="shared" si="321"/>
        <v>0</v>
      </c>
      <c r="F2112" s="1509">
        <f t="shared" si="315"/>
        <v>0</v>
      </c>
      <c r="G2112" s="1509">
        <f t="shared" si="316"/>
        <v>0</v>
      </c>
      <c r="H2112" s="1509">
        <f t="shared" si="317"/>
        <v>0</v>
      </c>
      <c r="I2112" s="1509">
        <v>0</v>
      </c>
      <c r="J2112" s="1509">
        <v>0</v>
      </c>
      <c r="K2112" s="1509"/>
      <c r="L2112" s="1509"/>
      <c r="M2112" s="1509">
        <f t="shared" si="322"/>
        <v>0</v>
      </c>
      <c r="N2112" s="1509">
        <f t="shared" si="318"/>
        <v>0</v>
      </c>
    </row>
    <row r="2113" spans="1:14" customFormat="1" outlineLevel="1" x14ac:dyDescent="0.25">
      <c r="A2113" s="1511">
        <f t="shared" si="321"/>
        <v>34.1</v>
      </c>
      <c r="B2113" s="1515" t="str">
        <f t="shared" si="321"/>
        <v xml:space="preserve">NDCT basin of unit 6&amp; 7 leackage arresing work </v>
      </c>
      <c r="C2113" s="1396" t="str">
        <f t="shared" si="321"/>
        <v>Yet to be approved</v>
      </c>
      <c r="D2113" s="1378" t="str">
        <f t="shared" si="321"/>
        <v>-</v>
      </c>
      <c r="E2113" s="1505">
        <f t="shared" si="321"/>
        <v>0</v>
      </c>
      <c r="F2113" s="1509">
        <f t="shared" si="315"/>
        <v>10</v>
      </c>
      <c r="G2113" s="1509">
        <f t="shared" si="316"/>
        <v>10</v>
      </c>
      <c r="H2113" s="1509">
        <f t="shared" si="317"/>
        <v>0</v>
      </c>
      <c r="I2113" s="1509">
        <v>0</v>
      </c>
      <c r="J2113" s="1509">
        <v>0</v>
      </c>
      <c r="K2113" s="1509"/>
      <c r="L2113" s="1509"/>
      <c r="M2113" s="1509">
        <f t="shared" si="322"/>
        <v>0</v>
      </c>
      <c r="N2113" s="1509">
        <f t="shared" si="318"/>
        <v>0</v>
      </c>
    </row>
    <row r="2114" spans="1:14" customFormat="1" outlineLevel="1" x14ac:dyDescent="0.25">
      <c r="A2114" s="1511">
        <f t="shared" si="321"/>
        <v>34.200000000000003</v>
      </c>
      <c r="B2114" s="1515" t="str">
        <f t="shared" si="321"/>
        <v>CW channel leackage arresting of  Unit 6 &amp;7</v>
      </c>
      <c r="C2114" s="1396" t="str">
        <f t="shared" si="321"/>
        <v>Yet to be approved</v>
      </c>
      <c r="D2114" s="1378" t="str">
        <f t="shared" si="321"/>
        <v>-</v>
      </c>
      <c r="E2114" s="1505">
        <f t="shared" si="321"/>
        <v>0</v>
      </c>
      <c r="F2114" s="1509">
        <f t="shared" si="315"/>
        <v>10</v>
      </c>
      <c r="G2114" s="1509">
        <f t="shared" si="316"/>
        <v>10</v>
      </c>
      <c r="H2114" s="1509">
        <f t="shared" si="317"/>
        <v>0</v>
      </c>
      <c r="I2114" s="1509">
        <v>0</v>
      </c>
      <c r="J2114" s="1509">
        <v>0</v>
      </c>
      <c r="K2114" s="1509"/>
      <c r="L2114" s="1509"/>
      <c r="M2114" s="1509">
        <f t="shared" si="322"/>
        <v>0</v>
      </c>
      <c r="N2114" s="1509">
        <f t="shared" si="318"/>
        <v>0</v>
      </c>
    </row>
    <row r="2115" spans="1:14" customFormat="1" ht="29" outlineLevel="1" x14ac:dyDescent="0.25">
      <c r="A2115" s="1511">
        <f t="shared" ref="A2115:E2130" si="323">A1758</f>
        <v>34.299999999999997</v>
      </c>
      <c r="B2115" s="1515" t="str">
        <f t="shared" si="323"/>
        <v>NDCT structural strenthing of intermadiate racker coloumn of Unit 6&amp;7</v>
      </c>
      <c r="C2115" s="1396" t="str">
        <f t="shared" si="323"/>
        <v>Yet to be approved</v>
      </c>
      <c r="D2115" s="1378" t="str">
        <f t="shared" si="323"/>
        <v>-</v>
      </c>
      <c r="E2115" s="1505">
        <f t="shared" si="323"/>
        <v>0</v>
      </c>
      <c r="F2115" s="1509">
        <f t="shared" ref="F2115:F2146" si="324">F1758+I1758</f>
        <v>15</v>
      </c>
      <c r="G2115" s="1509">
        <f t="shared" ref="G2115:G2146" si="325">G1758+M1758</f>
        <v>15</v>
      </c>
      <c r="H2115" s="1509">
        <f t="shared" si="317"/>
        <v>0</v>
      </c>
      <c r="I2115" s="1509">
        <v>0</v>
      </c>
      <c r="J2115" s="1509">
        <v>0</v>
      </c>
      <c r="K2115" s="1509"/>
      <c r="L2115" s="1509"/>
      <c r="M2115" s="1509">
        <f t="shared" si="322"/>
        <v>0</v>
      </c>
      <c r="N2115" s="1509">
        <f t="shared" si="318"/>
        <v>0</v>
      </c>
    </row>
    <row r="2116" spans="1:14" customFormat="1" ht="29" outlineLevel="1" x14ac:dyDescent="0.25">
      <c r="A2116" s="1511">
        <f t="shared" si="323"/>
        <v>34.4</v>
      </c>
      <c r="B2116" s="1515" t="str">
        <f t="shared" si="323"/>
        <v>Construction of Store shed's at Major store in Unit No.6,7 NPTPS Parli V</v>
      </c>
      <c r="C2116" s="1396" t="str">
        <f t="shared" si="323"/>
        <v>Yet to be approved</v>
      </c>
      <c r="D2116" s="1378" t="str">
        <f t="shared" si="323"/>
        <v>-</v>
      </c>
      <c r="E2116" s="1505">
        <f t="shared" si="323"/>
        <v>0</v>
      </c>
      <c r="F2116" s="1509">
        <f t="shared" si="324"/>
        <v>1.35</v>
      </c>
      <c r="G2116" s="1509">
        <f t="shared" si="325"/>
        <v>1.35</v>
      </c>
      <c r="H2116" s="1509">
        <f t="shared" ref="H2116:H2146" si="326">F2116-G2116</f>
        <v>0</v>
      </c>
      <c r="I2116" s="1509">
        <v>0</v>
      </c>
      <c r="J2116" s="1509">
        <v>0</v>
      </c>
      <c r="K2116" s="1509"/>
      <c r="L2116" s="1509"/>
      <c r="M2116" s="1509">
        <f t="shared" si="322"/>
        <v>0</v>
      </c>
      <c r="N2116" s="1509">
        <f t="shared" ref="N2116:N2146" si="327">H2116+I2116-M2116</f>
        <v>0</v>
      </c>
    </row>
    <row r="2117" spans="1:14" customFormat="1" ht="29" outlineLevel="1" x14ac:dyDescent="0.25">
      <c r="A2117" s="1506">
        <f t="shared" si="323"/>
        <v>35</v>
      </c>
      <c r="B2117" s="1507" t="str">
        <f t="shared" si="323"/>
        <v>DPR on road work &amp;   rennovation work of colony buildings Parli -V at TPS Parli -V</v>
      </c>
      <c r="C2117" s="1506" t="str">
        <f t="shared" si="323"/>
        <v>Yet to be approved</v>
      </c>
      <c r="D2117" s="1507" t="str">
        <f t="shared" si="323"/>
        <v>-</v>
      </c>
      <c r="E2117" s="1506">
        <f t="shared" si="323"/>
        <v>0</v>
      </c>
      <c r="F2117" s="1509">
        <f t="shared" si="324"/>
        <v>0</v>
      </c>
      <c r="G2117" s="1509">
        <f t="shared" si="325"/>
        <v>0</v>
      </c>
      <c r="H2117" s="1509">
        <f t="shared" si="326"/>
        <v>0</v>
      </c>
      <c r="I2117" s="1509">
        <v>0</v>
      </c>
      <c r="J2117" s="1509">
        <v>0</v>
      </c>
      <c r="K2117" s="1509"/>
      <c r="L2117" s="1509"/>
      <c r="M2117" s="1509">
        <f t="shared" si="322"/>
        <v>0</v>
      </c>
      <c r="N2117" s="1509">
        <f t="shared" si="327"/>
        <v>0</v>
      </c>
    </row>
    <row r="2118" spans="1:14" customFormat="1" ht="43.5" outlineLevel="1" x14ac:dyDescent="0.25">
      <c r="A2118" s="1511">
        <f t="shared" si="323"/>
        <v>35.1</v>
      </c>
      <c r="B2118" s="1515" t="str">
        <f t="shared" si="323"/>
        <v xml:space="preserve">contruction of roads of few roads in clusters and main road repairs ,carpet laying,seal coats, strips on road &amp; indicators on roads with rumbble strips at TPS colony Parli V </v>
      </c>
      <c r="C2118" s="1396" t="str">
        <f t="shared" si="323"/>
        <v>Yet to be approved</v>
      </c>
      <c r="D2118" s="1378" t="str">
        <f t="shared" si="323"/>
        <v>-</v>
      </c>
      <c r="E2118" s="1505">
        <f t="shared" si="323"/>
        <v>0</v>
      </c>
      <c r="F2118" s="1509">
        <f t="shared" si="324"/>
        <v>10</v>
      </c>
      <c r="G2118" s="1509">
        <f t="shared" si="325"/>
        <v>10</v>
      </c>
      <c r="H2118" s="1509">
        <f t="shared" si="326"/>
        <v>0</v>
      </c>
      <c r="I2118" s="1509">
        <v>0</v>
      </c>
      <c r="J2118" s="1509">
        <v>0</v>
      </c>
      <c r="K2118" s="1509"/>
      <c r="L2118" s="1509"/>
      <c r="M2118" s="1509">
        <f t="shared" si="322"/>
        <v>0</v>
      </c>
      <c r="N2118" s="1509">
        <f t="shared" si="327"/>
        <v>0</v>
      </c>
    </row>
    <row r="2119" spans="1:14" customFormat="1" ht="43.5" outlineLevel="1" x14ac:dyDescent="0.25">
      <c r="A2119" s="1511">
        <f t="shared" si="323"/>
        <v>35.200000000000003</v>
      </c>
      <c r="B2119" s="1515" t="str">
        <f t="shared" si="323"/>
        <v xml:space="preserve"> In ABC colony ( Putty work,plastic emulsion paint,oil paint plaster etc) ,In DEF &amp; New colony ( internal &amp; external paint  ,oil paint etc) at TPS colony Parli-V.</v>
      </c>
      <c r="C2119" s="1396" t="str">
        <f t="shared" si="323"/>
        <v>Yet to be approved</v>
      </c>
      <c r="D2119" s="1378" t="str">
        <f t="shared" si="323"/>
        <v>-</v>
      </c>
      <c r="E2119" s="1505">
        <f t="shared" si="323"/>
        <v>0</v>
      </c>
      <c r="F2119" s="1509">
        <f t="shared" si="324"/>
        <v>5</v>
      </c>
      <c r="G2119" s="1509">
        <f t="shared" si="325"/>
        <v>5</v>
      </c>
      <c r="H2119" s="1509">
        <f t="shared" si="326"/>
        <v>0</v>
      </c>
      <c r="I2119" s="1509">
        <v>0</v>
      </c>
      <c r="J2119" s="1509">
        <v>0</v>
      </c>
      <c r="K2119" s="1509"/>
      <c r="L2119" s="1509"/>
      <c r="M2119" s="1509">
        <f t="shared" si="322"/>
        <v>0</v>
      </c>
      <c r="N2119" s="1509">
        <f t="shared" si="327"/>
        <v>0</v>
      </c>
    </row>
    <row r="2120" spans="1:14" customFormat="1" ht="29" outlineLevel="1" x14ac:dyDescent="0.25">
      <c r="A2120" s="1511">
        <f t="shared" si="323"/>
        <v>35.299999999999997</v>
      </c>
      <c r="B2120" s="1515" t="str">
        <f t="shared" si="323"/>
        <v xml:space="preserve"> In ABC,DEF &amp; New colony ( chember ,300 m dia rcc pipe,150mm  rcc pipe etc)at tps colony Parli V </v>
      </c>
      <c r="C2120" s="1396" t="str">
        <f t="shared" si="323"/>
        <v>Yet to be approved</v>
      </c>
      <c r="D2120" s="1378" t="str">
        <f t="shared" si="323"/>
        <v>-</v>
      </c>
      <c r="E2120" s="1505">
        <f t="shared" si="323"/>
        <v>0</v>
      </c>
      <c r="F2120" s="1509">
        <f t="shared" si="324"/>
        <v>5</v>
      </c>
      <c r="G2120" s="1509">
        <f t="shared" si="325"/>
        <v>5</v>
      </c>
      <c r="H2120" s="1509">
        <f t="shared" si="326"/>
        <v>0</v>
      </c>
      <c r="I2120" s="1509">
        <v>0</v>
      </c>
      <c r="J2120" s="1509">
        <v>0</v>
      </c>
      <c r="K2120" s="1509"/>
      <c r="L2120" s="1509"/>
      <c r="M2120" s="1509">
        <f t="shared" si="322"/>
        <v>0</v>
      </c>
      <c r="N2120" s="1509">
        <f t="shared" si="327"/>
        <v>0</v>
      </c>
    </row>
    <row r="2121" spans="1:14" customFormat="1" ht="29" outlineLevel="1" x14ac:dyDescent="0.25">
      <c r="A2121" s="1511">
        <f t="shared" si="323"/>
        <v>35.4</v>
      </c>
      <c r="B2121" s="1515" t="str">
        <f t="shared" si="323"/>
        <v>Plinth protection along the building and providing and placing rcc bench infront of all buildings etc at tps colony Parli v</v>
      </c>
      <c r="C2121" s="1396" t="str">
        <f t="shared" si="323"/>
        <v>Yet to be approved</v>
      </c>
      <c r="D2121" s="1378" t="str">
        <f t="shared" si="323"/>
        <v>-</v>
      </c>
      <c r="E2121" s="1505">
        <f t="shared" si="323"/>
        <v>0</v>
      </c>
      <c r="F2121" s="1509">
        <f t="shared" si="324"/>
        <v>2</v>
      </c>
      <c r="G2121" s="1509">
        <f t="shared" si="325"/>
        <v>2</v>
      </c>
      <c r="H2121" s="1509">
        <f t="shared" si="326"/>
        <v>0</v>
      </c>
      <c r="I2121" s="1509">
        <v>0</v>
      </c>
      <c r="J2121" s="1509">
        <v>0</v>
      </c>
      <c r="K2121" s="1509"/>
      <c r="L2121" s="1509"/>
      <c r="M2121" s="1509">
        <f t="shared" si="322"/>
        <v>0</v>
      </c>
      <c r="N2121" s="1509">
        <f t="shared" si="327"/>
        <v>0</v>
      </c>
    </row>
    <row r="2122" spans="1:14" customFormat="1" ht="58" outlineLevel="1" x14ac:dyDescent="0.25">
      <c r="A2122" s="1511">
        <f t="shared" si="323"/>
        <v>35.5</v>
      </c>
      <c r="B2122" s="1515" t="str">
        <f t="shared" si="323"/>
        <v xml:space="preserve">changing all internal qtrs pipeline from gi pipeline to Upvc pipeline and replacing existing damaged gi pipe by new one and also providing water tank  over single qtrs and buildings at ABC, DEF, &amp; New colony TPS Parli v </v>
      </c>
      <c r="C2122" s="1396" t="str">
        <f t="shared" si="323"/>
        <v>Yet to be approved</v>
      </c>
      <c r="D2122" s="1378" t="str">
        <f t="shared" si="323"/>
        <v>-</v>
      </c>
      <c r="E2122" s="1505">
        <f t="shared" si="323"/>
        <v>0</v>
      </c>
      <c r="F2122" s="1509">
        <f t="shared" si="324"/>
        <v>5</v>
      </c>
      <c r="G2122" s="1509">
        <f t="shared" si="325"/>
        <v>5</v>
      </c>
      <c r="H2122" s="1509">
        <f t="shared" si="326"/>
        <v>0</v>
      </c>
      <c r="I2122" s="1509">
        <v>0</v>
      </c>
      <c r="J2122" s="1509">
        <v>0</v>
      </c>
      <c r="K2122" s="1509"/>
      <c r="L2122" s="1509"/>
      <c r="M2122" s="1509">
        <f t="shared" si="322"/>
        <v>0</v>
      </c>
      <c r="N2122" s="1509">
        <f t="shared" si="327"/>
        <v>0</v>
      </c>
    </row>
    <row r="2123" spans="1:14" customFormat="1" outlineLevel="1" x14ac:dyDescent="0.25">
      <c r="A2123" s="1511">
        <f t="shared" si="323"/>
        <v>35.6</v>
      </c>
      <c r="B2123" s="1515" t="str">
        <f t="shared" si="323"/>
        <v>Carpentary works  at ABC,DEF &amp; New colony TPS  , Parli -V</v>
      </c>
      <c r="C2123" s="1396" t="str">
        <f t="shared" si="323"/>
        <v>Yet to be approved</v>
      </c>
      <c r="D2123" s="1378" t="str">
        <f t="shared" si="323"/>
        <v>-</v>
      </c>
      <c r="E2123" s="1505">
        <f t="shared" si="323"/>
        <v>0</v>
      </c>
      <c r="F2123" s="1509">
        <f t="shared" si="324"/>
        <v>4</v>
      </c>
      <c r="G2123" s="1509">
        <f t="shared" si="325"/>
        <v>4</v>
      </c>
      <c r="H2123" s="1509">
        <f t="shared" si="326"/>
        <v>0</v>
      </c>
      <c r="I2123" s="1509">
        <v>0</v>
      </c>
      <c r="J2123" s="1509">
        <v>0</v>
      </c>
      <c r="K2123" s="1509"/>
      <c r="L2123" s="1509"/>
      <c r="M2123" s="1509">
        <f t="shared" si="322"/>
        <v>0</v>
      </c>
      <c r="N2123" s="1509">
        <f t="shared" si="327"/>
        <v>0</v>
      </c>
    </row>
    <row r="2124" spans="1:14" customFormat="1" outlineLevel="1" x14ac:dyDescent="0.25">
      <c r="A2124" s="1511">
        <f t="shared" si="323"/>
        <v>35.700000000000003</v>
      </c>
      <c r="B2124" s="1515" t="str">
        <f t="shared" si="323"/>
        <v>Flooring work  at ABC,DEF &amp; New colony TPS  , Parli -V</v>
      </c>
      <c r="C2124" s="1396" t="str">
        <f t="shared" si="323"/>
        <v>Yet to be approved</v>
      </c>
      <c r="D2124" s="1378" t="str">
        <f t="shared" si="323"/>
        <v>-</v>
      </c>
      <c r="E2124" s="1505">
        <f t="shared" si="323"/>
        <v>0</v>
      </c>
      <c r="F2124" s="1509">
        <f t="shared" si="324"/>
        <v>5</v>
      </c>
      <c r="G2124" s="1509">
        <f t="shared" si="325"/>
        <v>5</v>
      </c>
      <c r="H2124" s="1509">
        <f t="shared" si="326"/>
        <v>0</v>
      </c>
      <c r="I2124" s="1509">
        <v>0</v>
      </c>
      <c r="J2124" s="1509">
        <v>0</v>
      </c>
      <c r="K2124" s="1509"/>
      <c r="L2124" s="1509"/>
      <c r="M2124" s="1509">
        <f t="shared" si="322"/>
        <v>0</v>
      </c>
      <c r="N2124" s="1509">
        <f t="shared" si="327"/>
        <v>0</v>
      </c>
    </row>
    <row r="2125" spans="1:14" customFormat="1" ht="29" outlineLevel="1" x14ac:dyDescent="0.25">
      <c r="A2125" s="1511">
        <f t="shared" si="323"/>
        <v>35.799999999999997</v>
      </c>
      <c r="B2125" s="1515" t="str">
        <f t="shared" si="323"/>
        <v>construction of new ESR and GSR  at ABC,DEF &amp; New colony TPS  , Parli -V</v>
      </c>
      <c r="C2125" s="1396" t="str">
        <f t="shared" si="323"/>
        <v>Yet to be approved</v>
      </c>
      <c r="D2125" s="1378" t="str">
        <f t="shared" si="323"/>
        <v>-</v>
      </c>
      <c r="E2125" s="1505">
        <f t="shared" si="323"/>
        <v>0</v>
      </c>
      <c r="F2125" s="1509">
        <f t="shared" si="324"/>
        <v>4</v>
      </c>
      <c r="G2125" s="1509">
        <f t="shared" si="325"/>
        <v>4</v>
      </c>
      <c r="H2125" s="1509">
        <f t="shared" si="326"/>
        <v>0</v>
      </c>
      <c r="I2125" s="1509">
        <v>0</v>
      </c>
      <c r="J2125" s="1509">
        <v>0</v>
      </c>
      <c r="K2125" s="1509"/>
      <c r="L2125" s="1509"/>
      <c r="M2125" s="1509">
        <f t="shared" si="322"/>
        <v>0</v>
      </c>
      <c r="N2125" s="1509">
        <f t="shared" si="327"/>
        <v>0</v>
      </c>
    </row>
    <row r="2126" spans="1:14" customFormat="1" ht="29" outlineLevel="1" x14ac:dyDescent="0.25">
      <c r="A2126" s="1511">
        <f t="shared" si="323"/>
        <v>35.9</v>
      </c>
      <c r="B2126" s="1515" t="str">
        <f t="shared" si="323"/>
        <v>refurbishment of qtrs by strenthening structurein ABC ,DEF &amp; New colony tps parli v</v>
      </c>
      <c r="C2126" s="1396" t="str">
        <f t="shared" si="323"/>
        <v>Yet to be approved</v>
      </c>
      <c r="D2126" s="1378" t="str">
        <f t="shared" si="323"/>
        <v>-</v>
      </c>
      <c r="E2126" s="1505">
        <f t="shared" si="323"/>
        <v>0</v>
      </c>
      <c r="F2126" s="1509">
        <f t="shared" si="324"/>
        <v>10</v>
      </c>
      <c r="G2126" s="1509">
        <f t="shared" si="325"/>
        <v>10</v>
      </c>
      <c r="H2126" s="1509">
        <f t="shared" si="326"/>
        <v>0</v>
      </c>
      <c r="I2126" s="1509">
        <v>0</v>
      </c>
      <c r="J2126" s="1509">
        <v>0</v>
      </c>
      <c r="K2126" s="1509"/>
      <c r="L2126" s="1509"/>
      <c r="M2126" s="1509">
        <f t="shared" si="322"/>
        <v>0</v>
      </c>
      <c r="N2126" s="1509">
        <f t="shared" si="327"/>
        <v>0</v>
      </c>
    </row>
    <row r="2127" spans="1:14" customFormat="1" ht="29" outlineLevel="1" x14ac:dyDescent="0.25">
      <c r="A2127" s="1511">
        <f t="shared" si="323"/>
        <v>35.1</v>
      </c>
      <c r="B2127" s="1515" t="str">
        <f t="shared" si="323"/>
        <v>Devolpment of garden and providing child friendly equiment in ABC ,DEF &amp; New colony tps parli v</v>
      </c>
      <c r="C2127" s="1396" t="str">
        <f t="shared" si="323"/>
        <v>Yet to be approved</v>
      </c>
      <c r="D2127" s="1378" t="str">
        <f t="shared" si="323"/>
        <v>-</v>
      </c>
      <c r="E2127" s="1505">
        <f t="shared" si="323"/>
        <v>0</v>
      </c>
      <c r="F2127" s="1509">
        <f t="shared" si="324"/>
        <v>4</v>
      </c>
      <c r="G2127" s="1509">
        <f t="shared" si="325"/>
        <v>4</v>
      </c>
      <c r="H2127" s="1509">
        <f t="shared" si="326"/>
        <v>0</v>
      </c>
      <c r="I2127" s="1509">
        <v>0</v>
      </c>
      <c r="J2127" s="1509">
        <v>0</v>
      </c>
      <c r="K2127" s="1509"/>
      <c r="L2127" s="1509"/>
      <c r="M2127" s="1509">
        <f t="shared" si="322"/>
        <v>0</v>
      </c>
      <c r="N2127" s="1509">
        <f t="shared" si="327"/>
        <v>0</v>
      </c>
    </row>
    <row r="2128" spans="1:14" customFormat="1" outlineLevel="1" x14ac:dyDescent="0.25">
      <c r="A2128" s="1506">
        <f t="shared" si="323"/>
        <v>36</v>
      </c>
      <c r="B2128" s="1507" t="str">
        <f t="shared" si="323"/>
        <v xml:space="preserve">CHP improvement schemes at 2 x 250 MW Unit </v>
      </c>
      <c r="C2128" s="1506">
        <f t="shared" si="323"/>
        <v>0</v>
      </c>
      <c r="D2128" s="1507" t="str">
        <f t="shared" si="323"/>
        <v>-</v>
      </c>
      <c r="E2128" s="1506">
        <f t="shared" si="323"/>
        <v>0</v>
      </c>
      <c r="F2128" s="1509">
        <f t="shared" si="324"/>
        <v>0</v>
      </c>
      <c r="G2128" s="1509">
        <f t="shared" si="325"/>
        <v>0</v>
      </c>
      <c r="H2128" s="1509">
        <f t="shared" si="326"/>
        <v>0</v>
      </c>
      <c r="I2128" s="1509">
        <v>0</v>
      </c>
      <c r="J2128" s="1509">
        <v>0</v>
      </c>
      <c r="K2128" s="1509"/>
      <c r="L2128" s="1509"/>
      <c r="M2128" s="1509">
        <f t="shared" si="322"/>
        <v>0</v>
      </c>
      <c r="N2128" s="1509">
        <f t="shared" si="327"/>
        <v>0</v>
      </c>
    </row>
    <row r="2129" spans="1:14" customFormat="1" outlineLevel="1" x14ac:dyDescent="0.25">
      <c r="A2129" s="1511">
        <f t="shared" si="323"/>
        <v>36.1</v>
      </c>
      <c r="B2129" s="1515" t="str">
        <f t="shared" si="323"/>
        <v xml:space="preserve">CHP improvement schemes at 2 x 250 MW Unit </v>
      </c>
      <c r="C2129" s="1396">
        <f t="shared" si="323"/>
        <v>0</v>
      </c>
      <c r="D2129" s="1378" t="str">
        <f t="shared" si="323"/>
        <v>-</v>
      </c>
      <c r="E2129" s="1505">
        <f t="shared" si="323"/>
        <v>0</v>
      </c>
      <c r="F2129" s="1509">
        <f t="shared" si="324"/>
        <v>25</v>
      </c>
      <c r="G2129" s="1509">
        <f t="shared" si="325"/>
        <v>25</v>
      </c>
      <c r="H2129" s="1509">
        <f t="shared" si="326"/>
        <v>0</v>
      </c>
      <c r="I2129" s="1509">
        <v>0</v>
      </c>
      <c r="J2129" s="1509">
        <v>0</v>
      </c>
      <c r="K2129" s="1509"/>
      <c r="L2129" s="1509"/>
      <c r="M2129" s="1509">
        <f t="shared" si="322"/>
        <v>0</v>
      </c>
      <c r="N2129" s="1509">
        <f t="shared" si="327"/>
        <v>0</v>
      </c>
    </row>
    <row r="2130" spans="1:14" customFormat="1" outlineLevel="1" x14ac:dyDescent="0.25">
      <c r="A2130" s="1506">
        <f t="shared" si="323"/>
        <v>37</v>
      </c>
      <c r="B2130" s="1507" t="str">
        <f t="shared" si="323"/>
        <v>Flexible Operation work at U#6,7</v>
      </c>
      <c r="C2130" s="1506" t="str">
        <f t="shared" si="323"/>
        <v>Yet to be approved</v>
      </c>
      <c r="D2130" s="1507" t="str">
        <f t="shared" si="323"/>
        <v>-</v>
      </c>
      <c r="E2130" s="1506">
        <f t="shared" si="323"/>
        <v>0</v>
      </c>
      <c r="F2130" s="1509">
        <f t="shared" si="324"/>
        <v>0</v>
      </c>
      <c r="G2130" s="1509">
        <f t="shared" si="325"/>
        <v>0</v>
      </c>
      <c r="H2130" s="1509">
        <f t="shared" si="326"/>
        <v>0</v>
      </c>
      <c r="I2130" s="1509">
        <v>0</v>
      </c>
      <c r="J2130" s="1509">
        <v>0</v>
      </c>
      <c r="K2130" s="1509"/>
      <c r="L2130" s="1509"/>
      <c r="M2130" s="1509">
        <f t="shared" si="322"/>
        <v>0</v>
      </c>
      <c r="N2130" s="1509">
        <f t="shared" si="327"/>
        <v>0</v>
      </c>
    </row>
    <row r="2131" spans="1:14" customFormat="1" outlineLevel="1" x14ac:dyDescent="0.25">
      <c r="A2131" s="1511">
        <f t="shared" ref="A2131:E2146" si="328">A1774</f>
        <v>37.1</v>
      </c>
      <c r="B2131" s="1515" t="str">
        <f t="shared" si="328"/>
        <v>Flexible Operation work at U#6,7</v>
      </c>
      <c r="C2131" s="1396" t="str">
        <f t="shared" si="328"/>
        <v>Yet to be approved</v>
      </c>
      <c r="D2131" s="1378" t="str">
        <f t="shared" si="328"/>
        <v>-</v>
      </c>
      <c r="E2131" s="1505">
        <f t="shared" si="328"/>
        <v>0</v>
      </c>
      <c r="F2131" s="1509">
        <f t="shared" si="324"/>
        <v>0</v>
      </c>
      <c r="G2131" s="1509">
        <f t="shared" si="325"/>
        <v>0</v>
      </c>
      <c r="H2131" s="1509">
        <f t="shared" si="326"/>
        <v>0</v>
      </c>
      <c r="I2131" s="1509">
        <v>0</v>
      </c>
      <c r="J2131" s="1509">
        <v>0</v>
      </c>
      <c r="K2131" s="1509"/>
      <c r="L2131" s="1509"/>
      <c r="M2131" s="1509">
        <f t="shared" si="322"/>
        <v>0</v>
      </c>
      <c r="N2131" s="1509">
        <f t="shared" si="327"/>
        <v>0</v>
      </c>
    </row>
    <row r="2132" spans="1:14" customFormat="1" outlineLevel="1" x14ac:dyDescent="0.25">
      <c r="A2132" s="1511">
        <f t="shared" si="328"/>
        <v>0</v>
      </c>
      <c r="B2132" s="1515">
        <f t="shared" si="328"/>
        <v>0</v>
      </c>
      <c r="C2132" s="1396">
        <f t="shared" si="328"/>
        <v>0</v>
      </c>
      <c r="D2132" s="1378" t="str">
        <f t="shared" si="328"/>
        <v>-</v>
      </c>
      <c r="E2132" s="1505">
        <f t="shared" si="328"/>
        <v>0</v>
      </c>
      <c r="F2132" s="1509">
        <f t="shared" si="324"/>
        <v>0</v>
      </c>
      <c r="G2132" s="1509">
        <f t="shared" si="325"/>
        <v>0</v>
      </c>
      <c r="H2132" s="1509">
        <f t="shared" si="326"/>
        <v>0</v>
      </c>
      <c r="I2132" s="1509">
        <v>0</v>
      </c>
      <c r="J2132" s="1509">
        <v>0</v>
      </c>
      <c r="K2132" s="1509"/>
      <c r="L2132" s="1509"/>
      <c r="M2132" s="1509">
        <f t="shared" si="322"/>
        <v>0</v>
      </c>
      <c r="N2132" s="1509">
        <f t="shared" si="327"/>
        <v>0</v>
      </c>
    </row>
    <row r="2133" spans="1:14" customFormat="1" outlineLevel="1" x14ac:dyDescent="0.25">
      <c r="A2133" s="1511">
        <f t="shared" si="328"/>
        <v>0</v>
      </c>
      <c r="B2133" s="1515">
        <f t="shared" si="328"/>
        <v>0</v>
      </c>
      <c r="C2133" s="1396">
        <f t="shared" si="328"/>
        <v>0</v>
      </c>
      <c r="D2133" s="1378" t="str">
        <f t="shared" si="328"/>
        <v>-</v>
      </c>
      <c r="E2133" s="1505">
        <f t="shared" si="328"/>
        <v>0</v>
      </c>
      <c r="F2133" s="1509">
        <f t="shared" si="324"/>
        <v>0</v>
      </c>
      <c r="G2133" s="1509">
        <f t="shared" si="325"/>
        <v>0</v>
      </c>
      <c r="H2133" s="1509">
        <f t="shared" si="326"/>
        <v>0</v>
      </c>
      <c r="I2133" s="1509">
        <v>0</v>
      </c>
      <c r="J2133" s="1509">
        <v>0</v>
      </c>
      <c r="K2133" s="1509"/>
      <c r="L2133" s="1509"/>
      <c r="M2133" s="1509">
        <f t="shared" si="322"/>
        <v>0</v>
      </c>
      <c r="N2133" s="1509">
        <f t="shared" si="327"/>
        <v>0</v>
      </c>
    </row>
    <row r="2134" spans="1:14" customFormat="1" ht="18.5" outlineLevel="1" x14ac:dyDescent="0.25">
      <c r="A2134" s="1339" t="str">
        <f t="shared" si="328"/>
        <v>D</v>
      </c>
      <c r="B2134" s="1339" t="str">
        <f t="shared" si="328"/>
        <v>Non-DPR Schemes</v>
      </c>
      <c r="C2134" s="1396">
        <f t="shared" si="328"/>
        <v>0</v>
      </c>
      <c r="D2134" s="1378" t="str">
        <f t="shared" si="328"/>
        <v>-</v>
      </c>
      <c r="E2134" s="1505">
        <f t="shared" si="328"/>
        <v>0</v>
      </c>
      <c r="F2134" s="1509">
        <f t="shared" si="324"/>
        <v>0</v>
      </c>
      <c r="G2134" s="1509">
        <f t="shared" si="325"/>
        <v>0</v>
      </c>
      <c r="H2134" s="1509">
        <f t="shared" si="326"/>
        <v>0</v>
      </c>
      <c r="I2134" s="1509">
        <v>0</v>
      </c>
      <c r="J2134" s="1509">
        <v>0</v>
      </c>
      <c r="K2134" s="1509"/>
      <c r="L2134" s="1509"/>
      <c r="M2134" s="1509">
        <f t="shared" si="322"/>
        <v>0</v>
      </c>
      <c r="N2134" s="1509">
        <f t="shared" si="327"/>
        <v>0</v>
      </c>
    </row>
    <row r="2135" spans="1:14" customFormat="1" outlineLevel="1" x14ac:dyDescent="0.25">
      <c r="A2135" s="1511">
        <f t="shared" si="328"/>
        <v>1</v>
      </c>
      <c r="B2135" s="1515" t="str">
        <f t="shared" si="328"/>
        <v>SWAS Upgradation at U#6 NPTPS Parli-V</v>
      </c>
      <c r="C2135" s="1396" t="str">
        <f t="shared" si="328"/>
        <v>N.A.</v>
      </c>
      <c r="D2135" s="1378" t="str">
        <f t="shared" si="328"/>
        <v>-</v>
      </c>
      <c r="E2135" s="1505">
        <f t="shared" si="328"/>
        <v>0</v>
      </c>
      <c r="F2135" s="1509">
        <f t="shared" si="324"/>
        <v>2.2390500000000002</v>
      </c>
      <c r="G2135" s="1509">
        <f t="shared" si="325"/>
        <v>2.2390500000000002</v>
      </c>
      <c r="H2135" s="1509">
        <f t="shared" si="326"/>
        <v>0</v>
      </c>
      <c r="I2135" s="1509">
        <v>0</v>
      </c>
      <c r="J2135" s="1509">
        <v>0</v>
      </c>
      <c r="K2135" s="1509"/>
      <c r="L2135" s="1509"/>
      <c r="M2135" s="1509">
        <f t="shared" si="322"/>
        <v>0</v>
      </c>
      <c r="N2135" s="1509">
        <f t="shared" si="327"/>
        <v>0</v>
      </c>
    </row>
    <row r="2136" spans="1:14" customFormat="1" ht="30.75" customHeight="1" outlineLevel="1" x14ac:dyDescent="0.25">
      <c r="A2136" s="1511">
        <f t="shared" si="328"/>
        <v>2</v>
      </c>
      <c r="B2136" s="1515" t="str">
        <f t="shared" si="328"/>
        <v xml:space="preserve">Procurement of electro-machanical vibrating feeder at CHP NPTPS 6,7
</v>
      </c>
      <c r="C2136" s="1396" t="str">
        <f t="shared" si="328"/>
        <v>N.A.</v>
      </c>
      <c r="D2136" s="1378" t="str">
        <f t="shared" si="328"/>
        <v>-</v>
      </c>
      <c r="E2136" s="1505">
        <f t="shared" si="328"/>
        <v>0</v>
      </c>
      <c r="F2136" s="1509">
        <f t="shared" si="324"/>
        <v>0.89292959999999999</v>
      </c>
      <c r="G2136" s="1509">
        <f t="shared" si="325"/>
        <v>0.89292959999999999</v>
      </c>
      <c r="H2136" s="1509">
        <f t="shared" si="326"/>
        <v>0</v>
      </c>
      <c r="I2136" s="1509">
        <v>0</v>
      </c>
      <c r="J2136" s="1509">
        <v>0</v>
      </c>
      <c r="K2136" s="1509"/>
      <c r="L2136" s="1509"/>
      <c r="M2136" s="1509">
        <f t="shared" si="322"/>
        <v>0</v>
      </c>
      <c r="N2136" s="1509">
        <f t="shared" si="327"/>
        <v>0</v>
      </c>
    </row>
    <row r="2137" spans="1:14" customFormat="1" ht="43.5" outlineLevel="1" x14ac:dyDescent="0.25">
      <c r="A2137" s="1511">
        <f t="shared" si="328"/>
        <v>3</v>
      </c>
      <c r="B2137" s="1515" t="str">
        <f t="shared" si="328"/>
        <v xml:space="preserve">erection, commissioning of 6.6kv/33kv switch yard &amp; shifting of 2x7.5 MVA 6.6/33KV transformer from 210 MW to proposed switch yard for 33KV supply feeder to Khadka naikota at NPTPS Parli-V. </v>
      </c>
      <c r="C2137" s="1396" t="str">
        <f t="shared" si="328"/>
        <v>N.A.</v>
      </c>
      <c r="D2137" s="1378" t="str">
        <f t="shared" si="328"/>
        <v>-</v>
      </c>
      <c r="E2137" s="1505">
        <f t="shared" si="328"/>
        <v>0</v>
      </c>
      <c r="F2137" s="1509">
        <f t="shared" si="324"/>
        <v>2.1992632800000003</v>
      </c>
      <c r="G2137" s="1509">
        <f t="shared" si="325"/>
        <v>2.1992632800000003</v>
      </c>
      <c r="H2137" s="1509">
        <f t="shared" si="326"/>
        <v>0</v>
      </c>
      <c r="I2137" s="1509">
        <v>0</v>
      </c>
      <c r="J2137" s="1509">
        <v>0</v>
      </c>
      <c r="K2137" s="1509"/>
      <c r="L2137" s="1509"/>
      <c r="M2137" s="1509">
        <f t="shared" si="322"/>
        <v>0</v>
      </c>
      <c r="N2137" s="1509">
        <f t="shared" si="327"/>
        <v>0</v>
      </c>
    </row>
    <row r="2138" spans="1:14" customFormat="1" outlineLevel="1" x14ac:dyDescent="0.25">
      <c r="A2138" s="1511">
        <f t="shared" si="328"/>
        <v>4</v>
      </c>
      <c r="B2138" s="1515" t="str">
        <f t="shared" si="328"/>
        <v>IDC</v>
      </c>
      <c r="C2138" s="1396">
        <f t="shared" si="328"/>
        <v>0</v>
      </c>
      <c r="D2138" s="1378" t="str">
        <f t="shared" si="328"/>
        <v>-</v>
      </c>
      <c r="E2138" s="1505">
        <f t="shared" si="328"/>
        <v>0</v>
      </c>
      <c r="F2138" s="1509">
        <f t="shared" si="324"/>
        <v>7.2220000000000001E-3</v>
      </c>
      <c r="G2138" s="1509">
        <f t="shared" si="325"/>
        <v>7.2220000000000001E-3</v>
      </c>
      <c r="H2138" s="1509">
        <f t="shared" si="326"/>
        <v>0</v>
      </c>
      <c r="I2138" s="1509">
        <v>0</v>
      </c>
      <c r="J2138" s="1509">
        <v>0</v>
      </c>
      <c r="K2138" s="1509"/>
      <c r="L2138" s="1509"/>
      <c r="M2138" s="1509">
        <f t="shared" si="322"/>
        <v>0</v>
      </c>
      <c r="N2138" s="1509">
        <f t="shared" si="327"/>
        <v>0</v>
      </c>
    </row>
    <row r="2139" spans="1:14" customFormat="1" ht="43.5" outlineLevel="1" x14ac:dyDescent="0.25">
      <c r="A2139" s="1511">
        <f t="shared" si="328"/>
        <v>5</v>
      </c>
      <c r="B2139" s="1515" t="str">
        <f t="shared" si="328"/>
        <v xml:space="preserve"> Non-DPR scheme "Design, Supply, Installation &amp; Commissioning of High performance Energy Chain System for Stacker reclaimer, Shuttle Conveyors at U-6/7 CHP NPTPS – PARLI-Vaijnath.”</v>
      </c>
      <c r="C2139" s="1396" t="str">
        <f t="shared" si="328"/>
        <v>N.A.</v>
      </c>
      <c r="D2139" s="1378" t="str">
        <f t="shared" si="328"/>
        <v>-</v>
      </c>
      <c r="E2139" s="1505">
        <f t="shared" si="328"/>
        <v>0</v>
      </c>
      <c r="F2139" s="1509">
        <f t="shared" si="324"/>
        <v>2.8638599999999999</v>
      </c>
      <c r="G2139" s="1509">
        <f t="shared" si="325"/>
        <v>2.8638599999999999</v>
      </c>
      <c r="H2139" s="1509">
        <f t="shared" si="326"/>
        <v>0</v>
      </c>
      <c r="I2139" s="1509">
        <v>0</v>
      </c>
      <c r="J2139" s="1509">
        <v>0</v>
      </c>
      <c r="K2139" s="1509"/>
      <c r="L2139" s="1509"/>
      <c r="M2139" s="1509">
        <f t="shared" si="322"/>
        <v>0</v>
      </c>
      <c r="N2139" s="1509">
        <f t="shared" si="327"/>
        <v>0</v>
      </c>
    </row>
    <row r="2140" spans="1:14" customFormat="1" ht="29" outlineLevel="1" x14ac:dyDescent="0.25">
      <c r="A2140" s="1511">
        <f t="shared" si="328"/>
        <v>6</v>
      </c>
      <c r="B2140" s="1515" t="str">
        <f t="shared" si="328"/>
        <v>Refurbishment of Existing M/s Atlas Copco Make Air Compressors at Unit 7 Parli TPS</v>
      </c>
      <c r="C2140" s="1396" t="str">
        <f t="shared" si="328"/>
        <v>N.A.</v>
      </c>
      <c r="D2140" s="1378" t="str">
        <f t="shared" si="328"/>
        <v>-</v>
      </c>
      <c r="E2140" s="1505">
        <f t="shared" si="328"/>
        <v>0</v>
      </c>
      <c r="F2140" s="1509">
        <f t="shared" si="324"/>
        <v>2.9532406999999998</v>
      </c>
      <c r="G2140" s="1509">
        <f t="shared" si="325"/>
        <v>2.9532406999999998</v>
      </c>
      <c r="H2140" s="1509">
        <f t="shared" si="326"/>
        <v>0</v>
      </c>
      <c r="I2140" s="1509">
        <v>0</v>
      </c>
      <c r="J2140" s="1509">
        <v>0</v>
      </c>
      <c r="K2140" s="1509"/>
      <c r="L2140" s="1509"/>
      <c r="M2140" s="1509">
        <f t="shared" si="322"/>
        <v>0</v>
      </c>
      <c r="N2140" s="1509">
        <f t="shared" si="327"/>
        <v>0</v>
      </c>
    </row>
    <row r="2141" spans="1:14" customFormat="1" outlineLevel="1" x14ac:dyDescent="0.25">
      <c r="A2141" s="1511">
        <f t="shared" si="328"/>
        <v>7</v>
      </c>
      <c r="B2141" s="1515" t="str">
        <f t="shared" si="328"/>
        <v>Procurement of Fire Extinguisher</v>
      </c>
      <c r="C2141" s="1396" t="str">
        <f t="shared" si="328"/>
        <v>N.A.</v>
      </c>
      <c r="D2141" s="1378" t="str">
        <f t="shared" si="328"/>
        <v>-</v>
      </c>
      <c r="E2141" s="1505">
        <f t="shared" si="328"/>
        <v>0</v>
      </c>
      <c r="F2141" s="1509">
        <f t="shared" si="324"/>
        <v>0.68</v>
      </c>
      <c r="G2141" s="1509">
        <f t="shared" si="325"/>
        <v>0.67830000000000001</v>
      </c>
      <c r="H2141" s="1509">
        <f t="shared" si="326"/>
        <v>1.7000000000000348E-3</v>
      </c>
      <c r="I2141" s="1509">
        <v>0</v>
      </c>
      <c r="J2141" s="1509">
        <v>0</v>
      </c>
      <c r="K2141" s="1509"/>
      <c r="L2141" s="1509"/>
      <c r="M2141" s="1509">
        <f t="shared" si="322"/>
        <v>0</v>
      </c>
      <c r="N2141" s="1509">
        <f t="shared" si="327"/>
        <v>1.7000000000000348E-3</v>
      </c>
    </row>
    <row r="2142" spans="1:14" customFormat="1" ht="29" outlineLevel="1" x14ac:dyDescent="0.25">
      <c r="A2142" s="1511">
        <f t="shared" si="328"/>
        <v>8</v>
      </c>
      <c r="B2142" s="1515" t="str">
        <f t="shared" si="328"/>
        <v>Non DPR For Supply, Erection &amp; Commissioning, Testing of Coal Flow Management system for Coal Bunker at CHP NPTPS U-6.</v>
      </c>
      <c r="C2142" s="1396" t="str">
        <f t="shared" si="328"/>
        <v>N.A.</v>
      </c>
      <c r="D2142" s="1378" t="str">
        <f t="shared" si="328"/>
        <v>-</v>
      </c>
      <c r="E2142" s="1505">
        <f t="shared" si="328"/>
        <v>0</v>
      </c>
      <c r="F2142" s="1509">
        <f t="shared" si="324"/>
        <v>2.972</v>
      </c>
      <c r="G2142" s="1509">
        <f t="shared" si="325"/>
        <v>2.972</v>
      </c>
      <c r="H2142" s="1509">
        <f t="shared" si="326"/>
        <v>0</v>
      </c>
      <c r="I2142" s="1509">
        <v>0</v>
      </c>
      <c r="J2142" s="1509">
        <v>0</v>
      </c>
      <c r="K2142" s="1509"/>
      <c r="L2142" s="1509"/>
      <c r="M2142" s="1509">
        <f t="shared" si="322"/>
        <v>0</v>
      </c>
      <c r="N2142" s="1509">
        <f t="shared" si="327"/>
        <v>0</v>
      </c>
    </row>
    <row r="2143" spans="1:14" customFormat="1" ht="43.5" outlineLevel="1" x14ac:dyDescent="0.25">
      <c r="A2143" s="1511">
        <f t="shared" si="328"/>
        <v>9</v>
      </c>
      <c r="B2143" s="1515" t="str">
        <f t="shared" si="328"/>
        <v xml:space="preserve">Non DPR for Supply &amp; Installation of Coal Handling Plant critical equipment Major Spares like Wagon Tippler and Conveyors at CHP U6/7 ,T.P.S.Parli. </v>
      </c>
      <c r="C2143" s="1396" t="str">
        <f t="shared" si="328"/>
        <v>N.A.</v>
      </c>
      <c r="D2143" s="1378" t="str">
        <f t="shared" si="328"/>
        <v>-</v>
      </c>
      <c r="E2143" s="1505">
        <f t="shared" si="328"/>
        <v>0</v>
      </c>
      <c r="F2143" s="1509">
        <f t="shared" si="324"/>
        <v>2.79</v>
      </c>
      <c r="G2143" s="1509">
        <f t="shared" si="325"/>
        <v>2.79</v>
      </c>
      <c r="H2143" s="1509">
        <f t="shared" si="326"/>
        <v>0</v>
      </c>
      <c r="I2143" s="1509">
        <v>0</v>
      </c>
      <c r="J2143" s="1509">
        <v>0</v>
      </c>
      <c r="K2143" s="1509"/>
      <c r="L2143" s="1509"/>
      <c r="M2143" s="1509">
        <f t="shared" si="322"/>
        <v>0</v>
      </c>
      <c r="N2143" s="1509">
        <f t="shared" si="327"/>
        <v>0</v>
      </c>
    </row>
    <row r="2144" spans="1:14" customFormat="1" ht="43.5" outlineLevel="1" x14ac:dyDescent="0.25">
      <c r="A2144" s="1511">
        <f t="shared" si="328"/>
        <v>10</v>
      </c>
      <c r="B2144" s="1515" t="str">
        <f t="shared" si="328"/>
        <v>Design,Manufacture ,Supply &amp; Installation of Banana pattern and Modular chutes for various Conveyor discharge areas at CHP U 6/7,TPS Parli.</v>
      </c>
      <c r="C2144" s="1396" t="str">
        <f t="shared" si="328"/>
        <v>N.A.</v>
      </c>
      <c r="D2144" s="1378" t="str">
        <f t="shared" si="328"/>
        <v>-</v>
      </c>
      <c r="E2144" s="1505">
        <f t="shared" si="328"/>
        <v>0</v>
      </c>
      <c r="F2144" s="1509">
        <f t="shared" si="324"/>
        <v>2.94</v>
      </c>
      <c r="G2144" s="1509">
        <f t="shared" si="325"/>
        <v>2.94</v>
      </c>
      <c r="H2144" s="1509">
        <f t="shared" si="326"/>
        <v>0</v>
      </c>
      <c r="I2144" s="1509">
        <v>0</v>
      </c>
      <c r="J2144" s="1509">
        <v>0</v>
      </c>
      <c r="K2144" s="1509"/>
      <c r="L2144" s="1509"/>
      <c r="M2144" s="1509">
        <f t="shared" si="322"/>
        <v>0</v>
      </c>
      <c r="N2144" s="1509">
        <f t="shared" si="327"/>
        <v>0</v>
      </c>
    </row>
    <row r="2145" spans="1:16" customFormat="1" outlineLevel="1" x14ac:dyDescent="0.25">
      <c r="A2145" s="1511">
        <f t="shared" si="328"/>
        <v>11</v>
      </c>
      <c r="B2145" s="1515" t="str">
        <f t="shared" si="328"/>
        <v>Refrigeration Compressed Air Dryer at TM &amp; AHP, U#6,7 Parli TPS</v>
      </c>
      <c r="C2145" s="1396">
        <f t="shared" si="328"/>
        <v>0</v>
      </c>
      <c r="D2145" s="1378" t="str">
        <f t="shared" si="328"/>
        <v>-</v>
      </c>
      <c r="E2145" s="1505">
        <f t="shared" si="328"/>
        <v>0</v>
      </c>
      <c r="F2145" s="1509">
        <f t="shared" si="324"/>
        <v>1.57</v>
      </c>
      <c r="G2145" s="1509">
        <f t="shared" si="325"/>
        <v>1.57</v>
      </c>
      <c r="H2145" s="1509">
        <f t="shared" si="326"/>
        <v>0</v>
      </c>
      <c r="I2145" s="1509">
        <v>0</v>
      </c>
      <c r="J2145" s="1509">
        <v>0</v>
      </c>
      <c r="K2145" s="1509"/>
      <c r="L2145" s="1509"/>
      <c r="M2145" s="1509">
        <f t="shared" si="322"/>
        <v>0</v>
      </c>
      <c r="N2145" s="1509">
        <f t="shared" si="327"/>
        <v>0</v>
      </c>
    </row>
    <row r="2146" spans="1:16" customFormat="1" ht="15" outlineLevel="1" thickBot="1" x14ac:dyDescent="0.3">
      <c r="A2146" s="1511">
        <f t="shared" si="328"/>
        <v>12</v>
      </c>
      <c r="B2146" s="1515" t="str">
        <f t="shared" si="328"/>
        <v>General Asset</v>
      </c>
      <c r="C2146" s="1396">
        <f t="shared" si="328"/>
        <v>0</v>
      </c>
      <c r="D2146" s="1378" t="str">
        <f t="shared" si="328"/>
        <v>-</v>
      </c>
      <c r="E2146" s="1505">
        <f t="shared" si="328"/>
        <v>0</v>
      </c>
      <c r="F2146" s="1509">
        <f t="shared" si="324"/>
        <v>4.0793938489999997</v>
      </c>
      <c r="G2146" s="1509">
        <f t="shared" si="325"/>
        <v>3.9154596690000005</v>
      </c>
      <c r="H2146" s="1509">
        <f t="shared" si="326"/>
        <v>0.16393417999999915</v>
      </c>
      <c r="I2146" s="1509">
        <v>0.31</v>
      </c>
      <c r="J2146" s="1509">
        <v>0.31</v>
      </c>
      <c r="K2146" s="1509"/>
      <c r="L2146" s="1509"/>
      <c r="M2146" s="1509">
        <f t="shared" si="322"/>
        <v>0.31</v>
      </c>
      <c r="N2146" s="1509">
        <f t="shared" si="327"/>
        <v>0.16393417999999915</v>
      </c>
    </row>
    <row r="2147" spans="1:16" ht="15" thickBot="1" x14ac:dyDescent="0.3">
      <c r="A2147" s="1454"/>
      <c r="B2147" s="1455" t="str">
        <f>B1790</f>
        <v>Total</v>
      </c>
      <c r="C2147" s="1456"/>
      <c r="D2147" s="1457"/>
      <c r="E2147" s="1517"/>
      <c r="F2147" s="1517">
        <f>SUM(F1795:F2146)</f>
        <v>1764.733957749</v>
      </c>
      <c r="G2147" s="1517">
        <f t="shared" ref="G2147:N2147" si="329">SUM(G1795:G2146)</f>
        <v>1412.0841626889999</v>
      </c>
      <c r="H2147" s="1517">
        <f t="shared" si="329"/>
        <v>352.64979506000003</v>
      </c>
      <c r="I2147" s="1517">
        <f t="shared" si="329"/>
        <v>226.39999999999998</v>
      </c>
      <c r="J2147" s="1517">
        <f t="shared" si="329"/>
        <v>165.89999999999998</v>
      </c>
      <c r="K2147" s="1517">
        <f t="shared" si="329"/>
        <v>0</v>
      </c>
      <c r="L2147" s="1517">
        <f t="shared" si="329"/>
        <v>0</v>
      </c>
      <c r="M2147" s="1517">
        <f t="shared" si="329"/>
        <v>165.89999999999998</v>
      </c>
      <c r="N2147" s="1517">
        <f t="shared" si="329"/>
        <v>413.14979506000003</v>
      </c>
    </row>
    <row r="2149" spans="1:16" x14ac:dyDescent="0.25">
      <c r="A2149" s="1446"/>
      <c r="B2149" s="1447" t="s">
        <v>971</v>
      </c>
      <c r="C2149" s="1448"/>
      <c r="D2149" s="1449"/>
      <c r="E2149" s="1504"/>
      <c r="F2149" s="1504"/>
      <c r="G2149" s="1504"/>
      <c r="H2149" s="1504"/>
      <c r="I2149" s="1504"/>
      <c r="J2149" s="1504"/>
      <c r="K2149" s="1504"/>
      <c r="L2149" s="1504"/>
      <c r="M2149" s="1504"/>
      <c r="N2149" s="1504"/>
    </row>
    <row r="2150" spans="1:16" ht="18.5" outlineLevel="1" x14ac:dyDescent="0.25">
      <c r="A2150" s="1339" t="s">
        <v>171</v>
      </c>
      <c r="B2150" s="1339" t="s">
        <v>1575</v>
      </c>
      <c r="C2150" s="1448"/>
      <c r="D2150" s="1449"/>
      <c r="E2150" s="1504"/>
      <c r="F2150" s="1504"/>
      <c r="G2150" s="1504"/>
      <c r="H2150" s="1504"/>
      <c r="I2150" s="1504"/>
      <c r="J2150" s="1504"/>
      <c r="K2150" s="1504"/>
      <c r="L2150" s="1504"/>
      <c r="M2150" s="1504"/>
      <c r="N2150" s="1504"/>
    </row>
    <row r="2151" spans="1:16" outlineLevel="1" x14ac:dyDescent="0.25">
      <c r="A2151" s="1450"/>
      <c r="B2151" s="1450"/>
      <c r="C2151" s="1451"/>
      <c r="D2151" s="1452"/>
      <c r="E2151" s="1505"/>
      <c r="F2151" s="1505"/>
      <c r="G2151" s="1505"/>
      <c r="H2151" s="1505"/>
      <c r="I2151" s="1505"/>
      <c r="J2151" s="1505"/>
      <c r="K2151" s="1505"/>
      <c r="L2151" s="1505"/>
      <c r="M2151" s="1505"/>
      <c r="N2151" s="1505"/>
    </row>
    <row r="2152" spans="1:16" ht="43.5" outlineLevel="1" x14ac:dyDescent="0.25">
      <c r="A2152" s="1506">
        <f t="shared" ref="A2152:E2167" si="330">A1795</f>
        <v>6</v>
      </c>
      <c r="B2152" s="1507" t="str">
        <f t="shared" si="330"/>
        <v>Arrangement for permanent water supply scheme for Parli TPS from Majalgaon Dam through Majalgaon Lift Irrigation scheme (Loni / Savangi)</v>
      </c>
      <c r="C2152" s="1506" t="str">
        <f t="shared" si="330"/>
        <v>MERC/TECH 1/CAPEX/20122013/00500</v>
      </c>
      <c r="D2152" s="1508">
        <f t="shared" si="330"/>
        <v>41421</v>
      </c>
      <c r="E2152" s="1509">
        <f t="shared" si="330"/>
        <v>199.86</v>
      </c>
      <c r="F2152" s="1509">
        <f t="shared" ref="F2152:F2215" si="331">F1795+I1795</f>
        <v>142</v>
      </c>
      <c r="G2152" s="1509">
        <f t="shared" ref="G2152:G2215" si="332">G1795+M1795</f>
        <v>0</v>
      </c>
      <c r="H2152" s="1509">
        <f>F2152-G2152</f>
        <v>142</v>
      </c>
      <c r="I2152" s="1509">
        <v>0</v>
      </c>
      <c r="J2152" s="1509">
        <v>0</v>
      </c>
      <c r="K2152" s="1509"/>
      <c r="L2152" s="1509"/>
      <c r="M2152" s="1509">
        <f>SUM(J2152:L2152)</f>
        <v>0</v>
      </c>
      <c r="N2152" s="1509">
        <f>H2152+I2152-M2152</f>
        <v>142</v>
      </c>
      <c r="O2152" s="1510">
        <f t="shared" ref="O2152:O2204" si="333">MAX(0,IF(M2152=0,0,IF(G2152+M2152&lt;E2152,M2152,E2152-G2152)))</f>
        <v>0</v>
      </c>
      <c r="P2152" s="1453">
        <f t="shared" ref="P2152:P2204" si="334">M2152-O2152</f>
        <v>0</v>
      </c>
    </row>
    <row r="2153" spans="1:16" ht="29" outlineLevel="1" x14ac:dyDescent="0.25">
      <c r="A2153" s="1506">
        <f t="shared" si="330"/>
        <v>9</v>
      </c>
      <c r="B2153" s="1507" t="str">
        <f t="shared" si="330"/>
        <v>Procurement of 250 MW spare HPT Module, IPT Module &amp; LPT Rotor of New Parli TPS</v>
      </c>
      <c r="C2153" s="1506" t="str">
        <f t="shared" si="330"/>
        <v>MERC/TECH 1/CAPEX/20142015/00362</v>
      </c>
      <c r="D2153" s="1508">
        <f t="shared" si="330"/>
        <v>41779</v>
      </c>
      <c r="E2153" s="1509">
        <f t="shared" si="330"/>
        <v>22.059060828</v>
      </c>
      <c r="F2153" s="1509">
        <f t="shared" si="331"/>
        <v>0</v>
      </c>
      <c r="G2153" s="1509">
        <f t="shared" si="332"/>
        <v>0</v>
      </c>
      <c r="H2153" s="1509">
        <f t="shared" ref="H2153:H2216" si="335">F2153-G2153</f>
        <v>0</v>
      </c>
      <c r="I2153" s="1509">
        <v>0</v>
      </c>
      <c r="J2153" s="1509">
        <v>0</v>
      </c>
      <c r="K2153" s="1509"/>
      <c r="L2153" s="1509"/>
      <c r="M2153" s="1509">
        <f t="shared" ref="M2153:M2216" si="336">SUM(J2153:L2153)</f>
        <v>0</v>
      </c>
      <c r="N2153" s="1509">
        <f t="shared" ref="N2153:N2216" si="337">H2153+I2153-M2153</f>
        <v>0</v>
      </c>
      <c r="O2153" s="1510">
        <f t="shared" si="333"/>
        <v>0</v>
      </c>
      <c r="P2153" s="1453">
        <f t="shared" si="334"/>
        <v>0</v>
      </c>
    </row>
    <row r="2154" spans="1:16" outlineLevel="1" x14ac:dyDescent="0.25">
      <c r="A2154" s="1511">
        <f t="shared" si="330"/>
        <v>9.1</v>
      </c>
      <c r="B2154" s="1512" t="str">
        <f t="shared" si="330"/>
        <v>HP Module</v>
      </c>
      <c r="C2154" s="1511" t="str">
        <f t="shared" si="330"/>
        <v>MERC/TECH 1/CAPEX/20142015/00362</v>
      </c>
      <c r="D2154" s="1378">
        <f t="shared" si="330"/>
        <v>41779</v>
      </c>
      <c r="E2154" s="1513">
        <f t="shared" si="330"/>
        <v>22.059060828</v>
      </c>
      <c r="F2154" s="1509">
        <f t="shared" si="331"/>
        <v>21.53</v>
      </c>
      <c r="G2154" s="1509">
        <f t="shared" si="332"/>
        <v>21.53</v>
      </c>
      <c r="H2154" s="1509">
        <f t="shared" si="335"/>
        <v>0</v>
      </c>
      <c r="I2154" s="1509">
        <v>0</v>
      </c>
      <c r="J2154" s="1509">
        <v>0</v>
      </c>
      <c r="K2154" s="1509"/>
      <c r="L2154" s="1509"/>
      <c r="M2154" s="1509">
        <f t="shared" si="336"/>
        <v>0</v>
      </c>
      <c r="N2154" s="1509">
        <f t="shared" si="337"/>
        <v>0</v>
      </c>
      <c r="O2154" s="1510">
        <f t="shared" si="333"/>
        <v>0</v>
      </c>
      <c r="P2154" s="1453">
        <f t="shared" si="334"/>
        <v>0</v>
      </c>
    </row>
    <row r="2155" spans="1:16" outlineLevel="1" x14ac:dyDescent="0.25">
      <c r="A2155" s="1511">
        <f t="shared" si="330"/>
        <v>9.1999999999999993</v>
      </c>
      <c r="B2155" s="1512" t="str">
        <f t="shared" si="330"/>
        <v>IP Module</v>
      </c>
      <c r="C2155" s="1511" t="str">
        <f t="shared" si="330"/>
        <v>MERC/TECH 1/CAPEX/20142015/00362</v>
      </c>
      <c r="D2155" s="1378">
        <f t="shared" si="330"/>
        <v>41779</v>
      </c>
      <c r="E2155" s="1513">
        <f t="shared" si="330"/>
        <v>21.359824199999998</v>
      </c>
      <c r="F2155" s="1509">
        <f t="shared" si="331"/>
        <v>20.62</v>
      </c>
      <c r="G2155" s="1509">
        <f t="shared" si="332"/>
        <v>20.62</v>
      </c>
      <c r="H2155" s="1509">
        <f t="shared" si="335"/>
        <v>0</v>
      </c>
      <c r="I2155" s="1509">
        <v>0</v>
      </c>
      <c r="J2155" s="1509">
        <v>0</v>
      </c>
      <c r="K2155" s="1509"/>
      <c r="L2155" s="1509"/>
      <c r="M2155" s="1509">
        <f t="shared" si="336"/>
        <v>0</v>
      </c>
      <c r="N2155" s="1509">
        <f t="shared" si="337"/>
        <v>0</v>
      </c>
      <c r="O2155" s="1510">
        <f t="shared" si="333"/>
        <v>0</v>
      </c>
      <c r="P2155" s="1453">
        <f t="shared" si="334"/>
        <v>0</v>
      </c>
    </row>
    <row r="2156" spans="1:16" outlineLevel="1" x14ac:dyDescent="0.25">
      <c r="A2156" s="1511">
        <f t="shared" si="330"/>
        <v>9.3000000000000007</v>
      </c>
      <c r="B2156" s="1512" t="str">
        <f t="shared" si="330"/>
        <v>LP Rotor</v>
      </c>
      <c r="C2156" s="1511" t="str">
        <f t="shared" si="330"/>
        <v>MERC/TECH 1/CAPEX/20142015/00362</v>
      </c>
      <c r="D2156" s="1378">
        <f t="shared" si="330"/>
        <v>41779</v>
      </c>
      <c r="E2156" s="1513">
        <f t="shared" si="330"/>
        <v>38.724661685000001</v>
      </c>
      <c r="F2156" s="1509">
        <f t="shared" si="331"/>
        <v>38.72</v>
      </c>
      <c r="G2156" s="1509">
        <f t="shared" si="332"/>
        <v>38.72</v>
      </c>
      <c r="H2156" s="1509">
        <f t="shared" si="335"/>
        <v>0</v>
      </c>
      <c r="I2156" s="1509">
        <v>0</v>
      </c>
      <c r="J2156" s="1509">
        <v>0</v>
      </c>
      <c r="K2156" s="1509"/>
      <c r="L2156" s="1509"/>
      <c r="M2156" s="1509">
        <f t="shared" si="336"/>
        <v>0</v>
      </c>
      <c r="N2156" s="1509">
        <f t="shared" si="337"/>
        <v>0</v>
      </c>
      <c r="O2156" s="1510">
        <f t="shared" si="333"/>
        <v>0</v>
      </c>
      <c r="P2156" s="1453">
        <f t="shared" si="334"/>
        <v>0</v>
      </c>
    </row>
    <row r="2157" spans="1:16" outlineLevel="1" x14ac:dyDescent="0.25">
      <c r="A2157" s="1511">
        <f t="shared" si="330"/>
        <v>0</v>
      </c>
      <c r="B2157" s="1512" t="str">
        <f t="shared" si="330"/>
        <v>IDC</v>
      </c>
      <c r="C2157" s="1511" t="str">
        <f t="shared" si="330"/>
        <v>MERC/TECH 1/CAPEX/20142015/00362</v>
      </c>
      <c r="D2157" s="1378">
        <f t="shared" si="330"/>
        <v>41779</v>
      </c>
      <c r="E2157" s="1513">
        <f t="shared" si="330"/>
        <v>0</v>
      </c>
      <c r="F2157" s="1509">
        <f t="shared" si="331"/>
        <v>0</v>
      </c>
      <c r="G2157" s="1509">
        <f t="shared" si="332"/>
        <v>0</v>
      </c>
      <c r="H2157" s="1509">
        <f t="shared" si="335"/>
        <v>0</v>
      </c>
      <c r="I2157" s="1509">
        <v>0</v>
      </c>
      <c r="J2157" s="1509">
        <v>0</v>
      </c>
      <c r="K2157" s="1509"/>
      <c r="L2157" s="1509"/>
      <c r="M2157" s="1509">
        <f t="shared" si="336"/>
        <v>0</v>
      </c>
      <c r="N2157" s="1509">
        <f t="shared" si="337"/>
        <v>0</v>
      </c>
      <c r="O2157" s="1510">
        <f t="shared" si="333"/>
        <v>0</v>
      </c>
      <c r="P2157" s="1453">
        <f t="shared" si="334"/>
        <v>0</v>
      </c>
    </row>
    <row r="2158" spans="1:16" ht="29" outlineLevel="1" x14ac:dyDescent="0.25">
      <c r="A2158" s="1506">
        <f t="shared" si="330"/>
        <v>10</v>
      </c>
      <c r="B2158" s="1507" t="str">
        <f t="shared" si="330"/>
        <v xml:space="preserve">Procurement of 315 MVA Spare GTR for 250 MW sets at New Parli &amp; New Paras TPS </v>
      </c>
      <c r="C2158" s="1506" t="str">
        <f t="shared" si="330"/>
        <v>MERC/TECH 1/CAPEX/20142015/001</v>
      </c>
      <c r="D2158" s="1508">
        <f t="shared" si="330"/>
        <v>41913</v>
      </c>
      <c r="E2158" s="1509">
        <f t="shared" si="330"/>
        <v>11.32</v>
      </c>
      <c r="F2158" s="1509">
        <f t="shared" si="331"/>
        <v>0</v>
      </c>
      <c r="G2158" s="1509">
        <f t="shared" si="332"/>
        <v>0</v>
      </c>
      <c r="H2158" s="1509">
        <f t="shared" si="335"/>
        <v>0</v>
      </c>
      <c r="I2158" s="1509">
        <v>0</v>
      </c>
      <c r="J2158" s="1509">
        <v>0</v>
      </c>
      <c r="K2158" s="1509"/>
      <c r="L2158" s="1509"/>
      <c r="M2158" s="1509">
        <f t="shared" si="336"/>
        <v>0</v>
      </c>
      <c r="N2158" s="1509">
        <f t="shared" si="337"/>
        <v>0</v>
      </c>
      <c r="O2158" s="1510">
        <f t="shared" si="333"/>
        <v>0</v>
      </c>
      <c r="P2158" s="1453">
        <f t="shared" si="334"/>
        <v>0</v>
      </c>
    </row>
    <row r="2159" spans="1:16" outlineLevel="1" x14ac:dyDescent="0.25">
      <c r="A2159" s="1511">
        <f t="shared" si="330"/>
        <v>10.1</v>
      </c>
      <c r="B2159" s="1512" t="str">
        <f t="shared" si="330"/>
        <v>Procurement of 250 MVA Spare GTR</v>
      </c>
      <c r="C2159" s="1511" t="str">
        <f t="shared" si="330"/>
        <v>MERC/TECH 1/CAPEX/20142015/001</v>
      </c>
      <c r="D2159" s="1378">
        <f t="shared" si="330"/>
        <v>41913</v>
      </c>
      <c r="E2159" s="1513">
        <f t="shared" si="330"/>
        <v>11.32</v>
      </c>
      <c r="F2159" s="1509">
        <f t="shared" si="331"/>
        <v>13.4</v>
      </c>
      <c r="G2159" s="1509">
        <f t="shared" si="332"/>
        <v>13.4</v>
      </c>
      <c r="H2159" s="1509">
        <f t="shared" si="335"/>
        <v>0</v>
      </c>
      <c r="I2159" s="1509">
        <v>0</v>
      </c>
      <c r="J2159" s="1509">
        <v>0</v>
      </c>
      <c r="K2159" s="1509"/>
      <c r="L2159" s="1509"/>
      <c r="M2159" s="1509">
        <f t="shared" si="336"/>
        <v>0</v>
      </c>
      <c r="N2159" s="1509">
        <f t="shared" si="337"/>
        <v>0</v>
      </c>
      <c r="O2159" s="1510">
        <f t="shared" si="333"/>
        <v>0</v>
      </c>
      <c r="P2159" s="1453">
        <f t="shared" si="334"/>
        <v>0</v>
      </c>
    </row>
    <row r="2160" spans="1:16" ht="29" outlineLevel="1" x14ac:dyDescent="0.25">
      <c r="A2160" s="1506">
        <f t="shared" si="330"/>
        <v>13</v>
      </c>
      <c r="B2160" s="1507" t="str">
        <f t="shared" si="330"/>
        <v>Construction of Concrete Roads &amp; Spare Generator Transformer Foundation at Parli TPS</v>
      </c>
      <c r="C2160" s="1506" t="str">
        <f t="shared" si="330"/>
        <v>MERC/CAPEX/20162017/01172</v>
      </c>
      <c r="D2160" s="1508">
        <f t="shared" si="330"/>
        <v>42713</v>
      </c>
      <c r="E2160" s="1509">
        <f t="shared" si="330"/>
        <v>16.850000000000001</v>
      </c>
      <c r="F2160" s="1509">
        <f t="shared" si="331"/>
        <v>0</v>
      </c>
      <c r="G2160" s="1509">
        <f t="shared" si="332"/>
        <v>0</v>
      </c>
      <c r="H2160" s="1509">
        <f t="shared" si="335"/>
        <v>0</v>
      </c>
      <c r="I2160" s="1509">
        <v>0</v>
      </c>
      <c r="J2160" s="1509">
        <v>0</v>
      </c>
      <c r="K2160" s="1509"/>
      <c r="L2160" s="1509"/>
      <c r="M2160" s="1509">
        <f t="shared" si="336"/>
        <v>0</v>
      </c>
      <c r="N2160" s="1509">
        <f t="shared" si="337"/>
        <v>0</v>
      </c>
      <c r="O2160" s="1510">
        <f t="shared" si="333"/>
        <v>0</v>
      </c>
      <c r="P2160" s="1453">
        <f t="shared" si="334"/>
        <v>0</v>
      </c>
    </row>
    <row r="2161" spans="1:16" ht="29" outlineLevel="1" x14ac:dyDescent="0.25">
      <c r="A2161" s="1511">
        <f t="shared" si="330"/>
        <v>13.1</v>
      </c>
      <c r="B2161" s="1512" t="str">
        <f t="shared" si="330"/>
        <v>Construction of concrete road from Gangakhed road to entrance of unit no.6,7 at NPTPS Parli V.</v>
      </c>
      <c r="C2161" s="1511" t="str">
        <f t="shared" si="330"/>
        <v>MERC/CAPEX/20162017/01172</v>
      </c>
      <c r="D2161" s="1378">
        <f t="shared" si="330"/>
        <v>42713</v>
      </c>
      <c r="E2161" s="1513">
        <f t="shared" si="330"/>
        <v>7.02</v>
      </c>
      <c r="F2161" s="1509">
        <f t="shared" si="331"/>
        <v>6.8551506</v>
      </c>
      <c r="G2161" s="1509">
        <f t="shared" si="332"/>
        <v>6.8551506</v>
      </c>
      <c r="H2161" s="1509">
        <f t="shared" si="335"/>
        <v>0</v>
      </c>
      <c r="I2161" s="1509">
        <v>0</v>
      </c>
      <c r="J2161" s="1509">
        <v>0</v>
      </c>
      <c r="K2161" s="1509"/>
      <c r="L2161" s="1509"/>
      <c r="M2161" s="1509">
        <f t="shared" si="336"/>
        <v>0</v>
      </c>
      <c r="N2161" s="1509">
        <f t="shared" si="337"/>
        <v>0</v>
      </c>
      <c r="O2161" s="1510">
        <f t="shared" si="333"/>
        <v>0</v>
      </c>
      <c r="P2161" s="1453">
        <f t="shared" si="334"/>
        <v>0</v>
      </c>
    </row>
    <row r="2162" spans="1:16" ht="29" outlineLevel="1" x14ac:dyDescent="0.25">
      <c r="A2162" s="1511">
        <f t="shared" si="330"/>
        <v>13.2</v>
      </c>
      <c r="B2162" s="1512" t="str">
        <f t="shared" si="330"/>
        <v>Construction of internal concrete roads within premises of Unit 6 and 7.</v>
      </c>
      <c r="C2162" s="1511" t="str">
        <f t="shared" si="330"/>
        <v>MERC/CAPEX/20162017/01172</v>
      </c>
      <c r="D2162" s="1378">
        <f t="shared" si="330"/>
        <v>42713</v>
      </c>
      <c r="E2162" s="1513">
        <f t="shared" si="330"/>
        <v>7.55</v>
      </c>
      <c r="F2162" s="1509">
        <f t="shared" si="331"/>
        <v>5.9636063540000004</v>
      </c>
      <c r="G2162" s="1509">
        <f t="shared" si="332"/>
        <v>5.9636063540000004</v>
      </c>
      <c r="H2162" s="1509">
        <f t="shared" si="335"/>
        <v>0</v>
      </c>
      <c r="I2162" s="1509">
        <v>0</v>
      </c>
      <c r="J2162" s="1509">
        <v>0</v>
      </c>
      <c r="K2162" s="1509"/>
      <c r="L2162" s="1509"/>
      <c r="M2162" s="1509">
        <f t="shared" si="336"/>
        <v>0</v>
      </c>
      <c r="N2162" s="1509">
        <f t="shared" si="337"/>
        <v>0</v>
      </c>
      <c r="O2162" s="1510">
        <f t="shared" si="333"/>
        <v>0</v>
      </c>
      <c r="P2162" s="1453">
        <f t="shared" si="334"/>
        <v>0</v>
      </c>
    </row>
    <row r="2163" spans="1:16" ht="29" outlineLevel="1" x14ac:dyDescent="0.25">
      <c r="A2163" s="1511">
        <f t="shared" si="330"/>
        <v>13.3</v>
      </c>
      <c r="B2163" s="1512" t="str">
        <f t="shared" si="330"/>
        <v>Construction of spare generator transformer foundation of Unit No. 6,7 at NPTPS Parli-V &amp; Paras TPS</v>
      </c>
      <c r="C2163" s="1511" t="str">
        <f t="shared" si="330"/>
        <v>MERC/CAPEX/20162017/01172</v>
      </c>
      <c r="D2163" s="1378">
        <f t="shared" si="330"/>
        <v>42713</v>
      </c>
      <c r="E2163" s="1513">
        <f t="shared" si="330"/>
        <v>1.48</v>
      </c>
      <c r="F2163" s="1509">
        <f t="shared" si="331"/>
        <v>1.2847999999999999</v>
      </c>
      <c r="G2163" s="1509">
        <f t="shared" si="332"/>
        <v>1.2847999999999999</v>
      </c>
      <c r="H2163" s="1509">
        <f t="shared" si="335"/>
        <v>0</v>
      </c>
      <c r="I2163" s="1509">
        <v>0</v>
      </c>
      <c r="J2163" s="1509">
        <v>0</v>
      </c>
      <c r="K2163" s="1509"/>
      <c r="L2163" s="1509"/>
      <c r="M2163" s="1509">
        <f t="shared" si="336"/>
        <v>0</v>
      </c>
      <c r="N2163" s="1509">
        <f t="shared" si="337"/>
        <v>0</v>
      </c>
      <c r="O2163" s="1510">
        <f t="shared" si="333"/>
        <v>0</v>
      </c>
      <c r="P2163" s="1453">
        <f t="shared" si="334"/>
        <v>0</v>
      </c>
    </row>
    <row r="2164" spans="1:16" outlineLevel="1" x14ac:dyDescent="0.25">
      <c r="A2164" s="1511">
        <f t="shared" si="330"/>
        <v>0</v>
      </c>
      <c r="B2164" s="1515" t="str">
        <f t="shared" si="330"/>
        <v>IDC</v>
      </c>
      <c r="C2164" s="1511" t="str">
        <f t="shared" si="330"/>
        <v>MERC/CAPEX/20162017/01172</v>
      </c>
      <c r="D2164" s="1378">
        <f t="shared" si="330"/>
        <v>42713</v>
      </c>
      <c r="E2164" s="1513">
        <f t="shared" si="330"/>
        <v>0.8</v>
      </c>
      <c r="F2164" s="1509">
        <f t="shared" si="331"/>
        <v>0</v>
      </c>
      <c r="G2164" s="1509">
        <f t="shared" si="332"/>
        <v>0</v>
      </c>
      <c r="H2164" s="1509">
        <f t="shared" si="335"/>
        <v>0</v>
      </c>
      <c r="I2164" s="1509">
        <v>0</v>
      </c>
      <c r="J2164" s="1509">
        <v>0</v>
      </c>
      <c r="K2164" s="1509"/>
      <c r="L2164" s="1509"/>
      <c r="M2164" s="1509">
        <f t="shared" si="336"/>
        <v>0</v>
      </c>
      <c r="N2164" s="1509">
        <f t="shared" si="337"/>
        <v>0</v>
      </c>
      <c r="O2164" s="1510">
        <f t="shared" si="333"/>
        <v>0</v>
      </c>
      <c r="P2164" s="1453">
        <f t="shared" si="334"/>
        <v>0</v>
      </c>
    </row>
    <row r="2165" spans="1:16" outlineLevel="1" x14ac:dyDescent="0.25">
      <c r="A2165" s="1506">
        <f t="shared" si="330"/>
        <v>14</v>
      </c>
      <c r="B2165" s="1507" t="str">
        <f t="shared" si="330"/>
        <v>Procurement of battery breakers and weigh bridge for Parli Unit 6 &amp; 7</v>
      </c>
      <c r="C2165" s="1506" t="str">
        <f t="shared" si="330"/>
        <v>MERC/CAPEX/20172018/4711</v>
      </c>
      <c r="D2165" s="1508">
        <f t="shared" si="330"/>
        <v>43055</v>
      </c>
      <c r="E2165" s="1509">
        <f t="shared" si="330"/>
        <v>18.279999999999998</v>
      </c>
      <c r="F2165" s="1509">
        <f t="shared" si="331"/>
        <v>0</v>
      </c>
      <c r="G2165" s="1509">
        <f t="shared" si="332"/>
        <v>0</v>
      </c>
      <c r="H2165" s="1509">
        <f t="shared" si="335"/>
        <v>0</v>
      </c>
      <c r="I2165" s="1509">
        <v>0</v>
      </c>
      <c r="J2165" s="1509">
        <v>0</v>
      </c>
      <c r="K2165" s="1509"/>
      <c r="L2165" s="1509"/>
      <c r="M2165" s="1509">
        <f t="shared" si="336"/>
        <v>0</v>
      </c>
      <c r="N2165" s="1509">
        <f t="shared" si="337"/>
        <v>0</v>
      </c>
      <c r="O2165" s="1510">
        <f t="shared" si="333"/>
        <v>0</v>
      </c>
      <c r="P2165" s="1453">
        <f t="shared" si="334"/>
        <v>0</v>
      </c>
    </row>
    <row r="2166" spans="1:16" ht="29" outlineLevel="1" x14ac:dyDescent="0.25">
      <c r="A2166" s="1511">
        <f t="shared" si="330"/>
        <v>14.1</v>
      </c>
      <c r="B2166" s="1512" t="str">
        <f t="shared" si="330"/>
        <v>Replacement of 220V station batteries, 360V UPS batteries, 24V DCS batteries , 360V UPS AHP batteries at U6 &amp; U7 NPTPS</v>
      </c>
      <c r="C2166" s="1511" t="str">
        <f t="shared" si="330"/>
        <v>MERC/CAPEX/20172018/4711</v>
      </c>
      <c r="D2166" s="1378">
        <f t="shared" si="330"/>
        <v>43055</v>
      </c>
      <c r="E2166" s="1513">
        <f t="shared" si="330"/>
        <v>15.08</v>
      </c>
      <c r="F2166" s="1509">
        <f t="shared" si="331"/>
        <v>14.4772699</v>
      </c>
      <c r="G2166" s="1509">
        <f t="shared" si="332"/>
        <v>14.4772699</v>
      </c>
      <c r="H2166" s="1509">
        <f t="shared" si="335"/>
        <v>0</v>
      </c>
      <c r="I2166" s="1509">
        <v>0</v>
      </c>
      <c r="J2166" s="1509">
        <v>0</v>
      </c>
      <c r="K2166" s="1509"/>
      <c r="L2166" s="1509"/>
      <c r="M2166" s="1509">
        <f t="shared" si="336"/>
        <v>0</v>
      </c>
      <c r="N2166" s="1509">
        <f t="shared" si="337"/>
        <v>0</v>
      </c>
      <c r="O2166" s="1510">
        <f t="shared" si="333"/>
        <v>0</v>
      </c>
      <c r="P2166" s="1453">
        <f t="shared" si="334"/>
        <v>0</v>
      </c>
    </row>
    <row r="2167" spans="1:16" outlineLevel="1" x14ac:dyDescent="0.25">
      <c r="A2167" s="1511">
        <f t="shared" si="330"/>
        <v>14.2</v>
      </c>
      <c r="B2167" s="1512" t="str">
        <f t="shared" si="330"/>
        <v>Installation of Pit less weighbridge of 100 MT capacity.</v>
      </c>
      <c r="C2167" s="1511" t="str">
        <f t="shared" si="330"/>
        <v>MERC/CAPEX/20172018/4711</v>
      </c>
      <c r="D2167" s="1378">
        <f t="shared" si="330"/>
        <v>43055</v>
      </c>
      <c r="E2167" s="1513">
        <f t="shared" si="330"/>
        <v>0.3</v>
      </c>
      <c r="F2167" s="1509">
        <f t="shared" si="331"/>
        <v>0.29736000000000001</v>
      </c>
      <c r="G2167" s="1509">
        <f t="shared" si="332"/>
        <v>0.29736000000000001</v>
      </c>
      <c r="H2167" s="1509">
        <f t="shared" si="335"/>
        <v>0</v>
      </c>
      <c r="I2167" s="1509">
        <v>0</v>
      </c>
      <c r="J2167" s="1509">
        <v>0</v>
      </c>
      <c r="K2167" s="1509"/>
      <c r="L2167" s="1509"/>
      <c r="M2167" s="1509">
        <f t="shared" si="336"/>
        <v>0</v>
      </c>
      <c r="N2167" s="1509">
        <f t="shared" si="337"/>
        <v>0</v>
      </c>
      <c r="O2167" s="1510">
        <f t="shared" si="333"/>
        <v>0</v>
      </c>
      <c r="P2167" s="1453">
        <f t="shared" si="334"/>
        <v>0</v>
      </c>
    </row>
    <row r="2168" spans="1:16" outlineLevel="1" x14ac:dyDescent="0.25">
      <c r="A2168" s="1511">
        <f t="shared" ref="A2168:E2183" si="338">A1811</f>
        <v>14.3</v>
      </c>
      <c r="B2168" s="1512" t="str">
        <f t="shared" si="338"/>
        <v>Procurement of SF 6 Generator Circuit Breaker Type- FKG1X</v>
      </c>
      <c r="C2168" s="1511" t="str">
        <f t="shared" si="338"/>
        <v>MERC/CAPEX/20172018/4711</v>
      </c>
      <c r="D2168" s="1378">
        <f t="shared" si="338"/>
        <v>43055</v>
      </c>
      <c r="E2168" s="1513">
        <f t="shared" si="338"/>
        <v>2.46</v>
      </c>
      <c r="F2168" s="1509">
        <f t="shared" si="331"/>
        <v>2.46</v>
      </c>
      <c r="G2168" s="1509">
        <f t="shared" si="332"/>
        <v>2.46</v>
      </c>
      <c r="H2168" s="1509">
        <f t="shared" si="335"/>
        <v>0</v>
      </c>
      <c r="I2168" s="1509">
        <v>0</v>
      </c>
      <c r="J2168" s="1509">
        <v>0</v>
      </c>
      <c r="K2168" s="1509"/>
      <c r="L2168" s="1509"/>
      <c r="M2168" s="1509">
        <f t="shared" si="336"/>
        <v>0</v>
      </c>
      <c r="N2168" s="1509">
        <f t="shared" si="337"/>
        <v>0</v>
      </c>
      <c r="O2168" s="1510">
        <f t="shared" si="333"/>
        <v>0</v>
      </c>
      <c r="P2168" s="1453">
        <f t="shared" si="334"/>
        <v>0</v>
      </c>
    </row>
    <row r="2169" spans="1:16" outlineLevel="1" x14ac:dyDescent="0.25">
      <c r="A2169" s="1511">
        <f t="shared" si="338"/>
        <v>14.4</v>
      </c>
      <c r="B2169" s="1512" t="str">
        <f t="shared" si="338"/>
        <v>Procurement of spare VCB’s trolleys.</v>
      </c>
      <c r="C2169" s="1511" t="str">
        <f t="shared" si="338"/>
        <v>MERC/CAPEX/20172018/4711</v>
      </c>
      <c r="D2169" s="1378">
        <f t="shared" si="338"/>
        <v>43055</v>
      </c>
      <c r="E2169" s="1513">
        <f t="shared" si="338"/>
        <v>0.31</v>
      </c>
      <c r="F2169" s="1509">
        <f t="shared" si="331"/>
        <v>0.5057102</v>
      </c>
      <c r="G2169" s="1509">
        <f t="shared" si="332"/>
        <v>0.5057102</v>
      </c>
      <c r="H2169" s="1509">
        <f t="shared" si="335"/>
        <v>0</v>
      </c>
      <c r="I2169" s="1509">
        <v>0</v>
      </c>
      <c r="J2169" s="1509">
        <v>0</v>
      </c>
      <c r="K2169" s="1509"/>
      <c r="L2169" s="1509"/>
      <c r="M2169" s="1509">
        <f t="shared" si="336"/>
        <v>0</v>
      </c>
      <c r="N2169" s="1509">
        <f t="shared" si="337"/>
        <v>0</v>
      </c>
      <c r="O2169" s="1510">
        <f t="shared" si="333"/>
        <v>0</v>
      </c>
      <c r="P2169" s="1453">
        <f t="shared" si="334"/>
        <v>0</v>
      </c>
    </row>
    <row r="2170" spans="1:16" outlineLevel="1" x14ac:dyDescent="0.25">
      <c r="A2170" s="1511">
        <f t="shared" si="338"/>
        <v>0</v>
      </c>
      <c r="B2170" s="1512" t="str">
        <f t="shared" si="338"/>
        <v>IDC</v>
      </c>
      <c r="C2170" s="1511" t="str">
        <f t="shared" si="338"/>
        <v>MERC/CAPEX/20172018/4711</v>
      </c>
      <c r="D2170" s="1378">
        <f t="shared" si="338"/>
        <v>43055</v>
      </c>
      <c r="E2170" s="1513">
        <f t="shared" si="338"/>
        <v>0.13</v>
      </c>
      <c r="F2170" s="1509">
        <f t="shared" si="331"/>
        <v>0</v>
      </c>
      <c r="G2170" s="1509">
        <f t="shared" si="332"/>
        <v>0</v>
      </c>
      <c r="H2170" s="1509">
        <f t="shared" si="335"/>
        <v>0</v>
      </c>
      <c r="I2170" s="1509">
        <v>0</v>
      </c>
      <c r="J2170" s="1509">
        <v>0</v>
      </c>
      <c r="K2170" s="1509"/>
      <c r="L2170" s="1509"/>
      <c r="M2170" s="1509">
        <f t="shared" si="336"/>
        <v>0</v>
      </c>
      <c r="N2170" s="1509">
        <f t="shared" si="337"/>
        <v>0</v>
      </c>
      <c r="O2170" s="1510">
        <f t="shared" si="333"/>
        <v>0</v>
      </c>
      <c r="P2170" s="1453">
        <f t="shared" si="334"/>
        <v>0</v>
      </c>
    </row>
    <row r="2171" spans="1:16" ht="29" outlineLevel="1" x14ac:dyDescent="0.25">
      <c r="A2171" s="1506">
        <f t="shared" si="338"/>
        <v>15</v>
      </c>
      <c r="B2171" s="1507" t="str">
        <f t="shared" si="338"/>
        <v>First raising of ash bund from 426 Mtr. To 432 Mtr. Of Dautpur Ash Bund No. 2 for Unit No. 4, 6, 7 &amp; 8 at Parli TPS.</v>
      </c>
      <c r="C2171" s="1506" t="str">
        <f t="shared" si="338"/>
        <v>MERC/CAPEX/20172018/4703</v>
      </c>
      <c r="D2171" s="1508">
        <f t="shared" si="338"/>
        <v>43055</v>
      </c>
      <c r="E2171" s="1509">
        <f t="shared" si="338"/>
        <v>45.524777499999992</v>
      </c>
      <c r="F2171" s="1509">
        <f t="shared" si="331"/>
        <v>0</v>
      </c>
      <c r="G2171" s="1509">
        <f t="shared" si="332"/>
        <v>0</v>
      </c>
      <c r="H2171" s="1509">
        <f t="shared" si="335"/>
        <v>0</v>
      </c>
      <c r="I2171" s="1509">
        <v>0</v>
      </c>
      <c r="J2171" s="1509">
        <v>0</v>
      </c>
      <c r="K2171" s="1509"/>
      <c r="L2171" s="1509"/>
      <c r="M2171" s="1509">
        <f t="shared" si="336"/>
        <v>0</v>
      </c>
      <c r="N2171" s="1509">
        <f t="shared" si="337"/>
        <v>0</v>
      </c>
      <c r="O2171" s="1510">
        <f t="shared" si="333"/>
        <v>0</v>
      </c>
      <c r="P2171" s="1453">
        <f t="shared" si="334"/>
        <v>0</v>
      </c>
    </row>
    <row r="2172" spans="1:16" ht="29" outlineLevel="1" x14ac:dyDescent="0.25">
      <c r="A2172" s="1511">
        <f t="shared" si="338"/>
        <v>15.1</v>
      </c>
      <c r="B2172" s="1512" t="str">
        <f t="shared" si="338"/>
        <v>First raising of ash bund from 426 Mtr. To 432 Mtr. Of Dautpur Ash Bund No. 2 for Unit No. 4, 6, 7 &amp; 8 at Parli TPS.</v>
      </c>
      <c r="C2172" s="1511" t="str">
        <f t="shared" si="338"/>
        <v>MERC/CAPEX/20172018/4703</v>
      </c>
      <c r="D2172" s="1378">
        <f t="shared" si="338"/>
        <v>43055</v>
      </c>
      <c r="E2172" s="1513">
        <f t="shared" si="338"/>
        <v>44.154777499999994</v>
      </c>
      <c r="F2172" s="1509">
        <f t="shared" si="331"/>
        <v>43.094741947000003</v>
      </c>
      <c r="G2172" s="1509">
        <f t="shared" si="332"/>
        <v>43.094741947000003</v>
      </c>
      <c r="H2172" s="1509">
        <f t="shared" si="335"/>
        <v>0</v>
      </c>
      <c r="I2172" s="1509">
        <v>0</v>
      </c>
      <c r="J2172" s="1509">
        <v>0</v>
      </c>
      <c r="K2172" s="1509"/>
      <c r="L2172" s="1509"/>
      <c r="M2172" s="1509">
        <f t="shared" si="336"/>
        <v>0</v>
      </c>
      <c r="N2172" s="1509">
        <f t="shared" si="337"/>
        <v>0</v>
      </c>
      <c r="O2172" s="1510">
        <f t="shared" si="333"/>
        <v>0</v>
      </c>
      <c r="P2172" s="1453">
        <f t="shared" si="334"/>
        <v>0</v>
      </c>
    </row>
    <row r="2173" spans="1:16" outlineLevel="1" x14ac:dyDescent="0.25">
      <c r="A2173" s="1511">
        <f t="shared" si="338"/>
        <v>0</v>
      </c>
      <c r="B2173" s="1512" t="str">
        <f t="shared" si="338"/>
        <v>IDC</v>
      </c>
      <c r="C2173" s="1511" t="str">
        <f t="shared" si="338"/>
        <v>MERC/CAPEX/20172018/4703</v>
      </c>
      <c r="D2173" s="1378">
        <f t="shared" si="338"/>
        <v>43055</v>
      </c>
      <c r="E2173" s="1513">
        <f t="shared" si="338"/>
        <v>1.37</v>
      </c>
      <c r="F2173" s="1509">
        <f t="shared" si="331"/>
        <v>0</v>
      </c>
      <c r="G2173" s="1509">
        <f t="shared" si="332"/>
        <v>0</v>
      </c>
      <c r="H2173" s="1509">
        <f t="shared" si="335"/>
        <v>0</v>
      </c>
      <c r="I2173" s="1509">
        <v>0</v>
      </c>
      <c r="J2173" s="1509">
        <v>0</v>
      </c>
      <c r="K2173" s="1509"/>
      <c r="L2173" s="1509"/>
      <c r="M2173" s="1509">
        <f t="shared" si="336"/>
        <v>0</v>
      </c>
      <c r="N2173" s="1509">
        <f t="shared" si="337"/>
        <v>0</v>
      </c>
      <c r="O2173" s="1510">
        <f t="shared" si="333"/>
        <v>0</v>
      </c>
      <c r="P2173" s="1453">
        <f t="shared" si="334"/>
        <v>0</v>
      </c>
    </row>
    <row r="2174" spans="1:16" outlineLevel="1" x14ac:dyDescent="0.25">
      <c r="A2174" s="1506">
        <f t="shared" si="338"/>
        <v>16</v>
      </c>
      <c r="B2174" s="1507" t="str">
        <f t="shared" si="338"/>
        <v>Renovation works of colony at Parli TPS</v>
      </c>
      <c r="C2174" s="1506" t="str">
        <f t="shared" si="338"/>
        <v>MERC/CAPEX/2018-2019/065</v>
      </c>
      <c r="D2174" s="1508">
        <f t="shared" si="338"/>
        <v>43529</v>
      </c>
      <c r="E2174" s="1509">
        <f t="shared" si="338"/>
        <v>13.148149</v>
      </c>
      <c r="F2174" s="1509">
        <f t="shared" si="331"/>
        <v>0</v>
      </c>
      <c r="G2174" s="1509">
        <f t="shared" si="332"/>
        <v>0</v>
      </c>
      <c r="H2174" s="1509">
        <f t="shared" si="335"/>
        <v>0</v>
      </c>
      <c r="I2174" s="1509">
        <v>0</v>
      </c>
      <c r="J2174" s="1509">
        <v>0</v>
      </c>
      <c r="K2174" s="1509"/>
      <c r="L2174" s="1509"/>
      <c r="M2174" s="1509">
        <f t="shared" si="336"/>
        <v>0</v>
      </c>
      <c r="N2174" s="1509">
        <f t="shared" si="337"/>
        <v>0</v>
      </c>
      <c r="O2174" s="1510">
        <f t="shared" si="333"/>
        <v>0</v>
      </c>
      <c r="P2174" s="1453">
        <f t="shared" si="334"/>
        <v>0</v>
      </c>
    </row>
    <row r="2175" spans="1:16" outlineLevel="1" x14ac:dyDescent="0.25">
      <c r="A2175" s="1511">
        <f t="shared" si="338"/>
        <v>16.100000000000001</v>
      </c>
      <c r="B2175" s="1512" t="str">
        <f t="shared" si="338"/>
        <v>Colony Renovation / Garden and relation works</v>
      </c>
      <c r="C2175" s="1511" t="str">
        <f t="shared" si="338"/>
        <v>MERC/CAPEX/2018-2019/065</v>
      </c>
      <c r="D2175" s="1378">
        <f t="shared" si="338"/>
        <v>43529</v>
      </c>
      <c r="E2175" s="1513">
        <f t="shared" si="338"/>
        <v>8.0502839999999996</v>
      </c>
      <c r="F2175" s="1509">
        <f t="shared" si="331"/>
        <v>5.98991717</v>
      </c>
      <c r="G2175" s="1509">
        <f t="shared" si="332"/>
        <v>5.98991717</v>
      </c>
      <c r="H2175" s="1509">
        <f t="shared" si="335"/>
        <v>0</v>
      </c>
      <c r="I2175" s="1509">
        <v>0</v>
      </c>
      <c r="J2175" s="1509">
        <v>0</v>
      </c>
      <c r="K2175" s="1509"/>
      <c r="L2175" s="1509"/>
      <c r="M2175" s="1509">
        <f t="shared" si="336"/>
        <v>0</v>
      </c>
      <c r="N2175" s="1509">
        <f t="shared" si="337"/>
        <v>0</v>
      </c>
      <c r="O2175" s="1510">
        <f t="shared" si="333"/>
        <v>0</v>
      </c>
      <c r="P2175" s="1453">
        <f t="shared" si="334"/>
        <v>0</v>
      </c>
    </row>
    <row r="2176" spans="1:16" outlineLevel="1" x14ac:dyDescent="0.25">
      <c r="A2176" s="1511">
        <f t="shared" si="338"/>
        <v>16.2</v>
      </c>
      <c r="B2176" s="1512" t="str">
        <f t="shared" si="338"/>
        <v>Colony Road work</v>
      </c>
      <c r="C2176" s="1511" t="str">
        <f t="shared" si="338"/>
        <v>MERC/CAPEX/2018-2019/065</v>
      </c>
      <c r="D2176" s="1378">
        <f t="shared" si="338"/>
        <v>43529</v>
      </c>
      <c r="E2176" s="1513">
        <f t="shared" si="338"/>
        <v>2.3051249999999999</v>
      </c>
      <c r="F2176" s="1509">
        <f t="shared" si="331"/>
        <v>2.0084425239999999</v>
      </c>
      <c r="G2176" s="1509">
        <f t="shared" si="332"/>
        <v>2.0084425239999999</v>
      </c>
      <c r="H2176" s="1509">
        <f t="shared" si="335"/>
        <v>0</v>
      </c>
      <c r="I2176" s="1509">
        <v>0</v>
      </c>
      <c r="J2176" s="1509">
        <v>0</v>
      </c>
      <c r="K2176" s="1509"/>
      <c r="L2176" s="1509"/>
      <c r="M2176" s="1509">
        <f t="shared" si="336"/>
        <v>0</v>
      </c>
      <c r="N2176" s="1509">
        <f t="shared" si="337"/>
        <v>0</v>
      </c>
      <c r="O2176" s="1510">
        <f t="shared" si="333"/>
        <v>0</v>
      </c>
      <c r="P2176" s="1453">
        <f t="shared" si="334"/>
        <v>0</v>
      </c>
    </row>
    <row r="2177" spans="1:16" outlineLevel="1" x14ac:dyDescent="0.25">
      <c r="A2177" s="1511">
        <f t="shared" si="338"/>
        <v>16.3</v>
      </c>
      <c r="B2177" s="1512" t="str">
        <f t="shared" si="338"/>
        <v>Colony Water supply, Sanitary and drinage line work</v>
      </c>
      <c r="C2177" s="1511" t="str">
        <f t="shared" si="338"/>
        <v>MERC/CAPEX/2018-2019/065</v>
      </c>
      <c r="D2177" s="1378">
        <f t="shared" si="338"/>
        <v>43529</v>
      </c>
      <c r="E2177" s="1513">
        <f t="shared" si="338"/>
        <v>2.7927399999999998</v>
      </c>
      <c r="F2177" s="1509">
        <f t="shared" si="331"/>
        <v>2.514492449</v>
      </c>
      <c r="G2177" s="1509">
        <f t="shared" si="332"/>
        <v>2.514492449</v>
      </c>
      <c r="H2177" s="1509">
        <f t="shared" si="335"/>
        <v>0</v>
      </c>
      <c r="I2177" s="1509">
        <v>0</v>
      </c>
      <c r="J2177" s="1509">
        <v>0</v>
      </c>
      <c r="K2177" s="1509"/>
      <c r="L2177" s="1509"/>
      <c r="M2177" s="1509">
        <f t="shared" si="336"/>
        <v>0</v>
      </c>
      <c r="N2177" s="1509">
        <f t="shared" si="337"/>
        <v>0</v>
      </c>
      <c r="O2177" s="1510">
        <f t="shared" si="333"/>
        <v>0</v>
      </c>
      <c r="P2177" s="1453">
        <f t="shared" si="334"/>
        <v>0</v>
      </c>
    </row>
    <row r="2178" spans="1:16" outlineLevel="1" x14ac:dyDescent="0.25">
      <c r="A2178" s="1511">
        <f t="shared" si="338"/>
        <v>16.399999999999999</v>
      </c>
      <c r="B2178" s="1512" t="str">
        <f t="shared" si="338"/>
        <v>Mangal Karyalaya and Community Hall work</v>
      </c>
      <c r="C2178" s="1511" t="str">
        <f t="shared" si="338"/>
        <v>MERC/CAPEX/2018-2019/065</v>
      </c>
      <c r="D2178" s="1378">
        <f t="shared" si="338"/>
        <v>43529</v>
      </c>
      <c r="E2178" s="1513">
        <f t="shared" si="338"/>
        <v>0</v>
      </c>
      <c r="F2178" s="1509">
        <f t="shared" si="331"/>
        <v>0</v>
      </c>
      <c r="G2178" s="1509">
        <f t="shared" si="332"/>
        <v>0</v>
      </c>
      <c r="H2178" s="1509">
        <f t="shared" si="335"/>
        <v>0</v>
      </c>
      <c r="I2178" s="1509">
        <v>0</v>
      </c>
      <c r="J2178" s="1509">
        <v>0</v>
      </c>
      <c r="K2178" s="1509"/>
      <c r="L2178" s="1509"/>
      <c r="M2178" s="1509">
        <f t="shared" si="336"/>
        <v>0</v>
      </c>
      <c r="N2178" s="1509">
        <f t="shared" si="337"/>
        <v>0</v>
      </c>
      <c r="O2178" s="1510">
        <f t="shared" si="333"/>
        <v>0</v>
      </c>
      <c r="P2178" s="1453">
        <f t="shared" si="334"/>
        <v>0</v>
      </c>
    </row>
    <row r="2179" spans="1:16" outlineLevel="1" x14ac:dyDescent="0.25">
      <c r="A2179" s="1511">
        <f t="shared" si="338"/>
        <v>16.5</v>
      </c>
      <c r="B2179" s="1512" t="str">
        <f t="shared" si="338"/>
        <v>Other Civil  works</v>
      </c>
      <c r="C2179" s="1511" t="str">
        <f t="shared" si="338"/>
        <v>MERC/CAPEX/2018-2019/065</v>
      </c>
      <c r="D2179" s="1378">
        <f t="shared" si="338"/>
        <v>43529</v>
      </c>
      <c r="E2179" s="1513">
        <f t="shared" si="338"/>
        <v>0</v>
      </c>
      <c r="F2179" s="1509">
        <f t="shared" si="331"/>
        <v>0</v>
      </c>
      <c r="G2179" s="1509">
        <f t="shared" si="332"/>
        <v>0</v>
      </c>
      <c r="H2179" s="1509">
        <f t="shared" si="335"/>
        <v>0</v>
      </c>
      <c r="I2179" s="1509">
        <v>0</v>
      </c>
      <c r="J2179" s="1509">
        <v>0</v>
      </c>
      <c r="K2179" s="1509"/>
      <c r="L2179" s="1509"/>
      <c r="M2179" s="1509">
        <f t="shared" si="336"/>
        <v>0</v>
      </c>
      <c r="N2179" s="1509">
        <f t="shared" si="337"/>
        <v>0</v>
      </c>
      <c r="O2179" s="1510">
        <f t="shared" si="333"/>
        <v>0</v>
      </c>
      <c r="P2179" s="1453">
        <f t="shared" si="334"/>
        <v>0</v>
      </c>
    </row>
    <row r="2180" spans="1:16" outlineLevel="1" x14ac:dyDescent="0.25">
      <c r="A2180" s="1506">
        <f t="shared" si="338"/>
        <v>17</v>
      </c>
      <c r="B2180" s="1507" t="str">
        <f t="shared" si="338"/>
        <v>Various Civil Schemes at Parli TPS</v>
      </c>
      <c r="C2180" s="1506" t="str">
        <f t="shared" si="338"/>
        <v>MERC/CAPEX/20182019/020</v>
      </c>
      <c r="D2180" s="1508">
        <f t="shared" si="338"/>
        <v>43481</v>
      </c>
      <c r="E2180" s="1509">
        <f t="shared" si="338"/>
        <v>11.99868781</v>
      </c>
      <c r="F2180" s="1509">
        <f t="shared" si="331"/>
        <v>0</v>
      </c>
      <c r="G2180" s="1509">
        <f t="shared" si="332"/>
        <v>0</v>
      </c>
      <c r="H2180" s="1509">
        <f t="shared" si="335"/>
        <v>0</v>
      </c>
      <c r="I2180" s="1509">
        <v>0</v>
      </c>
      <c r="J2180" s="1509">
        <v>0</v>
      </c>
      <c r="K2180" s="1509"/>
      <c r="L2180" s="1509"/>
      <c r="M2180" s="1509">
        <f t="shared" si="336"/>
        <v>0</v>
      </c>
      <c r="N2180" s="1509">
        <f t="shared" si="337"/>
        <v>0</v>
      </c>
      <c r="O2180" s="1510">
        <f t="shared" si="333"/>
        <v>0</v>
      </c>
      <c r="P2180" s="1453">
        <f t="shared" si="334"/>
        <v>0</v>
      </c>
    </row>
    <row r="2181" spans="1:16" ht="43.5" outlineLevel="1" x14ac:dyDescent="0.25">
      <c r="A2181" s="1511">
        <f t="shared" si="338"/>
        <v>17.100000000000001</v>
      </c>
      <c r="B2181" s="1512" t="str">
        <f t="shared" si="338"/>
        <v>Repair work of Khadka road from Sangam T point TPS compound wall to Khadka pump house by providing and laying GSB and bituminous macadam surface on existing road at TPS Parli V</v>
      </c>
      <c r="C2181" s="1511" t="str">
        <f t="shared" si="338"/>
        <v>MERC/CAPEX/20182019/020</v>
      </c>
      <c r="D2181" s="1378">
        <f t="shared" si="338"/>
        <v>43481</v>
      </c>
      <c r="E2181" s="1513">
        <f t="shared" si="338"/>
        <v>6.1932861680000002</v>
      </c>
      <c r="F2181" s="1509">
        <f t="shared" si="331"/>
        <v>5.6459529719999999</v>
      </c>
      <c r="G2181" s="1509">
        <f t="shared" si="332"/>
        <v>5.6459529719999999</v>
      </c>
      <c r="H2181" s="1509">
        <f t="shared" si="335"/>
        <v>0</v>
      </c>
      <c r="I2181" s="1509">
        <v>0</v>
      </c>
      <c r="J2181" s="1509">
        <v>0</v>
      </c>
      <c r="K2181" s="1509"/>
      <c r="L2181" s="1509"/>
      <c r="M2181" s="1509">
        <f t="shared" si="336"/>
        <v>0</v>
      </c>
      <c r="N2181" s="1509">
        <f t="shared" si="337"/>
        <v>0</v>
      </c>
      <c r="O2181" s="1510">
        <f t="shared" si="333"/>
        <v>0</v>
      </c>
      <c r="P2181" s="1453">
        <f t="shared" si="334"/>
        <v>0</v>
      </c>
    </row>
    <row r="2182" spans="1:16" ht="29" outlineLevel="1" x14ac:dyDescent="0.25">
      <c r="A2182" s="1511">
        <f t="shared" si="338"/>
        <v>17.2</v>
      </c>
      <c r="B2182" s="1512" t="str">
        <f t="shared" si="338"/>
        <v xml:space="preserve">Replacement of old  A.C. / G.I. Sheets by new C.G.I. Sheets  at Unit 4 and 5  TPS Parli Vaijnath                         </v>
      </c>
      <c r="C2182" s="1511" t="str">
        <f t="shared" si="338"/>
        <v>MERC/CAPEX/20182019/020</v>
      </c>
      <c r="D2182" s="1378">
        <f t="shared" si="338"/>
        <v>43481</v>
      </c>
      <c r="E2182" s="1513">
        <f t="shared" si="338"/>
        <v>0.38584171</v>
      </c>
      <c r="F2182" s="1509">
        <f t="shared" si="331"/>
        <v>0.28061102900000001</v>
      </c>
      <c r="G2182" s="1509">
        <f t="shared" si="332"/>
        <v>0.28061102900000001</v>
      </c>
      <c r="H2182" s="1509">
        <f t="shared" si="335"/>
        <v>0</v>
      </c>
      <c r="I2182" s="1509">
        <v>0</v>
      </c>
      <c r="J2182" s="1509">
        <v>0</v>
      </c>
      <c r="K2182" s="1509"/>
      <c r="L2182" s="1509"/>
      <c r="M2182" s="1509">
        <f t="shared" si="336"/>
        <v>0</v>
      </c>
      <c r="N2182" s="1509">
        <f t="shared" si="337"/>
        <v>0</v>
      </c>
      <c r="O2182" s="1510">
        <f t="shared" si="333"/>
        <v>0</v>
      </c>
      <c r="P2182" s="1453">
        <f t="shared" si="334"/>
        <v>0</v>
      </c>
    </row>
    <row r="2183" spans="1:16" ht="29" outlineLevel="1" x14ac:dyDescent="0.25">
      <c r="A2183" s="1511">
        <f t="shared" si="338"/>
        <v>17.3</v>
      </c>
      <c r="B2183" s="1512" t="str">
        <f t="shared" si="338"/>
        <v xml:space="preserve">Water supply pipe line  from Way bridge to chummery gate at Old Power House premises TPS Parli   Vaijnath   </v>
      </c>
      <c r="C2183" s="1511" t="str">
        <f t="shared" si="338"/>
        <v>MERC/CAPEX/20182019/020</v>
      </c>
      <c r="D2183" s="1378">
        <f t="shared" si="338"/>
        <v>43481</v>
      </c>
      <c r="E2183" s="1513">
        <f t="shared" si="338"/>
        <v>1.490824862</v>
      </c>
      <c r="F2183" s="1509">
        <f t="shared" si="331"/>
        <v>1.49</v>
      </c>
      <c r="G2183" s="1509">
        <f t="shared" si="332"/>
        <v>1.49</v>
      </c>
      <c r="H2183" s="1509">
        <f t="shared" si="335"/>
        <v>0</v>
      </c>
      <c r="I2183" s="1509">
        <v>0</v>
      </c>
      <c r="J2183" s="1509">
        <v>0</v>
      </c>
      <c r="K2183" s="1509"/>
      <c r="L2183" s="1509"/>
      <c r="M2183" s="1509">
        <f t="shared" si="336"/>
        <v>0</v>
      </c>
      <c r="N2183" s="1509">
        <f t="shared" si="337"/>
        <v>0</v>
      </c>
      <c r="O2183" s="1510">
        <f t="shared" si="333"/>
        <v>0</v>
      </c>
      <c r="P2183" s="1453">
        <f t="shared" si="334"/>
        <v>0</v>
      </c>
    </row>
    <row r="2184" spans="1:16" ht="29" outlineLevel="1" x14ac:dyDescent="0.25">
      <c r="A2184" s="1511">
        <f t="shared" ref="A2184:E2199" si="339">A1827</f>
        <v>17.399999999999999</v>
      </c>
      <c r="B2184" s="1512" t="str">
        <f t="shared" si="339"/>
        <v>Providing and fixing colour coated sheets for roofing and cladding of Major Store godowns (3 Nos.) at NPTPS Parli Vaijnath.</v>
      </c>
      <c r="C2184" s="1511" t="str">
        <f t="shared" si="339"/>
        <v>MERC/CAPEX/20182019/020</v>
      </c>
      <c r="D2184" s="1378">
        <f t="shared" si="339"/>
        <v>43481</v>
      </c>
      <c r="E2184" s="1513">
        <f t="shared" si="339"/>
        <v>0.32052575999999999</v>
      </c>
      <c r="F2184" s="1509">
        <f t="shared" si="331"/>
        <v>0.23293444999999999</v>
      </c>
      <c r="G2184" s="1509">
        <f t="shared" si="332"/>
        <v>0.23293444999999999</v>
      </c>
      <c r="H2184" s="1509">
        <f t="shared" si="335"/>
        <v>0</v>
      </c>
      <c r="I2184" s="1509">
        <v>0</v>
      </c>
      <c r="J2184" s="1509">
        <v>0</v>
      </c>
      <c r="K2184" s="1509"/>
      <c r="L2184" s="1509"/>
      <c r="M2184" s="1509">
        <f t="shared" si="336"/>
        <v>0</v>
      </c>
      <c r="N2184" s="1509">
        <f t="shared" si="337"/>
        <v>0</v>
      </c>
      <c r="O2184" s="1510">
        <f t="shared" si="333"/>
        <v>0</v>
      </c>
      <c r="P2184" s="1453">
        <f t="shared" si="334"/>
        <v>0</v>
      </c>
    </row>
    <row r="2185" spans="1:16" ht="29" outlineLevel="1" x14ac:dyDescent="0.25">
      <c r="A2185" s="1511">
        <f t="shared" si="339"/>
        <v>17.5</v>
      </c>
      <c r="B2185" s="1512" t="str">
        <f t="shared" si="339"/>
        <v xml:space="preserve">Development of Major store unloading yard by providing RCC grade slab in unit 6 &amp; 7 premises at NPTPS Parli     V.                   </v>
      </c>
      <c r="C2185" s="1511" t="str">
        <f t="shared" si="339"/>
        <v>MERC/CAPEX/20182019/020</v>
      </c>
      <c r="D2185" s="1378">
        <f t="shared" si="339"/>
        <v>43481</v>
      </c>
      <c r="E2185" s="1513">
        <f t="shared" si="339"/>
        <v>2.7334139500000001</v>
      </c>
      <c r="F2185" s="1509">
        <f t="shared" si="331"/>
        <v>2.73</v>
      </c>
      <c r="G2185" s="1509">
        <f t="shared" si="332"/>
        <v>2.73</v>
      </c>
      <c r="H2185" s="1509">
        <f t="shared" si="335"/>
        <v>0</v>
      </c>
      <c r="I2185" s="1509">
        <v>0</v>
      </c>
      <c r="J2185" s="1509">
        <v>0</v>
      </c>
      <c r="K2185" s="1509"/>
      <c r="L2185" s="1509"/>
      <c r="M2185" s="1509">
        <f t="shared" si="336"/>
        <v>0</v>
      </c>
      <c r="N2185" s="1509">
        <f t="shared" si="337"/>
        <v>0</v>
      </c>
      <c r="O2185" s="1510">
        <f t="shared" si="333"/>
        <v>0</v>
      </c>
      <c r="P2185" s="1453">
        <f t="shared" si="334"/>
        <v>0</v>
      </c>
    </row>
    <row r="2186" spans="1:16" ht="43.5" outlineLevel="1" x14ac:dyDescent="0.25">
      <c r="A2186" s="1511">
        <f t="shared" si="339"/>
        <v>17.600000000000001</v>
      </c>
      <c r="B2186" s="1512" t="str">
        <f t="shared" si="339"/>
        <v xml:space="preserve">Work of painting to service building, Main plant building and various Auxillarey buildings of unit No. 6&amp;7 at New Parli Thermal Power Station.         </v>
      </c>
      <c r="C2186" s="1511" t="str">
        <f t="shared" si="339"/>
        <v>MERC/CAPEX/20182019/020</v>
      </c>
      <c r="D2186" s="1378">
        <f t="shared" si="339"/>
        <v>43481</v>
      </c>
      <c r="E2186" s="1513">
        <f t="shared" si="339"/>
        <v>0.58998525000000002</v>
      </c>
      <c r="F2186" s="1509">
        <f t="shared" si="331"/>
        <v>0.43154335300000002</v>
      </c>
      <c r="G2186" s="1509">
        <f t="shared" si="332"/>
        <v>0.43154335300000002</v>
      </c>
      <c r="H2186" s="1509">
        <f t="shared" si="335"/>
        <v>0</v>
      </c>
      <c r="I2186" s="1509">
        <v>0</v>
      </c>
      <c r="J2186" s="1509">
        <v>0</v>
      </c>
      <c r="K2186" s="1509"/>
      <c r="L2186" s="1509"/>
      <c r="M2186" s="1509">
        <f t="shared" si="336"/>
        <v>0</v>
      </c>
      <c r="N2186" s="1509">
        <f t="shared" si="337"/>
        <v>0</v>
      </c>
      <c r="O2186" s="1510">
        <f t="shared" si="333"/>
        <v>0</v>
      </c>
      <c r="P2186" s="1453">
        <f t="shared" si="334"/>
        <v>0</v>
      </c>
    </row>
    <row r="2187" spans="1:16" ht="29" outlineLevel="1" x14ac:dyDescent="0.25">
      <c r="A2187" s="1511">
        <f t="shared" si="339"/>
        <v>17.600000000000001</v>
      </c>
      <c r="B2187" s="1512" t="str">
        <f t="shared" si="339"/>
        <v>Construction of RCC cabins at various locations in unit No.6&amp;7 premises at NPTPS Parli - V.</v>
      </c>
      <c r="C2187" s="1511" t="str">
        <f t="shared" si="339"/>
        <v>MERC/CAPEX/20182019/020</v>
      </c>
      <c r="D2187" s="1378">
        <f t="shared" si="339"/>
        <v>43481</v>
      </c>
      <c r="E2187" s="1513">
        <f t="shared" si="339"/>
        <v>0.28481011000000001</v>
      </c>
      <c r="F2187" s="1509">
        <f t="shared" si="331"/>
        <v>0.20461170000000001</v>
      </c>
      <c r="G2187" s="1509">
        <f t="shared" si="332"/>
        <v>0.20461170000000001</v>
      </c>
      <c r="H2187" s="1509">
        <f t="shared" si="335"/>
        <v>0</v>
      </c>
      <c r="I2187" s="1509">
        <v>0</v>
      </c>
      <c r="J2187" s="1509">
        <v>0</v>
      </c>
      <c r="K2187" s="1509"/>
      <c r="L2187" s="1509"/>
      <c r="M2187" s="1509">
        <f t="shared" si="336"/>
        <v>0</v>
      </c>
      <c r="N2187" s="1509">
        <f t="shared" si="337"/>
        <v>0</v>
      </c>
      <c r="O2187" s="1510">
        <f t="shared" si="333"/>
        <v>0</v>
      </c>
      <c r="P2187" s="1453">
        <f t="shared" si="334"/>
        <v>0</v>
      </c>
    </row>
    <row r="2188" spans="1:16" outlineLevel="1" x14ac:dyDescent="0.25">
      <c r="A2188" s="1511">
        <f t="shared" si="339"/>
        <v>0</v>
      </c>
      <c r="B2188" s="1512" t="str">
        <f t="shared" si="339"/>
        <v>IDC</v>
      </c>
      <c r="C2188" s="1511" t="str">
        <f t="shared" si="339"/>
        <v>MERC/CAPEX/20182019/020</v>
      </c>
      <c r="D2188" s="1378">
        <f t="shared" si="339"/>
        <v>43481</v>
      </c>
      <c r="E2188" s="1513">
        <f t="shared" si="339"/>
        <v>0</v>
      </c>
      <c r="F2188" s="1509">
        <f t="shared" si="331"/>
        <v>0</v>
      </c>
      <c r="G2188" s="1509">
        <f t="shared" si="332"/>
        <v>0</v>
      </c>
      <c r="H2188" s="1509">
        <f t="shared" si="335"/>
        <v>0</v>
      </c>
      <c r="I2188" s="1509">
        <v>0</v>
      </c>
      <c r="J2188" s="1509">
        <v>0</v>
      </c>
      <c r="K2188" s="1509"/>
      <c r="L2188" s="1509"/>
      <c r="M2188" s="1509">
        <f t="shared" si="336"/>
        <v>0</v>
      </c>
      <c r="N2188" s="1509">
        <f t="shared" si="337"/>
        <v>0</v>
      </c>
      <c r="O2188" s="1510">
        <f t="shared" si="333"/>
        <v>0</v>
      </c>
      <c r="P2188" s="1453">
        <f t="shared" si="334"/>
        <v>0</v>
      </c>
    </row>
    <row r="2189" spans="1:16" ht="29" outlineLevel="1" x14ac:dyDescent="0.25">
      <c r="A2189" s="1506">
        <f t="shared" si="339"/>
        <v>18</v>
      </c>
      <c r="B2189" s="1507" t="str">
        <f t="shared" si="339"/>
        <v>Procurement &amp; replacement of complete set of Economizer and LTSH upper &amp; lower coils of Unit No. 6 &amp; 7 at Parli TPS</v>
      </c>
      <c r="C2189" s="1506" t="str">
        <f t="shared" si="339"/>
        <v>MERC/CAPEX/2019-2020/419</v>
      </c>
      <c r="D2189" s="1508">
        <f t="shared" si="339"/>
        <v>43672</v>
      </c>
      <c r="E2189" s="1509">
        <f t="shared" si="339"/>
        <v>22.72</v>
      </c>
      <c r="F2189" s="1509">
        <f t="shared" si="331"/>
        <v>0</v>
      </c>
      <c r="G2189" s="1509">
        <f t="shared" si="332"/>
        <v>0</v>
      </c>
      <c r="H2189" s="1509">
        <f t="shared" si="335"/>
        <v>0</v>
      </c>
      <c r="I2189" s="1509">
        <v>0</v>
      </c>
      <c r="J2189" s="1509">
        <v>0</v>
      </c>
      <c r="K2189" s="1509"/>
      <c r="L2189" s="1509"/>
      <c r="M2189" s="1509">
        <f t="shared" si="336"/>
        <v>0</v>
      </c>
      <c r="N2189" s="1509">
        <f t="shared" si="337"/>
        <v>0</v>
      </c>
      <c r="O2189" s="1510">
        <f t="shared" si="333"/>
        <v>0</v>
      </c>
      <c r="P2189" s="1453">
        <f t="shared" si="334"/>
        <v>0</v>
      </c>
    </row>
    <row r="2190" spans="1:16" ht="29" outlineLevel="1" x14ac:dyDescent="0.25">
      <c r="A2190" s="1511">
        <f t="shared" si="339"/>
        <v>18.100000000000001</v>
      </c>
      <c r="B2190" s="1512" t="str">
        <f t="shared" si="339"/>
        <v xml:space="preserve">Procurement &amp; replacement of complete set of economizer upper &amp; lower bank coils of Unit No. 6 </v>
      </c>
      <c r="C2190" s="1511" t="str">
        <f t="shared" si="339"/>
        <v>MERC/CAPEX/2019-2020/419</v>
      </c>
      <c r="D2190" s="1378">
        <f t="shared" si="339"/>
        <v>43672</v>
      </c>
      <c r="E2190" s="1513">
        <f t="shared" si="339"/>
        <v>10.6</v>
      </c>
      <c r="F2190" s="1509">
        <f t="shared" si="331"/>
        <v>12.505020100000001</v>
      </c>
      <c r="G2190" s="1509">
        <f t="shared" si="332"/>
        <v>12.505120100000001</v>
      </c>
      <c r="H2190" s="1509">
        <f t="shared" si="335"/>
        <v>-9.9999999999766942E-5</v>
      </c>
      <c r="I2190" s="1509">
        <v>0</v>
      </c>
      <c r="J2190" s="1509">
        <v>0</v>
      </c>
      <c r="K2190" s="1509"/>
      <c r="L2190" s="1509"/>
      <c r="M2190" s="1509">
        <f t="shared" si="336"/>
        <v>0</v>
      </c>
      <c r="N2190" s="1509">
        <f t="shared" si="337"/>
        <v>-9.9999999999766942E-5</v>
      </c>
      <c r="O2190" s="1510">
        <f t="shared" si="333"/>
        <v>0</v>
      </c>
      <c r="P2190" s="1453">
        <f t="shared" si="334"/>
        <v>0</v>
      </c>
    </row>
    <row r="2191" spans="1:16" ht="29" outlineLevel="1" x14ac:dyDescent="0.25">
      <c r="A2191" s="1511">
        <f t="shared" si="339"/>
        <v>18.2</v>
      </c>
      <c r="B2191" s="1512" t="str">
        <f t="shared" si="339"/>
        <v>Procurement &amp; replacement of complete set of LTSH upper &amp; lower bank coils for Parli TPS unit-7</v>
      </c>
      <c r="C2191" s="1511" t="str">
        <f t="shared" si="339"/>
        <v>MERC/CAPEX/2019-2020/419</v>
      </c>
      <c r="D2191" s="1378">
        <f t="shared" si="339"/>
        <v>43672</v>
      </c>
      <c r="E2191" s="1513">
        <f t="shared" si="339"/>
        <v>10.6</v>
      </c>
      <c r="F2191" s="1509">
        <f t="shared" si="331"/>
        <v>12.3255</v>
      </c>
      <c r="G2191" s="1509">
        <f t="shared" si="332"/>
        <v>12.328390300000001</v>
      </c>
      <c r="H2191" s="1509">
        <f t="shared" si="335"/>
        <v>-2.8903000000006784E-3</v>
      </c>
      <c r="I2191" s="1509">
        <v>0</v>
      </c>
      <c r="J2191" s="1509">
        <v>0</v>
      </c>
      <c r="K2191" s="1509"/>
      <c r="L2191" s="1509"/>
      <c r="M2191" s="1509">
        <f t="shared" si="336"/>
        <v>0</v>
      </c>
      <c r="N2191" s="1509">
        <f t="shared" si="337"/>
        <v>-2.8903000000006784E-3</v>
      </c>
      <c r="O2191" s="1510">
        <f t="shared" si="333"/>
        <v>0</v>
      </c>
      <c r="P2191" s="1453">
        <f t="shared" si="334"/>
        <v>0</v>
      </c>
    </row>
    <row r="2192" spans="1:16" outlineLevel="1" x14ac:dyDescent="0.25">
      <c r="A2192" s="1511">
        <f t="shared" si="339"/>
        <v>0</v>
      </c>
      <c r="B2192" s="1516" t="str">
        <f t="shared" si="339"/>
        <v>IDC</v>
      </c>
      <c r="C2192" s="1511" t="str">
        <f t="shared" si="339"/>
        <v>MERC/CAPEX/2019-2020/419</v>
      </c>
      <c r="D2192" s="1378">
        <f t="shared" si="339"/>
        <v>43672</v>
      </c>
      <c r="E2192" s="1513">
        <f t="shared" si="339"/>
        <v>1.52</v>
      </c>
      <c r="F2192" s="1509">
        <f t="shared" si="331"/>
        <v>0.81066607999999996</v>
      </c>
      <c r="G2192" s="1509">
        <f t="shared" si="332"/>
        <v>2.6306608000000002</v>
      </c>
      <c r="H2192" s="1509">
        <f t="shared" si="335"/>
        <v>-1.8199947200000004</v>
      </c>
      <c r="I2192" s="1509">
        <v>0</v>
      </c>
      <c r="J2192" s="1509">
        <v>0</v>
      </c>
      <c r="K2192" s="1509"/>
      <c r="L2192" s="1509"/>
      <c r="M2192" s="1509">
        <f t="shared" si="336"/>
        <v>0</v>
      </c>
      <c r="N2192" s="1509">
        <f t="shared" si="337"/>
        <v>-1.8199947200000004</v>
      </c>
      <c r="O2192" s="1510">
        <f t="shared" si="333"/>
        <v>0</v>
      </c>
      <c r="P2192" s="1453">
        <f t="shared" si="334"/>
        <v>0</v>
      </c>
    </row>
    <row r="2193" spans="1:16" ht="29" outlineLevel="1" x14ac:dyDescent="0.25">
      <c r="A2193" s="1506">
        <f t="shared" si="339"/>
        <v>19</v>
      </c>
      <c r="B2193" s="1507" t="str">
        <f t="shared" si="339"/>
        <v>Schemes related to enhance the performance of Coal Handling Plant (2 x 250 MW) at Parli TPS</v>
      </c>
      <c r="C2193" s="1506" t="str">
        <f t="shared" si="339"/>
        <v>MERC/CAPEX/2019-2020/451</v>
      </c>
      <c r="D2193" s="1508">
        <f t="shared" si="339"/>
        <v>43676</v>
      </c>
      <c r="E2193" s="1509">
        <f t="shared" si="339"/>
        <v>10.719999999999999</v>
      </c>
      <c r="F2193" s="1509">
        <f t="shared" si="331"/>
        <v>0</v>
      </c>
      <c r="G2193" s="1509">
        <f t="shared" si="332"/>
        <v>0</v>
      </c>
      <c r="H2193" s="1509">
        <f t="shared" si="335"/>
        <v>0</v>
      </c>
      <c r="I2193" s="1509">
        <v>0</v>
      </c>
      <c r="J2193" s="1509">
        <v>0</v>
      </c>
      <c r="K2193" s="1509"/>
      <c r="L2193" s="1509"/>
      <c r="M2193" s="1509">
        <f t="shared" si="336"/>
        <v>0</v>
      </c>
      <c r="N2193" s="1509">
        <f t="shared" si="337"/>
        <v>0</v>
      </c>
      <c r="O2193" s="1510">
        <f t="shared" si="333"/>
        <v>0</v>
      </c>
      <c r="P2193" s="1453">
        <f t="shared" si="334"/>
        <v>0</v>
      </c>
    </row>
    <row r="2194" spans="1:16" outlineLevel="1" x14ac:dyDescent="0.25">
      <c r="A2194" s="1511">
        <f t="shared" si="339"/>
        <v>19.100000000000001</v>
      </c>
      <c r="B2194" s="1512" t="str">
        <f t="shared" si="339"/>
        <v xml:space="preserve">Procurement of 02 Nos. of BD155 Bulldozers for Parli TPS    </v>
      </c>
      <c r="C2194" s="1511" t="str">
        <f t="shared" si="339"/>
        <v>MERC/CAPEX/2019-2020/451</v>
      </c>
      <c r="D2194" s="1378">
        <f t="shared" si="339"/>
        <v>43676</v>
      </c>
      <c r="E2194" s="1513">
        <f t="shared" si="339"/>
        <v>3.93</v>
      </c>
      <c r="F2194" s="1509">
        <f t="shared" si="331"/>
        <v>4.3292536000000004</v>
      </c>
      <c r="G2194" s="1509">
        <f t="shared" si="332"/>
        <v>4.3292536000000004</v>
      </c>
      <c r="H2194" s="1509">
        <f t="shared" si="335"/>
        <v>0</v>
      </c>
      <c r="I2194" s="1509">
        <v>0</v>
      </c>
      <c r="J2194" s="1509">
        <v>0</v>
      </c>
      <c r="K2194" s="1509"/>
      <c r="L2194" s="1509"/>
      <c r="M2194" s="1509">
        <f t="shared" si="336"/>
        <v>0</v>
      </c>
      <c r="N2194" s="1509">
        <f t="shared" si="337"/>
        <v>0</v>
      </c>
      <c r="O2194" s="1510">
        <f t="shared" si="333"/>
        <v>0</v>
      </c>
      <c r="P2194" s="1453">
        <f t="shared" si="334"/>
        <v>0</v>
      </c>
    </row>
    <row r="2195" spans="1:16" outlineLevel="1" x14ac:dyDescent="0.25">
      <c r="A2195" s="1511">
        <f t="shared" si="339"/>
        <v>19.2</v>
      </c>
      <c r="B2195" s="1512" t="str">
        <f t="shared" si="339"/>
        <v xml:space="preserve">Procurement of 02 Nos. of Locomotives(800 HP) for Parli TPS    </v>
      </c>
      <c r="C2195" s="1506" t="str">
        <f t="shared" si="339"/>
        <v>MERC/CAPEX/2019-2020/451</v>
      </c>
      <c r="D2195" s="1508">
        <f t="shared" si="339"/>
        <v>43676</v>
      </c>
      <c r="E2195" s="1509">
        <f t="shared" si="339"/>
        <v>6.25</v>
      </c>
      <c r="F2195" s="1509">
        <f t="shared" si="331"/>
        <v>6.4416200000000003</v>
      </c>
      <c r="G2195" s="1509">
        <f t="shared" si="332"/>
        <v>6.4416200000000003</v>
      </c>
      <c r="H2195" s="1509">
        <f t="shared" si="335"/>
        <v>0</v>
      </c>
      <c r="I2195" s="1509">
        <v>0</v>
      </c>
      <c r="J2195" s="1509">
        <v>0</v>
      </c>
      <c r="K2195" s="1509"/>
      <c r="L2195" s="1509"/>
      <c r="M2195" s="1509">
        <f t="shared" si="336"/>
        <v>0</v>
      </c>
      <c r="N2195" s="1509">
        <f t="shared" si="337"/>
        <v>0</v>
      </c>
      <c r="O2195" s="1510">
        <f t="shared" si="333"/>
        <v>0</v>
      </c>
      <c r="P2195" s="1453">
        <f t="shared" si="334"/>
        <v>0</v>
      </c>
    </row>
    <row r="2196" spans="1:16" outlineLevel="1" x14ac:dyDescent="0.25">
      <c r="A2196" s="1511">
        <f t="shared" si="339"/>
        <v>0</v>
      </c>
      <c r="B2196" s="1512" t="str">
        <f t="shared" si="339"/>
        <v>IDC</v>
      </c>
      <c r="C2196" s="1511" t="str">
        <f t="shared" si="339"/>
        <v>MERC/CAPEX/2019-2020/451</v>
      </c>
      <c r="D2196" s="1378">
        <f t="shared" si="339"/>
        <v>43676</v>
      </c>
      <c r="E2196" s="1513">
        <f t="shared" si="339"/>
        <v>0.54</v>
      </c>
      <c r="F2196" s="1509">
        <f t="shared" si="331"/>
        <v>0</v>
      </c>
      <c r="G2196" s="1509">
        <f t="shared" si="332"/>
        <v>0</v>
      </c>
      <c r="H2196" s="1509">
        <f t="shared" si="335"/>
        <v>0</v>
      </c>
      <c r="I2196" s="1509">
        <v>0</v>
      </c>
      <c r="J2196" s="1509">
        <v>0</v>
      </c>
      <c r="K2196" s="1509"/>
      <c r="L2196" s="1509"/>
      <c r="M2196" s="1509">
        <f t="shared" si="336"/>
        <v>0</v>
      </c>
      <c r="N2196" s="1509">
        <f t="shared" si="337"/>
        <v>0</v>
      </c>
      <c r="O2196" s="1510">
        <f t="shared" si="333"/>
        <v>0</v>
      </c>
      <c r="P2196" s="1453">
        <f t="shared" si="334"/>
        <v>0</v>
      </c>
    </row>
    <row r="2197" spans="1:16" ht="58" outlineLevel="1" x14ac:dyDescent="0.25">
      <c r="A2197" s="1506">
        <f t="shared" si="339"/>
        <v>20</v>
      </c>
      <c r="B2197" s="1507" t="str">
        <f t="shared" si="339"/>
        <v>Procurement of Energy Efficient Cartridges of boiler Feed Pumps at Unit # 6 &amp; 7, Girth Gear, Pinion for BBD-4772 Coal Mills &amp; Procurement, Installation, Commissioning of Variable Frequency Drive for Gravimetric Coal Feeders (2X250MW) at Parli TPS</v>
      </c>
      <c r="C2197" s="1506" t="str">
        <f t="shared" si="339"/>
        <v>MERC/CAPEX/2019-2020/476,
MERC/CAPEX/2019-2020/858</v>
      </c>
      <c r="D2197" s="1508" t="str">
        <f t="shared" si="339"/>
        <v>01-08-2019,
10-10-2019</v>
      </c>
      <c r="E2197" s="1509">
        <f t="shared" si="339"/>
        <v>21.26</v>
      </c>
      <c r="F2197" s="1509">
        <f t="shared" si="331"/>
        <v>0</v>
      </c>
      <c r="G2197" s="1509">
        <f t="shared" si="332"/>
        <v>0</v>
      </c>
      <c r="H2197" s="1509">
        <f t="shared" si="335"/>
        <v>0</v>
      </c>
      <c r="I2197" s="1509">
        <v>0</v>
      </c>
      <c r="J2197" s="1509">
        <v>0</v>
      </c>
      <c r="K2197" s="1509"/>
      <c r="L2197" s="1509"/>
      <c r="M2197" s="1509">
        <f t="shared" si="336"/>
        <v>0</v>
      </c>
      <c r="N2197" s="1509">
        <f t="shared" si="337"/>
        <v>0</v>
      </c>
      <c r="O2197" s="1510">
        <f t="shared" si="333"/>
        <v>0</v>
      </c>
      <c r="P2197" s="1453">
        <f t="shared" si="334"/>
        <v>0</v>
      </c>
    </row>
    <row r="2198" spans="1:16" ht="58" outlineLevel="1" x14ac:dyDescent="0.25">
      <c r="A2198" s="1511">
        <f t="shared" si="339"/>
        <v>20.100000000000001</v>
      </c>
      <c r="B2198" s="1512" t="str">
        <f t="shared" si="339"/>
        <v>Procurement &amp; replacement of complete BFP Cartridge for advance class pump model FK-3B-40.</v>
      </c>
      <c r="C2198" s="1511" t="str">
        <f t="shared" si="339"/>
        <v>MERC/CAPEX/2019-2020/476,
MERC/CAPEX/2019-2020/858</v>
      </c>
      <c r="D2198" s="1378" t="str">
        <f t="shared" si="339"/>
        <v>01-08-2019,
10-10-2019</v>
      </c>
      <c r="E2198" s="1513">
        <f t="shared" si="339"/>
        <v>14.39</v>
      </c>
      <c r="F2198" s="1509">
        <f t="shared" si="331"/>
        <v>14.1187</v>
      </c>
      <c r="G2198" s="1509">
        <f t="shared" si="332"/>
        <v>14.1187</v>
      </c>
      <c r="H2198" s="1509">
        <f t="shared" si="335"/>
        <v>0</v>
      </c>
      <c r="I2198" s="1509">
        <v>0</v>
      </c>
      <c r="J2198" s="1509">
        <v>0</v>
      </c>
      <c r="K2198" s="1509"/>
      <c r="L2198" s="1509"/>
      <c r="M2198" s="1509">
        <f t="shared" si="336"/>
        <v>0</v>
      </c>
      <c r="N2198" s="1509">
        <f t="shared" si="337"/>
        <v>0</v>
      </c>
      <c r="O2198" s="1510">
        <f t="shared" si="333"/>
        <v>0</v>
      </c>
      <c r="P2198" s="1453">
        <f t="shared" si="334"/>
        <v>0</v>
      </c>
    </row>
    <row r="2199" spans="1:16" ht="29" outlineLevel="1" x14ac:dyDescent="0.25">
      <c r="A2199" s="1511">
        <f t="shared" si="339"/>
        <v>20.2</v>
      </c>
      <c r="B2199" s="1512" t="str">
        <f t="shared" si="339"/>
        <v>Procurement of girth gear pinion for BBD-4772 coal mill at Parli TPS &amp; Work Cost for replacement of girth gear, pinion shaft bearing.</v>
      </c>
      <c r="C2199" s="1506">
        <f t="shared" si="339"/>
        <v>0</v>
      </c>
      <c r="D2199" s="1508" t="str">
        <f t="shared" si="339"/>
        <v>Not Approved</v>
      </c>
      <c r="E2199" s="1509">
        <f t="shared" si="339"/>
        <v>0</v>
      </c>
      <c r="F2199" s="1509">
        <f t="shared" si="331"/>
        <v>0</v>
      </c>
      <c r="G2199" s="1509">
        <f t="shared" si="332"/>
        <v>0</v>
      </c>
      <c r="H2199" s="1509">
        <f t="shared" si="335"/>
        <v>0</v>
      </c>
      <c r="I2199" s="1509">
        <v>0</v>
      </c>
      <c r="J2199" s="1509">
        <v>0</v>
      </c>
      <c r="K2199" s="1509"/>
      <c r="L2199" s="1509"/>
      <c r="M2199" s="1509">
        <f t="shared" si="336"/>
        <v>0</v>
      </c>
      <c r="N2199" s="1509">
        <f t="shared" si="337"/>
        <v>0</v>
      </c>
      <c r="O2199" s="1510">
        <f t="shared" si="333"/>
        <v>0</v>
      </c>
      <c r="P2199" s="1453">
        <f t="shared" si="334"/>
        <v>0</v>
      </c>
    </row>
    <row r="2200" spans="1:16" ht="58" outlineLevel="1" x14ac:dyDescent="0.25">
      <c r="A2200" s="1511">
        <f t="shared" ref="A2200:E2215" si="340">A1843</f>
        <v>20.3</v>
      </c>
      <c r="B2200" s="1512" t="str">
        <f t="shared" si="340"/>
        <v>Procurement of VFD up-grade kit for replacement of existing Eddy current clutch drive system.</v>
      </c>
      <c r="C2200" s="1511" t="str">
        <f t="shared" si="340"/>
        <v>MERC/CAPEX/2019-2020/476,
MERC/CAPEX/2019-2020/858</v>
      </c>
      <c r="D2200" s="1378" t="str">
        <f t="shared" si="340"/>
        <v>01-08-2019,
10-10-2019</v>
      </c>
      <c r="E2200" s="1513">
        <f t="shared" si="340"/>
        <v>5.94</v>
      </c>
      <c r="F2200" s="1509">
        <f t="shared" si="331"/>
        <v>5.9323319999999997</v>
      </c>
      <c r="G2200" s="1509">
        <f t="shared" si="332"/>
        <v>5.9323319999999997</v>
      </c>
      <c r="H2200" s="1509">
        <f t="shared" si="335"/>
        <v>0</v>
      </c>
      <c r="I2200" s="1509">
        <v>0</v>
      </c>
      <c r="J2200" s="1509">
        <v>0</v>
      </c>
      <c r="K2200" s="1509"/>
      <c r="L2200" s="1509"/>
      <c r="M2200" s="1509">
        <f t="shared" si="336"/>
        <v>0</v>
      </c>
      <c r="N2200" s="1509">
        <f t="shared" si="337"/>
        <v>0</v>
      </c>
      <c r="O2200" s="1510">
        <f t="shared" si="333"/>
        <v>0</v>
      </c>
      <c r="P2200" s="1453">
        <f t="shared" si="334"/>
        <v>0</v>
      </c>
    </row>
    <row r="2201" spans="1:16" ht="58" outlineLevel="1" x14ac:dyDescent="0.25">
      <c r="A2201" s="1511">
        <f t="shared" si="340"/>
        <v>20.399999999999999</v>
      </c>
      <c r="B2201" s="1512" t="str">
        <f t="shared" si="340"/>
        <v>Supervision of Installation, erection and commissioning for DT-9 &amp; VFD Upgrade system inclusive of travel charges Boarding and lodging.</v>
      </c>
      <c r="C2201" s="1511" t="str">
        <f t="shared" si="340"/>
        <v>MERC/CAPEX/2019-2020/476,
MERC/CAPEX/2019-2020/858</v>
      </c>
      <c r="D2201" s="1378" t="str">
        <f t="shared" si="340"/>
        <v>01-08-2019,
10-10-2019</v>
      </c>
      <c r="E2201" s="1513">
        <f t="shared" si="340"/>
        <v>0.28999999999999998</v>
      </c>
      <c r="F2201" s="1509">
        <f t="shared" si="331"/>
        <v>0.28320000000000001</v>
      </c>
      <c r="G2201" s="1509">
        <f t="shared" si="332"/>
        <v>0.28320000000000001</v>
      </c>
      <c r="H2201" s="1509">
        <f t="shared" si="335"/>
        <v>0</v>
      </c>
      <c r="I2201" s="1509">
        <v>0</v>
      </c>
      <c r="J2201" s="1509">
        <v>0</v>
      </c>
      <c r="K2201" s="1509"/>
      <c r="L2201" s="1509"/>
      <c r="M2201" s="1509">
        <f t="shared" si="336"/>
        <v>0</v>
      </c>
      <c r="N2201" s="1509">
        <f t="shared" si="337"/>
        <v>0</v>
      </c>
      <c r="O2201" s="1510">
        <f t="shared" si="333"/>
        <v>0</v>
      </c>
      <c r="P2201" s="1453">
        <f t="shared" si="334"/>
        <v>0</v>
      </c>
    </row>
    <row r="2202" spans="1:16" ht="58" outlineLevel="1" x14ac:dyDescent="0.25">
      <c r="A2202" s="1511">
        <f t="shared" si="340"/>
        <v>0</v>
      </c>
      <c r="B2202" s="1512" t="str">
        <f t="shared" si="340"/>
        <v>IDC</v>
      </c>
      <c r="C2202" s="1511" t="str">
        <f t="shared" si="340"/>
        <v>MERC/CAPEX/2019-2020/476,
MERC/CAPEX/2019-2020/858</v>
      </c>
      <c r="D2202" s="1378" t="str">
        <f t="shared" si="340"/>
        <v>01-08-2019,
10-10-2019</v>
      </c>
      <c r="E2202" s="1513">
        <f t="shared" si="340"/>
        <v>0.64</v>
      </c>
      <c r="F2202" s="1509">
        <f t="shared" si="331"/>
        <v>0.51657549999999997</v>
      </c>
      <c r="G2202" s="1509">
        <f t="shared" si="332"/>
        <v>0.51657549999999997</v>
      </c>
      <c r="H2202" s="1509">
        <f t="shared" si="335"/>
        <v>0</v>
      </c>
      <c r="I2202" s="1509">
        <v>0</v>
      </c>
      <c r="J2202" s="1509">
        <v>0</v>
      </c>
      <c r="K2202" s="1509"/>
      <c r="L2202" s="1509"/>
      <c r="M2202" s="1509">
        <f t="shared" si="336"/>
        <v>0</v>
      </c>
      <c r="N2202" s="1509">
        <f t="shared" si="337"/>
        <v>0</v>
      </c>
      <c r="O2202" s="1510">
        <f t="shared" si="333"/>
        <v>0</v>
      </c>
      <c r="P2202" s="1453">
        <f t="shared" si="334"/>
        <v>0</v>
      </c>
    </row>
    <row r="2203" spans="1:16" ht="43.5" outlineLevel="1" x14ac:dyDescent="0.25">
      <c r="A2203" s="1506">
        <f t="shared" si="340"/>
        <v>21</v>
      </c>
      <c r="B2203" s="1507" t="str">
        <f t="shared" si="340"/>
        <v>HMI up-gradation of DCS U-6 &amp; U-7 and Procurement of Assemblies for Reducer Gear box SZN-630 &amp; SBN-630 for BBD-4772 (2 x 250 MW) coal mills at Parli TPS</v>
      </c>
      <c r="C2203" s="1506" t="str">
        <f t="shared" si="340"/>
        <v>MERC/CAPEX/2019-2020/854</v>
      </c>
      <c r="D2203" s="1508">
        <f t="shared" si="340"/>
        <v>43748</v>
      </c>
      <c r="E2203" s="1509">
        <f t="shared" si="340"/>
        <v>13.2</v>
      </c>
      <c r="F2203" s="1509">
        <f t="shared" si="331"/>
        <v>0</v>
      </c>
      <c r="G2203" s="1509">
        <f t="shared" si="332"/>
        <v>0</v>
      </c>
      <c r="H2203" s="1509">
        <f t="shared" si="335"/>
        <v>0</v>
      </c>
      <c r="I2203" s="1509">
        <v>0</v>
      </c>
      <c r="J2203" s="1509">
        <v>0</v>
      </c>
      <c r="K2203" s="1509"/>
      <c r="L2203" s="1509"/>
      <c r="M2203" s="1509">
        <f t="shared" si="336"/>
        <v>0</v>
      </c>
      <c r="N2203" s="1509">
        <f t="shared" si="337"/>
        <v>0</v>
      </c>
      <c r="O2203" s="1510">
        <f t="shared" si="333"/>
        <v>0</v>
      </c>
      <c r="P2203" s="1453">
        <f t="shared" si="334"/>
        <v>0</v>
      </c>
    </row>
    <row r="2204" spans="1:16" outlineLevel="1" x14ac:dyDescent="0.25">
      <c r="A2204" s="1511">
        <f t="shared" si="340"/>
        <v>21.1</v>
      </c>
      <c r="B2204" s="1512" t="str">
        <f t="shared" si="340"/>
        <v>Up gradation of MaxDNA DCS system (HMI Up gradation).</v>
      </c>
      <c r="C2204" s="1511" t="str">
        <f t="shared" si="340"/>
        <v>MERC/CAPEX/2019-2020/854</v>
      </c>
      <c r="D2204" s="1378">
        <f t="shared" si="340"/>
        <v>43748</v>
      </c>
      <c r="E2204" s="1513">
        <f t="shared" si="340"/>
        <v>10.49</v>
      </c>
      <c r="F2204" s="1509">
        <f t="shared" si="331"/>
        <v>9.06</v>
      </c>
      <c r="G2204" s="1509">
        <f t="shared" si="332"/>
        <v>9.4502962000000004</v>
      </c>
      <c r="H2204" s="1509">
        <f t="shared" si="335"/>
        <v>-0.39029619999999987</v>
      </c>
      <c r="I2204" s="1509">
        <v>0</v>
      </c>
      <c r="J2204" s="1509">
        <v>0</v>
      </c>
      <c r="K2204" s="1509"/>
      <c r="L2204" s="1509"/>
      <c r="M2204" s="1509">
        <f t="shared" si="336"/>
        <v>0</v>
      </c>
      <c r="N2204" s="1509">
        <f t="shared" si="337"/>
        <v>-0.39029619999999987</v>
      </c>
      <c r="O2204" s="1510">
        <f t="shared" si="333"/>
        <v>0</v>
      </c>
      <c r="P2204" s="1453">
        <f t="shared" si="334"/>
        <v>0</v>
      </c>
    </row>
    <row r="2205" spans="1:16" outlineLevel="1" x14ac:dyDescent="0.25">
      <c r="A2205" s="1511">
        <f t="shared" si="340"/>
        <v>0</v>
      </c>
      <c r="B2205" s="1512" t="str">
        <f t="shared" si="340"/>
        <v>IDC</v>
      </c>
      <c r="C2205" s="1511">
        <f t="shared" si="340"/>
        <v>0</v>
      </c>
      <c r="D2205" s="1378" t="str">
        <f t="shared" si="340"/>
        <v>-</v>
      </c>
      <c r="E2205" s="1513">
        <f t="shared" si="340"/>
        <v>0</v>
      </c>
      <c r="F2205" s="1509">
        <f t="shared" si="331"/>
        <v>0.20089699999999999</v>
      </c>
      <c r="G2205" s="1509">
        <f t="shared" si="332"/>
        <v>0.72855489999999945</v>
      </c>
      <c r="H2205" s="1509">
        <f t="shared" si="335"/>
        <v>-0.52765789999999946</v>
      </c>
      <c r="I2205" s="1509">
        <v>0</v>
      </c>
      <c r="J2205" s="1509">
        <v>0</v>
      </c>
      <c r="K2205" s="1509"/>
      <c r="L2205" s="1509"/>
      <c r="M2205" s="1509">
        <f t="shared" si="336"/>
        <v>0</v>
      </c>
      <c r="N2205" s="1509">
        <f t="shared" si="337"/>
        <v>-0.52765789999999946</v>
      </c>
      <c r="O2205" s="1510"/>
      <c r="P2205" s="1453"/>
    </row>
    <row r="2206" spans="1:16" ht="29" outlineLevel="1" x14ac:dyDescent="0.25">
      <c r="A2206" s="1511">
        <f t="shared" si="340"/>
        <v>21.2</v>
      </c>
      <c r="B2206" s="1512" t="str">
        <f t="shared" si="340"/>
        <v xml:space="preserve">Procurement of Spares for Reducer Gear box SZN-630 for BBD-4772 Coal mills of 250MW at Unit 6 </v>
      </c>
      <c r="C2206" s="1506" t="str">
        <f t="shared" si="340"/>
        <v>MERC/CAPEX/2019-2020/854</v>
      </c>
      <c r="D2206" s="1508">
        <f t="shared" si="340"/>
        <v>43748</v>
      </c>
      <c r="E2206" s="1509">
        <f t="shared" si="340"/>
        <v>1.01</v>
      </c>
      <c r="F2206" s="1509">
        <f t="shared" si="331"/>
        <v>1.0442298999999999</v>
      </c>
      <c r="G2206" s="1509">
        <f t="shared" si="332"/>
        <v>1.0442298999999999</v>
      </c>
      <c r="H2206" s="1509">
        <f t="shared" si="335"/>
        <v>0</v>
      </c>
      <c r="I2206" s="1509">
        <v>0</v>
      </c>
      <c r="J2206" s="1509">
        <v>0</v>
      </c>
      <c r="K2206" s="1509"/>
      <c r="L2206" s="1509"/>
      <c r="M2206" s="1509">
        <f t="shared" si="336"/>
        <v>0</v>
      </c>
      <c r="N2206" s="1509">
        <f t="shared" si="337"/>
        <v>0</v>
      </c>
      <c r="O2206" s="1510">
        <f t="shared" ref="O2206:O2215" si="341">MAX(0,IF(M2206=0,0,IF(G2206+M2206&lt;E2206,M2206,E2206-G2206)))</f>
        <v>0</v>
      </c>
      <c r="P2206" s="1453">
        <f t="shared" ref="P2206:P2215" si="342">M2206-O2206</f>
        <v>0</v>
      </c>
    </row>
    <row r="2207" spans="1:16" ht="29" outlineLevel="1" x14ac:dyDescent="0.25">
      <c r="A2207" s="1511">
        <f t="shared" si="340"/>
        <v>21.3</v>
      </c>
      <c r="B2207" s="1512" t="str">
        <f t="shared" si="340"/>
        <v xml:space="preserve">Procurement of Spares for Reducer Gear box SBN-630 for BBD-4772 Coal mills of 250MW at Unit 7 </v>
      </c>
      <c r="C2207" s="1511" t="str">
        <f t="shared" si="340"/>
        <v>MERC/CAPEX/2019-2020/854</v>
      </c>
      <c r="D2207" s="1378">
        <f t="shared" si="340"/>
        <v>43748</v>
      </c>
      <c r="E2207" s="1513">
        <f t="shared" si="340"/>
        <v>1.7</v>
      </c>
      <c r="F2207" s="1509">
        <f t="shared" si="331"/>
        <v>1.6232219000000001</v>
      </c>
      <c r="G2207" s="1509">
        <f t="shared" si="332"/>
        <v>1.6232219000000001</v>
      </c>
      <c r="H2207" s="1509">
        <f t="shared" si="335"/>
        <v>0</v>
      </c>
      <c r="I2207" s="1509">
        <v>0</v>
      </c>
      <c r="J2207" s="1509">
        <v>0</v>
      </c>
      <c r="K2207" s="1509"/>
      <c r="L2207" s="1509"/>
      <c r="M2207" s="1509">
        <f t="shared" si="336"/>
        <v>0</v>
      </c>
      <c r="N2207" s="1509">
        <f t="shared" si="337"/>
        <v>0</v>
      </c>
      <c r="O2207" s="1510">
        <f t="shared" si="341"/>
        <v>0</v>
      </c>
      <c r="P2207" s="1453">
        <f t="shared" si="342"/>
        <v>0</v>
      </c>
    </row>
    <row r="2208" spans="1:16" outlineLevel="1" x14ac:dyDescent="0.25">
      <c r="A2208" s="1511">
        <f t="shared" si="340"/>
        <v>0</v>
      </c>
      <c r="B2208" s="1512" t="str">
        <f t="shared" si="340"/>
        <v>IDC</v>
      </c>
      <c r="C2208" s="1511" t="str">
        <f t="shared" si="340"/>
        <v>MERC/CAPEX/2019-2020/854</v>
      </c>
      <c r="D2208" s="1378">
        <f t="shared" si="340"/>
        <v>43748</v>
      </c>
      <c r="E2208" s="1513">
        <f t="shared" si="340"/>
        <v>0</v>
      </c>
      <c r="F2208" s="1509">
        <f t="shared" si="331"/>
        <v>0</v>
      </c>
      <c r="G2208" s="1509">
        <f t="shared" si="332"/>
        <v>0</v>
      </c>
      <c r="H2208" s="1509">
        <f t="shared" si="335"/>
        <v>0</v>
      </c>
      <c r="I2208" s="1509">
        <v>0</v>
      </c>
      <c r="J2208" s="1509">
        <v>0</v>
      </c>
      <c r="K2208" s="1509"/>
      <c r="L2208" s="1509"/>
      <c r="M2208" s="1509">
        <f t="shared" si="336"/>
        <v>0</v>
      </c>
      <c r="N2208" s="1509">
        <f t="shared" si="337"/>
        <v>0</v>
      </c>
      <c r="O2208" s="1510">
        <f t="shared" si="341"/>
        <v>0</v>
      </c>
      <c r="P2208" s="1453">
        <f t="shared" si="342"/>
        <v>0</v>
      </c>
    </row>
    <row r="2209" spans="1:16" outlineLevel="1" x14ac:dyDescent="0.25">
      <c r="A2209" s="1506">
        <f t="shared" si="340"/>
        <v>22</v>
      </c>
      <c r="B2209" s="1507" t="str">
        <f t="shared" si="340"/>
        <v>Flue Gas Desulphurization (FGD) System at Unit 6 &amp; 7 Parli TPS</v>
      </c>
      <c r="C2209" s="1506" t="str">
        <f t="shared" si="340"/>
        <v>MERC/CAPEX/2021-2022/0284</v>
      </c>
      <c r="D2209" s="1508">
        <f t="shared" si="340"/>
        <v>44739</v>
      </c>
      <c r="E2209" s="1509">
        <f t="shared" si="340"/>
        <v>145.01688209794372</v>
      </c>
      <c r="F2209" s="1509">
        <f t="shared" si="331"/>
        <v>0</v>
      </c>
      <c r="G2209" s="1509">
        <f t="shared" si="332"/>
        <v>0</v>
      </c>
      <c r="H2209" s="1509">
        <f t="shared" si="335"/>
        <v>0</v>
      </c>
      <c r="I2209" s="1509">
        <v>0</v>
      </c>
      <c r="J2209" s="1509">
        <v>0</v>
      </c>
      <c r="K2209" s="1509"/>
      <c r="L2209" s="1509"/>
      <c r="M2209" s="1509">
        <f t="shared" si="336"/>
        <v>0</v>
      </c>
      <c r="N2209" s="1509">
        <f t="shared" si="337"/>
        <v>0</v>
      </c>
      <c r="O2209" s="1510">
        <f t="shared" si="341"/>
        <v>0</v>
      </c>
      <c r="P2209" s="1453">
        <f t="shared" si="342"/>
        <v>0</v>
      </c>
    </row>
    <row r="2210" spans="1:16" outlineLevel="1" x14ac:dyDescent="0.25">
      <c r="A2210" s="1511">
        <f t="shared" si="340"/>
        <v>22.1</v>
      </c>
      <c r="B2210" s="1512" t="str">
        <f t="shared" si="340"/>
        <v xml:space="preserve">Flue Gas Desulphurization (FGD) System at Unit 6 &amp; 7 Parli TPS                    </v>
      </c>
      <c r="C2210" s="1511" t="str">
        <f t="shared" si="340"/>
        <v>MERC/CAPEX/2021-2022/0284</v>
      </c>
      <c r="D2210" s="1378">
        <f t="shared" si="340"/>
        <v>44739</v>
      </c>
      <c r="E2210" s="1513">
        <f t="shared" si="340"/>
        <v>138.44</v>
      </c>
      <c r="F2210" s="1509">
        <f t="shared" si="331"/>
        <v>154.85509999999999</v>
      </c>
      <c r="G2210" s="1509">
        <f t="shared" si="332"/>
        <v>163.28</v>
      </c>
      <c r="H2210" s="1509">
        <f t="shared" si="335"/>
        <v>-8.424900000000008</v>
      </c>
      <c r="I2210" s="1509">
        <v>0</v>
      </c>
      <c r="J2210" s="1509">
        <v>0</v>
      </c>
      <c r="K2210" s="1509"/>
      <c r="L2210" s="1509"/>
      <c r="M2210" s="1509">
        <f t="shared" si="336"/>
        <v>0</v>
      </c>
      <c r="N2210" s="1509">
        <f t="shared" si="337"/>
        <v>-8.424900000000008</v>
      </c>
      <c r="O2210" s="1510">
        <f t="shared" si="341"/>
        <v>0</v>
      </c>
      <c r="P2210" s="1453">
        <f t="shared" si="342"/>
        <v>0</v>
      </c>
    </row>
    <row r="2211" spans="1:16" outlineLevel="1" x14ac:dyDescent="0.25">
      <c r="A2211" s="1511">
        <f t="shared" si="340"/>
        <v>0</v>
      </c>
      <c r="B2211" s="1512" t="str">
        <f t="shared" si="340"/>
        <v>IDC</v>
      </c>
      <c r="C2211" s="1511" t="str">
        <f t="shared" si="340"/>
        <v>MERC/CAPEX/2021-2022/0284</v>
      </c>
      <c r="D2211" s="1378">
        <f t="shared" si="340"/>
        <v>44739</v>
      </c>
      <c r="E2211" s="1513">
        <f t="shared" si="340"/>
        <v>6.5768820979437104</v>
      </c>
      <c r="F2211" s="1509">
        <f t="shared" si="331"/>
        <v>7.15</v>
      </c>
      <c r="G2211" s="1509">
        <f t="shared" si="332"/>
        <v>0</v>
      </c>
      <c r="H2211" s="1509">
        <f t="shared" si="335"/>
        <v>7.15</v>
      </c>
      <c r="I2211" s="1509">
        <v>0</v>
      </c>
      <c r="J2211" s="1509">
        <v>0</v>
      </c>
      <c r="K2211" s="1509"/>
      <c r="L2211" s="1509"/>
      <c r="M2211" s="1509">
        <f t="shared" si="336"/>
        <v>0</v>
      </c>
      <c r="N2211" s="1509">
        <f t="shared" si="337"/>
        <v>7.15</v>
      </c>
      <c r="O2211" s="1510">
        <f t="shared" si="341"/>
        <v>0</v>
      </c>
      <c r="P2211" s="1453">
        <f t="shared" si="342"/>
        <v>0</v>
      </c>
    </row>
    <row r="2212" spans="1:16" ht="43.5" outlineLevel="1" x14ac:dyDescent="0.25">
      <c r="A2212" s="1506" t="str">
        <f t="shared" si="340"/>
        <v>HO
DPR-5</v>
      </c>
      <c r="B2212" s="1507" t="str">
        <f t="shared" si="340"/>
        <v>Procurement of energy efficient HT motors at Bhusawal TPS, Koradi TPS, Chandrapur TPS, khaperkheda TPS, Parli TPS &amp; Paras TPS as insurance spares</v>
      </c>
      <c r="C2212" s="1506" t="str">
        <f t="shared" si="340"/>
        <v>MERC/TECH 1/CAPEX/20142015/01218</v>
      </c>
      <c r="D2212" s="1508">
        <f t="shared" si="340"/>
        <v>41968</v>
      </c>
      <c r="E2212" s="1509">
        <f t="shared" si="340"/>
        <v>3.05</v>
      </c>
      <c r="F2212" s="1509">
        <f t="shared" si="331"/>
        <v>0</v>
      </c>
      <c r="G2212" s="1509">
        <f t="shared" si="332"/>
        <v>0</v>
      </c>
      <c r="H2212" s="1509">
        <f t="shared" si="335"/>
        <v>0</v>
      </c>
      <c r="I2212" s="1509">
        <v>0</v>
      </c>
      <c r="J2212" s="1509">
        <v>0</v>
      </c>
      <c r="K2212" s="1509"/>
      <c r="L2212" s="1509"/>
      <c r="M2212" s="1509">
        <f t="shared" si="336"/>
        <v>0</v>
      </c>
      <c r="N2212" s="1509">
        <f t="shared" si="337"/>
        <v>0</v>
      </c>
      <c r="O2212" s="1510">
        <f t="shared" si="341"/>
        <v>0</v>
      </c>
      <c r="P2212" s="1453">
        <f t="shared" si="342"/>
        <v>0</v>
      </c>
    </row>
    <row r="2213" spans="1:16" ht="43.5" outlineLevel="1" x14ac:dyDescent="0.25">
      <c r="A2213" s="1511" t="str">
        <f t="shared" si="340"/>
        <v>HO
DPR-5a</v>
      </c>
      <c r="B2213" s="1512" t="str">
        <f t="shared" si="340"/>
        <v>Parli: Procurement of HT Motors (CHP-I Phase and CEP/CW/ACW-II Phase)for NPTPS U-6&amp;7</v>
      </c>
      <c r="C2213" s="1511" t="str">
        <f t="shared" si="340"/>
        <v>MERC/TECH 1/CAPEX/20142015/01218</v>
      </c>
      <c r="D2213" s="1378">
        <f t="shared" si="340"/>
        <v>41968</v>
      </c>
      <c r="E2213" s="1513">
        <f t="shared" si="340"/>
        <v>3.05</v>
      </c>
      <c r="F2213" s="1509">
        <f t="shared" si="331"/>
        <v>1.409902</v>
      </c>
      <c r="G2213" s="1509">
        <f t="shared" si="332"/>
        <v>1.409902</v>
      </c>
      <c r="H2213" s="1509">
        <f t="shared" si="335"/>
        <v>0</v>
      </c>
      <c r="I2213" s="1509">
        <v>0</v>
      </c>
      <c r="J2213" s="1509">
        <v>0</v>
      </c>
      <c r="K2213" s="1509"/>
      <c r="L2213" s="1509"/>
      <c r="M2213" s="1509">
        <f t="shared" si="336"/>
        <v>0</v>
      </c>
      <c r="N2213" s="1509">
        <f t="shared" si="337"/>
        <v>0</v>
      </c>
      <c r="O2213" s="1510">
        <f t="shared" si="341"/>
        <v>0</v>
      </c>
      <c r="P2213" s="1453">
        <f t="shared" si="342"/>
        <v>0</v>
      </c>
    </row>
    <row r="2214" spans="1:16" ht="43.5" outlineLevel="1" x14ac:dyDescent="0.25">
      <c r="A2214" s="1506" t="str">
        <f t="shared" si="340"/>
        <v>HO
DPR-6</v>
      </c>
      <c r="B2214" s="1507" t="str">
        <f t="shared" si="340"/>
        <v>Supply, Installation, Commissioning and Operation &amp; Maintenance Services of Continuous Ambient Air Quality Monitoring Stations (CAAQMS) at various TPS</v>
      </c>
      <c r="C2214" s="1506" t="str">
        <f t="shared" si="340"/>
        <v>MERC/CAPEX/20162017/00423</v>
      </c>
      <c r="D2214" s="1508">
        <f t="shared" si="340"/>
        <v>42585</v>
      </c>
      <c r="E2214" s="1509">
        <f t="shared" si="340"/>
        <v>1.3257526714285699</v>
      </c>
      <c r="F2214" s="1509">
        <f t="shared" si="331"/>
        <v>0</v>
      </c>
      <c r="G2214" s="1509">
        <f t="shared" si="332"/>
        <v>0</v>
      </c>
      <c r="H2214" s="1509">
        <f t="shared" si="335"/>
        <v>0</v>
      </c>
      <c r="I2214" s="1509">
        <v>0</v>
      </c>
      <c r="J2214" s="1509">
        <v>0</v>
      </c>
      <c r="K2214" s="1509"/>
      <c r="L2214" s="1509"/>
      <c r="M2214" s="1509">
        <f t="shared" si="336"/>
        <v>0</v>
      </c>
      <c r="N2214" s="1509">
        <f t="shared" si="337"/>
        <v>0</v>
      </c>
      <c r="O2214" s="1510">
        <f t="shared" si="341"/>
        <v>0</v>
      </c>
      <c r="P2214" s="1453">
        <f t="shared" si="342"/>
        <v>0</v>
      </c>
    </row>
    <row r="2215" spans="1:16" ht="43.5" outlineLevel="1" x14ac:dyDescent="0.25">
      <c r="A2215" s="1511" t="str">
        <f t="shared" si="340"/>
        <v>HO
DPR-6a</v>
      </c>
      <c r="B2215" s="1512" t="str">
        <f t="shared" si="340"/>
        <v>NEW PARLI (U-6 &amp; 7)</v>
      </c>
      <c r="C2215" s="1511" t="str">
        <f t="shared" si="340"/>
        <v>MERC/CAPEX/20162017/00423</v>
      </c>
      <c r="D2215" s="1378">
        <f t="shared" si="340"/>
        <v>42585</v>
      </c>
      <c r="E2215" s="1513">
        <f t="shared" si="340"/>
        <v>1.3257526714285699</v>
      </c>
      <c r="F2215" s="1509">
        <f t="shared" si="331"/>
        <v>0.94127489999999991</v>
      </c>
      <c r="G2215" s="1509">
        <f t="shared" si="332"/>
        <v>0.94127489999999991</v>
      </c>
      <c r="H2215" s="1509">
        <f t="shared" si="335"/>
        <v>0</v>
      </c>
      <c r="I2215" s="1509">
        <v>0</v>
      </c>
      <c r="J2215" s="1509">
        <v>0</v>
      </c>
      <c r="K2215" s="1509"/>
      <c r="L2215" s="1509"/>
      <c r="M2215" s="1509">
        <f t="shared" si="336"/>
        <v>0</v>
      </c>
      <c r="N2215" s="1509">
        <f t="shared" si="337"/>
        <v>0</v>
      </c>
      <c r="O2215" s="1510">
        <f t="shared" si="341"/>
        <v>0</v>
      </c>
      <c r="P2215" s="1453">
        <f t="shared" si="342"/>
        <v>0</v>
      </c>
    </row>
    <row r="2216" spans="1:16" outlineLevel="1" x14ac:dyDescent="0.25">
      <c r="A2216" s="1511">
        <f t="shared" ref="A2216:E2231" si="343">A1859</f>
        <v>0</v>
      </c>
      <c r="B2216" s="1512" t="str">
        <f t="shared" si="343"/>
        <v>IDC</v>
      </c>
      <c r="C2216" s="1511">
        <f t="shared" si="343"/>
        <v>0</v>
      </c>
      <c r="D2216" s="1378" t="str">
        <f t="shared" si="343"/>
        <v>-</v>
      </c>
      <c r="E2216" s="1513">
        <f t="shared" si="343"/>
        <v>0</v>
      </c>
      <c r="F2216" s="1509">
        <f t="shared" ref="F2216:F2279" si="344">F1859+I1859</f>
        <v>3.9603800000000002E-2</v>
      </c>
      <c r="G2216" s="1509">
        <f t="shared" ref="G2216:G2279" si="345">G1859+M1859</f>
        <v>3.9603800000000002E-2</v>
      </c>
      <c r="H2216" s="1509">
        <f t="shared" si="335"/>
        <v>0</v>
      </c>
      <c r="I2216" s="1509">
        <v>0</v>
      </c>
      <c r="J2216" s="1509">
        <v>0</v>
      </c>
      <c r="K2216" s="1509"/>
      <c r="L2216" s="1509"/>
      <c r="M2216" s="1509">
        <f t="shared" si="336"/>
        <v>0</v>
      </c>
      <c r="N2216" s="1509">
        <f t="shared" si="337"/>
        <v>0</v>
      </c>
      <c r="O2216" s="1510"/>
      <c r="P2216" s="1453"/>
    </row>
    <row r="2217" spans="1:16" ht="43.5" outlineLevel="1" x14ac:dyDescent="0.25">
      <c r="A2217" s="1506" t="str">
        <f t="shared" si="343"/>
        <v>HO
DPR 7</v>
      </c>
      <c r="B2217" s="1507" t="str">
        <f t="shared" si="343"/>
        <v>Installation of Real Time Online Coal-Ash Analyzer at various TPS</v>
      </c>
      <c r="C2217" s="1506" t="str">
        <f t="shared" si="343"/>
        <v>MERC/CAPEX/20162017/00774</v>
      </c>
      <c r="D2217" s="1508">
        <f t="shared" si="343"/>
        <v>42643</v>
      </c>
      <c r="E2217" s="1509">
        <f t="shared" si="343"/>
        <v>7.0965999999999996</v>
      </c>
      <c r="F2217" s="1509">
        <f t="shared" si="344"/>
        <v>0</v>
      </c>
      <c r="G2217" s="1509">
        <f t="shared" si="345"/>
        <v>0</v>
      </c>
      <c r="H2217" s="1509">
        <f t="shared" ref="H2217:H2280" si="346">F2217-G2217</f>
        <v>0</v>
      </c>
      <c r="I2217" s="1509">
        <v>0</v>
      </c>
      <c r="J2217" s="1509">
        <v>0</v>
      </c>
      <c r="K2217" s="1509"/>
      <c r="L2217" s="1509"/>
      <c r="M2217" s="1509">
        <f t="shared" ref="M2217:M2280" si="347">SUM(J2217:L2217)</f>
        <v>0</v>
      </c>
      <c r="N2217" s="1509">
        <f t="shared" ref="N2217:N2280" si="348">H2217+I2217-M2217</f>
        <v>0</v>
      </c>
      <c r="O2217" s="1510">
        <f t="shared" ref="O2217:O2226" si="349">MAX(0,IF(M2217=0,0,IF(G2217+M2217&lt;E2217,M2217,E2217-G2217)))</f>
        <v>0</v>
      </c>
      <c r="P2217" s="1453">
        <f t="shared" ref="P2217:P2226" si="350">M2217-O2217</f>
        <v>0</v>
      </c>
    </row>
    <row r="2218" spans="1:16" ht="43.5" outlineLevel="1" x14ac:dyDescent="0.25">
      <c r="A2218" s="1511" t="str">
        <f t="shared" si="343"/>
        <v>HO
DPR 7a</v>
      </c>
      <c r="B2218" s="1512" t="str">
        <f t="shared" si="343"/>
        <v>NEW PARLI (U-6 &amp; 7)</v>
      </c>
      <c r="C2218" s="1511" t="str">
        <f t="shared" si="343"/>
        <v>MERC/CAPEX/20162017/00774</v>
      </c>
      <c r="D2218" s="1378">
        <f t="shared" si="343"/>
        <v>42643</v>
      </c>
      <c r="E2218" s="1513">
        <f t="shared" si="343"/>
        <v>7.0965999999999996</v>
      </c>
      <c r="F2218" s="1509">
        <f t="shared" si="344"/>
        <v>0</v>
      </c>
      <c r="G2218" s="1509">
        <f t="shared" si="345"/>
        <v>0</v>
      </c>
      <c r="H2218" s="1509">
        <f t="shared" si="346"/>
        <v>0</v>
      </c>
      <c r="I2218" s="1509">
        <v>0</v>
      </c>
      <c r="J2218" s="1509">
        <v>0</v>
      </c>
      <c r="K2218" s="1509"/>
      <c r="L2218" s="1509"/>
      <c r="M2218" s="1509">
        <f t="shared" si="347"/>
        <v>0</v>
      </c>
      <c r="N2218" s="1509">
        <f t="shared" si="348"/>
        <v>0</v>
      </c>
      <c r="O2218" s="1510">
        <f t="shared" si="349"/>
        <v>0</v>
      </c>
      <c r="P2218" s="1453">
        <f t="shared" si="350"/>
        <v>0</v>
      </c>
    </row>
    <row r="2219" spans="1:16" ht="43.5" outlineLevel="1" x14ac:dyDescent="0.25">
      <c r="A2219" s="1506" t="str">
        <f t="shared" si="343"/>
        <v>HO
DPR 8</v>
      </c>
      <c r="B2219" s="1507" t="str">
        <f t="shared" si="343"/>
        <v>Replacement of Fire Tenders at Various Power Stations of Mahagenco</v>
      </c>
      <c r="C2219" s="1506" t="str">
        <f t="shared" si="343"/>
        <v>MERC/CAPEX/20172018/4653</v>
      </c>
      <c r="D2219" s="1508">
        <f t="shared" si="343"/>
        <v>43052</v>
      </c>
      <c r="E2219" s="1509">
        <f t="shared" si="343"/>
        <v>3.97</v>
      </c>
      <c r="F2219" s="1509">
        <f t="shared" si="344"/>
        <v>0</v>
      </c>
      <c r="G2219" s="1509">
        <f t="shared" si="345"/>
        <v>0</v>
      </c>
      <c r="H2219" s="1509">
        <f t="shared" si="346"/>
        <v>0</v>
      </c>
      <c r="I2219" s="1509">
        <v>0</v>
      </c>
      <c r="J2219" s="1509">
        <v>0</v>
      </c>
      <c r="K2219" s="1509"/>
      <c r="L2219" s="1509"/>
      <c r="M2219" s="1509">
        <f t="shared" si="347"/>
        <v>0</v>
      </c>
      <c r="N2219" s="1509">
        <f t="shared" si="348"/>
        <v>0</v>
      </c>
      <c r="O2219" s="1510">
        <f t="shared" si="349"/>
        <v>0</v>
      </c>
      <c r="P2219" s="1453">
        <f t="shared" si="350"/>
        <v>0</v>
      </c>
    </row>
    <row r="2220" spans="1:16" ht="43.5" outlineLevel="1" x14ac:dyDescent="0.25">
      <c r="A2220" s="1511" t="str">
        <f t="shared" si="343"/>
        <v>HO
DPR 8.1</v>
      </c>
      <c r="B2220" s="1512" t="str">
        <f t="shared" si="343"/>
        <v>Advance Multipurpose Fire Tender for Parli 6-7</v>
      </c>
      <c r="C2220" s="1511" t="str">
        <f t="shared" si="343"/>
        <v>MERC/CAPEX/20172018/4653</v>
      </c>
      <c r="D2220" s="1378">
        <f t="shared" si="343"/>
        <v>43052</v>
      </c>
      <c r="E2220" s="1513">
        <f t="shared" si="343"/>
        <v>2.72</v>
      </c>
      <c r="F2220" s="1509">
        <f t="shared" si="344"/>
        <v>1.7765</v>
      </c>
      <c r="G2220" s="1509">
        <f t="shared" si="345"/>
        <v>1.7765</v>
      </c>
      <c r="H2220" s="1509">
        <f t="shared" si="346"/>
        <v>0</v>
      </c>
      <c r="I2220" s="1509">
        <v>0</v>
      </c>
      <c r="J2220" s="1509">
        <v>0</v>
      </c>
      <c r="K2220" s="1509"/>
      <c r="L2220" s="1509"/>
      <c r="M2220" s="1509">
        <f t="shared" si="347"/>
        <v>0</v>
      </c>
      <c r="N2220" s="1509">
        <f t="shared" si="348"/>
        <v>0</v>
      </c>
      <c r="O2220" s="1510">
        <f t="shared" si="349"/>
        <v>0</v>
      </c>
      <c r="P2220" s="1453">
        <f t="shared" si="350"/>
        <v>0</v>
      </c>
    </row>
    <row r="2221" spans="1:16" ht="43.5" outlineLevel="1" x14ac:dyDescent="0.25">
      <c r="A2221" s="1511" t="str">
        <f t="shared" si="343"/>
        <v>HO
DPR 8.2</v>
      </c>
      <c r="B2221" s="1512" t="str">
        <f t="shared" si="343"/>
        <v>Normal Multipurpose Fire Tender Parli 6-7</v>
      </c>
      <c r="C2221" s="1511" t="str">
        <f t="shared" si="343"/>
        <v>MERC/CAPEX/20172018/4653</v>
      </c>
      <c r="D2221" s="1378">
        <f t="shared" si="343"/>
        <v>43052</v>
      </c>
      <c r="E2221" s="1513">
        <f t="shared" si="343"/>
        <v>1.25</v>
      </c>
      <c r="F2221" s="1509">
        <f t="shared" si="344"/>
        <v>0</v>
      </c>
      <c r="G2221" s="1509">
        <f t="shared" si="345"/>
        <v>0</v>
      </c>
      <c r="H2221" s="1509">
        <f t="shared" si="346"/>
        <v>0</v>
      </c>
      <c r="I2221" s="1509">
        <v>0</v>
      </c>
      <c r="J2221" s="1509">
        <v>0</v>
      </c>
      <c r="K2221" s="1509"/>
      <c r="L2221" s="1509"/>
      <c r="M2221" s="1509">
        <f t="shared" si="347"/>
        <v>0</v>
      </c>
      <c r="N2221" s="1509">
        <f t="shared" si="348"/>
        <v>0</v>
      </c>
      <c r="O2221" s="1510">
        <f t="shared" si="349"/>
        <v>0</v>
      </c>
      <c r="P2221" s="1453">
        <f t="shared" si="350"/>
        <v>0</v>
      </c>
    </row>
    <row r="2222" spans="1:16" outlineLevel="1" x14ac:dyDescent="0.25">
      <c r="A2222" s="1511">
        <f t="shared" si="343"/>
        <v>0</v>
      </c>
      <c r="B2222" s="1512" t="str">
        <f t="shared" si="343"/>
        <v>IDC</v>
      </c>
      <c r="C2222" s="1511" t="str">
        <f t="shared" si="343"/>
        <v>MERC/CAPEX/20172018/4653</v>
      </c>
      <c r="D2222" s="1378">
        <f t="shared" si="343"/>
        <v>43052</v>
      </c>
      <c r="E2222" s="1513">
        <f t="shared" si="343"/>
        <v>0</v>
      </c>
      <c r="F2222" s="1509">
        <f t="shared" si="344"/>
        <v>0</v>
      </c>
      <c r="G2222" s="1509">
        <f t="shared" si="345"/>
        <v>0</v>
      </c>
      <c r="H2222" s="1509">
        <f t="shared" si="346"/>
        <v>0</v>
      </c>
      <c r="I2222" s="1509">
        <v>0</v>
      </c>
      <c r="J2222" s="1509">
        <v>0</v>
      </c>
      <c r="K2222" s="1509"/>
      <c r="L2222" s="1509"/>
      <c r="M2222" s="1509">
        <f t="shared" si="347"/>
        <v>0</v>
      </c>
      <c r="N2222" s="1509">
        <f t="shared" si="348"/>
        <v>0</v>
      </c>
      <c r="O2222" s="1510">
        <f t="shared" si="349"/>
        <v>0</v>
      </c>
      <c r="P2222" s="1453">
        <f t="shared" si="350"/>
        <v>0</v>
      </c>
    </row>
    <row r="2223" spans="1:16" ht="43.5" outlineLevel="1" x14ac:dyDescent="0.25">
      <c r="A2223" s="1506" t="str">
        <f t="shared" si="343"/>
        <v>HO
DPR 10</v>
      </c>
      <c r="B2223" s="1507" t="str">
        <f t="shared" si="343"/>
        <v>Implementation of IB recommendations- Civil works at various TPS of Mahagenco</v>
      </c>
      <c r="C2223" s="1506" t="str">
        <f t="shared" si="343"/>
        <v>MERC/CAPEX/20172018/0177</v>
      </c>
      <c r="D2223" s="1508">
        <f t="shared" si="343"/>
        <v>43137</v>
      </c>
      <c r="E2223" s="1509">
        <f t="shared" si="343"/>
        <v>2.36</v>
      </c>
      <c r="F2223" s="1509">
        <f t="shared" si="344"/>
        <v>0</v>
      </c>
      <c r="G2223" s="1509">
        <f t="shared" si="345"/>
        <v>0</v>
      </c>
      <c r="H2223" s="1509">
        <f t="shared" si="346"/>
        <v>0</v>
      </c>
      <c r="I2223" s="1509">
        <v>0</v>
      </c>
      <c r="J2223" s="1509">
        <v>0</v>
      </c>
      <c r="K2223" s="1509"/>
      <c r="L2223" s="1509"/>
      <c r="M2223" s="1509">
        <f t="shared" si="347"/>
        <v>0</v>
      </c>
      <c r="N2223" s="1509">
        <f t="shared" si="348"/>
        <v>0</v>
      </c>
      <c r="O2223" s="1510">
        <f t="shared" si="349"/>
        <v>0</v>
      </c>
      <c r="P2223" s="1453">
        <f t="shared" si="350"/>
        <v>0</v>
      </c>
    </row>
    <row r="2224" spans="1:16" ht="43.5" outlineLevel="1" x14ac:dyDescent="0.25">
      <c r="A2224" s="1511" t="str">
        <f t="shared" si="343"/>
        <v>HO
DPR 10a</v>
      </c>
      <c r="B2224" s="1512" t="str">
        <f t="shared" si="343"/>
        <v>NEW PARLI (U-6 &amp; 7)</v>
      </c>
      <c r="C2224" s="1511" t="str">
        <f t="shared" si="343"/>
        <v>MERC/CAPEX/20172018/0177</v>
      </c>
      <c r="D2224" s="1378">
        <f t="shared" si="343"/>
        <v>43137</v>
      </c>
      <c r="E2224" s="1513">
        <f t="shared" si="343"/>
        <v>2.36</v>
      </c>
      <c r="F2224" s="1509">
        <f t="shared" si="344"/>
        <v>2.584952667</v>
      </c>
      <c r="G2224" s="1509">
        <f t="shared" si="345"/>
        <v>2.584952667</v>
      </c>
      <c r="H2224" s="1509">
        <f t="shared" si="346"/>
        <v>0</v>
      </c>
      <c r="I2224" s="1509">
        <v>0</v>
      </c>
      <c r="J2224" s="1509">
        <v>0</v>
      </c>
      <c r="K2224" s="1509"/>
      <c r="L2224" s="1509"/>
      <c r="M2224" s="1509">
        <f t="shared" si="347"/>
        <v>0</v>
      </c>
      <c r="N2224" s="1509">
        <f t="shared" si="348"/>
        <v>0</v>
      </c>
      <c r="O2224" s="1510">
        <f t="shared" si="349"/>
        <v>0</v>
      </c>
      <c r="P2224" s="1453">
        <f t="shared" si="350"/>
        <v>0</v>
      </c>
    </row>
    <row r="2225" spans="1:16" ht="43.5" outlineLevel="1" x14ac:dyDescent="0.25">
      <c r="A2225" s="1506" t="str">
        <f t="shared" si="343"/>
        <v>HO
DPR 15</v>
      </c>
      <c r="B2225" s="1507" t="str">
        <f t="shared" si="343"/>
        <v>Procurement &amp; Replacement of Complete Sets of Air Pre-heater Baskets at Nashik, Parli &amp; Chandrapur TPS of Mahagenco</v>
      </c>
      <c r="C2225" s="1506" t="str">
        <f t="shared" si="343"/>
        <v>MERC/CAPEX/2019-2020/643</v>
      </c>
      <c r="D2225" s="1508">
        <f t="shared" si="343"/>
        <v>43703</v>
      </c>
      <c r="E2225" s="1509">
        <f t="shared" si="343"/>
        <v>2.12</v>
      </c>
      <c r="F2225" s="1509">
        <f t="shared" si="344"/>
        <v>0</v>
      </c>
      <c r="G2225" s="1509">
        <f t="shared" si="345"/>
        <v>0</v>
      </c>
      <c r="H2225" s="1509">
        <f t="shared" si="346"/>
        <v>0</v>
      </c>
      <c r="I2225" s="1509">
        <v>0</v>
      </c>
      <c r="J2225" s="1509">
        <v>0</v>
      </c>
      <c r="K2225" s="1509"/>
      <c r="L2225" s="1509"/>
      <c r="M2225" s="1509">
        <f t="shared" si="347"/>
        <v>0</v>
      </c>
      <c r="N2225" s="1509">
        <f t="shared" si="348"/>
        <v>0</v>
      </c>
      <c r="O2225" s="1510">
        <f t="shared" si="349"/>
        <v>0</v>
      </c>
      <c r="P2225" s="1453">
        <f t="shared" si="350"/>
        <v>0</v>
      </c>
    </row>
    <row r="2226" spans="1:16" ht="43.5" outlineLevel="1" x14ac:dyDescent="0.25">
      <c r="A2226" s="1511" t="str">
        <f t="shared" si="343"/>
        <v>HO
DPR 15a</v>
      </c>
      <c r="B2226" s="1512" t="str">
        <f t="shared" si="343"/>
        <v>Procurement and Replacement of Complete sets of assembly of baskets for air preheater of type tri-sector APH 27 VI(T) 74” in NTPS unit no. 4 &amp; 5 (210MW). (2 Sets Per Unit)</v>
      </c>
      <c r="C2226" s="1511" t="str">
        <f t="shared" si="343"/>
        <v>MERC/CAPEX/2019-2020/643</v>
      </c>
      <c r="D2226" s="1378">
        <f t="shared" si="343"/>
        <v>43703</v>
      </c>
      <c r="E2226" s="1513">
        <f t="shared" si="343"/>
        <v>2.12</v>
      </c>
      <c r="F2226" s="1509">
        <f t="shared" si="344"/>
        <v>2.4580069300000003</v>
      </c>
      <c r="G2226" s="1509">
        <f t="shared" si="345"/>
        <v>2.4580069300000003</v>
      </c>
      <c r="H2226" s="1509">
        <f t="shared" si="346"/>
        <v>0</v>
      </c>
      <c r="I2226" s="1509">
        <v>0</v>
      </c>
      <c r="J2226" s="1509">
        <v>0</v>
      </c>
      <c r="K2226" s="1509"/>
      <c r="L2226" s="1509"/>
      <c r="M2226" s="1509">
        <f t="shared" si="347"/>
        <v>0</v>
      </c>
      <c r="N2226" s="1509">
        <f t="shared" si="348"/>
        <v>0</v>
      </c>
      <c r="O2226" s="1510">
        <f t="shared" si="349"/>
        <v>0</v>
      </c>
      <c r="P2226" s="1453">
        <f t="shared" si="350"/>
        <v>0</v>
      </c>
    </row>
    <row r="2227" spans="1:16" ht="43.5" outlineLevel="1" x14ac:dyDescent="0.25">
      <c r="A2227" s="1511" t="str">
        <f t="shared" si="343"/>
        <v>HO
DPR 16</v>
      </c>
      <c r="B2227" s="1512" t="str">
        <f t="shared" si="343"/>
        <v>Construction of new Administrative Building for Mahagenco at Vidyut Bhawan, Katol Road, Nagpur</v>
      </c>
      <c r="C2227" s="1511" t="str">
        <f t="shared" si="343"/>
        <v>MERC/CAPEX/2021-2022/MSPGCL/063</v>
      </c>
      <c r="D2227" s="1378">
        <f t="shared" si="343"/>
        <v>44604</v>
      </c>
      <c r="E2227" s="1513">
        <f t="shared" si="343"/>
        <v>57</v>
      </c>
      <c r="F2227" s="1509">
        <f t="shared" si="344"/>
        <v>0</v>
      </c>
      <c r="G2227" s="1509">
        <f t="shared" si="345"/>
        <v>0</v>
      </c>
      <c r="H2227" s="1509">
        <f t="shared" si="346"/>
        <v>0</v>
      </c>
      <c r="I2227" s="1509">
        <v>0</v>
      </c>
      <c r="J2227" s="1509">
        <v>0</v>
      </c>
      <c r="K2227" s="1509"/>
      <c r="L2227" s="1509"/>
      <c r="M2227" s="1509">
        <f t="shared" si="347"/>
        <v>0</v>
      </c>
      <c r="N2227" s="1509">
        <f t="shared" si="348"/>
        <v>0</v>
      </c>
      <c r="O2227" s="1510"/>
      <c r="P2227" s="1453"/>
    </row>
    <row r="2228" spans="1:16" ht="43.5" outlineLevel="1" x14ac:dyDescent="0.25">
      <c r="A2228" s="1511" t="str">
        <f t="shared" si="343"/>
        <v>HO
DPR 16.1</v>
      </c>
      <c r="B2228" s="1512" t="str">
        <f t="shared" si="343"/>
        <v>Construction of new Administrative Building for Mahagenco at Vidyut Bhawan, Katol Road, Nagpur</v>
      </c>
      <c r="C2228" s="1511" t="str">
        <f t="shared" si="343"/>
        <v>MERC/CAPEX/2021-2022/MSPGCL/063</v>
      </c>
      <c r="D2228" s="1378">
        <f t="shared" si="343"/>
        <v>44604</v>
      </c>
      <c r="E2228" s="1513">
        <f t="shared" si="343"/>
        <v>54.24</v>
      </c>
      <c r="F2228" s="1509">
        <f t="shared" si="344"/>
        <v>0</v>
      </c>
      <c r="G2228" s="1509">
        <f t="shared" si="345"/>
        <v>0</v>
      </c>
      <c r="H2228" s="1509">
        <f t="shared" si="346"/>
        <v>0</v>
      </c>
      <c r="I2228" s="1509">
        <v>0</v>
      </c>
      <c r="J2228" s="1509">
        <v>0</v>
      </c>
      <c r="K2228" s="1509"/>
      <c r="L2228" s="1509"/>
      <c r="M2228" s="1509">
        <f t="shared" si="347"/>
        <v>0</v>
      </c>
      <c r="N2228" s="1509">
        <f t="shared" si="348"/>
        <v>0</v>
      </c>
      <c r="O2228" s="1510"/>
      <c r="P2228" s="1453"/>
    </row>
    <row r="2229" spans="1:16" outlineLevel="1" x14ac:dyDescent="0.25">
      <c r="A2229" s="1511">
        <f t="shared" si="343"/>
        <v>0</v>
      </c>
      <c r="B2229" s="1512" t="str">
        <f t="shared" si="343"/>
        <v>IDC</v>
      </c>
      <c r="C2229" s="1511" t="str">
        <f t="shared" si="343"/>
        <v>MERC/CAPEX/2021-2022/MSPGCL/063</v>
      </c>
      <c r="D2229" s="1378">
        <f t="shared" si="343"/>
        <v>44604</v>
      </c>
      <c r="E2229" s="1513">
        <f t="shared" si="343"/>
        <v>2.76</v>
      </c>
      <c r="F2229" s="1509">
        <f t="shared" si="344"/>
        <v>0</v>
      </c>
      <c r="G2229" s="1509">
        <f t="shared" si="345"/>
        <v>0</v>
      </c>
      <c r="H2229" s="1509">
        <f t="shared" si="346"/>
        <v>0</v>
      </c>
      <c r="I2229" s="1509">
        <v>0</v>
      </c>
      <c r="J2229" s="1509">
        <v>0</v>
      </c>
      <c r="K2229" s="1509"/>
      <c r="L2229" s="1509"/>
      <c r="M2229" s="1509">
        <f t="shared" si="347"/>
        <v>0</v>
      </c>
      <c r="N2229" s="1509">
        <f t="shared" si="348"/>
        <v>0</v>
      </c>
      <c r="O2229" s="1510"/>
      <c r="P2229" s="1453"/>
    </row>
    <row r="2230" spans="1:16" ht="43.5" outlineLevel="1" x14ac:dyDescent="0.25">
      <c r="A2230" s="1511" t="str">
        <f t="shared" si="343"/>
        <v>HO
DPR 17</v>
      </c>
      <c r="B2230" s="1512" t="str">
        <f t="shared" si="343"/>
        <v>Centralized Monitoring Solution</v>
      </c>
      <c r="C2230" s="1511" t="str">
        <f t="shared" si="343"/>
        <v>MERC/CAPEX/MSPGCL/2023-24/0576</v>
      </c>
      <c r="D2230" s="1378">
        <f t="shared" si="343"/>
        <v>45232</v>
      </c>
      <c r="E2230" s="1513">
        <f t="shared" si="343"/>
        <v>69.308999999999997</v>
      </c>
      <c r="F2230" s="1509">
        <f t="shared" si="344"/>
        <v>0</v>
      </c>
      <c r="G2230" s="1509">
        <f t="shared" si="345"/>
        <v>0</v>
      </c>
      <c r="H2230" s="1509">
        <f t="shared" si="346"/>
        <v>0</v>
      </c>
      <c r="I2230" s="1509">
        <v>0</v>
      </c>
      <c r="J2230" s="1509">
        <v>0</v>
      </c>
      <c r="K2230" s="1509"/>
      <c r="L2230" s="1509"/>
      <c r="M2230" s="1509">
        <f t="shared" si="347"/>
        <v>0</v>
      </c>
      <c r="N2230" s="1509">
        <f t="shared" si="348"/>
        <v>0</v>
      </c>
      <c r="O2230" s="1510"/>
      <c r="P2230" s="1453"/>
    </row>
    <row r="2231" spans="1:16" ht="43.5" outlineLevel="1" x14ac:dyDescent="0.25">
      <c r="A2231" s="1511" t="str">
        <f t="shared" si="343"/>
        <v>HO
DPR 17.1</v>
      </c>
      <c r="B2231" s="1512" t="str">
        <f t="shared" si="343"/>
        <v>Centralized Monitoring Solution</v>
      </c>
      <c r="C2231" s="1511" t="str">
        <f t="shared" si="343"/>
        <v>MERC/CAPEX/MSPGCL/2023-24/0576</v>
      </c>
      <c r="D2231" s="1378">
        <f t="shared" si="343"/>
        <v>45232</v>
      </c>
      <c r="E2231" s="1513">
        <f t="shared" si="343"/>
        <v>66.009</v>
      </c>
      <c r="F2231" s="1509">
        <f t="shared" si="344"/>
        <v>4.46</v>
      </c>
      <c r="G2231" s="1509">
        <f t="shared" si="345"/>
        <v>4.46</v>
      </c>
      <c r="H2231" s="1509">
        <f t="shared" si="346"/>
        <v>0</v>
      </c>
      <c r="I2231" s="1509">
        <v>0</v>
      </c>
      <c r="J2231" s="1509">
        <v>0</v>
      </c>
      <c r="K2231" s="1509"/>
      <c r="L2231" s="1509"/>
      <c r="M2231" s="1509">
        <f t="shared" si="347"/>
        <v>0</v>
      </c>
      <c r="N2231" s="1509">
        <f t="shared" si="348"/>
        <v>0</v>
      </c>
      <c r="O2231" s="1510"/>
      <c r="P2231" s="1453"/>
    </row>
    <row r="2232" spans="1:16" outlineLevel="1" x14ac:dyDescent="0.25">
      <c r="A2232" s="1511">
        <f t="shared" ref="A2232:E2247" si="351">A1875</f>
        <v>0</v>
      </c>
      <c r="B2232" s="1512" t="str">
        <f t="shared" si="351"/>
        <v>IDC</v>
      </c>
      <c r="C2232" s="1511" t="str">
        <f t="shared" si="351"/>
        <v>MERC/CAPEX/MSPGCL/2023-24/0576</v>
      </c>
      <c r="D2232" s="1378">
        <f t="shared" si="351"/>
        <v>45232</v>
      </c>
      <c r="E2232" s="1513">
        <f t="shared" si="351"/>
        <v>3.3</v>
      </c>
      <c r="F2232" s="1509">
        <f t="shared" si="344"/>
        <v>0</v>
      </c>
      <c r="G2232" s="1509">
        <f t="shared" si="345"/>
        <v>0</v>
      </c>
      <c r="H2232" s="1509">
        <f t="shared" si="346"/>
        <v>0</v>
      </c>
      <c r="I2232" s="1509">
        <v>0</v>
      </c>
      <c r="J2232" s="1509">
        <v>0</v>
      </c>
      <c r="K2232" s="1509"/>
      <c r="L2232" s="1509"/>
      <c r="M2232" s="1509">
        <f t="shared" si="347"/>
        <v>0</v>
      </c>
      <c r="N2232" s="1509">
        <f t="shared" si="348"/>
        <v>0</v>
      </c>
      <c r="O2232" s="1510"/>
      <c r="P2232" s="1453"/>
    </row>
    <row r="2233" spans="1:16" ht="29" outlineLevel="1" x14ac:dyDescent="0.25">
      <c r="A2233" s="1506">
        <f t="shared" si="351"/>
        <v>23</v>
      </c>
      <c r="B2233" s="1507" t="str">
        <f t="shared" si="351"/>
        <v>Coal Handling Plant Environment Improvement Schemes at U-6&amp;7 CHP (2X250MW) Parli TPS</v>
      </c>
      <c r="C2233" s="1506" t="str">
        <f t="shared" si="351"/>
        <v>Yet to be approve</v>
      </c>
      <c r="D2233" s="1378" t="str">
        <f t="shared" si="351"/>
        <v>-</v>
      </c>
      <c r="E2233" s="1513">
        <f t="shared" si="351"/>
        <v>0</v>
      </c>
      <c r="F2233" s="1509">
        <f t="shared" si="344"/>
        <v>0</v>
      </c>
      <c r="G2233" s="1509">
        <f t="shared" si="345"/>
        <v>0</v>
      </c>
      <c r="H2233" s="1509">
        <f t="shared" si="346"/>
        <v>0</v>
      </c>
      <c r="I2233" s="1509">
        <v>0</v>
      </c>
      <c r="J2233" s="1509">
        <v>0</v>
      </c>
      <c r="K2233" s="1509"/>
      <c r="L2233" s="1509"/>
      <c r="M2233" s="1509">
        <f t="shared" si="347"/>
        <v>0</v>
      </c>
      <c r="N2233" s="1509">
        <f t="shared" si="348"/>
        <v>0</v>
      </c>
      <c r="O2233" s="1510">
        <f t="shared" ref="O2233:O2241" si="352">MAX(0,IF(M2233=0,0,IF(G2233+M2233&lt;E2233,M2233,E2233-G2233)))</f>
        <v>0</v>
      </c>
      <c r="P2233" s="1453">
        <f t="shared" ref="P2233:P2241" si="353">M2233-O2233</f>
        <v>0</v>
      </c>
    </row>
    <row r="2234" spans="1:16" ht="43.5" outlineLevel="1" x14ac:dyDescent="0.25">
      <c r="A2234" s="1511">
        <f t="shared" si="351"/>
        <v>23.1</v>
      </c>
      <c r="B2234" s="1515" t="str">
        <f t="shared" si="351"/>
        <v>Scheme-1: Design, Engineering, Manufacturing, Supply, Installation and Commissioning of Dedusting System ( Dust Extraction System) for Crusher House and Bunker House at  Unit -6 &amp; 7 at CHP Parli  TPS.</v>
      </c>
      <c r="C2234" s="1511" t="str">
        <f t="shared" si="351"/>
        <v>Yet to be approve</v>
      </c>
      <c r="D2234" s="1378" t="str">
        <f t="shared" si="351"/>
        <v>-</v>
      </c>
      <c r="E2234" s="1513">
        <f t="shared" si="351"/>
        <v>0</v>
      </c>
      <c r="F2234" s="1509">
        <f t="shared" si="344"/>
        <v>12.96</v>
      </c>
      <c r="G2234" s="1509">
        <f t="shared" si="345"/>
        <v>12.96</v>
      </c>
      <c r="H2234" s="1509">
        <f t="shared" si="346"/>
        <v>0</v>
      </c>
      <c r="I2234" s="1509">
        <v>0</v>
      </c>
      <c r="J2234" s="1509">
        <v>0</v>
      </c>
      <c r="K2234" s="1509"/>
      <c r="L2234" s="1509"/>
      <c r="M2234" s="1509">
        <f t="shared" si="347"/>
        <v>0</v>
      </c>
      <c r="N2234" s="1509">
        <f t="shared" si="348"/>
        <v>0</v>
      </c>
      <c r="O2234" s="1510">
        <f t="shared" si="352"/>
        <v>0</v>
      </c>
      <c r="P2234" s="1453">
        <f t="shared" si="353"/>
        <v>0</v>
      </c>
    </row>
    <row r="2235" spans="1:16" ht="43.5" outlineLevel="1" x14ac:dyDescent="0.25">
      <c r="A2235" s="1511">
        <f t="shared" si="351"/>
        <v>23.2</v>
      </c>
      <c r="B2235" s="1515" t="str">
        <f t="shared" si="351"/>
        <v>Scheme-2: Supply, Installation, Erection &amp; Commissioning of medium velocity water spray dust suppression system at CHP U-6/7 coal yard Crusher house &amp; Link Conveyor at Parli TPS.</v>
      </c>
      <c r="C2235" s="1511" t="str">
        <f t="shared" si="351"/>
        <v>Yet to be approve</v>
      </c>
      <c r="D2235" s="1378" t="str">
        <f t="shared" si="351"/>
        <v>-</v>
      </c>
      <c r="E2235" s="1513">
        <f t="shared" si="351"/>
        <v>0</v>
      </c>
      <c r="F2235" s="1509">
        <f t="shared" si="344"/>
        <v>3.52</v>
      </c>
      <c r="G2235" s="1509">
        <f t="shared" si="345"/>
        <v>3.52</v>
      </c>
      <c r="H2235" s="1509">
        <f t="shared" si="346"/>
        <v>0</v>
      </c>
      <c r="I2235" s="1509">
        <v>0</v>
      </c>
      <c r="J2235" s="1509">
        <v>0</v>
      </c>
      <c r="K2235" s="1509"/>
      <c r="L2235" s="1509"/>
      <c r="M2235" s="1509">
        <f t="shared" si="347"/>
        <v>0</v>
      </c>
      <c r="N2235" s="1509">
        <f t="shared" si="348"/>
        <v>0</v>
      </c>
      <c r="O2235" s="1510">
        <f t="shared" si="352"/>
        <v>0</v>
      </c>
      <c r="P2235" s="1453">
        <f t="shared" si="353"/>
        <v>0</v>
      </c>
    </row>
    <row r="2236" spans="1:16" ht="58" outlineLevel="1" x14ac:dyDescent="0.25">
      <c r="A2236" s="1511">
        <f t="shared" si="351"/>
        <v>23.3</v>
      </c>
      <c r="B2236" s="1515" t="str">
        <f t="shared" si="351"/>
        <v>Scheme-3: Supply, Installation, Commissioning of Fire Hydrant &amp; Spray line above ground around  stacker yard and crusher house, wagon tippler through conveyor belt with DV &amp; DV Shed at CHP U-6/7.</v>
      </c>
      <c r="C2236" s="1506" t="str">
        <f t="shared" si="351"/>
        <v>Yet to be approve</v>
      </c>
      <c r="D2236" s="1378" t="str">
        <f t="shared" si="351"/>
        <v>-</v>
      </c>
      <c r="E2236" s="1513">
        <f t="shared" si="351"/>
        <v>0</v>
      </c>
      <c r="F2236" s="1509">
        <f t="shared" si="344"/>
        <v>3.54</v>
      </c>
      <c r="G2236" s="1509">
        <f t="shared" si="345"/>
        <v>3.54</v>
      </c>
      <c r="H2236" s="1509">
        <f t="shared" si="346"/>
        <v>0</v>
      </c>
      <c r="I2236" s="1509">
        <v>0</v>
      </c>
      <c r="J2236" s="1509">
        <v>0</v>
      </c>
      <c r="K2236" s="1509"/>
      <c r="L2236" s="1509"/>
      <c r="M2236" s="1509">
        <f t="shared" si="347"/>
        <v>0</v>
      </c>
      <c r="N2236" s="1509">
        <f t="shared" si="348"/>
        <v>0</v>
      </c>
      <c r="O2236" s="1510">
        <f t="shared" si="352"/>
        <v>0</v>
      </c>
      <c r="P2236" s="1453">
        <f t="shared" si="353"/>
        <v>0</v>
      </c>
    </row>
    <row r="2237" spans="1:16" ht="43.5" outlineLevel="1" x14ac:dyDescent="0.25">
      <c r="A2237" s="1511">
        <f t="shared" si="351"/>
        <v>23.4</v>
      </c>
      <c r="B2237" s="1515" t="str">
        <f t="shared" si="351"/>
        <v>Scheme-4: Design, Manufacturing, Supply, Erection and Commissioning of DRY FOG Dust Suppression system at Wagon Tippler, Conveyor Belt Transfer point at U-6/7 CHP Parli TPS.</v>
      </c>
      <c r="C2237" s="1511" t="str">
        <f t="shared" si="351"/>
        <v>Yet to be approve</v>
      </c>
      <c r="D2237" s="1378" t="str">
        <f t="shared" si="351"/>
        <v>-</v>
      </c>
      <c r="E2237" s="1513">
        <f t="shared" si="351"/>
        <v>0</v>
      </c>
      <c r="F2237" s="1509">
        <f t="shared" si="344"/>
        <v>7</v>
      </c>
      <c r="G2237" s="1509">
        <f t="shared" si="345"/>
        <v>7</v>
      </c>
      <c r="H2237" s="1509">
        <f t="shared" si="346"/>
        <v>0</v>
      </c>
      <c r="I2237" s="1509">
        <v>0</v>
      </c>
      <c r="J2237" s="1509">
        <v>0</v>
      </c>
      <c r="K2237" s="1509"/>
      <c r="L2237" s="1509"/>
      <c r="M2237" s="1509">
        <f t="shared" si="347"/>
        <v>0</v>
      </c>
      <c r="N2237" s="1509">
        <f t="shared" si="348"/>
        <v>0</v>
      </c>
      <c r="O2237" s="1510">
        <f t="shared" si="352"/>
        <v>0</v>
      </c>
      <c r="P2237" s="1453">
        <f t="shared" si="353"/>
        <v>0</v>
      </c>
    </row>
    <row r="2238" spans="1:16" outlineLevel="1" x14ac:dyDescent="0.25">
      <c r="A2238" s="1511">
        <f t="shared" si="351"/>
        <v>0</v>
      </c>
      <c r="B2238" s="1515" t="str">
        <f t="shared" si="351"/>
        <v>IDC</v>
      </c>
      <c r="C2238" s="1396" t="str">
        <f t="shared" si="351"/>
        <v>Yet to be approve</v>
      </c>
      <c r="D2238" s="1378" t="str">
        <f t="shared" si="351"/>
        <v>-</v>
      </c>
      <c r="E2238" s="1513">
        <f t="shared" si="351"/>
        <v>0</v>
      </c>
      <c r="F2238" s="1509">
        <f t="shared" si="344"/>
        <v>0</v>
      </c>
      <c r="G2238" s="1509">
        <f t="shared" si="345"/>
        <v>0</v>
      </c>
      <c r="H2238" s="1509">
        <f t="shared" si="346"/>
        <v>0</v>
      </c>
      <c r="I2238" s="1509">
        <v>0</v>
      </c>
      <c r="J2238" s="1509">
        <v>0</v>
      </c>
      <c r="K2238" s="1509"/>
      <c r="L2238" s="1509"/>
      <c r="M2238" s="1509">
        <f t="shared" si="347"/>
        <v>0</v>
      </c>
      <c r="N2238" s="1509">
        <f t="shared" si="348"/>
        <v>0</v>
      </c>
      <c r="O2238" s="1510">
        <f t="shared" si="352"/>
        <v>0</v>
      </c>
      <c r="P2238" s="1453">
        <f t="shared" si="353"/>
        <v>0</v>
      </c>
    </row>
    <row r="2239" spans="1:16" ht="29" outlineLevel="1" x14ac:dyDescent="0.25">
      <c r="A2239" s="1506">
        <f t="shared" si="351"/>
        <v>24</v>
      </c>
      <c r="B2239" s="1507" t="str">
        <f t="shared" si="351"/>
        <v>Coal Mill Performance Improvement Schemes at U-6 &amp; 7 (2 x 250 MW) Parli TPS</v>
      </c>
      <c r="C2239" s="1506" t="str">
        <f t="shared" si="351"/>
        <v>Yet to be approve</v>
      </c>
      <c r="D2239" s="1378" t="str">
        <f t="shared" si="351"/>
        <v>-</v>
      </c>
      <c r="E2239" s="1513">
        <f t="shared" si="351"/>
        <v>0</v>
      </c>
      <c r="F2239" s="1509">
        <f t="shared" si="344"/>
        <v>0</v>
      </c>
      <c r="G2239" s="1509">
        <f t="shared" si="345"/>
        <v>0</v>
      </c>
      <c r="H2239" s="1509">
        <f t="shared" si="346"/>
        <v>0</v>
      </c>
      <c r="I2239" s="1509">
        <v>0</v>
      </c>
      <c r="J2239" s="1509">
        <v>0</v>
      </c>
      <c r="K2239" s="1509"/>
      <c r="L2239" s="1509"/>
      <c r="M2239" s="1509">
        <f t="shared" si="347"/>
        <v>0</v>
      </c>
      <c r="N2239" s="1509">
        <f t="shared" si="348"/>
        <v>0</v>
      </c>
      <c r="O2239" s="1510">
        <f t="shared" si="352"/>
        <v>0</v>
      </c>
      <c r="P2239" s="1453">
        <f t="shared" si="353"/>
        <v>0</v>
      </c>
    </row>
    <row r="2240" spans="1:16" ht="43.5" outlineLevel="1" x14ac:dyDescent="0.25">
      <c r="A2240" s="1511">
        <f t="shared" si="351"/>
        <v>24.1</v>
      </c>
      <c r="B2240" s="1515" t="str">
        <f t="shared" si="351"/>
        <v xml:space="preserve">Scheme-1: Procurement And Replacement Of Internals For Reducer Gear Box Szn-630 &amp; Sbn-630 for Bbd-4772 Coal Mills Of 250mw At Unit 6,7  Parli </v>
      </c>
      <c r="C2240" s="1396" t="str">
        <f t="shared" si="351"/>
        <v>Yet to be approve</v>
      </c>
      <c r="D2240" s="1378" t="str">
        <f t="shared" si="351"/>
        <v>-</v>
      </c>
      <c r="E2240" s="1513">
        <f t="shared" si="351"/>
        <v>0</v>
      </c>
      <c r="F2240" s="1509">
        <f t="shared" si="344"/>
        <v>6.5</v>
      </c>
      <c r="G2240" s="1509">
        <f t="shared" si="345"/>
        <v>6.5</v>
      </c>
      <c r="H2240" s="1509">
        <f t="shared" si="346"/>
        <v>0</v>
      </c>
      <c r="I2240" s="1509">
        <v>0</v>
      </c>
      <c r="J2240" s="1509">
        <v>0</v>
      </c>
      <c r="K2240" s="1509"/>
      <c r="L2240" s="1509"/>
      <c r="M2240" s="1509">
        <f t="shared" si="347"/>
        <v>0</v>
      </c>
      <c r="N2240" s="1509">
        <f t="shared" si="348"/>
        <v>0</v>
      </c>
      <c r="O2240" s="1510">
        <f t="shared" si="352"/>
        <v>0</v>
      </c>
      <c r="P2240" s="1453">
        <f t="shared" si="353"/>
        <v>0</v>
      </c>
    </row>
    <row r="2241" spans="1:16" ht="43.5" outlineLevel="1" x14ac:dyDescent="0.25">
      <c r="A2241" s="1511">
        <f t="shared" si="351"/>
        <v>24.2</v>
      </c>
      <c r="B2241" s="1515" t="str">
        <f t="shared" si="351"/>
        <v>Scheme-2: Supply, Replacement, Erection And Installation Of Foundation Deck Springs Assembly (Vibration Isolation System) For Bbd-4772 Coal Mill Of For 250mw Unit-6&amp;7 At Parli Tps..</v>
      </c>
      <c r="C2241" s="1396" t="str">
        <f t="shared" si="351"/>
        <v>Yet to be approve</v>
      </c>
      <c r="D2241" s="1378" t="str">
        <f t="shared" si="351"/>
        <v>-</v>
      </c>
      <c r="E2241" s="1513">
        <f t="shared" si="351"/>
        <v>0</v>
      </c>
      <c r="F2241" s="1509">
        <f t="shared" si="344"/>
        <v>4.01</v>
      </c>
      <c r="G2241" s="1509">
        <f t="shared" si="345"/>
        <v>4.01</v>
      </c>
      <c r="H2241" s="1509">
        <f t="shared" si="346"/>
        <v>0</v>
      </c>
      <c r="I2241" s="1509">
        <v>0</v>
      </c>
      <c r="J2241" s="1509">
        <v>0</v>
      </c>
      <c r="K2241" s="1509"/>
      <c r="L2241" s="1509"/>
      <c r="M2241" s="1509">
        <f t="shared" si="347"/>
        <v>0</v>
      </c>
      <c r="N2241" s="1509">
        <f t="shared" si="348"/>
        <v>0</v>
      </c>
      <c r="O2241" s="1510">
        <f t="shared" si="352"/>
        <v>0</v>
      </c>
      <c r="P2241" s="1453">
        <f t="shared" si="353"/>
        <v>0</v>
      </c>
    </row>
    <row r="2242" spans="1:16" ht="29" outlineLevel="1" x14ac:dyDescent="0.25">
      <c r="A2242" s="1511">
        <f t="shared" si="351"/>
        <v>24.3</v>
      </c>
      <c r="B2242" s="1515" t="str">
        <f t="shared" si="351"/>
        <v>Scheme-3: Procurement And Installation of Girth Gear And Pinion Of Coal Mill Bbd-4772 For Unit-6,7 At Parli TPS.</v>
      </c>
      <c r="C2242" s="1396" t="str">
        <f t="shared" si="351"/>
        <v>Yet to be approve</v>
      </c>
      <c r="D2242" s="1378" t="str">
        <f t="shared" si="351"/>
        <v>-</v>
      </c>
      <c r="E2242" s="1513">
        <f t="shared" si="351"/>
        <v>0</v>
      </c>
      <c r="F2242" s="1509">
        <f t="shared" si="344"/>
        <v>14.24</v>
      </c>
      <c r="G2242" s="1509">
        <f t="shared" si="345"/>
        <v>14.24</v>
      </c>
      <c r="H2242" s="1509">
        <f t="shared" si="346"/>
        <v>0</v>
      </c>
      <c r="I2242" s="1509">
        <v>0</v>
      </c>
      <c r="J2242" s="1509">
        <v>0</v>
      </c>
      <c r="K2242" s="1509"/>
      <c r="L2242" s="1509"/>
      <c r="M2242" s="1509">
        <f t="shared" si="347"/>
        <v>0</v>
      </c>
      <c r="N2242" s="1509">
        <f t="shared" si="348"/>
        <v>0</v>
      </c>
    </row>
    <row r="2243" spans="1:16" ht="29" outlineLevel="1" x14ac:dyDescent="0.25">
      <c r="A2243" s="1511">
        <f t="shared" si="351"/>
        <v>24.4</v>
      </c>
      <c r="B2243" s="1515" t="str">
        <f t="shared" si="351"/>
        <v xml:space="preserve">Scheme-4: Procurement And Installation of Drive Shaft Assembly Of Coal Mill BBD-4772 For Unit-6 ,7 At Parli TPS. </v>
      </c>
      <c r="C2243" s="1396" t="str">
        <f t="shared" si="351"/>
        <v>Yet to be approve</v>
      </c>
      <c r="D2243" s="1378" t="str">
        <f t="shared" si="351"/>
        <v>-</v>
      </c>
      <c r="E2243" s="1513">
        <f t="shared" si="351"/>
        <v>0</v>
      </c>
      <c r="F2243" s="1509">
        <f t="shared" si="344"/>
        <v>9.18</v>
      </c>
      <c r="G2243" s="1509">
        <f t="shared" si="345"/>
        <v>9.18</v>
      </c>
      <c r="H2243" s="1509">
        <f t="shared" si="346"/>
        <v>0</v>
      </c>
      <c r="I2243" s="1509">
        <v>0</v>
      </c>
      <c r="J2243" s="1509">
        <v>0</v>
      </c>
      <c r="K2243" s="1509"/>
      <c r="L2243" s="1509"/>
      <c r="M2243" s="1509">
        <f t="shared" si="347"/>
        <v>0</v>
      </c>
      <c r="N2243" s="1509">
        <f t="shared" si="348"/>
        <v>0</v>
      </c>
    </row>
    <row r="2244" spans="1:16" ht="29" outlineLevel="1" x14ac:dyDescent="0.25">
      <c r="A2244" s="1511">
        <f t="shared" si="351"/>
        <v>24.5</v>
      </c>
      <c r="B2244" s="1515" t="str">
        <f t="shared" si="351"/>
        <v>Scheme-5: Procurement And Replacement of  Bearing Shell Liner For Bbd-4772 Coal Mills Of 250mw At Unit 6,7  Parli TPS.</v>
      </c>
      <c r="C2244" s="1396" t="str">
        <f t="shared" si="351"/>
        <v>Yet to be approve</v>
      </c>
      <c r="D2244" s="1378" t="str">
        <f t="shared" si="351"/>
        <v>-</v>
      </c>
      <c r="E2244" s="1513">
        <f t="shared" si="351"/>
        <v>0</v>
      </c>
      <c r="F2244" s="1509">
        <f t="shared" si="344"/>
        <v>8.19</v>
      </c>
      <c r="G2244" s="1509">
        <f t="shared" si="345"/>
        <v>8.19</v>
      </c>
      <c r="H2244" s="1509">
        <f t="shared" si="346"/>
        <v>0</v>
      </c>
      <c r="I2244" s="1509">
        <v>0</v>
      </c>
      <c r="J2244" s="1509">
        <v>0</v>
      </c>
      <c r="K2244" s="1509"/>
      <c r="L2244" s="1509"/>
      <c r="M2244" s="1509">
        <f t="shared" si="347"/>
        <v>0</v>
      </c>
      <c r="N2244" s="1509">
        <f t="shared" si="348"/>
        <v>0</v>
      </c>
    </row>
    <row r="2245" spans="1:16" outlineLevel="1" x14ac:dyDescent="0.25">
      <c r="A2245" s="1511">
        <f t="shared" si="351"/>
        <v>0</v>
      </c>
      <c r="B2245" s="1515" t="str">
        <f t="shared" si="351"/>
        <v>IDC</v>
      </c>
      <c r="C2245" s="1396" t="str">
        <f t="shared" si="351"/>
        <v>Yet to be approve</v>
      </c>
      <c r="D2245" s="1378" t="str">
        <f t="shared" si="351"/>
        <v>-</v>
      </c>
      <c r="E2245" s="1513">
        <f t="shared" si="351"/>
        <v>0</v>
      </c>
      <c r="F2245" s="1509">
        <f t="shared" si="344"/>
        <v>2</v>
      </c>
      <c r="G2245" s="1509">
        <f t="shared" si="345"/>
        <v>2</v>
      </c>
      <c r="H2245" s="1509">
        <f t="shared" si="346"/>
        <v>0</v>
      </c>
      <c r="I2245" s="1509">
        <v>0</v>
      </c>
      <c r="J2245" s="1509">
        <v>0</v>
      </c>
      <c r="K2245" s="1509"/>
      <c r="L2245" s="1509"/>
      <c r="M2245" s="1509">
        <f t="shared" si="347"/>
        <v>0</v>
      </c>
      <c r="N2245" s="1509">
        <f t="shared" si="348"/>
        <v>0</v>
      </c>
    </row>
    <row r="2246" spans="1:16" outlineLevel="1" x14ac:dyDescent="0.25">
      <c r="A2246" s="1506">
        <f t="shared" si="351"/>
        <v>25</v>
      </c>
      <c r="B2246" s="1507" t="str">
        <f t="shared" si="351"/>
        <v>Administrative building</v>
      </c>
      <c r="C2246" s="1506" t="str">
        <f t="shared" si="351"/>
        <v>Yet to be approved</v>
      </c>
      <c r="D2246" s="1378" t="str">
        <f t="shared" si="351"/>
        <v>-</v>
      </c>
      <c r="E2246" s="1513">
        <f t="shared" si="351"/>
        <v>0</v>
      </c>
      <c r="F2246" s="1509">
        <f t="shared" si="344"/>
        <v>0</v>
      </c>
      <c r="G2246" s="1509">
        <f t="shared" si="345"/>
        <v>0</v>
      </c>
      <c r="H2246" s="1509">
        <f t="shared" si="346"/>
        <v>0</v>
      </c>
      <c r="I2246" s="1509">
        <v>0</v>
      </c>
      <c r="J2246" s="1509">
        <v>0</v>
      </c>
      <c r="K2246" s="1509"/>
      <c r="L2246" s="1509"/>
      <c r="M2246" s="1509">
        <f t="shared" si="347"/>
        <v>0</v>
      </c>
      <c r="N2246" s="1509">
        <f t="shared" si="348"/>
        <v>0</v>
      </c>
      <c r="O2246" s="1510"/>
      <c r="P2246" s="1453"/>
    </row>
    <row r="2247" spans="1:16" outlineLevel="1" x14ac:dyDescent="0.25">
      <c r="A2247" s="1511">
        <f t="shared" si="351"/>
        <v>25.1</v>
      </c>
      <c r="B2247" s="1515" t="str">
        <f t="shared" si="351"/>
        <v>Administrative building</v>
      </c>
      <c r="C2247" s="1396" t="str">
        <f t="shared" si="351"/>
        <v>Yet to be approved</v>
      </c>
      <c r="D2247" s="1378" t="str">
        <f t="shared" si="351"/>
        <v>-</v>
      </c>
      <c r="E2247" s="1513">
        <f t="shared" si="351"/>
        <v>0</v>
      </c>
      <c r="F2247" s="1509">
        <f t="shared" si="344"/>
        <v>0</v>
      </c>
      <c r="G2247" s="1509">
        <f t="shared" si="345"/>
        <v>25</v>
      </c>
      <c r="H2247" s="1509">
        <f t="shared" si="346"/>
        <v>-25</v>
      </c>
      <c r="I2247" s="1509">
        <v>25</v>
      </c>
      <c r="J2247" s="1509">
        <v>0</v>
      </c>
      <c r="K2247" s="1509"/>
      <c r="L2247" s="1509"/>
      <c r="M2247" s="1509">
        <f t="shared" si="347"/>
        <v>0</v>
      </c>
      <c r="N2247" s="1509">
        <f t="shared" si="348"/>
        <v>0</v>
      </c>
    </row>
    <row r="2248" spans="1:16" ht="72.5" outlineLevel="1" x14ac:dyDescent="0.25">
      <c r="A2248" s="1511">
        <f t="shared" ref="A2248:E2263" si="354">A1891</f>
        <v>26</v>
      </c>
      <c r="B2248" s="1515" t="str">
        <f t="shared" si="354"/>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2248" s="1396" t="str">
        <f t="shared" si="354"/>
        <v>Yet to be approved</v>
      </c>
      <c r="D2248" s="1378" t="str">
        <f t="shared" si="354"/>
        <v>-</v>
      </c>
      <c r="E2248" s="1513">
        <f t="shared" si="354"/>
        <v>0</v>
      </c>
      <c r="F2248" s="1509">
        <f t="shared" si="344"/>
        <v>0</v>
      </c>
      <c r="G2248" s="1509">
        <f t="shared" si="345"/>
        <v>0</v>
      </c>
      <c r="H2248" s="1509">
        <f t="shared" si="346"/>
        <v>0</v>
      </c>
      <c r="I2248" s="1509">
        <v>0</v>
      </c>
      <c r="J2248" s="1509">
        <v>0</v>
      </c>
      <c r="K2248" s="1509"/>
      <c r="L2248" s="1509"/>
      <c r="M2248" s="1509">
        <f t="shared" si="347"/>
        <v>0</v>
      </c>
      <c r="N2248" s="1509">
        <f t="shared" si="348"/>
        <v>0</v>
      </c>
    </row>
    <row r="2249" spans="1:16" ht="29" outlineLevel="1" x14ac:dyDescent="0.25">
      <c r="A2249" s="1511">
        <f t="shared" si="354"/>
        <v>26.1</v>
      </c>
      <c r="B2249" s="1515" t="str">
        <f t="shared" si="354"/>
        <v>Refurbishment of spare HPT module (Common pool item) at TM U#6,7 Parli TPS</v>
      </c>
      <c r="C2249" s="1396" t="str">
        <f t="shared" si="354"/>
        <v>Yet to be approved</v>
      </c>
      <c r="D2249" s="1378" t="str">
        <f t="shared" si="354"/>
        <v>-</v>
      </c>
      <c r="E2249" s="1513">
        <f t="shared" si="354"/>
        <v>0</v>
      </c>
      <c r="F2249" s="1509">
        <f t="shared" si="344"/>
        <v>9.2100000000000009</v>
      </c>
      <c r="G2249" s="1509">
        <f t="shared" si="345"/>
        <v>9.2100000000000009</v>
      </c>
      <c r="H2249" s="1509">
        <f t="shared" si="346"/>
        <v>0</v>
      </c>
      <c r="I2249" s="1509">
        <v>0</v>
      </c>
      <c r="J2249" s="1509">
        <v>0</v>
      </c>
      <c r="K2249" s="1509"/>
      <c r="L2249" s="1509"/>
      <c r="M2249" s="1509">
        <f t="shared" si="347"/>
        <v>0</v>
      </c>
      <c r="N2249" s="1509">
        <f t="shared" si="348"/>
        <v>0</v>
      </c>
    </row>
    <row r="2250" spans="1:16" ht="29" outlineLevel="1" x14ac:dyDescent="0.25">
      <c r="A2250" s="1511">
        <f t="shared" si="354"/>
        <v>26.2</v>
      </c>
      <c r="B2250" s="1515" t="str">
        <f t="shared" si="354"/>
        <v xml:space="preserve"> Design, Erection, Testing &amp; Commissioning of Energy Efficient Air Washer (cooling) System  at Unit 6&amp;7 NPTPS, Parli-V.</v>
      </c>
      <c r="C2250" s="1396" t="str">
        <f t="shared" si="354"/>
        <v>Yet to be approved</v>
      </c>
      <c r="D2250" s="1378" t="str">
        <f t="shared" si="354"/>
        <v>-</v>
      </c>
      <c r="E2250" s="1513">
        <f t="shared" si="354"/>
        <v>0</v>
      </c>
      <c r="F2250" s="1509">
        <f t="shared" si="344"/>
        <v>14.61</v>
      </c>
      <c r="G2250" s="1509">
        <f t="shared" si="345"/>
        <v>14.61</v>
      </c>
      <c r="H2250" s="1509">
        <f t="shared" si="346"/>
        <v>0</v>
      </c>
      <c r="I2250" s="1509">
        <v>0</v>
      </c>
      <c r="J2250" s="1509">
        <v>0</v>
      </c>
      <c r="K2250" s="1509"/>
      <c r="L2250" s="1509"/>
      <c r="M2250" s="1509">
        <f t="shared" si="347"/>
        <v>0</v>
      </c>
      <c r="N2250" s="1509">
        <f t="shared" si="348"/>
        <v>0</v>
      </c>
    </row>
    <row r="2251" spans="1:16" ht="29" outlineLevel="1" x14ac:dyDescent="0.25">
      <c r="A2251" s="1511">
        <f t="shared" si="354"/>
        <v>26.3</v>
      </c>
      <c r="B2251" s="1515" t="str">
        <f t="shared" si="354"/>
        <v>Upgradation of reciprocating compressor into screw compressor  at U#6</v>
      </c>
      <c r="C2251" s="1396" t="str">
        <f t="shared" si="354"/>
        <v>Yet to be approved</v>
      </c>
      <c r="D2251" s="1378" t="str">
        <f t="shared" si="354"/>
        <v>-</v>
      </c>
      <c r="E2251" s="1513">
        <f t="shared" si="354"/>
        <v>0</v>
      </c>
      <c r="F2251" s="1509">
        <f t="shared" si="344"/>
        <v>9.2100000000000009</v>
      </c>
      <c r="G2251" s="1509">
        <f t="shared" si="345"/>
        <v>9.2100000000000009</v>
      </c>
      <c r="H2251" s="1509">
        <f t="shared" si="346"/>
        <v>0</v>
      </c>
      <c r="I2251" s="1509">
        <v>0</v>
      </c>
      <c r="J2251" s="1509">
        <v>0</v>
      </c>
      <c r="K2251" s="1509"/>
      <c r="L2251" s="1509"/>
      <c r="M2251" s="1509">
        <f t="shared" si="347"/>
        <v>0</v>
      </c>
      <c r="N2251" s="1509">
        <f t="shared" si="348"/>
        <v>0</v>
      </c>
    </row>
    <row r="2252" spans="1:16" ht="29" outlineLevel="1" x14ac:dyDescent="0.25">
      <c r="A2252" s="1511">
        <f t="shared" si="354"/>
        <v>26.4</v>
      </c>
      <c r="B2252" s="1515" t="str">
        <f t="shared" si="354"/>
        <v>Upgradation of existing chiller AC plant for PCR,Service Building,VFD area at NPTPS Parli -V</v>
      </c>
      <c r="C2252" s="1396" t="str">
        <f t="shared" si="354"/>
        <v>Yet to be approved</v>
      </c>
      <c r="D2252" s="1378" t="str">
        <f t="shared" si="354"/>
        <v>-</v>
      </c>
      <c r="E2252" s="1513">
        <f t="shared" si="354"/>
        <v>0</v>
      </c>
      <c r="F2252" s="1509">
        <f t="shared" si="344"/>
        <v>8.6199999999999992</v>
      </c>
      <c r="G2252" s="1509">
        <f t="shared" si="345"/>
        <v>8.6199999999999992</v>
      </c>
      <c r="H2252" s="1509">
        <f t="shared" si="346"/>
        <v>0</v>
      </c>
      <c r="I2252" s="1509">
        <v>0</v>
      </c>
      <c r="J2252" s="1509">
        <v>0</v>
      </c>
      <c r="K2252" s="1509"/>
      <c r="L2252" s="1509"/>
      <c r="M2252" s="1509">
        <f t="shared" si="347"/>
        <v>0</v>
      </c>
      <c r="N2252" s="1509">
        <f t="shared" si="348"/>
        <v>0</v>
      </c>
    </row>
    <row r="2253" spans="1:16" outlineLevel="1" x14ac:dyDescent="0.25">
      <c r="A2253" s="1511">
        <f t="shared" si="354"/>
        <v>0</v>
      </c>
      <c r="B2253" s="1515" t="str">
        <f t="shared" si="354"/>
        <v>IDC</v>
      </c>
      <c r="C2253" s="1396">
        <f t="shared" si="354"/>
        <v>0</v>
      </c>
      <c r="D2253" s="1378" t="str">
        <f t="shared" si="354"/>
        <v>-</v>
      </c>
      <c r="E2253" s="1513">
        <f t="shared" si="354"/>
        <v>0</v>
      </c>
      <c r="F2253" s="1509">
        <f t="shared" si="344"/>
        <v>1.41</v>
      </c>
      <c r="G2253" s="1509">
        <f t="shared" si="345"/>
        <v>1.41</v>
      </c>
      <c r="H2253" s="1509">
        <f t="shared" si="346"/>
        <v>0</v>
      </c>
      <c r="I2253" s="1509">
        <v>0</v>
      </c>
      <c r="J2253" s="1509">
        <v>0</v>
      </c>
      <c r="K2253" s="1509"/>
      <c r="L2253" s="1509"/>
      <c r="M2253" s="1509">
        <f t="shared" si="347"/>
        <v>0</v>
      </c>
      <c r="N2253" s="1509">
        <f t="shared" si="348"/>
        <v>0</v>
      </c>
    </row>
    <row r="2254" spans="1:16" ht="58" outlineLevel="1" x14ac:dyDescent="0.25">
      <c r="A2254" s="1506" t="str">
        <f t="shared" si="354"/>
        <v>Covid Related Work</v>
      </c>
      <c r="B2254" s="1507" t="str">
        <f t="shared" si="354"/>
        <v>U#6,7 Medical02 Oxygen Gr&amp;Cyl Ozonization Plant501</v>
      </c>
      <c r="C2254" s="1506" t="str">
        <f t="shared" si="354"/>
        <v>N.A.</v>
      </c>
      <c r="D2254" s="1508" t="str">
        <f t="shared" si="354"/>
        <v>-</v>
      </c>
      <c r="E2254" s="1509">
        <f t="shared" si="354"/>
        <v>0</v>
      </c>
      <c r="F2254" s="1509">
        <f t="shared" si="344"/>
        <v>3.8414035910000002</v>
      </c>
      <c r="G2254" s="1509">
        <f t="shared" si="345"/>
        <v>3.8414035910000002</v>
      </c>
      <c r="H2254" s="1509">
        <f t="shared" si="346"/>
        <v>0</v>
      </c>
      <c r="I2254" s="1509">
        <v>0</v>
      </c>
      <c r="J2254" s="1509">
        <v>0</v>
      </c>
      <c r="K2254" s="1509"/>
      <c r="L2254" s="1509"/>
      <c r="M2254" s="1509">
        <f t="shared" si="347"/>
        <v>0</v>
      </c>
      <c r="N2254" s="1509">
        <f t="shared" si="348"/>
        <v>0</v>
      </c>
      <c r="O2254" s="1510"/>
      <c r="P2254" s="1453"/>
    </row>
    <row r="2255" spans="1:16" outlineLevel="1" x14ac:dyDescent="0.25">
      <c r="A2255" s="1511">
        <f t="shared" si="354"/>
        <v>0</v>
      </c>
      <c r="B2255" s="1515">
        <f t="shared" si="354"/>
        <v>0</v>
      </c>
      <c r="C2255" s="1396">
        <f t="shared" si="354"/>
        <v>0</v>
      </c>
      <c r="D2255" s="1378" t="str">
        <f t="shared" si="354"/>
        <v>-</v>
      </c>
      <c r="E2255" s="1505">
        <f t="shared" si="354"/>
        <v>0</v>
      </c>
      <c r="F2255" s="1509">
        <f t="shared" si="344"/>
        <v>0</v>
      </c>
      <c r="G2255" s="1509">
        <f t="shared" si="345"/>
        <v>0</v>
      </c>
      <c r="H2255" s="1509">
        <f t="shared" si="346"/>
        <v>0</v>
      </c>
      <c r="I2255" s="1509">
        <v>0</v>
      </c>
      <c r="J2255" s="1509">
        <v>0</v>
      </c>
      <c r="K2255" s="1509"/>
      <c r="L2255" s="1509"/>
      <c r="M2255" s="1509">
        <f t="shared" si="347"/>
        <v>0</v>
      </c>
      <c r="N2255" s="1509">
        <f t="shared" si="348"/>
        <v>0</v>
      </c>
    </row>
    <row r="2256" spans="1:16" ht="18.5" outlineLevel="1" x14ac:dyDescent="0.25">
      <c r="A2256" s="1339" t="str">
        <f t="shared" si="354"/>
        <v>B</v>
      </c>
      <c r="B2256" s="1339" t="str">
        <f t="shared" si="354"/>
        <v>Asset received from Project of 6-7</v>
      </c>
      <c r="C2256" s="1396">
        <f t="shared" si="354"/>
        <v>0</v>
      </c>
      <c r="D2256" s="1378" t="str">
        <f t="shared" si="354"/>
        <v>-</v>
      </c>
      <c r="E2256" s="1505">
        <f t="shared" si="354"/>
        <v>0</v>
      </c>
      <c r="F2256" s="1509">
        <f t="shared" si="344"/>
        <v>0</v>
      </c>
      <c r="G2256" s="1509">
        <f t="shared" si="345"/>
        <v>0</v>
      </c>
      <c r="H2256" s="1509">
        <f t="shared" si="346"/>
        <v>0</v>
      </c>
      <c r="I2256" s="1509">
        <v>0</v>
      </c>
      <c r="J2256" s="1509">
        <v>0</v>
      </c>
      <c r="K2256" s="1509"/>
      <c r="L2256" s="1509"/>
      <c r="M2256" s="1509">
        <f t="shared" si="347"/>
        <v>0</v>
      </c>
      <c r="N2256" s="1509">
        <f t="shared" si="348"/>
        <v>0</v>
      </c>
    </row>
    <row r="2257" spans="1:14" outlineLevel="1" x14ac:dyDescent="0.25">
      <c r="A2257" s="1511">
        <f t="shared" si="354"/>
        <v>1</v>
      </c>
      <c r="B2257" s="1515" t="str">
        <f t="shared" si="354"/>
        <v>Enhanced Land Compensation LAR No-127/2003</v>
      </c>
      <c r="C2257" s="1396" t="str">
        <f t="shared" si="354"/>
        <v>N.A.</v>
      </c>
      <c r="D2257" s="1378" t="str">
        <f t="shared" si="354"/>
        <v>-</v>
      </c>
      <c r="E2257" s="1505">
        <f t="shared" si="354"/>
        <v>0</v>
      </c>
      <c r="F2257" s="1509">
        <f t="shared" si="344"/>
        <v>0.72651449999999995</v>
      </c>
      <c r="G2257" s="1509">
        <f t="shared" si="345"/>
        <v>0.72651449999999995</v>
      </c>
      <c r="H2257" s="1509">
        <f t="shared" si="346"/>
        <v>0</v>
      </c>
      <c r="I2257" s="1509">
        <v>0</v>
      </c>
      <c r="J2257" s="1509">
        <v>0</v>
      </c>
      <c r="K2257" s="1509"/>
      <c r="L2257" s="1509"/>
      <c r="M2257" s="1509">
        <f t="shared" si="347"/>
        <v>0</v>
      </c>
      <c r="N2257" s="1509">
        <f t="shared" si="348"/>
        <v>0</v>
      </c>
    </row>
    <row r="2258" spans="1:14" outlineLevel="1" x14ac:dyDescent="0.25">
      <c r="A2258" s="1511">
        <f t="shared" si="354"/>
        <v>2</v>
      </c>
      <c r="B2258" s="1515" t="str">
        <f t="shared" si="354"/>
        <v>Assets rec. from Project Boiler Plant and Equipments</v>
      </c>
      <c r="C2258" s="1396" t="str">
        <f t="shared" si="354"/>
        <v>N.A.</v>
      </c>
      <c r="D2258" s="1378" t="str">
        <f t="shared" si="354"/>
        <v>-</v>
      </c>
      <c r="E2258" s="1505">
        <f t="shared" si="354"/>
        <v>0</v>
      </c>
      <c r="F2258" s="1509">
        <f t="shared" si="344"/>
        <v>14.2796416</v>
      </c>
      <c r="G2258" s="1509">
        <f t="shared" si="345"/>
        <v>14.2796416</v>
      </c>
      <c r="H2258" s="1509">
        <f t="shared" si="346"/>
        <v>0</v>
      </c>
      <c r="I2258" s="1509">
        <v>0</v>
      </c>
      <c r="J2258" s="1509">
        <v>0</v>
      </c>
      <c r="K2258" s="1509"/>
      <c r="L2258" s="1509"/>
      <c r="M2258" s="1509">
        <f t="shared" si="347"/>
        <v>0</v>
      </c>
      <c r="N2258" s="1509">
        <f t="shared" si="348"/>
        <v>0</v>
      </c>
    </row>
    <row r="2259" spans="1:14" outlineLevel="1" x14ac:dyDescent="0.25">
      <c r="A2259" s="1511">
        <f t="shared" si="354"/>
        <v>3</v>
      </c>
      <c r="B2259" s="1515" t="str">
        <f t="shared" si="354"/>
        <v>Assets rec. from Project &amp; CivilBoiler Plant and Equipments</v>
      </c>
      <c r="C2259" s="1396" t="str">
        <f t="shared" si="354"/>
        <v>N.A.</v>
      </c>
      <c r="D2259" s="1378" t="str">
        <f t="shared" si="354"/>
        <v>-</v>
      </c>
      <c r="E2259" s="1505">
        <f t="shared" si="354"/>
        <v>0</v>
      </c>
      <c r="F2259" s="1509">
        <f t="shared" si="344"/>
        <v>0.118890178</v>
      </c>
      <c r="G2259" s="1509">
        <f t="shared" si="345"/>
        <v>0.118890178</v>
      </c>
      <c r="H2259" s="1509">
        <f t="shared" si="346"/>
        <v>0</v>
      </c>
      <c r="I2259" s="1509">
        <v>0</v>
      </c>
      <c r="J2259" s="1509">
        <v>0</v>
      </c>
      <c r="K2259" s="1509"/>
      <c r="L2259" s="1509"/>
      <c r="M2259" s="1509">
        <f t="shared" si="347"/>
        <v>0</v>
      </c>
      <c r="N2259" s="1509">
        <f t="shared" si="348"/>
        <v>0</v>
      </c>
    </row>
    <row r="2260" spans="1:14" ht="29" outlineLevel="1" x14ac:dyDescent="0.25">
      <c r="A2260" s="1511">
        <f t="shared" si="354"/>
        <v>4</v>
      </c>
      <c r="B2260" s="1515" t="str">
        <f t="shared" si="354"/>
        <v>Received from project 2010-11 - mechanical works o f Boiler Plant and Equipments</v>
      </c>
      <c r="C2260" s="1396" t="str">
        <f t="shared" si="354"/>
        <v>N.A.</v>
      </c>
      <c r="D2260" s="1378" t="str">
        <f t="shared" si="354"/>
        <v>-</v>
      </c>
      <c r="E2260" s="1505">
        <f t="shared" si="354"/>
        <v>0</v>
      </c>
      <c r="F2260" s="1509">
        <f t="shared" si="344"/>
        <v>0.118890178</v>
      </c>
      <c r="G2260" s="1509">
        <f t="shared" si="345"/>
        <v>0.118890178</v>
      </c>
      <c r="H2260" s="1509">
        <f t="shared" si="346"/>
        <v>0</v>
      </c>
      <c r="I2260" s="1509">
        <v>0</v>
      </c>
      <c r="J2260" s="1509">
        <v>0</v>
      </c>
      <c r="K2260" s="1509"/>
      <c r="L2260" s="1509"/>
      <c r="M2260" s="1509">
        <f t="shared" si="347"/>
        <v>0</v>
      </c>
      <c r="N2260" s="1509">
        <f t="shared" si="348"/>
        <v>0</v>
      </c>
    </row>
    <row r="2261" spans="1:14" outlineLevel="1" x14ac:dyDescent="0.25">
      <c r="A2261" s="1511">
        <f t="shared" si="354"/>
        <v>5</v>
      </c>
      <c r="B2261" s="1515" t="str">
        <f t="shared" si="354"/>
        <v>Assets Received from project 2010-11 - Ash handling plant</v>
      </c>
      <c r="C2261" s="1396" t="str">
        <f t="shared" si="354"/>
        <v>N.A.</v>
      </c>
      <c r="D2261" s="1378" t="str">
        <f t="shared" si="354"/>
        <v>-</v>
      </c>
      <c r="E2261" s="1505">
        <f t="shared" si="354"/>
        <v>0</v>
      </c>
      <c r="F2261" s="1509">
        <f t="shared" si="344"/>
        <v>7.6350699999999994E-2</v>
      </c>
      <c r="G2261" s="1509">
        <f t="shared" si="345"/>
        <v>7.6350699999999994E-2</v>
      </c>
      <c r="H2261" s="1509">
        <f t="shared" si="346"/>
        <v>0</v>
      </c>
      <c r="I2261" s="1509">
        <v>0</v>
      </c>
      <c r="J2261" s="1509">
        <v>0</v>
      </c>
      <c r="K2261" s="1509"/>
      <c r="L2261" s="1509"/>
      <c r="M2261" s="1509">
        <f t="shared" si="347"/>
        <v>0</v>
      </c>
      <c r="N2261" s="1509">
        <f t="shared" si="348"/>
        <v>0</v>
      </c>
    </row>
    <row r="2262" spans="1:14" outlineLevel="1" x14ac:dyDescent="0.25">
      <c r="A2262" s="1511">
        <f t="shared" si="354"/>
        <v>6</v>
      </c>
      <c r="B2262" s="1515" t="str">
        <f t="shared" si="354"/>
        <v>Bolero Jeep MH 19 AE 6941</v>
      </c>
      <c r="C2262" s="1396" t="str">
        <f t="shared" si="354"/>
        <v>N.A.</v>
      </c>
      <c r="D2262" s="1378" t="str">
        <f t="shared" si="354"/>
        <v>-</v>
      </c>
      <c r="E2262" s="1505">
        <f t="shared" si="354"/>
        <v>0</v>
      </c>
      <c r="F2262" s="1509">
        <f t="shared" si="344"/>
        <v>4.2359800000000003E-2</v>
      </c>
      <c r="G2262" s="1509">
        <f t="shared" si="345"/>
        <v>4.2359800000000003E-2</v>
      </c>
      <c r="H2262" s="1509">
        <f t="shared" si="346"/>
        <v>0</v>
      </c>
      <c r="I2262" s="1509">
        <v>0</v>
      </c>
      <c r="J2262" s="1509">
        <v>0</v>
      </c>
      <c r="K2262" s="1509"/>
      <c r="L2262" s="1509"/>
      <c r="M2262" s="1509">
        <f t="shared" si="347"/>
        <v>0</v>
      </c>
      <c r="N2262" s="1509">
        <f t="shared" si="348"/>
        <v>0</v>
      </c>
    </row>
    <row r="2263" spans="1:14" customFormat="1" outlineLevel="1" x14ac:dyDescent="0.25">
      <c r="A2263" s="1511">
        <f t="shared" si="354"/>
        <v>7</v>
      </c>
      <c r="B2263" s="1515" t="str">
        <f t="shared" si="354"/>
        <v>Land owned under full title</v>
      </c>
      <c r="C2263" s="1396" t="str">
        <f t="shared" si="354"/>
        <v>N.A.</v>
      </c>
      <c r="D2263" s="1378" t="str">
        <f t="shared" si="354"/>
        <v>-</v>
      </c>
      <c r="E2263" s="1505">
        <f t="shared" si="354"/>
        <v>0</v>
      </c>
      <c r="F2263" s="1509">
        <f t="shared" si="344"/>
        <v>0.60786030000000002</v>
      </c>
      <c r="G2263" s="1509">
        <f t="shared" si="345"/>
        <v>0.60786030000000002</v>
      </c>
      <c r="H2263" s="1509">
        <f t="shared" si="346"/>
        <v>0</v>
      </c>
      <c r="I2263" s="1509">
        <v>0</v>
      </c>
      <c r="J2263" s="1509">
        <v>0</v>
      </c>
      <c r="K2263" s="1509"/>
      <c r="L2263" s="1509"/>
      <c r="M2263" s="1509">
        <f t="shared" si="347"/>
        <v>0</v>
      </c>
      <c r="N2263" s="1509">
        <f t="shared" si="348"/>
        <v>0</v>
      </c>
    </row>
    <row r="2264" spans="1:14" customFormat="1" outlineLevel="1" x14ac:dyDescent="0.25">
      <c r="A2264" s="1511">
        <f t="shared" ref="A2264:E2279" si="355">A1907</f>
        <v>8</v>
      </c>
      <c r="B2264" s="1515" t="str">
        <f t="shared" si="355"/>
        <v>Assets rec. from Project &amp; CivilBoiler Plant and Equipments</v>
      </c>
      <c r="C2264" s="1396" t="str">
        <f t="shared" si="355"/>
        <v>N.A.</v>
      </c>
      <c r="D2264" s="1378" t="str">
        <f t="shared" si="355"/>
        <v>-</v>
      </c>
      <c r="E2264" s="1505">
        <f t="shared" si="355"/>
        <v>0</v>
      </c>
      <c r="F2264" s="1509">
        <f t="shared" si="344"/>
        <v>2.6342887240000001</v>
      </c>
      <c r="G2264" s="1509">
        <f t="shared" si="345"/>
        <v>2.6342887240000001</v>
      </c>
      <c r="H2264" s="1509">
        <f t="shared" si="346"/>
        <v>0</v>
      </c>
      <c r="I2264" s="1509">
        <v>0</v>
      </c>
      <c r="J2264" s="1509">
        <v>0</v>
      </c>
      <c r="K2264" s="1509"/>
      <c r="L2264" s="1509"/>
      <c r="M2264" s="1509">
        <f t="shared" si="347"/>
        <v>0</v>
      </c>
      <c r="N2264" s="1509">
        <f t="shared" si="348"/>
        <v>0</v>
      </c>
    </row>
    <row r="2265" spans="1:14" customFormat="1" ht="29" outlineLevel="1" x14ac:dyDescent="0.25">
      <c r="A2265" s="1511">
        <f t="shared" si="355"/>
        <v>9</v>
      </c>
      <c r="B2265" s="1515" t="str">
        <f t="shared" si="355"/>
        <v>Received from project 2010-11 - mechanical works o f Boiler Plant and Equipments</v>
      </c>
      <c r="C2265" s="1396" t="str">
        <f t="shared" si="355"/>
        <v>N.A.</v>
      </c>
      <c r="D2265" s="1378" t="str">
        <f t="shared" si="355"/>
        <v>-</v>
      </c>
      <c r="E2265" s="1505">
        <f t="shared" si="355"/>
        <v>0</v>
      </c>
      <c r="F2265" s="1509">
        <f t="shared" si="344"/>
        <v>2.6342887240000001</v>
      </c>
      <c r="G2265" s="1509">
        <f t="shared" si="345"/>
        <v>2.6342887240000001</v>
      </c>
      <c r="H2265" s="1509">
        <f t="shared" si="346"/>
        <v>0</v>
      </c>
      <c r="I2265" s="1509">
        <v>0</v>
      </c>
      <c r="J2265" s="1509">
        <v>0</v>
      </c>
      <c r="K2265" s="1509"/>
      <c r="L2265" s="1509"/>
      <c r="M2265" s="1509">
        <f t="shared" si="347"/>
        <v>0</v>
      </c>
      <c r="N2265" s="1509">
        <f t="shared" si="348"/>
        <v>0</v>
      </c>
    </row>
    <row r="2266" spans="1:14" customFormat="1" outlineLevel="1" x14ac:dyDescent="0.25">
      <c r="A2266" s="1511">
        <f t="shared" si="355"/>
        <v>10</v>
      </c>
      <c r="B2266" s="1515" t="str">
        <f t="shared" si="355"/>
        <v>Received from Project 2010-11 - Crane   Hoising Equipment</v>
      </c>
      <c r="C2266" s="1396" t="str">
        <f t="shared" si="355"/>
        <v>N.A.</v>
      </c>
      <c r="D2266" s="1378" t="str">
        <f t="shared" si="355"/>
        <v>-</v>
      </c>
      <c r="E2266" s="1505">
        <f t="shared" si="355"/>
        <v>0</v>
      </c>
      <c r="F2266" s="1509">
        <f t="shared" si="344"/>
        <v>1.20114E-2</v>
      </c>
      <c r="G2266" s="1509">
        <f t="shared" si="345"/>
        <v>1.20114E-2</v>
      </c>
      <c r="H2266" s="1509">
        <f t="shared" si="346"/>
        <v>0</v>
      </c>
      <c r="I2266" s="1509">
        <v>0</v>
      </c>
      <c r="J2266" s="1509">
        <v>0</v>
      </c>
      <c r="K2266" s="1509"/>
      <c r="L2266" s="1509"/>
      <c r="M2266" s="1509">
        <f t="shared" si="347"/>
        <v>0</v>
      </c>
      <c r="N2266" s="1509">
        <f t="shared" si="348"/>
        <v>0</v>
      </c>
    </row>
    <row r="2267" spans="1:14" customFormat="1" outlineLevel="1" x14ac:dyDescent="0.25">
      <c r="A2267" s="1511">
        <f t="shared" si="355"/>
        <v>11</v>
      </c>
      <c r="B2267" s="1515" t="str">
        <f t="shared" si="355"/>
        <v>Enhancd Land CompnstnLarNo134/2003 Srvy No3Jlalp</v>
      </c>
      <c r="C2267" s="1396">
        <f t="shared" si="355"/>
        <v>0</v>
      </c>
      <c r="D2267" s="1378" t="str">
        <f t="shared" si="355"/>
        <v>-</v>
      </c>
      <c r="E2267" s="1505">
        <f t="shared" si="355"/>
        <v>0</v>
      </c>
      <c r="F2267" s="1509">
        <f t="shared" si="344"/>
        <v>0.4706939</v>
      </c>
      <c r="G2267" s="1509">
        <f t="shared" si="345"/>
        <v>0.4706939</v>
      </c>
      <c r="H2267" s="1509">
        <f t="shared" si="346"/>
        <v>0</v>
      </c>
      <c r="I2267" s="1509">
        <v>0</v>
      </c>
      <c r="J2267" s="1509">
        <v>0</v>
      </c>
      <c r="K2267" s="1509"/>
      <c r="L2267" s="1509"/>
      <c r="M2267" s="1509">
        <f t="shared" si="347"/>
        <v>0</v>
      </c>
      <c r="N2267" s="1509">
        <f t="shared" si="348"/>
        <v>0</v>
      </c>
    </row>
    <row r="2268" spans="1:14" customFormat="1" outlineLevel="1" x14ac:dyDescent="0.25">
      <c r="A2268" s="1511">
        <f t="shared" si="355"/>
        <v>12</v>
      </c>
      <c r="B2268" s="1515" t="str">
        <f t="shared" si="355"/>
        <v>Enhancd Land CompnstnLarNo273/2010Sangam Gat24,54,</v>
      </c>
      <c r="C2268" s="1396">
        <f t="shared" si="355"/>
        <v>0</v>
      </c>
      <c r="D2268" s="1378" t="str">
        <f t="shared" si="355"/>
        <v>-</v>
      </c>
      <c r="E2268" s="1505">
        <f t="shared" si="355"/>
        <v>0</v>
      </c>
      <c r="F2268" s="1509">
        <f t="shared" si="344"/>
        <v>0.32731569999999999</v>
      </c>
      <c r="G2268" s="1509">
        <f t="shared" si="345"/>
        <v>0.32731569999999999</v>
      </c>
      <c r="H2268" s="1509">
        <f t="shared" si="346"/>
        <v>0</v>
      </c>
      <c r="I2268" s="1509">
        <v>0</v>
      </c>
      <c r="J2268" s="1509">
        <v>0</v>
      </c>
      <c r="K2268" s="1509"/>
      <c r="L2268" s="1509"/>
      <c r="M2268" s="1509">
        <f t="shared" si="347"/>
        <v>0</v>
      </c>
      <c r="N2268" s="1509">
        <f t="shared" si="348"/>
        <v>0</v>
      </c>
    </row>
    <row r="2269" spans="1:14" customFormat="1" outlineLevel="1" x14ac:dyDescent="0.25">
      <c r="A2269" s="1511">
        <f t="shared" si="355"/>
        <v>13</v>
      </c>
      <c r="B2269" s="1515" t="str">
        <f t="shared" si="355"/>
        <v>Enhancd Land CompnstnLarNo273/2010Sangam Gat24,54,</v>
      </c>
      <c r="C2269" s="1396">
        <f t="shared" si="355"/>
        <v>0</v>
      </c>
      <c r="D2269" s="1378" t="str">
        <f t="shared" si="355"/>
        <v>-</v>
      </c>
      <c r="E2269" s="1505">
        <f t="shared" si="355"/>
        <v>0</v>
      </c>
      <c r="F2269" s="1509">
        <f t="shared" si="344"/>
        <v>8.7899000000000005E-2</v>
      </c>
      <c r="G2269" s="1509">
        <f t="shared" si="345"/>
        <v>8.7899000000000005E-2</v>
      </c>
      <c r="H2269" s="1509">
        <f t="shared" si="346"/>
        <v>0</v>
      </c>
      <c r="I2269" s="1509">
        <v>0</v>
      </c>
      <c r="J2269" s="1509">
        <v>0</v>
      </c>
      <c r="K2269" s="1509"/>
      <c r="L2269" s="1509"/>
      <c r="M2269" s="1509">
        <f t="shared" si="347"/>
        <v>0</v>
      </c>
      <c r="N2269" s="1509">
        <f t="shared" si="348"/>
        <v>0</v>
      </c>
    </row>
    <row r="2270" spans="1:14" customFormat="1" ht="29" outlineLevel="1" x14ac:dyDescent="0.25">
      <c r="A2270" s="1511">
        <f t="shared" si="355"/>
        <v>14</v>
      </c>
      <c r="B2270" s="1515" t="str">
        <f t="shared" si="355"/>
        <v>Received from project 2010-11 - mechanical works of Boiler Plant and Equipments</v>
      </c>
      <c r="C2270" s="1396">
        <f t="shared" si="355"/>
        <v>0</v>
      </c>
      <c r="D2270" s="1378" t="str">
        <f t="shared" si="355"/>
        <v>-</v>
      </c>
      <c r="E2270" s="1505">
        <f t="shared" si="355"/>
        <v>0</v>
      </c>
      <c r="F2270" s="1509">
        <f t="shared" si="344"/>
        <v>6.8807868000000001</v>
      </c>
      <c r="G2270" s="1509">
        <f t="shared" si="345"/>
        <v>6.8807868000000001</v>
      </c>
      <c r="H2270" s="1509">
        <f t="shared" si="346"/>
        <v>0</v>
      </c>
      <c r="I2270" s="1509">
        <v>0</v>
      </c>
      <c r="J2270" s="1509">
        <v>0</v>
      </c>
      <c r="K2270" s="1509"/>
      <c r="L2270" s="1509"/>
      <c r="M2270" s="1509">
        <f t="shared" si="347"/>
        <v>0</v>
      </c>
      <c r="N2270" s="1509">
        <f t="shared" si="348"/>
        <v>0</v>
      </c>
    </row>
    <row r="2271" spans="1:14" customFormat="1" outlineLevel="1" x14ac:dyDescent="0.25">
      <c r="A2271" s="1511">
        <f t="shared" si="355"/>
        <v>15</v>
      </c>
      <c r="B2271" s="1515" t="str">
        <f t="shared" si="355"/>
        <v>Compnsn payment agst land acquired</v>
      </c>
      <c r="C2271" s="1396">
        <f t="shared" si="355"/>
        <v>0</v>
      </c>
      <c r="D2271" s="1378" t="str">
        <f t="shared" si="355"/>
        <v>-</v>
      </c>
      <c r="E2271" s="1505">
        <f t="shared" si="355"/>
        <v>0</v>
      </c>
      <c r="F2271" s="1509">
        <f t="shared" si="344"/>
        <v>1.1658021999999999</v>
      </c>
      <c r="G2271" s="1509">
        <f t="shared" si="345"/>
        <v>1.1658021999999999</v>
      </c>
      <c r="H2271" s="1509">
        <f t="shared" si="346"/>
        <v>0</v>
      </c>
      <c r="I2271" s="1509">
        <v>0</v>
      </c>
      <c r="J2271" s="1509">
        <v>0</v>
      </c>
      <c r="K2271" s="1509"/>
      <c r="L2271" s="1509"/>
      <c r="M2271" s="1509">
        <f t="shared" si="347"/>
        <v>0</v>
      </c>
      <c r="N2271" s="1509">
        <f t="shared" si="348"/>
        <v>0</v>
      </c>
    </row>
    <row r="2272" spans="1:14" customFormat="1" ht="18.5" outlineLevel="1" x14ac:dyDescent="0.25">
      <c r="A2272" s="1339" t="str">
        <f t="shared" si="355"/>
        <v>C</v>
      </c>
      <c r="B2272" s="1339" t="str">
        <f t="shared" si="355"/>
        <v>Yet to be submitted to MERC</v>
      </c>
      <c r="C2272" s="1339">
        <f t="shared" si="355"/>
        <v>0</v>
      </c>
      <c r="D2272" s="1378" t="str">
        <f t="shared" si="355"/>
        <v>-</v>
      </c>
      <c r="E2272" s="1505">
        <f t="shared" si="355"/>
        <v>0</v>
      </c>
      <c r="F2272" s="1509">
        <f t="shared" si="344"/>
        <v>0</v>
      </c>
      <c r="G2272" s="1509">
        <f t="shared" si="345"/>
        <v>0</v>
      </c>
      <c r="H2272" s="1509">
        <f t="shared" si="346"/>
        <v>0</v>
      </c>
      <c r="I2272" s="1509">
        <v>0</v>
      </c>
      <c r="J2272" s="1509">
        <v>0</v>
      </c>
      <c r="K2272" s="1509"/>
      <c r="L2272" s="1509"/>
      <c r="M2272" s="1509">
        <f t="shared" si="347"/>
        <v>0</v>
      </c>
      <c r="N2272" s="1509">
        <f t="shared" si="348"/>
        <v>0</v>
      </c>
    </row>
    <row r="2273" spans="1:14" customFormat="1" ht="58" outlineLevel="1" x14ac:dyDescent="0.25">
      <c r="A2273" s="1506">
        <f t="shared" si="355"/>
        <v>2</v>
      </c>
      <c r="B2273" s="1507" t="str">
        <f t="shared" si="355"/>
        <v>Upgradation of PCAL to PADO upgradation Charger, UPS &amp; upgradation of fast bus transfer scheme, Installation, Erection and Commissioning of Mill Fire Detection System at U#6,7, HT motors procurement &amp; PLC upgradation.</v>
      </c>
      <c r="C2273" s="1506" t="str">
        <f t="shared" si="355"/>
        <v>Yet to be approved</v>
      </c>
      <c r="D2273" s="1507" t="str">
        <f t="shared" si="355"/>
        <v>-</v>
      </c>
      <c r="E2273" s="1506">
        <f t="shared" si="355"/>
        <v>0</v>
      </c>
      <c r="F2273" s="1509">
        <f t="shared" si="344"/>
        <v>0</v>
      </c>
      <c r="G2273" s="1509">
        <f t="shared" si="345"/>
        <v>0</v>
      </c>
      <c r="H2273" s="1509">
        <f t="shared" si="346"/>
        <v>0</v>
      </c>
      <c r="I2273" s="1509">
        <v>0</v>
      </c>
      <c r="J2273" s="1509">
        <v>0</v>
      </c>
      <c r="K2273" s="1509"/>
      <c r="L2273" s="1509"/>
      <c r="M2273" s="1509">
        <f t="shared" si="347"/>
        <v>0</v>
      </c>
      <c r="N2273" s="1509">
        <f t="shared" si="348"/>
        <v>0</v>
      </c>
    </row>
    <row r="2274" spans="1:14" customFormat="1" ht="43.5" outlineLevel="1" x14ac:dyDescent="0.25">
      <c r="A2274" s="1511">
        <f t="shared" si="355"/>
        <v>2.1</v>
      </c>
      <c r="B2274" s="1515" t="str">
        <f t="shared" si="355"/>
        <v xml:space="preserve">Supply, Erection &amp; Commissioning of 24 V,4500 AH Battery Charger at Unit 6&amp;7,220 V,2500 AH Battery Charger at U-6&amp;7, And110 V,400 AH Battery Charger at Khadka, Naikota Pump House, Parli Vaijnath. </v>
      </c>
      <c r="C2274" s="1396" t="str">
        <f t="shared" si="355"/>
        <v>Yet to be approved</v>
      </c>
      <c r="D2274" s="1378" t="str">
        <f t="shared" si="355"/>
        <v>-</v>
      </c>
      <c r="E2274" s="1505">
        <f t="shared" si="355"/>
        <v>0</v>
      </c>
      <c r="F2274" s="1509">
        <f t="shared" si="344"/>
        <v>6.73</v>
      </c>
      <c r="G2274" s="1509">
        <f t="shared" si="345"/>
        <v>6.73</v>
      </c>
      <c r="H2274" s="1509">
        <f t="shared" si="346"/>
        <v>0</v>
      </c>
      <c r="I2274" s="1509">
        <v>0</v>
      </c>
      <c r="J2274" s="1509">
        <v>0</v>
      </c>
      <c r="K2274" s="1509"/>
      <c r="L2274" s="1509"/>
      <c r="M2274" s="1509">
        <f t="shared" si="347"/>
        <v>0</v>
      </c>
      <c r="N2274" s="1509">
        <f t="shared" si="348"/>
        <v>0</v>
      </c>
    </row>
    <row r="2275" spans="1:14" customFormat="1" ht="29" outlineLevel="1" x14ac:dyDescent="0.25">
      <c r="A2275" s="1511">
        <f t="shared" si="355"/>
        <v>2.2000000000000002</v>
      </c>
      <c r="B2275" s="1515" t="str">
        <f t="shared" si="355"/>
        <v xml:space="preserve">Supply, Erection &amp; Commissioning of 80 KVA UPS at U-6&amp;7, Parli Vaijnath. </v>
      </c>
      <c r="C2275" s="1396" t="str">
        <f t="shared" si="355"/>
        <v>Yet to be approved</v>
      </c>
      <c r="D2275" s="1378" t="str">
        <f t="shared" si="355"/>
        <v>-</v>
      </c>
      <c r="E2275" s="1505">
        <f t="shared" si="355"/>
        <v>0</v>
      </c>
      <c r="F2275" s="1509">
        <f t="shared" si="344"/>
        <v>1.7850999999999999</v>
      </c>
      <c r="G2275" s="1509">
        <f t="shared" si="345"/>
        <v>1.7850999999999999</v>
      </c>
      <c r="H2275" s="1509">
        <f t="shared" si="346"/>
        <v>0</v>
      </c>
      <c r="I2275" s="1509">
        <v>0</v>
      </c>
      <c r="J2275" s="1509">
        <v>0</v>
      </c>
      <c r="K2275" s="1509"/>
      <c r="L2275" s="1509"/>
      <c r="M2275" s="1509">
        <f t="shared" si="347"/>
        <v>0</v>
      </c>
      <c r="N2275" s="1509">
        <f t="shared" si="348"/>
        <v>0</v>
      </c>
    </row>
    <row r="2276" spans="1:14" customFormat="1" outlineLevel="1" x14ac:dyDescent="0.25">
      <c r="A2276" s="1511">
        <f t="shared" si="355"/>
        <v>2.2999999999999998</v>
      </c>
      <c r="B2276" s="1515" t="str">
        <f t="shared" si="355"/>
        <v>Up-gradation of BTS system at Unit 6 &amp; 7 , Parli-Vaijnath.</v>
      </c>
      <c r="C2276" s="1396" t="str">
        <f t="shared" si="355"/>
        <v>Yet to be approved</v>
      </c>
      <c r="D2276" s="1378" t="str">
        <f t="shared" si="355"/>
        <v>-</v>
      </c>
      <c r="E2276" s="1505">
        <f t="shared" si="355"/>
        <v>0</v>
      </c>
      <c r="F2276" s="1509">
        <f t="shared" si="344"/>
        <v>5.3761000000000001</v>
      </c>
      <c r="G2276" s="1509">
        <f t="shared" si="345"/>
        <v>5.3761000000000001</v>
      </c>
      <c r="H2276" s="1509">
        <f t="shared" si="346"/>
        <v>0</v>
      </c>
      <c r="I2276" s="1509">
        <v>0</v>
      </c>
      <c r="J2276" s="1509">
        <v>0</v>
      </c>
      <c r="K2276" s="1509"/>
      <c r="L2276" s="1509"/>
      <c r="M2276" s="1509">
        <f t="shared" si="347"/>
        <v>0</v>
      </c>
      <c r="N2276" s="1509">
        <f t="shared" si="348"/>
        <v>0</v>
      </c>
    </row>
    <row r="2277" spans="1:14" customFormat="1" ht="29" outlineLevel="1" x14ac:dyDescent="0.25">
      <c r="A2277" s="1511">
        <f t="shared" si="355"/>
        <v>2.4</v>
      </c>
      <c r="B2277" s="1515" t="str">
        <f t="shared" si="355"/>
        <v>Supply Installation, erection, and commissioning of Mill fire detection system at U# 6,7 NPTPS, Parli- V</v>
      </c>
      <c r="C2277" s="1396" t="str">
        <f t="shared" si="355"/>
        <v>Yet to be approved</v>
      </c>
      <c r="D2277" s="1378" t="str">
        <f t="shared" si="355"/>
        <v>-</v>
      </c>
      <c r="E2277" s="1505">
        <f t="shared" si="355"/>
        <v>0</v>
      </c>
      <c r="F2277" s="1509">
        <f t="shared" si="344"/>
        <v>2.9378000000000002</v>
      </c>
      <c r="G2277" s="1509">
        <f t="shared" si="345"/>
        <v>2.9378000000000002</v>
      </c>
      <c r="H2277" s="1509">
        <f t="shared" si="346"/>
        <v>0</v>
      </c>
      <c r="I2277" s="1509">
        <v>0</v>
      </c>
      <c r="J2277" s="1509">
        <v>0</v>
      </c>
      <c r="K2277" s="1509"/>
      <c r="L2277" s="1509"/>
      <c r="M2277" s="1509">
        <f t="shared" si="347"/>
        <v>0</v>
      </c>
      <c r="N2277" s="1509">
        <f t="shared" si="348"/>
        <v>0</v>
      </c>
    </row>
    <row r="2278" spans="1:14" customFormat="1" ht="43.5" outlineLevel="1" x14ac:dyDescent="0.25">
      <c r="A2278" s="1511">
        <f t="shared" si="355"/>
        <v>2.5</v>
      </c>
      <c r="B2278" s="1515" t="str">
        <f t="shared" si="355"/>
        <v>Upgradation of Existing PCal System with Plant Performance Analysis Diagnostic and   Optimization System (PADO) at Unit - 6,7 New Parli TPS, Parli-V.</v>
      </c>
      <c r="C2278" s="1396" t="str">
        <f t="shared" si="355"/>
        <v>Yet to be approved</v>
      </c>
      <c r="D2278" s="1378" t="str">
        <f t="shared" si="355"/>
        <v>-</v>
      </c>
      <c r="E2278" s="1505">
        <f t="shared" si="355"/>
        <v>0</v>
      </c>
      <c r="F2278" s="1509">
        <f t="shared" si="344"/>
        <v>2.7534000000000001</v>
      </c>
      <c r="G2278" s="1509">
        <f t="shared" si="345"/>
        <v>2.7534000000000001</v>
      </c>
      <c r="H2278" s="1509">
        <f t="shared" si="346"/>
        <v>0</v>
      </c>
      <c r="I2278" s="1509">
        <v>0</v>
      </c>
      <c r="J2278" s="1509">
        <v>0</v>
      </c>
      <c r="K2278" s="1509"/>
      <c r="L2278" s="1509"/>
      <c r="M2278" s="1509">
        <f t="shared" si="347"/>
        <v>0</v>
      </c>
      <c r="N2278" s="1509">
        <f t="shared" si="348"/>
        <v>0</v>
      </c>
    </row>
    <row r="2279" spans="1:14" customFormat="1" ht="58" outlineLevel="1" x14ac:dyDescent="0.25">
      <c r="A2279" s="1511">
        <f t="shared" si="355"/>
        <v>2.6</v>
      </c>
      <c r="B2279" s="1515" t="str">
        <f t="shared" si="355"/>
        <v>Upgradation of expired and vulnerable SCADA, Operating System, and Hardware to improve life and communication system of DM Plant and Condenser Polishing Plant Unit 6&amp;7 250 MW at NPTPS Parli V".</v>
      </c>
      <c r="C2279" s="1396" t="str">
        <f t="shared" si="355"/>
        <v>Yet to be approved</v>
      </c>
      <c r="D2279" s="1378" t="str">
        <f t="shared" si="355"/>
        <v>-</v>
      </c>
      <c r="E2279" s="1505">
        <f t="shared" si="355"/>
        <v>0</v>
      </c>
      <c r="F2279" s="1509">
        <f t="shared" si="344"/>
        <v>4.58</v>
      </c>
      <c r="G2279" s="1509">
        <f t="shared" si="345"/>
        <v>4.58</v>
      </c>
      <c r="H2279" s="1509">
        <f t="shared" si="346"/>
        <v>0</v>
      </c>
      <c r="I2279" s="1509">
        <v>0</v>
      </c>
      <c r="J2279" s="1509">
        <v>0</v>
      </c>
      <c r="K2279" s="1509"/>
      <c r="L2279" s="1509"/>
      <c r="M2279" s="1509">
        <f t="shared" si="347"/>
        <v>0</v>
      </c>
      <c r="N2279" s="1509">
        <f t="shared" si="348"/>
        <v>0</v>
      </c>
    </row>
    <row r="2280" spans="1:14" customFormat="1" outlineLevel="1" x14ac:dyDescent="0.25">
      <c r="A2280" s="1511">
        <f t="shared" ref="A2280:E2295" si="356">A1923</f>
        <v>2.7</v>
      </c>
      <c r="B2280" s="1515" t="str">
        <f t="shared" si="356"/>
        <v>Procurement of Energy efficient HT motors at U#6,7, TPS Parli-V</v>
      </c>
      <c r="C2280" s="1396" t="str">
        <f t="shared" si="356"/>
        <v>Yet to be approved</v>
      </c>
      <c r="D2280" s="1378" t="str">
        <f t="shared" si="356"/>
        <v>-</v>
      </c>
      <c r="E2280" s="1505">
        <f t="shared" si="356"/>
        <v>0</v>
      </c>
      <c r="F2280" s="1509">
        <f t="shared" ref="F2280:F2343" si="357">F1923+I1923</f>
        <v>19.402799999999999</v>
      </c>
      <c r="G2280" s="1509">
        <f t="shared" ref="G2280:G2343" si="358">G1923+M1923</f>
        <v>19.402799999999999</v>
      </c>
      <c r="H2280" s="1509">
        <f t="shared" si="346"/>
        <v>0</v>
      </c>
      <c r="I2280" s="1509">
        <v>0</v>
      </c>
      <c r="J2280" s="1509">
        <v>0</v>
      </c>
      <c r="K2280" s="1509"/>
      <c r="L2280" s="1509"/>
      <c r="M2280" s="1509">
        <f t="shared" si="347"/>
        <v>0</v>
      </c>
      <c r="N2280" s="1509">
        <f t="shared" si="348"/>
        <v>0</v>
      </c>
    </row>
    <row r="2281" spans="1:14" customFormat="1" outlineLevel="1" x14ac:dyDescent="0.25">
      <c r="A2281" s="1515">
        <f t="shared" si="356"/>
        <v>0</v>
      </c>
      <c r="B2281" s="1515" t="str">
        <f t="shared" si="356"/>
        <v>IDC</v>
      </c>
      <c r="C2281" s="1396">
        <f t="shared" si="356"/>
        <v>0</v>
      </c>
      <c r="D2281" s="1378" t="str">
        <f t="shared" si="356"/>
        <v>-</v>
      </c>
      <c r="E2281" s="1505">
        <f t="shared" si="356"/>
        <v>0</v>
      </c>
      <c r="F2281" s="1509">
        <f t="shared" si="357"/>
        <v>0.8</v>
      </c>
      <c r="G2281" s="1509">
        <f t="shared" si="358"/>
        <v>0.8</v>
      </c>
      <c r="H2281" s="1509">
        <f t="shared" ref="H2281:H2344" si="359">F2281-G2281</f>
        <v>0</v>
      </c>
      <c r="I2281" s="1509">
        <v>0</v>
      </c>
      <c r="J2281" s="1509">
        <v>0</v>
      </c>
      <c r="K2281" s="1509"/>
      <c r="L2281" s="1509"/>
      <c r="M2281" s="1509">
        <f t="shared" ref="M2281:M2344" si="360">SUM(J2281:L2281)</f>
        <v>0</v>
      </c>
      <c r="N2281" s="1509">
        <f t="shared" ref="N2281:N2344" si="361">H2281+I2281-M2281</f>
        <v>0</v>
      </c>
    </row>
    <row r="2282" spans="1:14" customFormat="1" ht="43.5" outlineLevel="1" x14ac:dyDescent="0.25">
      <c r="A2282" s="1506">
        <f t="shared" si="356"/>
        <v>3</v>
      </c>
      <c r="B2282" s="1507" t="str">
        <f t="shared" si="356"/>
        <v>DPR on Supply, Installation, and commissioning of complete Governing rack assembly at Unit -06 &amp; 07 TPS Parli-V &amp; Procurement of LPT inner-inner casing at Unit 07 TPS Parli-V.</v>
      </c>
      <c r="C2282" s="1506" t="str">
        <f t="shared" si="356"/>
        <v>Yet to be approved</v>
      </c>
      <c r="D2282" s="1507" t="str">
        <f t="shared" si="356"/>
        <v>-</v>
      </c>
      <c r="E2282" s="1506">
        <f t="shared" si="356"/>
        <v>0</v>
      </c>
      <c r="F2282" s="1509">
        <f t="shared" si="357"/>
        <v>0</v>
      </c>
      <c r="G2282" s="1509">
        <f t="shared" si="358"/>
        <v>0</v>
      </c>
      <c r="H2282" s="1509">
        <f t="shared" si="359"/>
        <v>0</v>
      </c>
      <c r="I2282" s="1509">
        <v>0</v>
      </c>
      <c r="J2282" s="1509">
        <v>0</v>
      </c>
      <c r="K2282" s="1509"/>
      <c r="L2282" s="1509"/>
      <c r="M2282" s="1509">
        <f t="shared" si="360"/>
        <v>0</v>
      </c>
      <c r="N2282" s="1509">
        <f t="shared" si="361"/>
        <v>0</v>
      </c>
    </row>
    <row r="2283" spans="1:14" customFormat="1" ht="29" outlineLevel="1" x14ac:dyDescent="0.25">
      <c r="A2283" s="1511">
        <f t="shared" si="356"/>
        <v>3.1</v>
      </c>
      <c r="B2283" s="1515" t="str">
        <f t="shared" si="356"/>
        <v>Supply, Installation and Commissioning of complete governing rack assembly at Unit-06 TPS ,PARLI-V</v>
      </c>
      <c r="C2283" s="1396" t="str">
        <f t="shared" si="356"/>
        <v>Yet to be approved</v>
      </c>
      <c r="D2283" s="1378" t="str">
        <f t="shared" si="356"/>
        <v>-</v>
      </c>
      <c r="E2283" s="1505">
        <f t="shared" si="356"/>
        <v>0</v>
      </c>
      <c r="F2283" s="1509">
        <f t="shared" si="357"/>
        <v>23.423100000000002</v>
      </c>
      <c r="G2283" s="1509">
        <f t="shared" si="358"/>
        <v>23.423100000000002</v>
      </c>
      <c r="H2283" s="1509">
        <f t="shared" si="359"/>
        <v>0</v>
      </c>
      <c r="I2283" s="1509">
        <v>0</v>
      </c>
      <c r="J2283" s="1509">
        <v>0</v>
      </c>
      <c r="K2283" s="1509"/>
      <c r="L2283" s="1509"/>
      <c r="M2283" s="1509">
        <f t="shared" si="360"/>
        <v>0</v>
      </c>
      <c r="N2283" s="1509">
        <f t="shared" si="361"/>
        <v>0</v>
      </c>
    </row>
    <row r="2284" spans="1:14" customFormat="1" outlineLevel="1" x14ac:dyDescent="0.25">
      <c r="A2284" s="1511">
        <f t="shared" si="356"/>
        <v>3.2</v>
      </c>
      <c r="B2284" s="1515" t="str">
        <f t="shared" si="356"/>
        <v>Procurement of LPT inner-inner casing at Unit- 7 TPS, Parli-V</v>
      </c>
      <c r="C2284" s="1396" t="str">
        <f t="shared" si="356"/>
        <v>Yet to be approved</v>
      </c>
      <c r="D2284" s="1378" t="str">
        <f t="shared" si="356"/>
        <v>-</v>
      </c>
      <c r="E2284" s="1505">
        <f t="shared" si="356"/>
        <v>0</v>
      </c>
      <c r="F2284" s="1509">
        <f t="shared" si="357"/>
        <v>15.57</v>
      </c>
      <c r="G2284" s="1509">
        <f t="shared" si="358"/>
        <v>15.57</v>
      </c>
      <c r="H2284" s="1509">
        <f t="shared" si="359"/>
        <v>0</v>
      </c>
      <c r="I2284" s="1509">
        <v>0</v>
      </c>
      <c r="J2284" s="1509">
        <v>0</v>
      </c>
      <c r="K2284" s="1509"/>
      <c r="L2284" s="1509"/>
      <c r="M2284" s="1509">
        <f t="shared" si="360"/>
        <v>0</v>
      </c>
      <c r="N2284" s="1509">
        <f t="shared" si="361"/>
        <v>0</v>
      </c>
    </row>
    <row r="2285" spans="1:14" customFormat="1" outlineLevel="1" x14ac:dyDescent="0.25">
      <c r="A2285" s="1511">
        <f t="shared" si="356"/>
        <v>0</v>
      </c>
      <c r="B2285" s="1515" t="str">
        <f t="shared" si="356"/>
        <v>IDC</v>
      </c>
      <c r="C2285" s="1396" t="str">
        <f t="shared" si="356"/>
        <v>Yet to be approved</v>
      </c>
      <c r="D2285" s="1378" t="str">
        <f t="shared" si="356"/>
        <v>-</v>
      </c>
      <c r="E2285" s="1505">
        <f t="shared" si="356"/>
        <v>0</v>
      </c>
      <c r="F2285" s="1509">
        <f t="shared" si="357"/>
        <v>0</v>
      </c>
      <c r="G2285" s="1509">
        <f t="shared" si="358"/>
        <v>0</v>
      </c>
      <c r="H2285" s="1509">
        <f t="shared" si="359"/>
        <v>0</v>
      </c>
      <c r="I2285" s="1509">
        <v>0</v>
      </c>
      <c r="J2285" s="1509">
        <v>0</v>
      </c>
      <c r="K2285" s="1509"/>
      <c r="L2285" s="1509"/>
      <c r="M2285" s="1509">
        <f t="shared" si="360"/>
        <v>0</v>
      </c>
      <c r="N2285" s="1509">
        <f t="shared" si="361"/>
        <v>0</v>
      </c>
    </row>
    <row r="2286" spans="1:14" customFormat="1" ht="101.5" outlineLevel="1" x14ac:dyDescent="0.25">
      <c r="A2286" s="1506">
        <f t="shared" si="356"/>
        <v>4</v>
      </c>
      <c r="B2286" s="1507" t="str">
        <f t="shared" si="356"/>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2286" s="1506" t="str">
        <f t="shared" si="356"/>
        <v>Yet to be approved</v>
      </c>
      <c r="D2286" s="1507" t="str">
        <f t="shared" si="356"/>
        <v>-</v>
      </c>
      <c r="E2286" s="1506">
        <f t="shared" si="356"/>
        <v>0</v>
      </c>
      <c r="F2286" s="1509">
        <f t="shared" si="357"/>
        <v>0</v>
      </c>
      <c r="G2286" s="1509">
        <f t="shared" si="358"/>
        <v>0</v>
      </c>
      <c r="H2286" s="1509">
        <f t="shared" si="359"/>
        <v>0</v>
      </c>
      <c r="I2286" s="1509">
        <v>0</v>
      </c>
      <c r="J2286" s="1509">
        <v>0</v>
      </c>
      <c r="K2286" s="1509"/>
      <c r="L2286" s="1509"/>
      <c r="M2286" s="1509">
        <f t="shared" si="360"/>
        <v>0</v>
      </c>
      <c r="N2286" s="1509">
        <f t="shared" si="361"/>
        <v>0</v>
      </c>
    </row>
    <row r="2287" spans="1:14" customFormat="1" ht="29" outlineLevel="1" x14ac:dyDescent="0.25">
      <c r="A2287" s="1511">
        <f t="shared" si="356"/>
        <v>4.0999999999999996</v>
      </c>
      <c r="B2287" s="1515" t="str">
        <f t="shared" si="356"/>
        <v>Procurement of Energy Efficient Cartridges of Boiler Feed Pumps at Unit #6&amp;7 Parli TPS and BFP booster pumps at Unit 6,7 Parli Vaijnath.</v>
      </c>
      <c r="C2287" s="1396" t="str">
        <f t="shared" si="356"/>
        <v>Yet to be approved</v>
      </c>
      <c r="D2287" s="1378" t="str">
        <f t="shared" si="356"/>
        <v>-</v>
      </c>
      <c r="E2287" s="1505">
        <f t="shared" si="356"/>
        <v>0</v>
      </c>
      <c r="F2287" s="1509">
        <f t="shared" si="357"/>
        <v>15</v>
      </c>
      <c r="G2287" s="1509">
        <f t="shared" si="358"/>
        <v>15</v>
      </c>
      <c r="H2287" s="1509">
        <f t="shared" si="359"/>
        <v>0</v>
      </c>
      <c r="I2287" s="1509">
        <v>0</v>
      </c>
      <c r="J2287" s="1509">
        <v>0</v>
      </c>
      <c r="K2287" s="1509"/>
      <c r="L2287" s="1509"/>
      <c r="M2287" s="1509">
        <f t="shared" si="360"/>
        <v>0</v>
      </c>
      <c r="N2287" s="1509">
        <f t="shared" si="361"/>
        <v>0</v>
      </c>
    </row>
    <row r="2288" spans="1:14" customFormat="1" ht="29" outlineLevel="1" x14ac:dyDescent="0.25">
      <c r="A2288" s="1511">
        <f t="shared" si="356"/>
        <v>4.2</v>
      </c>
      <c r="B2288" s="1515" t="str">
        <f t="shared" si="356"/>
        <v>Refurbishment of existing M/s Jindal make H2 gas Dryer at Unit #6&amp;7 Parli TPS</v>
      </c>
      <c r="C2288" s="1396" t="str">
        <f t="shared" si="356"/>
        <v>Yet to be approved</v>
      </c>
      <c r="D2288" s="1378" t="str">
        <f t="shared" si="356"/>
        <v>-</v>
      </c>
      <c r="E2288" s="1505">
        <f t="shared" si="356"/>
        <v>0</v>
      </c>
      <c r="F2288" s="1509">
        <f t="shared" si="357"/>
        <v>3.51</v>
      </c>
      <c r="G2288" s="1509">
        <f t="shared" si="358"/>
        <v>3.51</v>
      </c>
      <c r="H2288" s="1509">
        <f t="shared" si="359"/>
        <v>0</v>
      </c>
      <c r="I2288" s="1509">
        <v>0</v>
      </c>
      <c r="J2288" s="1509">
        <v>0</v>
      </c>
      <c r="K2288" s="1509"/>
      <c r="L2288" s="1509"/>
      <c r="M2288" s="1509">
        <f t="shared" si="360"/>
        <v>0</v>
      </c>
      <c r="N2288" s="1509">
        <f t="shared" si="361"/>
        <v>0</v>
      </c>
    </row>
    <row r="2289" spans="1:14" customFormat="1" ht="29" outlineLevel="1" x14ac:dyDescent="0.25">
      <c r="A2289" s="1511">
        <f t="shared" si="356"/>
        <v>4.3</v>
      </c>
      <c r="B2289" s="1515" t="str">
        <f t="shared" si="356"/>
        <v>Refurbishment of existing M/s Donaldson make Instrument Air Dryer at Unit#6 Parli TPS</v>
      </c>
      <c r="C2289" s="1396" t="str">
        <f t="shared" si="356"/>
        <v>Yet to be approved</v>
      </c>
      <c r="D2289" s="1378" t="str">
        <f t="shared" si="356"/>
        <v>-</v>
      </c>
      <c r="E2289" s="1505">
        <f t="shared" si="356"/>
        <v>0</v>
      </c>
      <c r="F2289" s="1509">
        <f t="shared" si="357"/>
        <v>4.59</v>
      </c>
      <c r="G2289" s="1509">
        <f t="shared" si="358"/>
        <v>4.59</v>
      </c>
      <c r="H2289" s="1509">
        <f t="shared" si="359"/>
        <v>0</v>
      </c>
      <c r="I2289" s="1509">
        <v>0</v>
      </c>
      <c r="J2289" s="1509">
        <v>0</v>
      </c>
      <c r="K2289" s="1509"/>
      <c r="L2289" s="1509"/>
      <c r="M2289" s="1509">
        <f t="shared" si="360"/>
        <v>0</v>
      </c>
      <c r="N2289" s="1509">
        <f t="shared" si="361"/>
        <v>0</v>
      </c>
    </row>
    <row r="2290" spans="1:14" customFormat="1" ht="58" outlineLevel="1" x14ac:dyDescent="0.25">
      <c r="A2290" s="1511">
        <f t="shared" si="356"/>
        <v>4.4000000000000004</v>
      </c>
      <c r="B2290" s="1515" t="str">
        <f t="shared" si="356"/>
        <v xml:space="preserve"> Repair and refurbishment of flowmore make ACW pump v.t model 24h/2 stage drawing no. csd/96502082k5(A)&amp; HSC booster pump model fig 5821 size 350 x 300 drawing no. csd/96502082k5(b) at unit#6,7.</v>
      </c>
      <c r="C2290" s="1396" t="str">
        <f t="shared" si="356"/>
        <v>Yet to be approved</v>
      </c>
      <c r="D2290" s="1378" t="str">
        <f t="shared" si="356"/>
        <v>-</v>
      </c>
      <c r="E2290" s="1505">
        <f t="shared" si="356"/>
        <v>0</v>
      </c>
      <c r="F2290" s="1509">
        <f t="shared" si="357"/>
        <v>3.89</v>
      </c>
      <c r="G2290" s="1509">
        <f t="shared" si="358"/>
        <v>3.89</v>
      </c>
      <c r="H2290" s="1509">
        <f t="shared" si="359"/>
        <v>0</v>
      </c>
      <c r="I2290" s="1509">
        <v>0</v>
      </c>
      <c r="J2290" s="1509">
        <v>0</v>
      </c>
      <c r="K2290" s="1509"/>
      <c r="L2290" s="1509"/>
      <c r="M2290" s="1509">
        <f t="shared" si="360"/>
        <v>0</v>
      </c>
      <c r="N2290" s="1509">
        <f t="shared" si="361"/>
        <v>0</v>
      </c>
    </row>
    <row r="2291" spans="1:14" customFormat="1" outlineLevel="1" x14ac:dyDescent="0.25">
      <c r="A2291" s="1511">
        <f t="shared" si="356"/>
        <v>0</v>
      </c>
      <c r="B2291" s="1515" t="str">
        <f t="shared" si="356"/>
        <v>IDC</v>
      </c>
      <c r="C2291" s="1396" t="str">
        <f t="shared" si="356"/>
        <v>Yet to be approved</v>
      </c>
      <c r="D2291" s="1378" t="str">
        <f t="shared" si="356"/>
        <v>-</v>
      </c>
      <c r="E2291" s="1505">
        <f t="shared" si="356"/>
        <v>0</v>
      </c>
      <c r="F2291" s="1509">
        <f t="shared" si="357"/>
        <v>0</v>
      </c>
      <c r="G2291" s="1509">
        <f t="shared" si="358"/>
        <v>0</v>
      </c>
      <c r="H2291" s="1509">
        <f t="shared" si="359"/>
        <v>0</v>
      </c>
      <c r="I2291" s="1509">
        <v>0</v>
      </c>
      <c r="J2291" s="1509">
        <v>0</v>
      </c>
      <c r="K2291" s="1509"/>
      <c r="L2291" s="1509"/>
      <c r="M2291" s="1509">
        <f t="shared" si="360"/>
        <v>0</v>
      </c>
      <c r="N2291" s="1509">
        <f t="shared" si="361"/>
        <v>0</v>
      </c>
    </row>
    <row r="2292" spans="1:14" customFormat="1" outlineLevel="1" x14ac:dyDescent="0.25">
      <c r="A2292" s="1506">
        <f t="shared" si="356"/>
        <v>5</v>
      </c>
      <c r="B2292" s="1507" t="str">
        <f t="shared" si="356"/>
        <v>Bolier Improvement schemes at  U#6,7 Parli TPS</v>
      </c>
      <c r="C2292" s="1506" t="str">
        <f t="shared" si="356"/>
        <v>Yet to be approved</v>
      </c>
      <c r="D2292" s="1507" t="str">
        <f t="shared" si="356"/>
        <v>-</v>
      </c>
      <c r="E2292" s="1506">
        <f t="shared" si="356"/>
        <v>0</v>
      </c>
      <c r="F2292" s="1509">
        <f t="shared" si="357"/>
        <v>0</v>
      </c>
      <c r="G2292" s="1509">
        <f t="shared" si="358"/>
        <v>0</v>
      </c>
      <c r="H2292" s="1509">
        <f t="shared" si="359"/>
        <v>0</v>
      </c>
      <c r="I2292" s="1509">
        <v>0</v>
      </c>
      <c r="J2292" s="1509">
        <v>0</v>
      </c>
      <c r="K2292" s="1509"/>
      <c r="L2292" s="1509"/>
      <c r="M2292" s="1509">
        <f t="shared" si="360"/>
        <v>0</v>
      </c>
      <c r="N2292" s="1509">
        <f t="shared" si="361"/>
        <v>0</v>
      </c>
    </row>
    <row r="2293" spans="1:14" customFormat="1" ht="29" outlineLevel="1" x14ac:dyDescent="0.25">
      <c r="A2293" s="1511">
        <f t="shared" si="356"/>
        <v>5.0999999999999996</v>
      </c>
      <c r="B2293" s="1515" t="str">
        <f t="shared" si="356"/>
        <v>Procurment &amp; replacement of Four complete set of APH basket ay U#6 &amp; 7</v>
      </c>
      <c r="C2293" s="1396" t="str">
        <f t="shared" si="356"/>
        <v>Yet to be approved</v>
      </c>
      <c r="D2293" s="1378" t="str">
        <f t="shared" si="356"/>
        <v>-</v>
      </c>
      <c r="E2293" s="1505">
        <f t="shared" si="356"/>
        <v>0</v>
      </c>
      <c r="F2293" s="1509">
        <f t="shared" si="357"/>
        <v>10</v>
      </c>
      <c r="G2293" s="1509">
        <f t="shared" si="358"/>
        <v>10</v>
      </c>
      <c r="H2293" s="1509">
        <f t="shared" si="359"/>
        <v>0</v>
      </c>
      <c r="I2293" s="1509">
        <v>0</v>
      </c>
      <c r="J2293" s="1509">
        <v>0</v>
      </c>
      <c r="K2293" s="1509"/>
      <c r="L2293" s="1509"/>
      <c r="M2293" s="1509">
        <f t="shared" si="360"/>
        <v>0</v>
      </c>
      <c r="N2293" s="1509">
        <f t="shared" si="361"/>
        <v>0</v>
      </c>
    </row>
    <row r="2294" spans="1:14" customFormat="1" ht="29" outlineLevel="1" x14ac:dyDescent="0.25">
      <c r="A2294" s="1511">
        <f t="shared" si="356"/>
        <v>5.2</v>
      </c>
      <c r="B2294" s="1515" t="str">
        <f t="shared" si="356"/>
        <v>PROCUREMENT &amp; REPLACEMENT OF COAL COMPARATMENT ASSEMBLIES FOR 250 MW UNIT-6 &amp; 7 AT PARLI TPS</v>
      </c>
      <c r="C2294" s="1396" t="str">
        <f t="shared" si="356"/>
        <v>Yet to be approved</v>
      </c>
      <c r="D2294" s="1378" t="str">
        <f t="shared" si="356"/>
        <v>-</v>
      </c>
      <c r="E2294" s="1505">
        <f t="shared" si="356"/>
        <v>0</v>
      </c>
      <c r="F2294" s="1509">
        <f t="shared" si="357"/>
        <v>2.5499999999999998</v>
      </c>
      <c r="G2294" s="1509">
        <f t="shared" si="358"/>
        <v>2.5499999999999998</v>
      </c>
      <c r="H2294" s="1509">
        <f t="shared" si="359"/>
        <v>0</v>
      </c>
      <c r="I2294" s="1509">
        <v>0</v>
      </c>
      <c r="J2294" s="1509">
        <v>0</v>
      </c>
      <c r="K2294" s="1509"/>
      <c r="L2294" s="1509"/>
      <c r="M2294" s="1509">
        <f t="shared" si="360"/>
        <v>0</v>
      </c>
      <c r="N2294" s="1509">
        <f t="shared" si="361"/>
        <v>0</v>
      </c>
    </row>
    <row r="2295" spans="1:14" customFormat="1" ht="29" outlineLevel="1" x14ac:dyDescent="0.25">
      <c r="A2295" s="1511">
        <f t="shared" si="356"/>
        <v>5.3</v>
      </c>
      <c r="B2295" s="1515" t="str">
        <f t="shared" si="356"/>
        <v>Procurement &amp; replacement  of complete set of Reheater coils for U- 6 &amp; 7</v>
      </c>
      <c r="C2295" s="1396" t="str">
        <f t="shared" si="356"/>
        <v>Yet to be approved</v>
      </c>
      <c r="D2295" s="1378" t="str">
        <f t="shared" si="356"/>
        <v>-</v>
      </c>
      <c r="E2295" s="1505">
        <f t="shared" si="356"/>
        <v>0</v>
      </c>
      <c r="F2295" s="1509">
        <f t="shared" si="357"/>
        <v>22.5</v>
      </c>
      <c r="G2295" s="1509">
        <f t="shared" si="358"/>
        <v>22.5</v>
      </c>
      <c r="H2295" s="1509">
        <f t="shared" si="359"/>
        <v>0</v>
      </c>
      <c r="I2295" s="1509">
        <v>0</v>
      </c>
      <c r="J2295" s="1509">
        <v>0</v>
      </c>
      <c r="K2295" s="1509"/>
      <c r="L2295" s="1509"/>
      <c r="M2295" s="1509">
        <f t="shared" si="360"/>
        <v>0</v>
      </c>
      <c r="N2295" s="1509">
        <f t="shared" si="361"/>
        <v>0</v>
      </c>
    </row>
    <row r="2296" spans="1:14" customFormat="1" ht="29" outlineLevel="1" x14ac:dyDescent="0.25">
      <c r="A2296" s="1511">
        <f t="shared" ref="A2296:E2311" si="362">A1939</f>
        <v>5.4</v>
      </c>
      <c r="B2296" s="1515" t="str">
        <f t="shared" si="362"/>
        <v>Procurement &amp; replacement  of complete set of Platen SH coil for U- 6 &amp; 7</v>
      </c>
      <c r="C2296" s="1396" t="str">
        <f t="shared" si="362"/>
        <v>Yet to be approved</v>
      </c>
      <c r="D2296" s="1378" t="str">
        <f t="shared" si="362"/>
        <v>-</v>
      </c>
      <c r="E2296" s="1505">
        <f t="shared" si="362"/>
        <v>0</v>
      </c>
      <c r="F2296" s="1509">
        <f t="shared" si="357"/>
        <v>25.5</v>
      </c>
      <c r="G2296" s="1509">
        <f t="shared" si="358"/>
        <v>25.5</v>
      </c>
      <c r="H2296" s="1509">
        <f t="shared" si="359"/>
        <v>0</v>
      </c>
      <c r="I2296" s="1509">
        <v>0</v>
      </c>
      <c r="J2296" s="1509">
        <v>0</v>
      </c>
      <c r="K2296" s="1509"/>
      <c r="L2296" s="1509"/>
      <c r="M2296" s="1509">
        <f t="shared" si="360"/>
        <v>0</v>
      </c>
      <c r="N2296" s="1509">
        <f t="shared" si="361"/>
        <v>0</v>
      </c>
    </row>
    <row r="2297" spans="1:14" customFormat="1" outlineLevel="1" x14ac:dyDescent="0.25">
      <c r="A2297" s="1511">
        <f t="shared" si="362"/>
        <v>5.5</v>
      </c>
      <c r="B2297" s="1515" t="str">
        <f t="shared" si="362"/>
        <v>Procurement &amp; replacement of  shell liner for U-6&amp;7</v>
      </c>
      <c r="C2297" s="1396" t="str">
        <f t="shared" si="362"/>
        <v>Yet to be approved</v>
      </c>
      <c r="D2297" s="1378" t="str">
        <f t="shared" si="362"/>
        <v>-</v>
      </c>
      <c r="E2297" s="1505">
        <f t="shared" si="362"/>
        <v>0</v>
      </c>
      <c r="F2297" s="1509">
        <f t="shared" si="357"/>
        <v>3.5</v>
      </c>
      <c r="G2297" s="1509">
        <f t="shared" si="358"/>
        <v>3.5</v>
      </c>
      <c r="H2297" s="1509">
        <f t="shared" si="359"/>
        <v>0</v>
      </c>
      <c r="I2297" s="1509">
        <v>0</v>
      </c>
      <c r="J2297" s="1509">
        <v>0</v>
      </c>
      <c r="K2297" s="1509"/>
      <c r="L2297" s="1509"/>
      <c r="M2297" s="1509">
        <f t="shared" si="360"/>
        <v>0</v>
      </c>
      <c r="N2297" s="1509">
        <f t="shared" si="361"/>
        <v>0</v>
      </c>
    </row>
    <row r="2298" spans="1:14" customFormat="1" ht="29" outlineLevel="1" x14ac:dyDescent="0.25">
      <c r="A2298" s="1511">
        <f t="shared" si="362"/>
        <v>5.6</v>
      </c>
      <c r="B2298" s="1515" t="str">
        <f t="shared" si="362"/>
        <v>Procurement &amp; replacement of  FD fan assembly with blade set at U#6,7</v>
      </c>
      <c r="C2298" s="1396" t="str">
        <f t="shared" si="362"/>
        <v>Yet to be approved</v>
      </c>
      <c r="D2298" s="1378" t="str">
        <f t="shared" si="362"/>
        <v>-</v>
      </c>
      <c r="E2298" s="1505">
        <f t="shared" si="362"/>
        <v>0</v>
      </c>
      <c r="F2298" s="1509">
        <f t="shared" si="357"/>
        <v>8</v>
      </c>
      <c r="G2298" s="1509">
        <f t="shared" si="358"/>
        <v>8</v>
      </c>
      <c r="H2298" s="1509">
        <f t="shared" si="359"/>
        <v>0</v>
      </c>
      <c r="I2298" s="1509">
        <v>0</v>
      </c>
      <c r="J2298" s="1509">
        <v>0</v>
      </c>
      <c r="K2298" s="1509"/>
      <c r="L2298" s="1509"/>
      <c r="M2298" s="1509">
        <f t="shared" si="360"/>
        <v>0</v>
      </c>
      <c r="N2298" s="1509">
        <f t="shared" si="361"/>
        <v>0</v>
      </c>
    </row>
    <row r="2299" spans="1:14" customFormat="1" outlineLevel="1" x14ac:dyDescent="0.25">
      <c r="A2299" s="1511">
        <f t="shared" si="362"/>
        <v>0</v>
      </c>
      <c r="B2299" s="1515" t="str">
        <f t="shared" si="362"/>
        <v>IDC</v>
      </c>
      <c r="C2299" s="1396" t="str">
        <f t="shared" si="362"/>
        <v>Yet to be approved</v>
      </c>
      <c r="D2299" s="1378" t="str">
        <f t="shared" si="362"/>
        <v>-</v>
      </c>
      <c r="E2299" s="1505">
        <f t="shared" si="362"/>
        <v>0</v>
      </c>
      <c r="F2299" s="1509">
        <f t="shared" si="357"/>
        <v>0</v>
      </c>
      <c r="G2299" s="1509">
        <f t="shared" si="358"/>
        <v>0</v>
      </c>
      <c r="H2299" s="1509">
        <f t="shared" si="359"/>
        <v>0</v>
      </c>
      <c r="I2299" s="1509">
        <v>0</v>
      </c>
      <c r="J2299" s="1509">
        <v>0</v>
      </c>
      <c r="K2299" s="1509"/>
      <c r="L2299" s="1509"/>
      <c r="M2299" s="1509">
        <f t="shared" si="360"/>
        <v>0</v>
      </c>
      <c r="N2299" s="1509">
        <f t="shared" si="361"/>
        <v>0</v>
      </c>
    </row>
    <row r="2300" spans="1:14" customFormat="1" outlineLevel="1" x14ac:dyDescent="0.25">
      <c r="A2300" s="1506">
        <f t="shared" si="362"/>
        <v>6</v>
      </c>
      <c r="B2300" s="1507" t="str">
        <f t="shared" si="362"/>
        <v>Bolier plant performance Improvement schemes at  U#6,7 Parli TPS</v>
      </c>
      <c r="C2300" s="1506" t="str">
        <f t="shared" si="362"/>
        <v>Yet to be approved</v>
      </c>
      <c r="D2300" s="1507" t="str">
        <f t="shared" si="362"/>
        <v>-</v>
      </c>
      <c r="E2300" s="1506">
        <f t="shared" si="362"/>
        <v>0</v>
      </c>
      <c r="F2300" s="1509">
        <f t="shared" si="357"/>
        <v>0</v>
      </c>
      <c r="G2300" s="1509">
        <f t="shared" si="358"/>
        <v>0</v>
      </c>
      <c r="H2300" s="1509">
        <f t="shared" si="359"/>
        <v>0</v>
      </c>
      <c r="I2300" s="1509">
        <v>0</v>
      </c>
      <c r="J2300" s="1509">
        <v>0</v>
      </c>
      <c r="K2300" s="1509"/>
      <c r="L2300" s="1509"/>
      <c r="M2300" s="1509">
        <f t="shared" si="360"/>
        <v>0</v>
      </c>
      <c r="N2300" s="1509">
        <f t="shared" si="361"/>
        <v>0</v>
      </c>
    </row>
    <row r="2301" spans="1:14" customFormat="1" ht="29" outlineLevel="1" x14ac:dyDescent="0.25">
      <c r="A2301" s="1511">
        <f t="shared" si="362"/>
        <v>6.1</v>
      </c>
      <c r="B2301" s="1515" t="str">
        <f t="shared" si="362"/>
        <v xml:space="preserve"> PROCUREMENT &amp; REPLACEMENT OF COAL COMPARATMENT ASSEMBLIES FOR 250 MW UNIT-6 &amp; 7 AT PARLI TPS</v>
      </c>
      <c r="C2301" s="1396" t="str">
        <f t="shared" si="362"/>
        <v>Yet to be approved</v>
      </c>
      <c r="D2301" s="1378" t="str">
        <f t="shared" si="362"/>
        <v>-</v>
      </c>
      <c r="E2301" s="1505">
        <f t="shared" si="362"/>
        <v>0</v>
      </c>
      <c r="F2301" s="1509">
        <f t="shared" si="357"/>
        <v>1.35</v>
      </c>
      <c r="G2301" s="1509">
        <f t="shared" si="358"/>
        <v>1.35</v>
      </c>
      <c r="H2301" s="1509">
        <f t="shared" si="359"/>
        <v>0</v>
      </c>
      <c r="I2301" s="1509">
        <v>1.4</v>
      </c>
      <c r="J2301" s="1509">
        <v>1.4</v>
      </c>
      <c r="K2301" s="1509"/>
      <c r="L2301" s="1509"/>
      <c r="M2301" s="1509">
        <f t="shared" si="360"/>
        <v>1.4</v>
      </c>
      <c r="N2301" s="1509">
        <f t="shared" si="361"/>
        <v>0</v>
      </c>
    </row>
    <row r="2302" spans="1:14" customFormat="1" outlineLevel="1" x14ac:dyDescent="0.25">
      <c r="A2302" s="1511">
        <f t="shared" si="362"/>
        <v>6.2</v>
      </c>
      <c r="B2302" s="1515" t="str">
        <f t="shared" si="362"/>
        <v>Procurement &amp; replacement of  shell liner for U-6&amp;7</v>
      </c>
      <c r="C2302" s="1396" t="str">
        <f t="shared" si="362"/>
        <v>Yet to be approved</v>
      </c>
      <c r="D2302" s="1378" t="str">
        <f t="shared" si="362"/>
        <v>-</v>
      </c>
      <c r="E2302" s="1505">
        <f t="shared" si="362"/>
        <v>0</v>
      </c>
      <c r="F2302" s="1509">
        <f t="shared" si="357"/>
        <v>0</v>
      </c>
      <c r="G2302" s="1509">
        <f t="shared" si="358"/>
        <v>0</v>
      </c>
      <c r="H2302" s="1509">
        <f t="shared" si="359"/>
        <v>0</v>
      </c>
      <c r="I2302" s="1509">
        <v>2.7</v>
      </c>
      <c r="J2302" s="1509">
        <v>2.7</v>
      </c>
      <c r="K2302" s="1509"/>
      <c r="L2302" s="1509"/>
      <c r="M2302" s="1509">
        <f t="shared" si="360"/>
        <v>2.7</v>
      </c>
      <c r="N2302" s="1509">
        <f t="shared" si="361"/>
        <v>0</v>
      </c>
    </row>
    <row r="2303" spans="1:14" customFormat="1" ht="29" outlineLevel="1" x14ac:dyDescent="0.25">
      <c r="A2303" s="1511">
        <f t="shared" si="362"/>
        <v>6.3</v>
      </c>
      <c r="B2303" s="1515" t="str">
        <f t="shared" si="362"/>
        <v>Procurement &amp; replacement of water wall Z panel &amp; water wall soot blower panel at U#6,7</v>
      </c>
      <c r="C2303" s="1396" t="str">
        <f t="shared" si="362"/>
        <v>Yet to be approved</v>
      </c>
      <c r="D2303" s="1378" t="str">
        <f t="shared" si="362"/>
        <v>-</v>
      </c>
      <c r="E2303" s="1505">
        <f t="shared" si="362"/>
        <v>0</v>
      </c>
      <c r="F2303" s="1509">
        <f t="shared" si="357"/>
        <v>3.5</v>
      </c>
      <c r="G2303" s="1509">
        <f t="shared" si="358"/>
        <v>3.5</v>
      </c>
      <c r="H2303" s="1509">
        <f t="shared" si="359"/>
        <v>0</v>
      </c>
      <c r="I2303" s="1509">
        <v>3.5</v>
      </c>
      <c r="J2303" s="1509">
        <v>3.5</v>
      </c>
      <c r="K2303" s="1509"/>
      <c r="L2303" s="1509"/>
      <c r="M2303" s="1509">
        <f t="shared" si="360"/>
        <v>3.5</v>
      </c>
      <c r="N2303" s="1509">
        <f t="shared" si="361"/>
        <v>0</v>
      </c>
    </row>
    <row r="2304" spans="1:14" customFormat="1" ht="29" outlineLevel="1" x14ac:dyDescent="0.25">
      <c r="A2304" s="1511">
        <f t="shared" si="362"/>
        <v>6.4</v>
      </c>
      <c r="B2304" s="1515" t="str">
        <f t="shared" si="362"/>
        <v>Procurement &amp; Replacement of Two complete set of APH Baskets at 250 MW Unit-7, Parli TPS.</v>
      </c>
      <c r="C2304" s="1396" t="str">
        <f t="shared" si="362"/>
        <v>Yet to be approved</v>
      </c>
      <c r="D2304" s="1378" t="str">
        <f t="shared" si="362"/>
        <v>-</v>
      </c>
      <c r="E2304" s="1505">
        <f t="shared" si="362"/>
        <v>0</v>
      </c>
      <c r="F2304" s="1509">
        <f t="shared" si="357"/>
        <v>0</v>
      </c>
      <c r="G2304" s="1509">
        <f t="shared" si="358"/>
        <v>0</v>
      </c>
      <c r="H2304" s="1509">
        <f t="shared" si="359"/>
        <v>0</v>
      </c>
      <c r="I2304" s="1509">
        <v>0</v>
      </c>
      <c r="J2304" s="1509">
        <v>0</v>
      </c>
      <c r="K2304" s="1509"/>
      <c r="L2304" s="1509"/>
      <c r="M2304" s="1509">
        <f t="shared" si="360"/>
        <v>0</v>
      </c>
      <c r="N2304" s="1509">
        <f t="shared" si="361"/>
        <v>0</v>
      </c>
    </row>
    <row r="2305" spans="1:14" customFormat="1" outlineLevel="1" x14ac:dyDescent="0.25">
      <c r="A2305" s="1511">
        <f t="shared" si="362"/>
        <v>0</v>
      </c>
      <c r="B2305" s="1515" t="str">
        <f t="shared" si="362"/>
        <v>IDC</v>
      </c>
      <c r="C2305" s="1396" t="str">
        <f t="shared" si="362"/>
        <v>Yet to be approved</v>
      </c>
      <c r="D2305" s="1378" t="str">
        <f t="shared" si="362"/>
        <v>-</v>
      </c>
      <c r="E2305" s="1505">
        <f t="shared" si="362"/>
        <v>0</v>
      </c>
      <c r="F2305" s="1509">
        <f t="shared" si="357"/>
        <v>0</v>
      </c>
      <c r="G2305" s="1509">
        <f t="shared" si="358"/>
        <v>0</v>
      </c>
      <c r="H2305" s="1509">
        <f t="shared" si="359"/>
        <v>0</v>
      </c>
      <c r="I2305" s="1509">
        <v>0</v>
      </c>
      <c r="J2305" s="1509">
        <v>0</v>
      </c>
      <c r="K2305" s="1509"/>
      <c r="L2305" s="1509"/>
      <c r="M2305" s="1509">
        <f t="shared" si="360"/>
        <v>0</v>
      </c>
      <c r="N2305" s="1509">
        <f t="shared" si="361"/>
        <v>0</v>
      </c>
    </row>
    <row r="2306" spans="1:14" customFormat="1" outlineLevel="1" x14ac:dyDescent="0.25">
      <c r="A2306" s="1506">
        <f t="shared" si="362"/>
        <v>7</v>
      </c>
      <c r="B2306" s="1507" t="str">
        <f t="shared" si="362"/>
        <v>ESP Upgradation at U#6,7</v>
      </c>
      <c r="C2306" s="1506" t="str">
        <f t="shared" si="362"/>
        <v>Yet to be approved</v>
      </c>
      <c r="D2306" s="1507" t="str">
        <f t="shared" si="362"/>
        <v>-</v>
      </c>
      <c r="E2306" s="1506">
        <f t="shared" si="362"/>
        <v>0</v>
      </c>
      <c r="F2306" s="1509">
        <f t="shared" si="357"/>
        <v>0</v>
      </c>
      <c r="G2306" s="1509">
        <f t="shared" si="358"/>
        <v>0</v>
      </c>
      <c r="H2306" s="1509">
        <f t="shared" si="359"/>
        <v>0</v>
      </c>
      <c r="I2306" s="1509">
        <v>0</v>
      </c>
      <c r="J2306" s="1509">
        <v>0</v>
      </c>
      <c r="K2306" s="1509"/>
      <c r="L2306" s="1509"/>
      <c r="M2306" s="1509">
        <f t="shared" si="360"/>
        <v>0</v>
      </c>
      <c r="N2306" s="1509">
        <f t="shared" si="361"/>
        <v>0</v>
      </c>
    </row>
    <row r="2307" spans="1:14" customFormat="1" ht="58" outlineLevel="1" x14ac:dyDescent="0.25">
      <c r="A2307" s="1511">
        <f t="shared" si="362"/>
        <v>7.1</v>
      </c>
      <c r="B2307" s="1515" t="str">
        <f t="shared" si="362"/>
        <v xml:space="preserve"> Procurement &amp; replacement of all emitting coils &amp; collecting plates of ESP &amp; Procurement &amp; replacement of ESP internals at U#6,7 Parli TPS &amp; Replacement of thermal insulation of boiler, ducts &amp; steam piping along with supply</v>
      </c>
      <c r="C2307" s="1396" t="str">
        <f t="shared" si="362"/>
        <v>Yet to be approved</v>
      </c>
      <c r="D2307" s="1378" t="str">
        <f t="shared" si="362"/>
        <v>-</v>
      </c>
      <c r="E2307" s="1505">
        <f t="shared" si="362"/>
        <v>0</v>
      </c>
      <c r="F2307" s="1509">
        <f t="shared" si="357"/>
        <v>25</v>
      </c>
      <c r="G2307" s="1509">
        <f t="shared" si="358"/>
        <v>25</v>
      </c>
      <c r="H2307" s="1509">
        <f t="shared" si="359"/>
        <v>0</v>
      </c>
      <c r="I2307" s="1509">
        <v>0</v>
      </c>
      <c r="J2307" s="1509">
        <v>0</v>
      </c>
      <c r="K2307" s="1509"/>
      <c r="L2307" s="1509"/>
      <c r="M2307" s="1509">
        <f t="shared" si="360"/>
        <v>0</v>
      </c>
      <c r="N2307" s="1509">
        <f t="shared" si="361"/>
        <v>0</v>
      </c>
    </row>
    <row r="2308" spans="1:14" customFormat="1" ht="29" outlineLevel="1" x14ac:dyDescent="0.25">
      <c r="A2308" s="1511">
        <f t="shared" si="362"/>
        <v>7.2</v>
      </c>
      <c r="B2308" s="1515" t="str">
        <f t="shared" si="362"/>
        <v xml:space="preserve"> Replacement of thermal insulation of boiler, ducts &amp; steam piping along with supply</v>
      </c>
      <c r="C2308" s="1396" t="str">
        <f t="shared" si="362"/>
        <v>Yet to be approved</v>
      </c>
      <c r="D2308" s="1378" t="str">
        <f t="shared" si="362"/>
        <v>-</v>
      </c>
      <c r="E2308" s="1505">
        <f t="shared" si="362"/>
        <v>0</v>
      </c>
      <c r="F2308" s="1509">
        <f t="shared" si="357"/>
        <v>0</v>
      </c>
      <c r="G2308" s="1509">
        <f t="shared" si="358"/>
        <v>0</v>
      </c>
      <c r="H2308" s="1509">
        <f t="shared" si="359"/>
        <v>0</v>
      </c>
      <c r="I2308" s="1509">
        <v>0</v>
      </c>
      <c r="J2308" s="1509">
        <v>0</v>
      </c>
      <c r="K2308" s="1509"/>
      <c r="L2308" s="1509"/>
      <c r="M2308" s="1509">
        <f t="shared" si="360"/>
        <v>0</v>
      </c>
      <c r="N2308" s="1509">
        <f t="shared" si="361"/>
        <v>0</v>
      </c>
    </row>
    <row r="2309" spans="1:14" customFormat="1" outlineLevel="1" x14ac:dyDescent="0.25">
      <c r="A2309" s="1511">
        <f t="shared" si="362"/>
        <v>0</v>
      </c>
      <c r="B2309" s="1515" t="str">
        <f t="shared" si="362"/>
        <v>IDC</v>
      </c>
      <c r="C2309" s="1396" t="str">
        <f t="shared" si="362"/>
        <v>Yet to be approved</v>
      </c>
      <c r="D2309" s="1378" t="str">
        <f t="shared" si="362"/>
        <v>-</v>
      </c>
      <c r="E2309" s="1505">
        <f t="shared" si="362"/>
        <v>0</v>
      </c>
      <c r="F2309" s="1509">
        <f t="shared" si="357"/>
        <v>0</v>
      </c>
      <c r="G2309" s="1509">
        <f t="shared" si="358"/>
        <v>0</v>
      </c>
      <c r="H2309" s="1509">
        <f t="shared" si="359"/>
        <v>0</v>
      </c>
      <c r="I2309" s="1509">
        <v>0</v>
      </c>
      <c r="J2309" s="1509">
        <v>0</v>
      </c>
      <c r="K2309" s="1509"/>
      <c r="L2309" s="1509"/>
      <c r="M2309" s="1509">
        <f t="shared" si="360"/>
        <v>0</v>
      </c>
      <c r="N2309" s="1509">
        <f t="shared" si="361"/>
        <v>0</v>
      </c>
    </row>
    <row r="2310" spans="1:14" customFormat="1" outlineLevel="1" x14ac:dyDescent="0.25">
      <c r="A2310" s="1506">
        <f t="shared" si="362"/>
        <v>8</v>
      </c>
      <c r="B2310" s="1507" t="str">
        <f t="shared" si="362"/>
        <v>Augmentation of Dautpur &amp; Sandawa premises water recovery system</v>
      </c>
      <c r="C2310" s="1506" t="str">
        <f t="shared" si="362"/>
        <v>Yet to be approved</v>
      </c>
      <c r="D2310" s="1507" t="str">
        <f t="shared" si="362"/>
        <v>-</v>
      </c>
      <c r="E2310" s="1506">
        <f t="shared" si="362"/>
        <v>0</v>
      </c>
      <c r="F2310" s="1509">
        <f t="shared" si="357"/>
        <v>0</v>
      </c>
      <c r="G2310" s="1509">
        <f t="shared" si="358"/>
        <v>0</v>
      </c>
      <c r="H2310" s="1509">
        <f t="shared" si="359"/>
        <v>0</v>
      </c>
      <c r="I2310" s="1509">
        <v>0</v>
      </c>
      <c r="J2310" s="1509">
        <v>0</v>
      </c>
      <c r="K2310" s="1509"/>
      <c r="L2310" s="1509"/>
      <c r="M2310" s="1509">
        <f t="shared" si="360"/>
        <v>0</v>
      </c>
      <c r="N2310" s="1509">
        <f t="shared" si="361"/>
        <v>0</v>
      </c>
    </row>
    <row r="2311" spans="1:14" customFormat="1" ht="29" outlineLevel="1" x14ac:dyDescent="0.25">
      <c r="A2311" s="1511">
        <f t="shared" si="362"/>
        <v>8.1</v>
      </c>
      <c r="B2311" s="1515" t="str">
        <f t="shared" si="362"/>
        <v>Supply, erection &amp; commissioning of VT pumps for waste water recovery at TM-NPTPS, Parli-V</v>
      </c>
      <c r="C2311" s="1396" t="str">
        <f t="shared" si="362"/>
        <v>Yet to be approved</v>
      </c>
      <c r="D2311" s="1378" t="str">
        <f t="shared" si="362"/>
        <v>-</v>
      </c>
      <c r="E2311" s="1505">
        <f t="shared" si="362"/>
        <v>0</v>
      </c>
      <c r="F2311" s="1509">
        <f t="shared" si="357"/>
        <v>9.3000000000000007</v>
      </c>
      <c r="G2311" s="1509">
        <f t="shared" si="358"/>
        <v>9.3000000000000007</v>
      </c>
      <c r="H2311" s="1509">
        <f t="shared" si="359"/>
        <v>0</v>
      </c>
      <c r="I2311" s="1509">
        <v>0</v>
      </c>
      <c r="J2311" s="1509">
        <v>0</v>
      </c>
      <c r="K2311" s="1509"/>
      <c r="L2311" s="1509"/>
      <c r="M2311" s="1509">
        <f t="shared" si="360"/>
        <v>0</v>
      </c>
      <c r="N2311" s="1509">
        <f t="shared" si="361"/>
        <v>0</v>
      </c>
    </row>
    <row r="2312" spans="1:14" customFormat="1" ht="43.5" outlineLevel="1" x14ac:dyDescent="0.25">
      <c r="A2312" s="1511">
        <f t="shared" ref="A2312:E2327" si="363">A1955</f>
        <v>8.1999999999999993</v>
      </c>
      <c r="B2312" s="1515" t="str">
        <f t="shared" si="363"/>
        <v>RENOVATION OF ASH WATER RECOVERY SUPPLY SYSTEM INCLUDING ERECTION &amp; COMMISSIONING LT BOARD 11KV/415V SUBSTATION WITH 11KV OH LINE AT SANDWA &amp; DAUTPUR PUMP HOUSE</v>
      </c>
      <c r="C2312" s="1396" t="str">
        <f t="shared" si="363"/>
        <v>Yet to be approved</v>
      </c>
      <c r="D2312" s="1378" t="str">
        <f t="shared" si="363"/>
        <v>-</v>
      </c>
      <c r="E2312" s="1505">
        <f t="shared" si="363"/>
        <v>0</v>
      </c>
      <c r="F2312" s="1509">
        <f t="shared" si="357"/>
        <v>12.42</v>
      </c>
      <c r="G2312" s="1509">
        <f t="shared" si="358"/>
        <v>12.42</v>
      </c>
      <c r="H2312" s="1509">
        <f t="shared" si="359"/>
        <v>0</v>
      </c>
      <c r="I2312" s="1509">
        <v>0</v>
      </c>
      <c r="J2312" s="1509">
        <v>0</v>
      </c>
      <c r="K2312" s="1509"/>
      <c r="L2312" s="1509"/>
      <c r="M2312" s="1509">
        <f t="shared" si="360"/>
        <v>0</v>
      </c>
      <c r="N2312" s="1509">
        <f t="shared" si="361"/>
        <v>0</v>
      </c>
    </row>
    <row r="2313" spans="1:14" customFormat="1" ht="29" outlineLevel="1" x14ac:dyDescent="0.25">
      <c r="A2313" s="1511">
        <f t="shared" si="363"/>
        <v>8.3000000000000007</v>
      </c>
      <c r="B2313" s="1515" t="str">
        <f t="shared" si="363"/>
        <v>Construction of New Sandwa recovery pump house at NPTPS Parli Vaijnath.</v>
      </c>
      <c r="C2313" s="1396" t="str">
        <f t="shared" si="363"/>
        <v>Yet to be approved</v>
      </c>
      <c r="D2313" s="1378" t="str">
        <f t="shared" si="363"/>
        <v>-</v>
      </c>
      <c r="E2313" s="1505">
        <f t="shared" si="363"/>
        <v>0</v>
      </c>
      <c r="F2313" s="1509">
        <f t="shared" si="357"/>
        <v>4.1399999999999997</v>
      </c>
      <c r="G2313" s="1509">
        <f t="shared" si="358"/>
        <v>4.1399999999999997</v>
      </c>
      <c r="H2313" s="1509">
        <f t="shared" si="359"/>
        <v>0</v>
      </c>
      <c r="I2313" s="1509">
        <v>0</v>
      </c>
      <c r="J2313" s="1509">
        <v>0</v>
      </c>
      <c r="K2313" s="1509"/>
      <c r="L2313" s="1509"/>
      <c r="M2313" s="1509">
        <f t="shared" si="360"/>
        <v>0</v>
      </c>
      <c r="N2313" s="1509">
        <f t="shared" si="361"/>
        <v>0</v>
      </c>
    </row>
    <row r="2314" spans="1:14" customFormat="1" outlineLevel="1" x14ac:dyDescent="0.25">
      <c r="A2314" s="1511">
        <f t="shared" si="363"/>
        <v>0</v>
      </c>
      <c r="B2314" s="1515" t="str">
        <f t="shared" si="363"/>
        <v>IDC</v>
      </c>
      <c r="C2314" s="1396" t="str">
        <f t="shared" si="363"/>
        <v>Yet to be approved</v>
      </c>
      <c r="D2314" s="1378" t="str">
        <f t="shared" si="363"/>
        <v>-</v>
      </c>
      <c r="E2314" s="1505">
        <f t="shared" si="363"/>
        <v>0</v>
      </c>
      <c r="F2314" s="1509">
        <f t="shared" si="357"/>
        <v>0</v>
      </c>
      <c r="G2314" s="1509">
        <f t="shared" si="358"/>
        <v>0</v>
      </c>
      <c r="H2314" s="1509">
        <f t="shared" si="359"/>
        <v>0</v>
      </c>
      <c r="I2314" s="1509">
        <v>0</v>
      </c>
      <c r="J2314" s="1509">
        <v>0</v>
      </c>
      <c r="K2314" s="1509"/>
      <c r="L2314" s="1509"/>
      <c r="M2314" s="1509">
        <f t="shared" si="360"/>
        <v>0</v>
      </c>
      <c r="N2314" s="1509">
        <f t="shared" si="361"/>
        <v>0</v>
      </c>
    </row>
    <row r="2315" spans="1:14" customFormat="1" ht="43.5" outlineLevel="1" x14ac:dyDescent="0.25">
      <c r="A2315" s="1506">
        <f t="shared" si="363"/>
        <v>9</v>
      </c>
      <c r="B2315" s="1507" t="str">
        <f t="shared" si="363"/>
        <v>DPR on Modification of governing system from low pressure to high pressure at Unit-06 TPS, PARLI-V and Procurement of  CW pumps at Unit 6,7 Parli Vaijnath.</v>
      </c>
      <c r="C2315" s="1506" t="str">
        <f t="shared" si="363"/>
        <v>Yet to be approved</v>
      </c>
      <c r="D2315" s="1507" t="str">
        <f t="shared" si="363"/>
        <v>-</v>
      </c>
      <c r="E2315" s="1506">
        <f t="shared" si="363"/>
        <v>0</v>
      </c>
      <c r="F2315" s="1509">
        <f t="shared" si="357"/>
        <v>0</v>
      </c>
      <c r="G2315" s="1509">
        <f t="shared" si="358"/>
        <v>0</v>
      </c>
      <c r="H2315" s="1509">
        <f t="shared" si="359"/>
        <v>0</v>
      </c>
      <c r="I2315" s="1509">
        <v>0</v>
      </c>
      <c r="J2315" s="1509">
        <v>0</v>
      </c>
      <c r="K2315" s="1509"/>
      <c r="L2315" s="1509"/>
      <c r="M2315" s="1509">
        <f t="shared" si="360"/>
        <v>0</v>
      </c>
      <c r="N2315" s="1509">
        <f t="shared" si="361"/>
        <v>0</v>
      </c>
    </row>
    <row r="2316" spans="1:14" customFormat="1" ht="29" outlineLevel="1" x14ac:dyDescent="0.25">
      <c r="A2316" s="1511">
        <f t="shared" si="363"/>
        <v>9.1</v>
      </c>
      <c r="B2316" s="1515" t="str">
        <f t="shared" si="363"/>
        <v>Modification of governing system from low pressure to high pressure at Unit-06 TPS, PARLI-V</v>
      </c>
      <c r="C2316" s="1396">
        <f t="shared" si="363"/>
        <v>0</v>
      </c>
      <c r="D2316" s="1378" t="str">
        <f t="shared" si="363"/>
        <v>-</v>
      </c>
      <c r="E2316" s="1505">
        <f t="shared" si="363"/>
        <v>0</v>
      </c>
      <c r="F2316" s="1509">
        <f t="shared" si="357"/>
        <v>15</v>
      </c>
      <c r="G2316" s="1509">
        <f t="shared" si="358"/>
        <v>15</v>
      </c>
      <c r="H2316" s="1509">
        <f t="shared" si="359"/>
        <v>0</v>
      </c>
      <c r="I2316" s="1509">
        <v>0</v>
      </c>
      <c r="J2316" s="1509">
        <v>0</v>
      </c>
      <c r="K2316" s="1509"/>
      <c r="L2316" s="1509"/>
      <c r="M2316" s="1509">
        <f t="shared" si="360"/>
        <v>0</v>
      </c>
      <c r="N2316" s="1509">
        <f t="shared" si="361"/>
        <v>0</v>
      </c>
    </row>
    <row r="2317" spans="1:14" customFormat="1" outlineLevel="1" x14ac:dyDescent="0.25">
      <c r="A2317" s="1511">
        <f t="shared" si="363"/>
        <v>9.1999999999999993</v>
      </c>
      <c r="B2317" s="1515" t="str">
        <f t="shared" si="363"/>
        <v>Procurement of  CW pumps at Unit 6,7 Parli Vaijnath</v>
      </c>
      <c r="C2317" s="1396" t="str">
        <f t="shared" si="363"/>
        <v>Yet to be approved</v>
      </c>
      <c r="D2317" s="1378" t="str">
        <f t="shared" si="363"/>
        <v>-</v>
      </c>
      <c r="E2317" s="1505">
        <f t="shared" si="363"/>
        <v>0</v>
      </c>
      <c r="F2317" s="1509">
        <f t="shared" si="357"/>
        <v>23</v>
      </c>
      <c r="G2317" s="1509">
        <f t="shared" si="358"/>
        <v>23</v>
      </c>
      <c r="H2317" s="1509">
        <f t="shared" si="359"/>
        <v>0</v>
      </c>
      <c r="I2317" s="1509">
        <v>0</v>
      </c>
      <c r="J2317" s="1509">
        <v>0</v>
      </c>
      <c r="K2317" s="1509"/>
      <c r="L2317" s="1509"/>
      <c r="M2317" s="1509">
        <f t="shared" si="360"/>
        <v>0</v>
      </c>
      <c r="N2317" s="1509">
        <f t="shared" si="361"/>
        <v>0</v>
      </c>
    </row>
    <row r="2318" spans="1:14" customFormat="1" outlineLevel="1" x14ac:dyDescent="0.25">
      <c r="A2318" s="1511">
        <f t="shared" si="363"/>
        <v>0</v>
      </c>
      <c r="B2318" s="1515" t="str">
        <f t="shared" si="363"/>
        <v>IDC</v>
      </c>
      <c r="C2318" s="1396" t="str">
        <f t="shared" si="363"/>
        <v>Yet to be approved</v>
      </c>
      <c r="D2318" s="1378" t="str">
        <f t="shared" si="363"/>
        <v>-</v>
      </c>
      <c r="E2318" s="1505">
        <f t="shared" si="363"/>
        <v>0</v>
      </c>
      <c r="F2318" s="1509">
        <f t="shared" si="357"/>
        <v>0</v>
      </c>
      <c r="G2318" s="1509">
        <f t="shared" si="358"/>
        <v>0</v>
      </c>
      <c r="H2318" s="1509">
        <f t="shared" si="359"/>
        <v>0</v>
      </c>
      <c r="I2318" s="1509">
        <v>0</v>
      </c>
      <c r="J2318" s="1509">
        <v>0</v>
      </c>
      <c r="K2318" s="1509"/>
      <c r="L2318" s="1509"/>
      <c r="M2318" s="1509">
        <f t="shared" si="360"/>
        <v>0</v>
      </c>
      <c r="N2318" s="1509">
        <f t="shared" si="361"/>
        <v>0</v>
      </c>
    </row>
    <row r="2319" spans="1:14" customFormat="1" ht="29" outlineLevel="1" x14ac:dyDescent="0.25">
      <c r="A2319" s="1506">
        <f t="shared" si="363"/>
        <v>10</v>
      </c>
      <c r="B2319" s="1507" t="str">
        <f t="shared" si="363"/>
        <v>DPR on Procurement of  HP, IP and LP Turbine  bladesat Unit 6,7 Parli Vaijnath.</v>
      </c>
      <c r="C2319" s="1506" t="str">
        <f t="shared" si="363"/>
        <v>Yet to be approved</v>
      </c>
      <c r="D2319" s="1507" t="str">
        <f t="shared" si="363"/>
        <v>-</v>
      </c>
      <c r="E2319" s="1506">
        <f t="shared" si="363"/>
        <v>0</v>
      </c>
      <c r="F2319" s="1509">
        <f t="shared" si="357"/>
        <v>0</v>
      </c>
      <c r="G2319" s="1509">
        <f t="shared" si="358"/>
        <v>0</v>
      </c>
      <c r="H2319" s="1509">
        <f t="shared" si="359"/>
        <v>0</v>
      </c>
      <c r="I2319" s="1509">
        <v>0</v>
      </c>
      <c r="J2319" s="1509">
        <v>0</v>
      </c>
      <c r="K2319" s="1509"/>
      <c r="L2319" s="1509"/>
      <c r="M2319" s="1509">
        <f t="shared" si="360"/>
        <v>0</v>
      </c>
      <c r="N2319" s="1509">
        <f t="shared" si="361"/>
        <v>0</v>
      </c>
    </row>
    <row r="2320" spans="1:14" customFormat="1" ht="29" outlineLevel="1" x14ac:dyDescent="0.25">
      <c r="A2320" s="1511">
        <f t="shared" si="363"/>
        <v>10.1</v>
      </c>
      <c r="B2320" s="1515" t="str">
        <f t="shared" si="363"/>
        <v>Procurement of  HP, IP and LP Turbine  blade set Unit 6,7 Parli Vaijnath.</v>
      </c>
      <c r="C2320" s="1396" t="str">
        <f t="shared" si="363"/>
        <v>Yet to be approved</v>
      </c>
      <c r="D2320" s="1378" t="str">
        <f t="shared" si="363"/>
        <v>-</v>
      </c>
      <c r="E2320" s="1505">
        <f t="shared" si="363"/>
        <v>0</v>
      </c>
      <c r="F2320" s="1509">
        <f t="shared" si="357"/>
        <v>25</v>
      </c>
      <c r="G2320" s="1509">
        <f t="shared" si="358"/>
        <v>25</v>
      </c>
      <c r="H2320" s="1509">
        <f t="shared" si="359"/>
        <v>0</v>
      </c>
      <c r="I2320" s="1509">
        <v>0</v>
      </c>
      <c r="J2320" s="1509">
        <v>0</v>
      </c>
      <c r="K2320" s="1509"/>
      <c r="L2320" s="1509"/>
      <c r="M2320" s="1509">
        <f t="shared" si="360"/>
        <v>0</v>
      </c>
      <c r="N2320" s="1509">
        <f t="shared" si="361"/>
        <v>0</v>
      </c>
    </row>
    <row r="2321" spans="1:14" customFormat="1" outlineLevel="1" x14ac:dyDescent="0.25">
      <c r="A2321" s="1511">
        <f t="shared" si="363"/>
        <v>0</v>
      </c>
      <c r="B2321" s="1515" t="str">
        <f t="shared" si="363"/>
        <v>IDC</v>
      </c>
      <c r="C2321" s="1396" t="str">
        <f t="shared" si="363"/>
        <v>Yet to be approved</v>
      </c>
      <c r="D2321" s="1378" t="str">
        <f t="shared" si="363"/>
        <v>-</v>
      </c>
      <c r="E2321" s="1505">
        <f t="shared" si="363"/>
        <v>0</v>
      </c>
      <c r="F2321" s="1509">
        <f t="shared" si="357"/>
        <v>0</v>
      </c>
      <c r="G2321" s="1509">
        <f t="shared" si="358"/>
        <v>0</v>
      </c>
      <c r="H2321" s="1509">
        <f t="shared" si="359"/>
        <v>0</v>
      </c>
      <c r="I2321" s="1509">
        <v>0</v>
      </c>
      <c r="J2321" s="1509">
        <v>0</v>
      </c>
      <c r="K2321" s="1509"/>
      <c r="L2321" s="1509"/>
      <c r="M2321" s="1509">
        <f t="shared" si="360"/>
        <v>0</v>
      </c>
      <c r="N2321" s="1509">
        <f t="shared" si="361"/>
        <v>0</v>
      </c>
    </row>
    <row r="2322" spans="1:14" customFormat="1" outlineLevel="1" x14ac:dyDescent="0.25">
      <c r="A2322" s="1506">
        <f t="shared" si="363"/>
        <v>11</v>
      </c>
      <c r="B2322" s="1507" t="str">
        <f t="shared" si="363"/>
        <v>DPR on Procurement of  CEP pumps</v>
      </c>
      <c r="C2322" s="1506" t="str">
        <f t="shared" si="363"/>
        <v>Yet to be approved</v>
      </c>
      <c r="D2322" s="1507" t="str">
        <f t="shared" si="363"/>
        <v>-</v>
      </c>
      <c r="E2322" s="1506">
        <f t="shared" si="363"/>
        <v>0</v>
      </c>
      <c r="F2322" s="1509">
        <f t="shared" si="357"/>
        <v>0</v>
      </c>
      <c r="G2322" s="1509">
        <f t="shared" si="358"/>
        <v>0</v>
      </c>
      <c r="H2322" s="1509">
        <f t="shared" si="359"/>
        <v>0</v>
      </c>
      <c r="I2322" s="1509">
        <v>0</v>
      </c>
      <c r="J2322" s="1509">
        <v>0</v>
      </c>
      <c r="K2322" s="1509"/>
      <c r="L2322" s="1509"/>
      <c r="M2322" s="1509">
        <f t="shared" si="360"/>
        <v>0</v>
      </c>
      <c r="N2322" s="1509">
        <f t="shared" si="361"/>
        <v>0</v>
      </c>
    </row>
    <row r="2323" spans="1:14" customFormat="1" outlineLevel="1" x14ac:dyDescent="0.25">
      <c r="A2323" s="1511">
        <f t="shared" si="363"/>
        <v>11.1</v>
      </c>
      <c r="B2323" s="1515" t="str">
        <f t="shared" si="363"/>
        <v>Procurement of  CEP pumps</v>
      </c>
      <c r="C2323" s="1396" t="str">
        <f t="shared" si="363"/>
        <v>Yet to be approved</v>
      </c>
      <c r="D2323" s="1378" t="str">
        <f t="shared" si="363"/>
        <v>-</v>
      </c>
      <c r="E2323" s="1505">
        <f t="shared" si="363"/>
        <v>0</v>
      </c>
      <c r="F2323" s="1509">
        <f t="shared" si="357"/>
        <v>25</v>
      </c>
      <c r="G2323" s="1509">
        <f t="shared" si="358"/>
        <v>25</v>
      </c>
      <c r="H2323" s="1509">
        <f t="shared" si="359"/>
        <v>0</v>
      </c>
      <c r="I2323" s="1509">
        <v>0</v>
      </c>
      <c r="J2323" s="1509">
        <v>0</v>
      </c>
      <c r="K2323" s="1509"/>
      <c r="L2323" s="1509"/>
      <c r="M2323" s="1509">
        <f t="shared" si="360"/>
        <v>0</v>
      </c>
      <c r="N2323" s="1509">
        <f t="shared" si="361"/>
        <v>0</v>
      </c>
    </row>
    <row r="2324" spans="1:14" customFormat="1" outlineLevel="1" x14ac:dyDescent="0.25">
      <c r="A2324" s="1511">
        <f t="shared" si="363"/>
        <v>0</v>
      </c>
      <c r="B2324" s="1515" t="str">
        <f t="shared" si="363"/>
        <v>IDC</v>
      </c>
      <c r="C2324" s="1396" t="str">
        <f t="shared" si="363"/>
        <v>Yet to be approved</v>
      </c>
      <c r="D2324" s="1378" t="str">
        <f t="shared" si="363"/>
        <v>-</v>
      </c>
      <c r="E2324" s="1505">
        <f t="shared" si="363"/>
        <v>0</v>
      </c>
      <c r="F2324" s="1509">
        <f t="shared" si="357"/>
        <v>0</v>
      </c>
      <c r="G2324" s="1509">
        <f t="shared" si="358"/>
        <v>0</v>
      </c>
      <c r="H2324" s="1509">
        <f t="shared" si="359"/>
        <v>0</v>
      </c>
      <c r="I2324" s="1509">
        <v>0</v>
      </c>
      <c r="J2324" s="1509">
        <v>0</v>
      </c>
      <c r="K2324" s="1509"/>
      <c r="L2324" s="1509"/>
      <c r="M2324" s="1509">
        <f t="shared" si="360"/>
        <v>0</v>
      </c>
      <c r="N2324" s="1509">
        <f t="shared" si="361"/>
        <v>0</v>
      </c>
    </row>
    <row r="2325" spans="1:14" customFormat="1" ht="29" outlineLevel="1" x14ac:dyDescent="0.25">
      <c r="A2325" s="1506">
        <f t="shared" si="363"/>
        <v>12</v>
      </c>
      <c r="B2325" s="1507" t="str">
        <f t="shared" si="363"/>
        <v xml:space="preserve">DPR on Retrofitting of NDCT at Unit 6,7 Parli Vaijnath. and Upgradation of existing chiller AC plant for at Unit 7 Parli Vaijnath. </v>
      </c>
      <c r="C2325" s="1506" t="str">
        <f t="shared" si="363"/>
        <v>Yet to be approved</v>
      </c>
      <c r="D2325" s="1507" t="str">
        <f t="shared" si="363"/>
        <v>-</v>
      </c>
      <c r="E2325" s="1506">
        <f t="shared" si="363"/>
        <v>0</v>
      </c>
      <c r="F2325" s="1509">
        <f t="shared" si="357"/>
        <v>0</v>
      </c>
      <c r="G2325" s="1509">
        <f t="shared" si="358"/>
        <v>0</v>
      </c>
      <c r="H2325" s="1509">
        <f t="shared" si="359"/>
        <v>0</v>
      </c>
      <c r="I2325" s="1509">
        <v>0</v>
      </c>
      <c r="J2325" s="1509">
        <v>0</v>
      </c>
      <c r="K2325" s="1509"/>
      <c r="L2325" s="1509"/>
      <c r="M2325" s="1509">
        <f t="shared" si="360"/>
        <v>0</v>
      </c>
      <c r="N2325" s="1509">
        <f t="shared" si="361"/>
        <v>0</v>
      </c>
    </row>
    <row r="2326" spans="1:14" customFormat="1" outlineLevel="1" x14ac:dyDescent="0.25">
      <c r="A2326" s="1511">
        <f t="shared" si="363"/>
        <v>12.1</v>
      </c>
      <c r="B2326" s="1515" t="str">
        <f t="shared" si="363"/>
        <v>Retrofitting of NDCT at Unit 6,7 Parli Vaijnath.</v>
      </c>
      <c r="C2326" s="1396" t="str">
        <f t="shared" si="363"/>
        <v>Yet to be approved</v>
      </c>
      <c r="D2326" s="1378" t="str">
        <f t="shared" si="363"/>
        <v>-</v>
      </c>
      <c r="E2326" s="1505">
        <f t="shared" si="363"/>
        <v>0</v>
      </c>
      <c r="F2326" s="1509">
        <f t="shared" si="357"/>
        <v>25</v>
      </c>
      <c r="G2326" s="1509">
        <f t="shared" si="358"/>
        <v>25</v>
      </c>
      <c r="H2326" s="1509">
        <f t="shared" si="359"/>
        <v>0</v>
      </c>
      <c r="I2326" s="1509">
        <v>0</v>
      </c>
      <c r="J2326" s="1509">
        <v>0</v>
      </c>
      <c r="K2326" s="1509"/>
      <c r="L2326" s="1509"/>
      <c r="M2326" s="1509">
        <f t="shared" si="360"/>
        <v>0</v>
      </c>
      <c r="N2326" s="1509">
        <f t="shared" si="361"/>
        <v>0</v>
      </c>
    </row>
    <row r="2327" spans="1:14" customFormat="1" outlineLevel="1" x14ac:dyDescent="0.25">
      <c r="A2327" s="1511">
        <f t="shared" si="363"/>
        <v>12.2</v>
      </c>
      <c r="B2327" s="1515" t="str">
        <f t="shared" si="363"/>
        <v>Upgradation of existing chiller AC plant for at Unit 7 Parli Vaijnath.</v>
      </c>
      <c r="C2327" s="1396" t="str">
        <f t="shared" si="363"/>
        <v>Yet to be approved</v>
      </c>
      <c r="D2327" s="1378" t="str">
        <f t="shared" si="363"/>
        <v>-</v>
      </c>
      <c r="E2327" s="1505">
        <f t="shared" si="363"/>
        <v>0</v>
      </c>
      <c r="F2327" s="1509">
        <f t="shared" si="357"/>
        <v>9</v>
      </c>
      <c r="G2327" s="1509">
        <f t="shared" si="358"/>
        <v>9</v>
      </c>
      <c r="H2327" s="1509">
        <f t="shared" si="359"/>
        <v>0</v>
      </c>
      <c r="I2327" s="1509">
        <v>0</v>
      </c>
      <c r="J2327" s="1509">
        <v>0</v>
      </c>
      <c r="K2327" s="1509"/>
      <c r="L2327" s="1509"/>
      <c r="M2327" s="1509">
        <f t="shared" si="360"/>
        <v>0</v>
      </c>
      <c r="N2327" s="1509">
        <f t="shared" si="361"/>
        <v>0</v>
      </c>
    </row>
    <row r="2328" spans="1:14" customFormat="1" outlineLevel="1" x14ac:dyDescent="0.25">
      <c r="A2328" s="1511">
        <f t="shared" ref="A2328:E2343" si="364">A1971</f>
        <v>0</v>
      </c>
      <c r="B2328" s="1515" t="str">
        <f t="shared" si="364"/>
        <v>IDC</v>
      </c>
      <c r="C2328" s="1396" t="str">
        <f t="shared" si="364"/>
        <v>Yet to be approved</v>
      </c>
      <c r="D2328" s="1378" t="str">
        <f t="shared" si="364"/>
        <v>-</v>
      </c>
      <c r="E2328" s="1505">
        <f t="shared" si="364"/>
        <v>0</v>
      </c>
      <c r="F2328" s="1509">
        <f t="shared" si="357"/>
        <v>0</v>
      </c>
      <c r="G2328" s="1509">
        <f t="shared" si="358"/>
        <v>0</v>
      </c>
      <c r="H2328" s="1509">
        <f t="shared" si="359"/>
        <v>0</v>
      </c>
      <c r="I2328" s="1509">
        <v>0</v>
      </c>
      <c r="J2328" s="1509">
        <v>0</v>
      </c>
      <c r="K2328" s="1509"/>
      <c r="L2328" s="1509"/>
      <c r="M2328" s="1509">
        <f t="shared" si="360"/>
        <v>0</v>
      </c>
      <c r="N2328" s="1509">
        <f t="shared" si="361"/>
        <v>0</v>
      </c>
    </row>
    <row r="2329" spans="1:14" customFormat="1" outlineLevel="1" x14ac:dyDescent="0.25">
      <c r="A2329" s="1506">
        <f t="shared" si="364"/>
        <v>13</v>
      </c>
      <c r="B2329" s="1507" t="str">
        <f t="shared" si="364"/>
        <v>DPR on various types of coolers at TPS Parli-Vaijnath</v>
      </c>
      <c r="C2329" s="1506" t="str">
        <f t="shared" si="364"/>
        <v>Yet to be approved</v>
      </c>
      <c r="D2329" s="1507" t="str">
        <f t="shared" si="364"/>
        <v>-</v>
      </c>
      <c r="E2329" s="1506">
        <f t="shared" si="364"/>
        <v>0</v>
      </c>
      <c r="F2329" s="1509">
        <f t="shared" si="357"/>
        <v>0</v>
      </c>
      <c r="G2329" s="1509">
        <f t="shared" si="358"/>
        <v>0</v>
      </c>
      <c r="H2329" s="1509">
        <f t="shared" si="359"/>
        <v>0</v>
      </c>
      <c r="I2329" s="1509">
        <v>0</v>
      </c>
      <c r="J2329" s="1509">
        <v>0</v>
      </c>
      <c r="K2329" s="1509"/>
      <c r="L2329" s="1509"/>
      <c r="M2329" s="1509">
        <f t="shared" si="360"/>
        <v>0</v>
      </c>
      <c r="N2329" s="1509">
        <f t="shared" si="361"/>
        <v>0</v>
      </c>
    </row>
    <row r="2330" spans="1:14" customFormat="1" ht="29" outlineLevel="1" x14ac:dyDescent="0.25">
      <c r="A2330" s="1511">
        <f t="shared" si="364"/>
        <v>13.1</v>
      </c>
      <c r="B2330" s="1515" t="str">
        <f t="shared" si="364"/>
        <v>Procurement of H2 cooler, BFP coolers, generator exciter cooler, seal oil coolers at Unit 6,7 Parli Vaijnath.</v>
      </c>
      <c r="C2330" s="1396" t="str">
        <f t="shared" si="364"/>
        <v>Yet to be approved</v>
      </c>
      <c r="D2330" s="1378" t="str">
        <f t="shared" si="364"/>
        <v>-</v>
      </c>
      <c r="E2330" s="1505">
        <f t="shared" si="364"/>
        <v>0</v>
      </c>
      <c r="F2330" s="1509">
        <f t="shared" si="357"/>
        <v>28</v>
      </c>
      <c r="G2330" s="1509">
        <f t="shared" si="358"/>
        <v>28</v>
      </c>
      <c r="H2330" s="1509">
        <f t="shared" si="359"/>
        <v>0</v>
      </c>
      <c r="I2330" s="1509">
        <v>0</v>
      </c>
      <c r="J2330" s="1509">
        <v>0</v>
      </c>
      <c r="K2330" s="1509"/>
      <c r="L2330" s="1509"/>
      <c r="M2330" s="1509">
        <f t="shared" si="360"/>
        <v>0</v>
      </c>
      <c r="N2330" s="1509">
        <f t="shared" si="361"/>
        <v>0</v>
      </c>
    </row>
    <row r="2331" spans="1:14" customFormat="1" outlineLevel="1" x14ac:dyDescent="0.25">
      <c r="A2331" s="1511">
        <f t="shared" si="364"/>
        <v>0</v>
      </c>
      <c r="B2331" s="1515" t="str">
        <f t="shared" si="364"/>
        <v>IDC</v>
      </c>
      <c r="C2331" s="1396" t="str">
        <f t="shared" si="364"/>
        <v>Yet to be approved</v>
      </c>
      <c r="D2331" s="1378" t="str">
        <f t="shared" si="364"/>
        <v>-</v>
      </c>
      <c r="E2331" s="1505">
        <f t="shared" si="364"/>
        <v>0</v>
      </c>
      <c r="F2331" s="1509">
        <f t="shared" si="357"/>
        <v>0</v>
      </c>
      <c r="G2331" s="1509">
        <f t="shared" si="358"/>
        <v>0</v>
      </c>
      <c r="H2331" s="1509">
        <f t="shared" si="359"/>
        <v>0</v>
      </c>
      <c r="I2331" s="1509">
        <v>0</v>
      </c>
      <c r="J2331" s="1509">
        <v>0</v>
      </c>
      <c r="K2331" s="1509"/>
      <c r="L2331" s="1509"/>
      <c r="M2331" s="1509">
        <f t="shared" si="360"/>
        <v>0</v>
      </c>
      <c r="N2331" s="1509">
        <f t="shared" si="361"/>
        <v>0</v>
      </c>
    </row>
    <row r="2332" spans="1:14" customFormat="1" ht="72.5" outlineLevel="1" x14ac:dyDescent="0.25">
      <c r="A2332" s="1506">
        <f t="shared" si="364"/>
        <v>14</v>
      </c>
      <c r="B2332" s="1507" t="str">
        <f t="shared" si="364"/>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2332" s="1506" t="str">
        <f t="shared" si="364"/>
        <v>Yet to be approved</v>
      </c>
      <c r="D2332" s="1507" t="str">
        <f t="shared" si="364"/>
        <v>-</v>
      </c>
      <c r="E2332" s="1506">
        <f t="shared" si="364"/>
        <v>0</v>
      </c>
      <c r="F2332" s="1509">
        <f t="shared" si="357"/>
        <v>0</v>
      </c>
      <c r="G2332" s="1509">
        <f t="shared" si="358"/>
        <v>0</v>
      </c>
      <c r="H2332" s="1509">
        <f t="shared" si="359"/>
        <v>0</v>
      </c>
      <c r="I2332" s="1509">
        <v>0</v>
      </c>
      <c r="J2332" s="1509">
        <v>0</v>
      </c>
      <c r="K2332" s="1509"/>
      <c r="L2332" s="1509"/>
      <c r="M2332" s="1509">
        <f t="shared" si="360"/>
        <v>0</v>
      </c>
      <c r="N2332" s="1509">
        <f t="shared" si="361"/>
        <v>0</v>
      </c>
    </row>
    <row r="2333" spans="1:14" customFormat="1" outlineLevel="1" x14ac:dyDescent="0.25">
      <c r="A2333" s="1511">
        <f t="shared" si="364"/>
        <v>14.1</v>
      </c>
      <c r="B2333" s="1515" t="str">
        <f t="shared" si="364"/>
        <v>Upgradation of screw type compressor at U#7 Parli Vaijnath.</v>
      </c>
      <c r="C2333" s="1396" t="str">
        <f t="shared" si="364"/>
        <v>Yet to be approved</v>
      </c>
      <c r="D2333" s="1378" t="str">
        <f t="shared" si="364"/>
        <v>-</v>
      </c>
      <c r="E2333" s="1505">
        <f t="shared" si="364"/>
        <v>0</v>
      </c>
      <c r="F2333" s="1509">
        <f t="shared" si="357"/>
        <v>11</v>
      </c>
      <c r="G2333" s="1509">
        <f t="shared" si="358"/>
        <v>11</v>
      </c>
      <c r="H2333" s="1509">
        <f t="shared" si="359"/>
        <v>0</v>
      </c>
      <c r="I2333" s="1509">
        <v>0</v>
      </c>
      <c r="J2333" s="1509">
        <v>0</v>
      </c>
      <c r="K2333" s="1509"/>
      <c r="L2333" s="1509"/>
      <c r="M2333" s="1509">
        <f t="shared" si="360"/>
        <v>0</v>
      </c>
      <c r="N2333" s="1509">
        <f t="shared" si="361"/>
        <v>0</v>
      </c>
    </row>
    <row r="2334" spans="1:14" customFormat="1" ht="29" outlineLevel="1" x14ac:dyDescent="0.25">
      <c r="A2334" s="1511">
        <f t="shared" si="364"/>
        <v>14.2</v>
      </c>
      <c r="B2334" s="1515" t="str">
        <f t="shared" si="364"/>
        <v>Supply, erection &amp; commissioning of Fire Fighting pressure system (pneumatic) at unit 6,7 and 8 at PTPS, Parli-V</v>
      </c>
      <c r="C2334" s="1396" t="str">
        <f t="shared" si="364"/>
        <v>Yet to be approved</v>
      </c>
      <c r="D2334" s="1378" t="str">
        <f t="shared" si="364"/>
        <v>-</v>
      </c>
      <c r="E2334" s="1505">
        <f t="shared" si="364"/>
        <v>0</v>
      </c>
      <c r="F2334" s="1509">
        <f t="shared" si="357"/>
        <v>12</v>
      </c>
      <c r="G2334" s="1509">
        <f t="shared" si="358"/>
        <v>12</v>
      </c>
      <c r="H2334" s="1509">
        <f t="shared" si="359"/>
        <v>0</v>
      </c>
      <c r="I2334" s="1509">
        <v>0</v>
      </c>
      <c r="J2334" s="1509">
        <v>0</v>
      </c>
      <c r="K2334" s="1509"/>
      <c r="L2334" s="1509"/>
      <c r="M2334" s="1509">
        <f t="shared" si="360"/>
        <v>0</v>
      </c>
      <c r="N2334" s="1509">
        <f t="shared" si="361"/>
        <v>0</v>
      </c>
    </row>
    <row r="2335" spans="1:14" customFormat="1" ht="29" outlineLevel="1" x14ac:dyDescent="0.25">
      <c r="A2335" s="1511">
        <f t="shared" si="364"/>
        <v>14.3</v>
      </c>
      <c r="B2335" s="1515" t="str">
        <f t="shared" si="364"/>
        <v>Procurement of BFP discharge valve, BFP recirculation valve and gland steam inlet / outlet valves at Unit 6,7 Parli Vaijnath.</v>
      </c>
      <c r="C2335" s="1396" t="str">
        <f t="shared" si="364"/>
        <v>Yet to be approved</v>
      </c>
      <c r="D2335" s="1378" t="str">
        <f t="shared" si="364"/>
        <v>-</v>
      </c>
      <c r="E2335" s="1505">
        <f t="shared" si="364"/>
        <v>0</v>
      </c>
      <c r="F2335" s="1509">
        <f t="shared" si="357"/>
        <v>11</v>
      </c>
      <c r="G2335" s="1509">
        <f t="shared" si="358"/>
        <v>11</v>
      </c>
      <c r="H2335" s="1509">
        <f t="shared" si="359"/>
        <v>0</v>
      </c>
      <c r="I2335" s="1509">
        <v>0</v>
      </c>
      <c r="J2335" s="1509">
        <v>0</v>
      </c>
      <c r="K2335" s="1509"/>
      <c r="L2335" s="1509"/>
      <c r="M2335" s="1509">
        <f t="shared" si="360"/>
        <v>0</v>
      </c>
      <c r="N2335" s="1509">
        <f t="shared" si="361"/>
        <v>0</v>
      </c>
    </row>
    <row r="2336" spans="1:14" customFormat="1" outlineLevel="1" x14ac:dyDescent="0.25">
      <c r="A2336" s="1511">
        <f t="shared" si="364"/>
        <v>0</v>
      </c>
      <c r="B2336" s="1515" t="str">
        <f t="shared" si="364"/>
        <v>IDC</v>
      </c>
      <c r="C2336" s="1396" t="str">
        <f t="shared" si="364"/>
        <v>Yet to be approved</v>
      </c>
      <c r="D2336" s="1378" t="str">
        <f t="shared" si="364"/>
        <v>-</v>
      </c>
      <c r="E2336" s="1505">
        <f t="shared" si="364"/>
        <v>0</v>
      </c>
      <c r="F2336" s="1509">
        <f t="shared" si="357"/>
        <v>0</v>
      </c>
      <c r="G2336" s="1509">
        <f t="shared" si="358"/>
        <v>0</v>
      </c>
      <c r="H2336" s="1509">
        <f t="shared" si="359"/>
        <v>0</v>
      </c>
      <c r="I2336" s="1509">
        <v>0</v>
      </c>
      <c r="J2336" s="1509">
        <v>0</v>
      </c>
      <c r="K2336" s="1509"/>
      <c r="L2336" s="1509"/>
      <c r="M2336" s="1509">
        <f t="shared" si="360"/>
        <v>0</v>
      </c>
      <c r="N2336" s="1509">
        <f t="shared" si="361"/>
        <v>0</v>
      </c>
    </row>
    <row r="2337" spans="1:14" customFormat="1" ht="29" outlineLevel="1" x14ac:dyDescent="0.25">
      <c r="A2337" s="1506">
        <f t="shared" si="364"/>
        <v>15</v>
      </c>
      <c r="B2337" s="1507" t="str">
        <f t="shared" si="364"/>
        <v>COAL HANDLING PLANT PERFORMANCE IMPROVEMENT BY SYSTEM UPGRADATION  AT Unit 6 ,7 CHP ( 2X 250MW), Parli TPS.</v>
      </c>
      <c r="C2337" s="1506" t="str">
        <f t="shared" si="364"/>
        <v>Yet to be approved</v>
      </c>
      <c r="D2337" s="1507" t="str">
        <f t="shared" si="364"/>
        <v>-</v>
      </c>
      <c r="E2337" s="1506">
        <f t="shared" si="364"/>
        <v>0</v>
      </c>
      <c r="F2337" s="1509">
        <f t="shared" si="357"/>
        <v>0</v>
      </c>
      <c r="G2337" s="1509">
        <f t="shared" si="358"/>
        <v>0</v>
      </c>
      <c r="H2337" s="1509">
        <f t="shared" si="359"/>
        <v>0</v>
      </c>
      <c r="I2337" s="1509">
        <v>0</v>
      </c>
      <c r="J2337" s="1509">
        <v>0</v>
      </c>
      <c r="K2337" s="1509"/>
      <c r="L2337" s="1509"/>
      <c r="M2337" s="1509">
        <f t="shared" si="360"/>
        <v>0</v>
      </c>
      <c r="N2337" s="1509">
        <f t="shared" si="361"/>
        <v>0</v>
      </c>
    </row>
    <row r="2338" spans="1:14" customFormat="1" ht="43.5" outlineLevel="1" x14ac:dyDescent="0.25">
      <c r="A2338" s="1511">
        <f t="shared" si="364"/>
        <v>15.1</v>
      </c>
      <c r="B2338" s="1515" t="str">
        <f t="shared" si="364"/>
        <v>Refurbishment of single stream conveyor drives : Procurement of Various types of Gearbox for single stream conveyor drives of 2X 250 MW CHP U6&amp;7 Parli TPS.</v>
      </c>
      <c r="C2338" s="1396" t="str">
        <f t="shared" si="364"/>
        <v>Yet to be approved</v>
      </c>
      <c r="D2338" s="1378" t="str">
        <f t="shared" si="364"/>
        <v>-</v>
      </c>
      <c r="E2338" s="1505">
        <f t="shared" si="364"/>
        <v>0</v>
      </c>
      <c r="F2338" s="1509">
        <f t="shared" si="357"/>
        <v>8.3699999999999992</v>
      </c>
      <c r="G2338" s="1509">
        <f t="shared" si="358"/>
        <v>8.3699999999999992</v>
      </c>
      <c r="H2338" s="1509">
        <f t="shared" si="359"/>
        <v>0</v>
      </c>
      <c r="I2338" s="1509">
        <v>0</v>
      </c>
      <c r="J2338" s="1509">
        <v>0</v>
      </c>
      <c r="K2338" s="1509"/>
      <c r="L2338" s="1509"/>
      <c r="M2338" s="1509">
        <f t="shared" si="360"/>
        <v>0</v>
      </c>
      <c r="N2338" s="1509">
        <f t="shared" si="361"/>
        <v>0</v>
      </c>
    </row>
    <row r="2339" spans="1:14" customFormat="1" ht="43.5" outlineLevel="1" x14ac:dyDescent="0.25">
      <c r="A2339" s="1511">
        <f t="shared" si="364"/>
        <v>15.2</v>
      </c>
      <c r="B2339" s="1515" t="str">
        <f t="shared" si="364"/>
        <v>Refurbishment of single stream conveyor drives : Procurement of Various types of fluid couplings for single stream conveyor drives of 2X 250 MW CHP U6&amp;7 Parli TPS.</v>
      </c>
      <c r="C2339" s="1396" t="str">
        <f t="shared" si="364"/>
        <v>Yet to be approved</v>
      </c>
      <c r="D2339" s="1378" t="str">
        <f t="shared" si="364"/>
        <v>-</v>
      </c>
      <c r="E2339" s="1505">
        <f t="shared" si="364"/>
        <v>0</v>
      </c>
      <c r="F2339" s="1509">
        <f t="shared" si="357"/>
        <v>0.46</v>
      </c>
      <c r="G2339" s="1509">
        <f t="shared" si="358"/>
        <v>0.46</v>
      </c>
      <c r="H2339" s="1509">
        <f t="shared" si="359"/>
        <v>0</v>
      </c>
      <c r="I2339" s="1509">
        <v>0</v>
      </c>
      <c r="J2339" s="1509">
        <v>0</v>
      </c>
      <c r="K2339" s="1509"/>
      <c r="L2339" s="1509"/>
      <c r="M2339" s="1509">
        <f t="shared" si="360"/>
        <v>0</v>
      </c>
      <c r="N2339" s="1509">
        <f t="shared" si="361"/>
        <v>0</v>
      </c>
    </row>
    <row r="2340" spans="1:14" customFormat="1" ht="43.5" outlineLevel="1" x14ac:dyDescent="0.25">
      <c r="A2340" s="1511">
        <f t="shared" si="364"/>
        <v>15.3</v>
      </c>
      <c r="B2340" s="1515" t="str">
        <f t="shared" si="364"/>
        <v xml:space="preserve">Refurbishment of single stream conveyor drives : Procurement of ENERGY EFFICIENT HT MOTORS for single stream conveyor drives of 2X 250 MW CHP U6&amp;7 Parli TPS.      </v>
      </c>
      <c r="C2340" s="1396" t="str">
        <f t="shared" si="364"/>
        <v>Yet to be approved</v>
      </c>
      <c r="D2340" s="1378" t="str">
        <f t="shared" si="364"/>
        <v>-</v>
      </c>
      <c r="E2340" s="1505">
        <f t="shared" si="364"/>
        <v>0</v>
      </c>
      <c r="F2340" s="1509">
        <f t="shared" si="357"/>
        <v>2.87</v>
      </c>
      <c r="G2340" s="1509">
        <f t="shared" si="358"/>
        <v>2.87</v>
      </c>
      <c r="H2340" s="1509">
        <f t="shared" si="359"/>
        <v>0</v>
      </c>
      <c r="I2340" s="1509">
        <v>0</v>
      </c>
      <c r="J2340" s="1509">
        <v>0</v>
      </c>
      <c r="K2340" s="1509"/>
      <c r="L2340" s="1509"/>
      <c r="M2340" s="1509">
        <f t="shared" si="360"/>
        <v>0</v>
      </c>
      <c r="N2340" s="1509">
        <f t="shared" si="361"/>
        <v>0</v>
      </c>
    </row>
    <row r="2341" spans="1:14" customFormat="1" ht="43.5" outlineLevel="1" x14ac:dyDescent="0.25">
      <c r="A2341" s="1511">
        <f t="shared" si="364"/>
        <v>15.4</v>
      </c>
      <c r="B2341" s="1515" t="str">
        <f t="shared" si="364"/>
        <v>Refurbishment of single stream conveyor drives :  Procurement of HT vacuum circuit breakers for single stream conveyor drives of 2X 250 MW CHP U6&amp;7 Parli TPS.</v>
      </c>
      <c r="C2341" s="1396" t="str">
        <f t="shared" si="364"/>
        <v>Yet to be approved</v>
      </c>
      <c r="D2341" s="1378" t="str">
        <f t="shared" si="364"/>
        <v>-</v>
      </c>
      <c r="E2341" s="1505">
        <f t="shared" si="364"/>
        <v>0</v>
      </c>
      <c r="F2341" s="1509">
        <f t="shared" si="357"/>
        <v>0.78</v>
      </c>
      <c r="G2341" s="1509">
        <f t="shared" si="358"/>
        <v>0.78</v>
      </c>
      <c r="H2341" s="1509">
        <f t="shared" si="359"/>
        <v>0</v>
      </c>
      <c r="I2341" s="1509">
        <v>0</v>
      </c>
      <c r="J2341" s="1509">
        <v>0</v>
      </c>
      <c r="K2341" s="1509"/>
      <c r="L2341" s="1509"/>
      <c r="M2341" s="1509">
        <f t="shared" si="360"/>
        <v>0</v>
      </c>
      <c r="N2341" s="1509">
        <f t="shared" si="361"/>
        <v>0</v>
      </c>
    </row>
    <row r="2342" spans="1:14" customFormat="1" ht="29" outlineLevel="1" x14ac:dyDescent="0.25">
      <c r="A2342" s="1511">
        <f t="shared" si="364"/>
        <v>15.5</v>
      </c>
      <c r="B2342" s="1515" t="str">
        <f t="shared" si="364"/>
        <v xml:space="preserve">Supply, Erection &amp; Commissioning of street light from U6/7 railway gate to loco shed of CHP U6/7 NPTPS Parli-V </v>
      </c>
      <c r="C2342" s="1396" t="str">
        <f t="shared" si="364"/>
        <v>Yet to be approved</v>
      </c>
      <c r="D2342" s="1378" t="str">
        <f t="shared" si="364"/>
        <v>-</v>
      </c>
      <c r="E2342" s="1505">
        <f t="shared" si="364"/>
        <v>0</v>
      </c>
      <c r="F2342" s="1509">
        <f t="shared" si="357"/>
        <v>1.25</v>
      </c>
      <c r="G2342" s="1509">
        <f t="shared" si="358"/>
        <v>1.25</v>
      </c>
      <c r="H2342" s="1509">
        <f t="shared" si="359"/>
        <v>0</v>
      </c>
      <c r="I2342" s="1509">
        <v>0</v>
      </c>
      <c r="J2342" s="1509">
        <v>0</v>
      </c>
      <c r="K2342" s="1509"/>
      <c r="L2342" s="1509"/>
      <c r="M2342" s="1509">
        <f t="shared" si="360"/>
        <v>0</v>
      </c>
      <c r="N2342" s="1509">
        <f t="shared" si="361"/>
        <v>0</v>
      </c>
    </row>
    <row r="2343" spans="1:14" customFormat="1" outlineLevel="1" x14ac:dyDescent="0.25">
      <c r="A2343" s="1511">
        <f t="shared" si="364"/>
        <v>15.6</v>
      </c>
      <c r="B2343" s="1515" t="str">
        <f t="shared" si="364"/>
        <v>Strengthening of U-6 Bunkers at CHP NPTPS</v>
      </c>
      <c r="C2343" s="1396" t="str">
        <f t="shared" si="364"/>
        <v>Yet to be approved</v>
      </c>
      <c r="D2343" s="1378" t="str">
        <f t="shared" si="364"/>
        <v>-</v>
      </c>
      <c r="E2343" s="1505">
        <f t="shared" si="364"/>
        <v>0</v>
      </c>
      <c r="F2343" s="1509">
        <f t="shared" si="357"/>
        <v>8.7899999999999991</v>
      </c>
      <c r="G2343" s="1509">
        <f t="shared" si="358"/>
        <v>8.7899999999999991</v>
      </c>
      <c r="H2343" s="1509">
        <f t="shared" si="359"/>
        <v>0</v>
      </c>
      <c r="I2343" s="1509">
        <v>0</v>
      </c>
      <c r="J2343" s="1509">
        <v>0</v>
      </c>
      <c r="K2343" s="1509"/>
      <c r="L2343" s="1509"/>
      <c r="M2343" s="1509">
        <f t="shared" si="360"/>
        <v>0</v>
      </c>
      <c r="N2343" s="1509">
        <f t="shared" si="361"/>
        <v>0</v>
      </c>
    </row>
    <row r="2344" spans="1:14" customFormat="1" ht="29" outlineLevel="1" x14ac:dyDescent="0.25">
      <c r="A2344" s="1511">
        <f t="shared" ref="A2344:E2359" si="365">A1987</f>
        <v>15.7</v>
      </c>
      <c r="B2344" s="1515" t="str">
        <f t="shared" si="365"/>
        <v>Supply and commissioning of Suspended Magnets for U-6,7 CHP NPTPS</v>
      </c>
      <c r="C2344" s="1396" t="str">
        <f t="shared" si="365"/>
        <v>Yet to be approved</v>
      </c>
      <c r="D2344" s="1378" t="str">
        <f t="shared" si="365"/>
        <v>-</v>
      </c>
      <c r="E2344" s="1505">
        <f t="shared" si="365"/>
        <v>0</v>
      </c>
      <c r="F2344" s="1509">
        <f t="shared" ref="F2344:F2407" si="366">F1987+I1987</f>
        <v>2.5499999999999998</v>
      </c>
      <c r="G2344" s="1509">
        <f t="shared" ref="G2344:G2407" si="367">G1987+M1987</f>
        <v>2.5499999999999998</v>
      </c>
      <c r="H2344" s="1509">
        <f t="shared" si="359"/>
        <v>0</v>
      </c>
      <c r="I2344" s="1509">
        <v>0</v>
      </c>
      <c r="J2344" s="1509">
        <v>0</v>
      </c>
      <c r="K2344" s="1509"/>
      <c r="L2344" s="1509"/>
      <c r="M2344" s="1509">
        <f t="shared" si="360"/>
        <v>0</v>
      </c>
      <c r="N2344" s="1509">
        <f t="shared" si="361"/>
        <v>0</v>
      </c>
    </row>
    <row r="2345" spans="1:14" customFormat="1" ht="29" outlineLevel="1" x14ac:dyDescent="0.25">
      <c r="A2345" s="1511">
        <f t="shared" si="365"/>
        <v>15.8</v>
      </c>
      <c r="B2345" s="1515" t="str">
        <f t="shared" si="365"/>
        <v>Modification of 60 KG rail track with laying crossover turnout at NMVP sliding CHP NPTPS</v>
      </c>
      <c r="C2345" s="1396" t="str">
        <f t="shared" si="365"/>
        <v>Yet to be approved</v>
      </c>
      <c r="D2345" s="1378" t="str">
        <f t="shared" si="365"/>
        <v>-</v>
      </c>
      <c r="E2345" s="1505">
        <f t="shared" si="365"/>
        <v>0</v>
      </c>
      <c r="F2345" s="1509">
        <f t="shared" si="366"/>
        <v>4.75</v>
      </c>
      <c r="G2345" s="1509">
        <f t="shared" si="367"/>
        <v>4.75</v>
      </c>
      <c r="H2345" s="1509">
        <f t="shared" ref="H2345:H2408" si="368">F2345-G2345</f>
        <v>0</v>
      </c>
      <c r="I2345" s="1509">
        <v>0</v>
      </c>
      <c r="J2345" s="1509">
        <v>0</v>
      </c>
      <c r="K2345" s="1509"/>
      <c r="L2345" s="1509"/>
      <c r="M2345" s="1509">
        <f t="shared" ref="M2345:M2408" si="369">SUM(J2345:L2345)</f>
        <v>0</v>
      </c>
      <c r="N2345" s="1509">
        <f t="shared" ref="N2345:N2408" si="370">H2345+I2345-M2345</f>
        <v>0</v>
      </c>
    </row>
    <row r="2346" spans="1:14" customFormat="1" outlineLevel="1" x14ac:dyDescent="0.25">
      <c r="A2346" s="1511">
        <f t="shared" si="365"/>
        <v>0</v>
      </c>
      <c r="B2346" s="1515" t="str">
        <f t="shared" si="365"/>
        <v>IDC</v>
      </c>
      <c r="C2346" s="1396" t="str">
        <f t="shared" si="365"/>
        <v>Yet to be approved</v>
      </c>
      <c r="D2346" s="1378" t="str">
        <f t="shared" si="365"/>
        <v>-</v>
      </c>
      <c r="E2346" s="1505">
        <f t="shared" si="365"/>
        <v>0</v>
      </c>
      <c r="F2346" s="1509">
        <f t="shared" si="366"/>
        <v>0</v>
      </c>
      <c r="G2346" s="1509">
        <f t="shared" si="367"/>
        <v>0</v>
      </c>
      <c r="H2346" s="1509">
        <f t="shared" si="368"/>
        <v>0</v>
      </c>
      <c r="I2346" s="1509">
        <v>0</v>
      </c>
      <c r="J2346" s="1509">
        <v>0</v>
      </c>
      <c r="K2346" s="1509"/>
      <c r="L2346" s="1509"/>
      <c r="M2346" s="1509">
        <f t="shared" si="369"/>
        <v>0</v>
      </c>
      <c r="N2346" s="1509">
        <f t="shared" si="370"/>
        <v>0</v>
      </c>
    </row>
    <row r="2347" spans="1:14" customFormat="1" ht="29" outlineLevel="1" x14ac:dyDescent="0.25">
      <c r="A2347" s="1506">
        <f t="shared" si="365"/>
        <v>16</v>
      </c>
      <c r="B2347" s="1507" t="str">
        <f t="shared" si="365"/>
        <v>DPR for normalization and stabilization of coal handling plant performance at Parli TPS</v>
      </c>
      <c r="C2347" s="1506">
        <f t="shared" si="365"/>
        <v>0</v>
      </c>
      <c r="D2347" s="1507" t="str">
        <f t="shared" si="365"/>
        <v>-</v>
      </c>
      <c r="E2347" s="1506">
        <f t="shared" si="365"/>
        <v>0</v>
      </c>
      <c r="F2347" s="1509">
        <f t="shared" si="366"/>
        <v>0</v>
      </c>
      <c r="G2347" s="1509">
        <f t="shared" si="367"/>
        <v>0</v>
      </c>
      <c r="H2347" s="1509">
        <f t="shared" si="368"/>
        <v>0</v>
      </c>
      <c r="I2347" s="1509">
        <v>0</v>
      </c>
      <c r="J2347" s="1509">
        <v>0</v>
      </c>
      <c r="K2347" s="1509"/>
      <c r="L2347" s="1509"/>
      <c r="M2347" s="1509">
        <f t="shared" si="369"/>
        <v>0</v>
      </c>
      <c r="N2347" s="1509">
        <f t="shared" si="370"/>
        <v>0</v>
      </c>
    </row>
    <row r="2348" spans="1:14" customFormat="1" outlineLevel="1" x14ac:dyDescent="0.25">
      <c r="A2348" s="1511">
        <f t="shared" si="365"/>
        <v>16.100000000000001</v>
      </c>
      <c r="B2348" s="1515" t="str">
        <f t="shared" si="365"/>
        <v>Procurement of U-6,7 W/T Major spares</v>
      </c>
      <c r="C2348" s="1396" t="str">
        <f t="shared" si="365"/>
        <v>Yet to be approved</v>
      </c>
      <c r="D2348" s="1378" t="str">
        <f t="shared" si="365"/>
        <v>-</v>
      </c>
      <c r="E2348" s="1505">
        <f t="shared" si="365"/>
        <v>0</v>
      </c>
      <c r="F2348" s="1509">
        <f t="shared" si="366"/>
        <v>10</v>
      </c>
      <c r="G2348" s="1509">
        <f t="shared" si="367"/>
        <v>10</v>
      </c>
      <c r="H2348" s="1509">
        <f t="shared" si="368"/>
        <v>0</v>
      </c>
      <c r="I2348" s="1509">
        <v>0</v>
      </c>
      <c r="J2348" s="1509">
        <v>0</v>
      </c>
      <c r="K2348" s="1509"/>
      <c r="L2348" s="1509"/>
      <c r="M2348" s="1509">
        <f t="shared" si="369"/>
        <v>0</v>
      </c>
      <c r="N2348" s="1509">
        <f t="shared" si="370"/>
        <v>0</v>
      </c>
    </row>
    <row r="2349" spans="1:14" customFormat="1" outlineLevel="1" x14ac:dyDescent="0.25">
      <c r="A2349" s="1511">
        <f t="shared" si="365"/>
        <v>16.2</v>
      </c>
      <c r="B2349" s="1515" t="str">
        <f t="shared" si="365"/>
        <v>Supply of impact crusher major spares for CHP U-6/7</v>
      </c>
      <c r="C2349" s="1396" t="str">
        <f t="shared" si="365"/>
        <v>Yet to be approved</v>
      </c>
      <c r="D2349" s="1378" t="str">
        <f t="shared" si="365"/>
        <v>-</v>
      </c>
      <c r="E2349" s="1505">
        <f t="shared" si="365"/>
        <v>0</v>
      </c>
      <c r="F2349" s="1509">
        <f t="shared" si="366"/>
        <v>5</v>
      </c>
      <c r="G2349" s="1509">
        <f t="shared" si="367"/>
        <v>5</v>
      </c>
      <c r="H2349" s="1509">
        <f t="shared" si="368"/>
        <v>0</v>
      </c>
      <c r="I2349" s="1509">
        <v>0</v>
      </c>
      <c r="J2349" s="1509">
        <v>0</v>
      </c>
      <c r="K2349" s="1509"/>
      <c r="L2349" s="1509"/>
      <c r="M2349" s="1509">
        <f t="shared" si="369"/>
        <v>0</v>
      </c>
      <c r="N2349" s="1509">
        <f t="shared" si="370"/>
        <v>0</v>
      </c>
    </row>
    <row r="2350" spans="1:14" customFormat="1" outlineLevel="1" x14ac:dyDescent="0.25">
      <c r="A2350" s="1511">
        <f t="shared" si="365"/>
        <v>16.3</v>
      </c>
      <c r="B2350" s="1515" t="str">
        <f t="shared" si="365"/>
        <v>Provision of Soft starter / VFD for Various conveyor</v>
      </c>
      <c r="C2350" s="1396" t="str">
        <f t="shared" si="365"/>
        <v>Yet to be approved</v>
      </c>
      <c r="D2350" s="1378" t="str">
        <f t="shared" si="365"/>
        <v>-</v>
      </c>
      <c r="E2350" s="1505">
        <f t="shared" si="365"/>
        <v>0</v>
      </c>
      <c r="F2350" s="1509">
        <f t="shared" si="366"/>
        <v>8</v>
      </c>
      <c r="G2350" s="1509">
        <f t="shared" si="367"/>
        <v>8</v>
      </c>
      <c r="H2350" s="1509">
        <f t="shared" si="368"/>
        <v>0</v>
      </c>
      <c r="I2350" s="1509">
        <v>0</v>
      </c>
      <c r="J2350" s="1509">
        <v>0</v>
      </c>
      <c r="K2350" s="1509"/>
      <c r="L2350" s="1509"/>
      <c r="M2350" s="1509">
        <f t="shared" si="369"/>
        <v>0</v>
      </c>
      <c r="N2350" s="1509">
        <f t="shared" si="370"/>
        <v>0</v>
      </c>
    </row>
    <row r="2351" spans="1:14" customFormat="1" outlineLevel="1" x14ac:dyDescent="0.25">
      <c r="A2351" s="1511">
        <f t="shared" si="365"/>
        <v>16.399999999999999</v>
      </c>
      <c r="B2351" s="1515" t="str">
        <f t="shared" si="365"/>
        <v>Upgradation of siemens make PLC at U-6/7.</v>
      </c>
      <c r="C2351" s="1396" t="str">
        <f t="shared" si="365"/>
        <v>Yet to be approved</v>
      </c>
      <c r="D2351" s="1378" t="str">
        <f t="shared" si="365"/>
        <v>-</v>
      </c>
      <c r="E2351" s="1505">
        <f t="shared" si="365"/>
        <v>0</v>
      </c>
      <c r="F2351" s="1509">
        <f t="shared" si="366"/>
        <v>8</v>
      </c>
      <c r="G2351" s="1509">
        <f t="shared" si="367"/>
        <v>8</v>
      </c>
      <c r="H2351" s="1509">
        <f t="shared" si="368"/>
        <v>0</v>
      </c>
      <c r="I2351" s="1509">
        <v>0</v>
      </c>
      <c r="J2351" s="1509">
        <v>0</v>
      </c>
      <c r="K2351" s="1509"/>
      <c r="L2351" s="1509"/>
      <c r="M2351" s="1509">
        <f t="shared" si="369"/>
        <v>0</v>
      </c>
      <c r="N2351" s="1509">
        <f t="shared" si="370"/>
        <v>0</v>
      </c>
    </row>
    <row r="2352" spans="1:14" customFormat="1" outlineLevel="1" x14ac:dyDescent="0.25">
      <c r="A2352" s="1511">
        <f t="shared" si="365"/>
        <v>16.5</v>
      </c>
      <c r="B2352" s="1515" t="str">
        <f t="shared" si="365"/>
        <v>Procurement of U-6/7 Stacker reclaimer major spares</v>
      </c>
      <c r="C2352" s="1396" t="str">
        <f t="shared" si="365"/>
        <v>Yet to be approved</v>
      </c>
      <c r="D2352" s="1378" t="str">
        <f t="shared" si="365"/>
        <v>-</v>
      </c>
      <c r="E2352" s="1505">
        <f t="shared" si="365"/>
        <v>0</v>
      </c>
      <c r="F2352" s="1509">
        <f t="shared" si="366"/>
        <v>12</v>
      </c>
      <c r="G2352" s="1509">
        <f t="shared" si="367"/>
        <v>12</v>
      </c>
      <c r="H2352" s="1509">
        <f t="shared" si="368"/>
        <v>0</v>
      </c>
      <c r="I2352" s="1509">
        <v>0</v>
      </c>
      <c r="J2352" s="1509">
        <v>0</v>
      </c>
      <c r="K2352" s="1509"/>
      <c r="L2352" s="1509"/>
      <c r="M2352" s="1509">
        <f t="shared" si="369"/>
        <v>0</v>
      </c>
      <c r="N2352" s="1509">
        <f t="shared" si="370"/>
        <v>0</v>
      </c>
    </row>
    <row r="2353" spans="1:14" customFormat="1" ht="29" outlineLevel="1" x14ac:dyDescent="0.25">
      <c r="A2353" s="1511">
        <f t="shared" si="365"/>
        <v>16.600000000000001</v>
      </c>
      <c r="B2353" s="1515" t="str">
        <f t="shared" si="365"/>
        <v>Design, supply and commissioning of solar operated lighting system in CHP  U-6,7</v>
      </c>
      <c r="C2353" s="1396" t="str">
        <f t="shared" si="365"/>
        <v>Yet to be approved</v>
      </c>
      <c r="D2353" s="1378" t="str">
        <f t="shared" si="365"/>
        <v>-</v>
      </c>
      <c r="E2353" s="1505">
        <f t="shared" si="365"/>
        <v>0</v>
      </c>
      <c r="F2353" s="1509">
        <f t="shared" si="366"/>
        <v>15</v>
      </c>
      <c r="G2353" s="1509">
        <f t="shared" si="367"/>
        <v>15</v>
      </c>
      <c r="H2353" s="1509">
        <f t="shared" si="368"/>
        <v>0</v>
      </c>
      <c r="I2353" s="1509">
        <v>0</v>
      </c>
      <c r="J2353" s="1509">
        <v>0</v>
      </c>
      <c r="K2353" s="1509"/>
      <c r="L2353" s="1509"/>
      <c r="M2353" s="1509">
        <f t="shared" si="369"/>
        <v>0</v>
      </c>
      <c r="N2353" s="1509">
        <f t="shared" si="370"/>
        <v>0</v>
      </c>
    </row>
    <row r="2354" spans="1:14" customFormat="1" outlineLevel="1" x14ac:dyDescent="0.25">
      <c r="A2354" s="1511">
        <f t="shared" si="365"/>
        <v>16.7</v>
      </c>
      <c r="B2354" s="1515" t="str">
        <f t="shared" si="365"/>
        <v>Installation of CCTV survillance system alongwith all conveyors.</v>
      </c>
      <c r="C2354" s="1396" t="str">
        <f t="shared" si="365"/>
        <v>Yet to be approved</v>
      </c>
      <c r="D2354" s="1378" t="str">
        <f t="shared" si="365"/>
        <v>-</v>
      </c>
      <c r="E2354" s="1505">
        <f t="shared" si="365"/>
        <v>0</v>
      </c>
      <c r="F2354" s="1509">
        <f t="shared" si="366"/>
        <v>4</v>
      </c>
      <c r="G2354" s="1509">
        <f t="shared" si="367"/>
        <v>4</v>
      </c>
      <c r="H2354" s="1509">
        <f t="shared" si="368"/>
        <v>0</v>
      </c>
      <c r="I2354" s="1509">
        <v>0</v>
      </c>
      <c r="J2354" s="1509">
        <v>0</v>
      </c>
      <c r="K2354" s="1509"/>
      <c r="L2354" s="1509"/>
      <c r="M2354" s="1509">
        <f t="shared" si="369"/>
        <v>0</v>
      </c>
      <c r="N2354" s="1509">
        <f t="shared" si="370"/>
        <v>0</v>
      </c>
    </row>
    <row r="2355" spans="1:14" customFormat="1" ht="29" outlineLevel="1" x14ac:dyDescent="0.25">
      <c r="A2355" s="1511">
        <f t="shared" si="365"/>
        <v>16.8</v>
      </c>
      <c r="B2355" s="1515" t="str">
        <f t="shared" si="365"/>
        <v xml:space="preserve"> Upgradation / Retrofication of Bunker Lifts of Unit-6 &amp; Unit-7 at CHP TPS Parli-V.</v>
      </c>
      <c r="C2355" s="1396" t="str">
        <f t="shared" si="365"/>
        <v>Yet to be approved</v>
      </c>
      <c r="D2355" s="1378" t="str">
        <f t="shared" si="365"/>
        <v>-</v>
      </c>
      <c r="E2355" s="1505">
        <f t="shared" si="365"/>
        <v>0</v>
      </c>
      <c r="F2355" s="1509">
        <f t="shared" si="366"/>
        <v>3.25</v>
      </c>
      <c r="G2355" s="1509">
        <f t="shared" si="367"/>
        <v>3.25</v>
      </c>
      <c r="H2355" s="1509">
        <f t="shared" si="368"/>
        <v>0</v>
      </c>
      <c r="I2355" s="1509">
        <v>0</v>
      </c>
      <c r="J2355" s="1509">
        <v>0</v>
      </c>
      <c r="K2355" s="1509"/>
      <c r="L2355" s="1509"/>
      <c r="M2355" s="1509">
        <f t="shared" si="369"/>
        <v>0</v>
      </c>
      <c r="N2355" s="1509">
        <f t="shared" si="370"/>
        <v>0</v>
      </c>
    </row>
    <row r="2356" spans="1:14" customFormat="1" outlineLevel="1" x14ac:dyDescent="0.25">
      <c r="A2356" s="1511">
        <f t="shared" si="365"/>
        <v>0</v>
      </c>
      <c r="B2356" s="1515" t="str">
        <f t="shared" si="365"/>
        <v>IDC</v>
      </c>
      <c r="C2356" s="1396" t="str">
        <f t="shared" si="365"/>
        <v>Yet to be approved</v>
      </c>
      <c r="D2356" s="1378" t="str">
        <f t="shared" si="365"/>
        <v>-</v>
      </c>
      <c r="E2356" s="1505">
        <f t="shared" si="365"/>
        <v>0</v>
      </c>
      <c r="F2356" s="1509">
        <f t="shared" si="366"/>
        <v>0</v>
      </c>
      <c r="G2356" s="1509">
        <f t="shared" si="367"/>
        <v>0</v>
      </c>
      <c r="H2356" s="1509">
        <f t="shared" si="368"/>
        <v>0</v>
      </c>
      <c r="I2356" s="1509">
        <v>0</v>
      </c>
      <c r="J2356" s="1509">
        <v>0</v>
      </c>
      <c r="K2356" s="1509"/>
      <c r="L2356" s="1509"/>
      <c r="M2356" s="1509">
        <f t="shared" si="369"/>
        <v>0</v>
      </c>
      <c r="N2356" s="1509">
        <f t="shared" si="370"/>
        <v>0</v>
      </c>
    </row>
    <row r="2357" spans="1:14" customFormat="1" outlineLevel="1" x14ac:dyDescent="0.25">
      <c r="A2357" s="1506">
        <f t="shared" si="365"/>
        <v>17</v>
      </c>
      <c r="B2357" s="1507" t="str">
        <f t="shared" si="365"/>
        <v>DPR for maximiation of Coal Handling Plant efficiency.</v>
      </c>
      <c r="C2357" s="1506" t="str">
        <f t="shared" si="365"/>
        <v>Yet to be approved</v>
      </c>
      <c r="D2357" s="1507" t="str">
        <f t="shared" si="365"/>
        <v>-</v>
      </c>
      <c r="E2357" s="1506">
        <f t="shared" si="365"/>
        <v>0</v>
      </c>
      <c r="F2357" s="1509">
        <f t="shared" si="366"/>
        <v>0</v>
      </c>
      <c r="G2357" s="1509">
        <f t="shared" si="367"/>
        <v>0</v>
      </c>
      <c r="H2357" s="1509">
        <f t="shared" si="368"/>
        <v>0</v>
      </c>
      <c r="I2357" s="1509">
        <v>0</v>
      </c>
      <c r="J2357" s="1509">
        <v>0</v>
      </c>
      <c r="K2357" s="1509"/>
      <c r="L2357" s="1509"/>
      <c r="M2357" s="1509">
        <f t="shared" si="369"/>
        <v>0</v>
      </c>
      <c r="N2357" s="1509">
        <f t="shared" si="370"/>
        <v>0</v>
      </c>
    </row>
    <row r="2358" spans="1:14" customFormat="1" outlineLevel="1" x14ac:dyDescent="0.25">
      <c r="A2358" s="1511">
        <f t="shared" si="365"/>
        <v>17.100000000000001</v>
      </c>
      <c r="B2358" s="1515" t="str">
        <f t="shared" si="365"/>
        <v>W/T control room &amp; bunker house battery &amp; UPS upgradation</v>
      </c>
      <c r="C2358" s="1396" t="str">
        <f t="shared" si="365"/>
        <v>Yet to be approved</v>
      </c>
      <c r="D2358" s="1378" t="str">
        <f t="shared" si="365"/>
        <v>-</v>
      </c>
      <c r="E2358" s="1505">
        <f t="shared" si="365"/>
        <v>0</v>
      </c>
      <c r="F2358" s="1509">
        <f t="shared" si="366"/>
        <v>3</v>
      </c>
      <c r="G2358" s="1509">
        <f t="shared" si="367"/>
        <v>3</v>
      </c>
      <c r="H2358" s="1509">
        <f t="shared" si="368"/>
        <v>0</v>
      </c>
      <c r="I2358" s="1509">
        <v>0</v>
      </c>
      <c r="J2358" s="1509">
        <v>0</v>
      </c>
      <c r="K2358" s="1509"/>
      <c r="L2358" s="1509"/>
      <c r="M2358" s="1509">
        <f t="shared" si="369"/>
        <v>0</v>
      </c>
      <c r="N2358" s="1509">
        <f t="shared" si="370"/>
        <v>0</v>
      </c>
    </row>
    <row r="2359" spans="1:14" customFormat="1" outlineLevel="1" x14ac:dyDescent="0.25">
      <c r="A2359" s="1511">
        <f t="shared" si="365"/>
        <v>17.2</v>
      </c>
      <c r="B2359" s="1515" t="str">
        <f t="shared" si="365"/>
        <v>Provision of Soft starter / VFD for Various conveyor</v>
      </c>
      <c r="C2359" s="1396" t="str">
        <f t="shared" si="365"/>
        <v>Yet to be approved</v>
      </c>
      <c r="D2359" s="1378" t="str">
        <f t="shared" si="365"/>
        <v>-</v>
      </c>
      <c r="E2359" s="1505">
        <f t="shared" si="365"/>
        <v>0</v>
      </c>
      <c r="F2359" s="1509">
        <f t="shared" si="366"/>
        <v>8</v>
      </c>
      <c r="G2359" s="1509">
        <f t="shared" si="367"/>
        <v>8</v>
      </c>
      <c r="H2359" s="1509">
        <f t="shared" si="368"/>
        <v>0</v>
      </c>
      <c r="I2359" s="1509">
        <v>0</v>
      </c>
      <c r="J2359" s="1509">
        <v>0</v>
      </c>
      <c r="K2359" s="1509"/>
      <c r="L2359" s="1509"/>
      <c r="M2359" s="1509">
        <f t="shared" si="369"/>
        <v>0</v>
      </c>
      <c r="N2359" s="1509">
        <f t="shared" si="370"/>
        <v>0</v>
      </c>
    </row>
    <row r="2360" spans="1:14" customFormat="1" ht="29" outlineLevel="1" x14ac:dyDescent="0.25">
      <c r="A2360" s="1511">
        <f t="shared" ref="A2360:E2375" si="371">A2003</f>
        <v>17.3</v>
      </c>
      <c r="B2360" s="1515" t="str">
        <f t="shared" si="371"/>
        <v>Structure Strengthening of Conveyor NO. 3 and Stacker Reclaimer Rail at U-6/7 CHP</v>
      </c>
      <c r="C2360" s="1396" t="str">
        <f t="shared" si="371"/>
        <v>Yet to be approved</v>
      </c>
      <c r="D2360" s="1378" t="str">
        <f t="shared" si="371"/>
        <v>-</v>
      </c>
      <c r="E2360" s="1505">
        <f t="shared" si="371"/>
        <v>0</v>
      </c>
      <c r="F2360" s="1509">
        <f t="shared" si="366"/>
        <v>3</v>
      </c>
      <c r="G2360" s="1509">
        <f t="shared" si="367"/>
        <v>3</v>
      </c>
      <c r="H2360" s="1509">
        <f t="shared" si="368"/>
        <v>0</v>
      </c>
      <c r="I2360" s="1509">
        <v>0</v>
      </c>
      <c r="J2360" s="1509">
        <v>0</v>
      </c>
      <c r="K2360" s="1509"/>
      <c r="L2360" s="1509"/>
      <c r="M2360" s="1509">
        <f t="shared" si="369"/>
        <v>0</v>
      </c>
      <c r="N2360" s="1509">
        <f t="shared" si="370"/>
        <v>0</v>
      </c>
    </row>
    <row r="2361" spans="1:14" customFormat="1" outlineLevel="1" x14ac:dyDescent="0.25">
      <c r="A2361" s="1511">
        <f t="shared" si="371"/>
        <v>17.399999999999999</v>
      </c>
      <c r="B2361" s="1515" t="str">
        <f t="shared" si="371"/>
        <v>Modernization/modification of Conveyor HT/LT cables at U-6/7 CHP.</v>
      </c>
      <c r="C2361" s="1396" t="str">
        <f t="shared" si="371"/>
        <v>Yet to be approved</v>
      </c>
      <c r="D2361" s="1378" t="str">
        <f t="shared" si="371"/>
        <v>-</v>
      </c>
      <c r="E2361" s="1505">
        <f t="shared" si="371"/>
        <v>0</v>
      </c>
      <c r="F2361" s="1509">
        <f t="shared" si="366"/>
        <v>4</v>
      </c>
      <c r="G2361" s="1509">
        <f t="shared" si="367"/>
        <v>4</v>
      </c>
      <c r="H2361" s="1509">
        <f t="shared" si="368"/>
        <v>0</v>
      </c>
      <c r="I2361" s="1509">
        <v>0</v>
      </c>
      <c r="J2361" s="1509">
        <v>0</v>
      </c>
      <c r="K2361" s="1509"/>
      <c r="L2361" s="1509"/>
      <c r="M2361" s="1509">
        <f t="shared" si="369"/>
        <v>0</v>
      </c>
      <c r="N2361" s="1509">
        <f t="shared" si="370"/>
        <v>0</v>
      </c>
    </row>
    <row r="2362" spans="1:14" customFormat="1" ht="29" outlineLevel="1" x14ac:dyDescent="0.25">
      <c r="A2362" s="1511">
        <f t="shared" si="371"/>
        <v>17.5</v>
      </c>
      <c r="B2362" s="1515" t="str">
        <f t="shared" si="371"/>
        <v>Modernization of EOT cranes and Hoist at various junction tower and various location of CHP U-6/7</v>
      </c>
      <c r="C2362" s="1396" t="str">
        <f t="shared" si="371"/>
        <v>Yet to be approved</v>
      </c>
      <c r="D2362" s="1378" t="str">
        <f t="shared" si="371"/>
        <v>-</v>
      </c>
      <c r="E2362" s="1505">
        <f t="shared" si="371"/>
        <v>0</v>
      </c>
      <c r="F2362" s="1509">
        <f t="shared" si="366"/>
        <v>3</v>
      </c>
      <c r="G2362" s="1509">
        <f t="shared" si="367"/>
        <v>3</v>
      </c>
      <c r="H2362" s="1509">
        <f t="shared" si="368"/>
        <v>0</v>
      </c>
      <c r="I2362" s="1509">
        <v>0</v>
      </c>
      <c r="J2362" s="1509">
        <v>0</v>
      </c>
      <c r="K2362" s="1509"/>
      <c r="L2362" s="1509"/>
      <c r="M2362" s="1509">
        <f t="shared" si="369"/>
        <v>0</v>
      </c>
      <c r="N2362" s="1509">
        <f t="shared" si="370"/>
        <v>0</v>
      </c>
    </row>
    <row r="2363" spans="1:14" customFormat="1" outlineLevel="1" x14ac:dyDescent="0.25">
      <c r="A2363" s="1511">
        <f t="shared" si="371"/>
        <v>17.600000000000001</v>
      </c>
      <c r="B2363" s="1515" t="str">
        <f t="shared" si="371"/>
        <v>Renovation / retrofitting of shuttle conveyor at CHP U-6/7.</v>
      </c>
      <c r="C2363" s="1396" t="str">
        <f t="shared" si="371"/>
        <v>Yet to be approved</v>
      </c>
      <c r="D2363" s="1378" t="str">
        <f t="shared" si="371"/>
        <v>-</v>
      </c>
      <c r="E2363" s="1505">
        <f t="shared" si="371"/>
        <v>0</v>
      </c>
      <c r="F2363" s="1509">
        <f t="shared" si="366"/>
        <v>4</v>
      </c>
      <c r="G2363" s="1509">
        <f t="shared" si="367"/>
        <v>4</v>
      </c>
      <c r="H2363" s="1509">
        <f t="shared" si="368"/>
        <v>0</v>
      </c>
      <c r="I2363" s="1509">
        <v>0</v>
      </c>
      <c r="J2363" s="1509">
        <v>0</v>
      </c>
      <c r="K2363" s="1509"/>
      <c r="L2363" s="1509"/>
      <c r="M2363" s="1509">
        <f t="shared" si="369"/>
        <v>0</v>
      </c>
      <c r="N2363" s="1509">
        <f t="shared" si="370"/>
        <v>0</v>
      </c>
    </row>
    <row r="2364" spans="1:14" customFormat="1" outlineLevel="1" x14ac:dyDescent="0.25">
      <c r="A2364" s="1511">
        <f t="shared" si="371"/>
        <v>17.7</v>
      </c>
      <c r="B2364" s="1515" t="str">
        <f t="shared" si="371"/>
        <v>Upgradation/renovation of bunker lift at RSC-6 &amp; 7 of CHP U-6/7</v>
      </c>
      <c r="C2364" s="1396" t="str">
        <f t="shared" si="371"/>
        <v>Yet to be approved</v>
      </c>
      <c r="D2364" s="1378" t="str">
        <f t="shared" si="371"/>
        <v>-</v>
      </c>
      <c r="E2364" s="1505">
        <f t="shared" si="371"/>
        <v>0</v>
      </c>
      <c r="F2364" s="1509">
        <f t="shared" si="366"/>
        <v>4</v>
      </c>
      <c r="G2364" s="1509">
        <f t="shared" si="367"/>
        <v>4</v>
      </c>
      <c r="H2364" s="1509">
        <f t="shared" si="368"/>
        <v>0</v>
      </c>
      <c r="I2364" s="1509">
        <v>0</v>
      </c>
      <c r="J2364" s="1509">
        <v>0</v>
      </c>
      <c r="K2364" s="1509"/>
      <c r="L2364" s="1509"/>
      <c r="M2364" s="1509">
        <f t="shared" si="369"/>
        <v>0</v>
      </c>
      <c r="N2364" s="1509">
        <f t="shared" si="370"/>
        <v>0</v>
      </c>
    </row>
    <row r="2365" spans="1:14" customFormat="1" outlineLevel="1" x14ac:dyDescent="0.25">
      <c r="A2365" s="1511">
        <f t="shared" si="371"/>
        <v>0</v>
      </c>
      <c r="B2365" s="1515" t="str">
        <f t="shared" si="371"/>
        <v>IDC</v>
      </c>
      <c r="C2365" s="1396" t="str">
        <f t="shared" si="371"/>
        <v>Yet to be approved</v>
      </c>
      <c r="D2365" s="1378" t="str">
        <f t="shared" si="371"/>
        <v>-</v>
      </c>
      <c r="E2365" s="1505">
        <f t="shared" si="371"/>
        <v>0</v>
      </c>
      <c r="F2365" s="1509">
        <f t="shared" si="366"/>
        <v>0</v>
      </c>
      <c r="G2365" s="1509">
        <f t="shared" si="367"/>
        <v>0</v>
      </c>
      <c r="H2365" s="1509">
        <f t="shared" si="368"/>
        <v>0</v>
      </c>
      <c r="I2365" s="1509">
        <v>0</v>
      </c>
      <c r="J2365" s="1509">
        <v>0</v>
      </c>
      <c r="K2365" s="1509"/>
      <c r="L2365" s="1509"/>
      <c r="M2365" s="1509">
        <f t="shared" si="369"/>
        <v>0</v>
      </c>
      <c r="N2365" s="1509">
        <f t="shared" si="370"/>
        <v>0</v>
      </c>
    </row>
    <row r="2366" spans="1:14" customFormat="1" outlineLevel="1" x14ac:dyDescent="0.25">
      <c r="A2366" s="1506">
        <f t="shared" si="371"/>
        <v>18</v>
      </c>
      <c r="B2366" s="1507" t="str">
        <f t="shared" si="371"/>
        <v>DPR on life enhancement of Coal Handling Plant</v>
      </c>
      <c r="C2366" s="1506" t="str">
        <f t="shared" si="371"/>
        <v>Yet to be approved</v>
      </c>
      <c r="D2366" s="1507" t="str">
        <f t="shared" si="371"/>
        <v>-</v>
      </c>
      <c r="E2366" s="1506">
        <f t="shared" si="371"/>
        <v>0</v>
      </c>
      <c r="F2366" s="1509">
        <f t="shared" si="366"/>
        <v>0</v>
      </c>
      <c r="G2366" s="1509">
        <f t="shared" si="367"/>
        <v>0</v>
      </c>
      <c r="H2366" s="1509">
        <f t="shared" si="368"/>
        <v>0</v>
      </c>
      <c r="I2366" s="1509">
        <v>0</v>
      </c>
      <c r="J2366" s="1509">
        <v>0</v>
      </c>
      <c r="K2366" s="1509"/>
      <c r="L2366" s="1509"/>
      <c r="M2366" s="1509">
        <f t="shared" si="369"/>
        <v>0</v>
      </c>
      <c r="N2366" s="1509">
        <f t="shared" si="370"/>
        <v>0</v>
      </c>
    </row>
    <row r="2367" spans="1:14" customFormat="1" ht="29" outlineLevel="1" x14ac:dyDescent="0.25">
      <c r="A2367" s="1511">
        <f t="shared" si="371"/>
        <v>18.100000000000001</v>
      </c>
      <c r="B2367" s="1515" t="str">
        <f t="shared" si="371"/>
        <v>Renovation, upgradation  &amp; capacity enhancement of LT switch gear panels at W/T, S/R and CHP control Switch board at CHP U-6/7.</v>
      </c>
      <c r="C2367" s="1396" t="str">
        <f t="shared" si="371"/>
        <v>Yet to be approved</v>
      </c>
      <c r="D2367" s="1378" t="str">
        <f t="shared" si="371"/>
        <v>-</v>
      </c>
      <c r="E2367" s="1505">
        <f t="shared" si="371"/>
        <v>0</v>
      </c>
      <c r="F2367" s="1509">
        <f t="shared" si="366"/>
        <v>0</v>
      </c>
      <c r="G2367" s="1509">
        <f t="shared" si="367"/>
        <v>0</v>
      </c>
      <c r="H2367" s="1509">
        <f t="shared" si="368"/>
        <v>0</v>
      </c>
      <c r="I2367" s="1509">
        <v>5</v>
      </c>
      <c r="J2367" s="1509">
        <v>5</v>
      </c>
      <c r="K2367" s="1509"/>
      <c r="L2367" s="1509"/>
      <c r="M2367" s="1509">
        <f t="shared" si="369"/>
        <v>5</v>
      </c>
      <c r="N2367" s="1509">
        <f t="shared" si="370"/>
        <v>0</v>
      </c>
    </row>
    <row r="2368" spans="1:14" customFormat="1" outlineLevel="1" x14ac:dyDescent="0.25">
      <c r="A2368" s="1511">
        <f t="shared" si="371"/>
        <v>18.2</v>
      </c>
      <c r="B2368" s="1515" t="str">
        <f t="shared" si="371"/>
        <v>Procurement &amp; installation of Belt tear detection system</v>
      </c>
      <c r="C2368" s="1396" t="str">
        <f t="shared" si="371"/>
        <v>Yet to be approved</v>
      </c>
      <c r="D2368" s="1378" t="str">
        <f t="shared" si="371"/>
        <v>-</v>
      </c>
      <c r="E2368" s="1505">
        <f t="shared" si="371"/>
        <v>0</v>
      </c>
      <c r="F2368" s="1509">
        <f t="shared" si="366"/>
        <v>0</v>
      </c>
      <c r="G2368" s="1509">
        <f t="shared" si="367"/>
        <v>0</v>
      </c>
      <c r="H2368" s="1509">
        <f t="shared" si="368"/>
        <v>0</v>
      </c>
      <c r="I2368" s="1509">
        <v>4.5</v>
      </c>
      <c r="J2368" s="1509">
        <v>4.5</v>
      </c>
      <c r="K2368" s="1509"/>
      <c r="L2368" s="1509"/>
      <c r="M2368" s="1509">
        <f t="shared" si="369"/>
        <v>4.5</v>
      </c>
      <c r="N2368" s="1509">
        <f t="shared" si="370"/>
        <v>0</v>
      </c>
    </row>
    <row r="2369" spans="1:14" customFormat="1" outlineLevel="1" x14ac:dyDescent="0.25">
      <c r="A2369" s="1511">
        <f t="shared" si="371"/>
        <v>18.3</v>
      </c>
      <c r="B2369" s="1515" t="str">
        <f t="shared" si="371"/>
        <v>Conveyor gravity takeup infrastructure strengthening work</v>
      </c>
      <c r="C2369" s="1396" t="str">
        <f t="shared" si="371"/>
        <v>Yet to be approved</v>
      </c>
      <c r="D2369" s="1378" t="str">
        <f t="shared" si="371"/>
        <v>-</v>
      </c>
      <c r="E2369" s="1505">
        <f t="shared" si="371"/>
        <v>0</v>
      </c>
      <c r="F2369" s="1509">
        <f t="shared" si="366"/>
        <v>0</v>
      </c>
      <c r="G2369" s="1509">
        <f t="shared" si="367"/>
        <v>0</v>
      </c>
      <c r="H2369" s="1509">
        <f t="shared" si="368"/>
        <v>0</v>
      </c>
      <c r="I2369" s="1509">
        <v>3</v>
      </c>
      <c r="J2369" s="1509">
        <v>3</v>
      </c>
      <c r="K2369" s="1509"/>
      <c r="L2369" s="1509"/>
      <c r="M2369" s="1509">
        <f t="shared" si="369"/>
        <v>3</v>
      </c>
      <c r="N2369" s="1509">
        <f t="shared" si="370"/>
        <v>0</v>
      </c>
    </row>
    <row r="2370" spans="1:14" customFormat="1" outlineLevel="1" x14ac:dyDescent="0.25">
      <c r="A2370" s="1511">
        <f t="shared" si="371"/>
        <v>18.399999999999999</v>
      </c>
      <c r="B2370" s="1515" t="str">
        <f t="shared" si="371"/>
        <v>Replacement of vibrating feeder-I with Apron Feeder at CHP U-6/7.</v>
      </c>
      <c r="C2370" s="1396" t="str">
        <f t="shared" si="371"/>
        <v>Yet to be approved</v>
      </c>
      <c r="D2370" s="1378" t="str">
        <f t="shared" si="371"/>
        <v>-</v>
      </c>
      <c r="E2370" s="1505">
        <f t="shared" si="371"/>
        <v>0</v>
      </c>
      <c r="F2370" s="1509">
        <f t="shared" si="366"/>
        <v>0</v>
      </c>
      <c r="G2370" s="1509">
        <f t="shared" si="367"/>
        <v>0</v>
      </c>
      <c r="H2370" s="1509">
        <f t="shared" si="368"/>
        <v>0</v>
      </c>
      <c r="I2370" s="1509">
        <v>8</v>
      </c>
      <c r="J2370" s="1509">
        <v>8</v>
      </c>
      <c r="K2370" s="1509"/>
      <c r="L2370" s="1509"/>
      <c r="M2370" s="1509">
        <f t="shared" si="369"/>
        <v>8</v>
      </c>
      <c r="N2370" s="1509">
        <f t="shared" si="370"/>
        <v>0</v>
      </c>
    </row>
    <row r="2371" spans="1:14" customFormat="1" outlineLevel="1" x14ac:dyDescent="0.25">
      <c r="A2371" s="1511">
        <f t="shared" si="371"/>
        <v>0</v>
      </c>
      <c r="B2371" s="1515" t="str">
        <f t="shared" si="371"/>
        <v>IDC</v>
      </c>
      <c r="C2371" s="1396" t="str">
        <f t="shared" si="371"/>
        <v>Yet to be approved</v>
      </c>
      <c r="D2371" s="1378" t="str">
        <f t="shared" si="371"/>
        <v>-</v>
      </c>
      <c r="E2371" s="1505">
        <f t="shared" si="371"/>
        <v>0</v>
      </c>
      <c r="F2371" s="1509">
        <f t="shared" si="366"/>
        <v>0</v>
      </c>
      <c r="G2371" s="1509">
        <f t="shared" si="367"/>
        <v>0</v>
      </c>
      <c r="H2371" s="1509">
        <f t="shared" si="368"/>
        <v>0</v>
      </c>
      <c r="I2371" s="1509">
        <v>0</v>
      </c>
      <c r="J2371" s="1509">
        <v>0</v>
      </c>
      <c r="K2371" s="1509"/>
      <c r="L2371" s="1509"/>
      <c r="M2371" s="1509">
        <f t="shared" si="369"/>
        <v>0</v>
      </c>
      <c r="N2371" s="1509">
        <f t="shared" si="370"/>
        <v>0</v>
      </c>
    </row>
    <row r="2372" spans="1:14" customFormat="1" outlineLevel="1" x14ac:dyDescent="0.25">
      <c r="A2372" s="1506">
        <f t="shared" si="371"/>
        <v>19</v>
      </c>
      <c r="B2372" s="1507" t="str">
        <f t="shared" si="371"/>
        <v>DPR for stabiliazation of Coal Handling Performance.</v>
      </c>
      <c r="C2372" s="1506" t="str">
        <f t="shared" si="371"/>
        <v>Yet to be approved</v>
      </c>
      <c r="D2372" s="1507" t="str">
        <f t="shared" si="371"/>
        <v>-</v>
      </c>
      <c r="E2372" s="1506">
        <f t="shared" si="371"/>
        <v>0</v>
      </c>
      <c r="F2372" s="1509">
        <f t="shared" si="366"/>
        <v>0</v>
      </c>
      <c r="G2372" s="1509">
        <f t="shared" si="367"/>
        <v>0</v>
      </c>
      <c r="H2372" s="1509">
        <f t="shared" si="368"/>
        <v>0</v>
      </c>
      <c r="I2372" s="1509">
        <v>0</v>
      </c>
      <c r="J2372" s="1509">
        <v>0</v>
      </c>
      <c r="K2372" s="1509"/>
      <c r="L2372" s="1509"/>
      <c r="M2372" s="1509">
        <f t="shared" si="369"/>
        <v>0</v>
      </c>
      <c r="N2372" s="1509">
        <f t="shared" si="370"/>
        <v>0</v>
      </c>
    </row>
    <row r="2373" spans="1:14" customFormat="1" outlineLevel="1" x14ac:dyDescent="0.25">
      <c r="A2373" s="1511">
        <f t="shared" si="371"/>
        <v>19.100000000000001</v>
      </c>
      <c r="B2373" s="1515" t="str">
        <f t="shared" si="371"/>
        <v>Drive modification of Stacker Reclaimer slewing system.</v>
      </c>
      <c r="C2373" s="1396" t="str">
        <f t="shared" si="371"/>
        <v>Yet to be approved</v>
      </c>
      <c r="D2373" s="1378" t="str">
        <f t="shared" si="371"/>
        <v>-</v>
      </c>
      <c r="E2373" s="1505">
        <f t="shared" si="371"/>
        <v>0</v>
      </c>
      <c r="F2373" s="1509">
        <f t="shared" si="366"/>
        <v>0</v>
      </c>
      <c r="G2373" s="1509">
        <f t="shared" si="367"/>
        <v>0</v>
      </c>
      <c r="H2373" s="1509">
        <f t="shared" si="368"/>
        <v>0</v>
      </c>
      <c r="I2373" s="1509">
        <v>0</v>
      </c>
      <c r="J2373" s="1509">
        <v>0</v>
      </c>
      <c r="K2373" s="1509"/>
      <c r="L2373" s="1509"/>
      <c r="M2373" s="1509">
        <f t="shared" si="369"/>
        <v>0</v>
      </c>
      <c r="N2373" s="1509">
        <f t="shared" si="370"/>
        <v>0</v>
      </c>
    </row>
    <row r="2374" spans="1:14" customFormat="1" outlineLevel="1" x14ac:dyDescent="0.25">
      <c r="A2374" s="1511">
        <f t="shared" si="371"/>
        <v>19.2</v>
      </c>
      <c r="B2374" s="1515" t="str">
        <f t="shared" si="371"/>
        <v>Retrofitting of Side Arm Charger-I &amp; II at CHP U-6,7</v>
      </c>
      <c r="C2374" s="1396" t="str">
        <f t="shared" si="371"/>
        <v>Yet to be approved</v>
      </c>
      <c r="D2374" s="1378" t="str">
        <f t="shared" si="371"/>
        <v>-</v>
      </c>
      <c r="E2374" s="1505">
        <f t="shared" si="371"/>
        <v>0</v>
      </c>
      <c r="F2374" s="1509">
        <f t="shared" si="366"/>
        <v>0</v>
      </c>
      <c r="G2374" s="1509">
        <f t="shared" si="367"/>
        <v>0</v>
      </c>
      <c r="H2374" s="1509">
        <f t="shared" si="368"/>
        <v>0</v>
      </c>
      <c r="I2374" s="1509">
        <v>0</v>
      </c>
      <c r="J2374" s="1509">
        <v>0</v>
      </c>
      <c r="K2374" s="1509"/>
      <c r="L2374" s="1509"/>
      <c r="M2374" s="1509">
        <f t="shared" si="369"/>
        <v>0</v>
      </c>
      <c r="N2374" s="1509">
        <f t="shared" si="370"/>
        <v>0</v>
      </c>
    </row>
    <row r="2375" spans="1:14" customFormat="1" outlineLevel="1" x14ac:dyDescent="0.25">
      <c r="A2375" s="1511">
        <f t="shared" si="371"/>
        <v>19.3</v>
      </c>
      <c r="B2375" s="1515" t="str">
        <f t="shared" si="371"/>
        <v>Provision of open Wagon Tippler at CHP U-6/7</v>
      </c>
      <c r="C2375" s="1396" t="str">
        <f t="shared" si="371"/>
        <v>Yet to be approved</v>
      </c>
      <c r="D2375" s="1378" t="str">
        <f t="shared" si="371"/>
        <v>-</v>
      </c>
      <c r="E2375" s="1505">
        <f t="shared" si="371"/>
        <v>0</v>
      </c>
      <c r="F2375" s="1509">
        <f t="shared" si="366"/>
        <v>0</v>
      </c>
      <c r="G2375" s="1509">
        <f t="shared" si="367"/>
        <v>0</v>
      </c>
      <c r="H2375" s="1509">
        <f t="shared" si="368"/>
        <v>0</v>
      </c>
      <c r="I2375" s="1509">
        <v>0</v>
      </c>
      <c r="J2375" s="1509">
        <v>0</v>
      </c>
      <c r="K2375" s="1509"/>
      <c r="L2375" s="1509"/>
      <c r="M2375" s="1509">
        <f t="shared" si="369"/>
        <v>0</v>
      </c>
      <c r="N2375" s="1509">
        <f t="shared" si="370"/>
        <v>0</v>
      </c>
    </row>
    <row r="2376" spans="1:14" customFormat="1" outlineLevel="1" x14ac:dyDescent="0.25">
      <c r="A2376" s="1511">
        <f t="shared" ref="A2376:E2391" si="372">A2019</f>
        <v>19.399999999999999</v>
      </c>
      <c r="B2376" s="1515" t="str">
        <f t="shared" si="372"/>
        <v>Refurbishment of Apron Feeder at CHP U-6,7</v>
      </c>
      <c r="C2376" s="1396" t="str">
        <f t="shared" si="372"/>
        <v>Yet to be approved</v>
      </c>
      <c r="D2376" s="1378" t="str">
        <f t="shared" si="372"/>
        <v>-</v>
      </c>
      <c r="E2376" s="1505">
        <f t="shared" si="372"/>
        <v>0</v>
      </c>
      <c r="F2376" s="1509">
        <f t="shared" si="366"/>
        <v>0</v>
      </c>
      <c r="G2376" s="1509">
        <f t="shared" si="367"/>
        <v>0</v>
      </c>
      <c r="H2376" s="1509">
        <f t="shared" si="368"/>
        <v>0</v>
      </c>
      <c r="I2376" s="1509">
        <v>0</v>
      </c>
      <c r="J2376" s="1509">
        <v>0</v>
      </c>
      <c r="K2376" s="1509"/>
      <c r="L2376" s="1509"/>
      <c r="M2376" s="1509">
        <f t="shared" si="369"/>
        <v>0</v>
      </c>
      <c r="N2376" s="1509">
        <f t="shared" si="370"/>
        <v>0</v>
      </c>
    </row>
    <row r="2377" spans="1:14" customFormat="1" outlineLevel="1" x14ac:dyDescent="0.25">
      <c r="A2377" s="1511">
        <f t="shared" si="372"/>
        <v>0</v>
      </c>
      <c r="B2377" s="1515" t="str">
        <f t="shared" si="372"/>
        <v>IDC</v>
      </c>
      <c r="C2377" s="1396" t="str">
        <f t="shared" si="372"/>
        <v>Yet to be approved</v>
      </c>
      <c r="D2377" s="1378" t="str">
        <f t="shared" si="372"/>
        <v>-</v>
      </c>
      <c r="E2377" s="1505">
        <f t="shared" si="372"/>
        <v>0</v>
      </c>
      <c r="F2377" s="1509">
        <f t="shared" si="366"/>
        <v>0</v>
      </c>
      <c r="G2377" s="1509">
        <f t="shared" si="367"/>
        <v>0</v>
      </c>
      <c r="H2377" s="1509">
        <f t="shared" si="368"/>
        <v>0</v>
      </c>
      <c r="I2377" s="1509">
        <v>0</v>
      </c>
      <c r="J2377" s="1509">
        <v>0</v>
      </c>
      <c r="K2377" s="1509"/>
      <c r="L2377" s="1509"/>
      <c r="M2377" s="1509">
        <f t="shared" si="369"/>
        <v>0</v>
      </c>
      <c r="N2377" s="1509">
        <f t="shared" si="370"/>
        <v>0</v>
      </c>
    </row>
    <row r="2378" spans="1:14" customFormat="1" ht="29" outlineLevel="1" x14ac:dyDescent="0.25">
      <c r="A2378" s="1506">
        <f t="shared" si="372"/>
        <v>20</v>
      </c>
      <c r="B2378" s="1507" t="str">
        <f t="shared" si="372"/>
        <v>Procurement &amp; Replacement of 220V station batteries, 360V UPS batteries, 24V DCS batteries , 360V UPS AHP batteries at U6 &amp; U7 NPTPS</v>
      </c>
      <c r="C2378" s="1506" t="str">
        <f t="shared" si="372"/>
        <v>Yet to be approved</v>
      </c>
      <c r="D2378" s="1507" t="str">
        <f t="shared" si="372"/>
        <v>-</v>
      </c>
      <c r="E2378" s="1506">
        <f t="shared" si="372"/>
        <v>0</v>
      </c>
      <c r="F2378" s="1509">
        <f t="shared" si="366"/>
        <v>0</v>
      </c>
      <c r="G2378" s="1509">
        <f t="shared" si="367"/>
        <v>0</v>
      </c>
      <c r="H2378" s="1509">
        <f t="shared" si="368"/>
        <v>0</v>
      </c>
      <c r="I2378" s="1509">
        <v>0</v>
      </c>
      <c r="J2378" s="1509">
        <v>0</v>
      </c>
      <c r="K2378" s="1509"/>
      <c r="L2378" s="1509"/>
      <c r="M2378" s="1509">
        <f t="shared" si="369"/>
        <v>0</v>
      </c>
      <c r="N2378" s="1509">
        <f t="shared" si="370"/>
        <v>0</v>
      </c>
    </row>
    <row r="2379" spans="1:14" customFormat="1" ht="43.5" outlineLevel="1" x14ac:dyDescent="0.25">
      <c r="A2379" s="1511">
        <f t="shared" si="372"/>
        <v>20.100000000000001</v>
      </c>
      <c r="B2379" s="1515" t="str">
        <f t="shared" si="372"/>
        <v>Procurement &amp; Replacement of 220V station batteries, 360V UPS batteries, 24V DCS batteries , 360V UPS AHP batteries at U6 &amp; U7 NPTPS</v>
      </c>
      <c r="C2379" s="1396" t="str">
        <f t="shared" si="372"/>
        <v>Yet to be approved</v>
      </c>
      <c r="D2379" s="1378" t="str">
        <f t="shared" si="372"/>
        <v>-</v>
      </c>
      <c r="E2379" s="1505">
        <f t="shared" si="372"/>
        <v>0</v>
      </c>
      <c r="F2379" s="1509">
        <f t="shared" si="366"/>
        <v>0</v>
      </c>
      <c r="G2379" s="1509">
        <f t="shared" si="367"/>
        <v>0</v>
      </c>
      <c r="H2379" s="1509">
        <f t="shared" si="368"/>
        <v>0</v>
      </c>
      <c r="I2379" s="1509">
        <v>25</v>
      </c>
      <c r="J2379" s="1509">
        <v>25</v>
      </c>
      <c r="K2379" s="1509"/>
      <c r="L2379" s="1509"/>
      <c r="M2379" s="1509">
        <f t="shared" si="369"/>
        <v>25</v>
      </c>
      <c r="N2379" s="1509">
        <f t="shared" si="370"/>
        <v>0</v>
      </c>
    </row>
    <row r="2380" spans="1:14" customFormat="1" outlineLevel="1" x14ac:dyDescent="0.25">
      <c r="A2380" s="1511">
        <f t="shared" si="372"/>
        <v>0</v>
      </c>
      <c r="B2380" s="1515" t="str">
        <f t="shared" si="372"/>
        <v>IDC</v>
      </c>
      <c r="C2380" s="1396" t="str">
        <f t="shared" si="372"/>
        <v>Yet to be approved</v>
      </c>
      <c r="D2380" s="1378" t="str">
        <f t="shared" si="372"/>
        <v>-</v>
      </c>
      <c r="E2380" s="1505">
        <f t="shared" si="372"/>
        <v>0</v>
      </c>
      <c r="F2380" s="1509">
        <f t="shared" si="366"/>
        <v>0</v>
      </c>
      <c r="G2380" s="1509">
        <f t="shared" si="367"/>
        <v>0</v>
      </c>
      <c r="H2380" s="1509">
        <f t="shared" si="368"/>
        <v>0</v>
      </c>
      <c r="I2380" s="1509">
        <v>0</v>
      </c>
      <c r="J2380" s="1509">
        <v>0</v>
      </c>
      <c r="K2380" s="1509"/>
      <c r="L2380" s="1509"/>
      <c r="M2380" s="1509">
        <f t="shared" si="369"/>
        <v>0</v>
      </c>
      <c r="N2380" s="1509">
        <f t="shared" si="370"/>
        <v>0</v>
      </c>
    </row>
    <row r="2381" spans="1:14" customFormat="1" ht="29" outlineLevel="1" x14ac:dyDescent="0.25">
      <c r="A2381" s="1506">
        <f t="shared" si="372"/>
        <v>21</v>
      </c>
      <c r="B2381" s="1507" t="str">
        <f t="shared" si="372"/>
        <v>DPR on Various electricle maintenance schemes at Unit 6,7 NPTPS Parli-V</v>
      </c>
      <c r="C2381" s="1506" t="str">
        <f t="shared" si="372"/>
        <v>Yet to be approved</v>
      </c>
      <c r="D2381" s="1507" t="str">
        <f t="shared" si="372"/>
        <v>-</v>
      </c>
      <c r="E2381" s="1506">
        <f t="shared" si="372"/>
        <v>0</v>
      </c>
      <c r="F2381" s="1509">
        <f t="shared" si="366"/>
        <v>0</v>
      </c>
      <c r="G2381" s="1509">
        <f t="shared" si="367"/>
        <v>0</v>
      </c>
      <c r="H2381" s="1509">
        <f t="shared" si="368"/>
        <v>0</v>
      </c>
      <c r="I2381" s="1509">
        <v>0</v>
      </c>
      <c r="J2381" s="1509">
        <v>0</v>
      </c>
      <c r="K2381" s="1509"/>
      <c r="L2381" s="1509"/>
      <c r="M2381" s="1509">
        <f t="shared" si="369"/>
        <v>0</v>
      </c>
      <c r="N2381" s="1509">
        <f t="shared" si="370"/>
        <v>0</v>
      </c>
    </row>
    <row r="2382" spans="1:14" customFormat="1" ht="29" outlineLevel="1" x14ac:dyDescent="0.25">
      <c r="A2382" s="1511">
        <f t="shared" si="372"/>
        <v>21.1</v>
      </c>
      <c r="B2382" s="1515" t="str">
        <f t="shared" si="372"/>
        <v>Rennovation of Khadka &amp; Naikota switchyard including replacement of Transformer and 33 KV outdoor type VCBs</v>
      </c>
      <c r="C2382" s="1396" t="str">
        <f t="shared" si="372"/>
        <v>Yet to be approved</v>
      </c>
      <c r="D2382" s="1378" t="str">
        <f t="shared" si="372"/>
        <v>-</v>
      </c>
      <c r="E2382" s="1505">
        <f t="shared" si="372"/>
        <v>0</v>
      </c>
      <c r="F2382" s="1509">
        <f t="shared" si="366"/>
        <v>10</v>
      </c>
      <c r="G2382" s="1509">
        <f t="shared" si="367"/>
        <v>10</v>
      </c>
      <c r="H2382" s="1509">
        <f t="shared" si="368"/>
        <v>0</v>
      </c>
      <c r="I2382" s="1509">
        <v>0</v>
      </c>
      <c r="J2382" s="1509">
        <v>0</v>
      </c>
      <c r="K2382" s="1509"/>
      <c r="L2382" s="1509"/>
      <c r="M2382" s="1509">
        <f t="shared" si="369"/>
        <v>0</v>
      </c>
      <c r="N2382" s="1509">
        <f t="shared" si="370"/>
        <v>0</v>
      </c>
    </row>
    <row r="2383" spans="1:14" customFormat="1" ht="29" outlineLevel="1" x14ac:dyDescent="0.25">
      <c r="A2383" s="1511">
        <f t="shared" si="372"/>
        <v>21.2</v>
      </c>
      <c r="B2383" s="1515" t="str">
        <f t="shared" si="372"/>
        <v>Replacement of Khadka ,naikota 6.6 KV HT Breaker Panel , breaker trolleys and control cabinet</v>
      </c>
      <c r="C2383" s="1396" t="str">
        <f t="shared" si="372"/>
        <v>Yet to be approved</v>
      </c>
      <c r="D2383" s="1378" t="str">
        <f t="shared" si="372"/>
        <v>-</v>
      </c>
      <c r="E2383" s="1505">
        <f t="shared" si="372"/>
        <v>0</v>
      </c>
      <c r="F2383" s="1509">
        <f t="shared" si="366"/>
        <v>5</v>
      </c>
      <c r="G2383" s="1509">
        <f t="shared" si="367"/>
        <v>5</v>
      </c>
      <c r="H2383" s="1509">
        <f t="shared" si="368"/>
        <v>0</v>
      </c>
      <c r="I2383" s="1509">
        <v>0</v>
      </c>
      <c r="J2383" s="1509">
        <v>0</v>
      </c>
      <c r="K2383" s="1509"/>
      <c r="L2383" s="1509"/>
      <c r="M2383" s="1509">
        <f t="shared" si="369"/>
        <v>0</v>
      </c>
      <c r="N2383" s="1509">
        <f t="shared" si="370"/>
        <v>0</v>
      </c>
    </row>
    <row r="2384" spans="1:14" customFormat="1" outlineLevel="1" x14ac:dyDescent="0.25">
      <c r="A2384" s="1511">
        <f t="shared" si="372"/>
        <v>21.3</v>
      </c>
      <c r="B2384" s="1515" t="str">
        <f t="shared" si="372"/>
        <v>Replacement of LT breakers &amp; modules at Unit 7</v>
      </c>
      <c r="C2384" s="1396" t="str">
        <f t="shared" si="372"/>
        <v>Yet to be approved</v>
      </c>
      <c r="D2384" s="1378" t="str">
        <f t="shared" si="372"/>
        <v>-</v>
      </c>
      <c r="E2384" s="1505">
        <f t="shared" si="372"/>
        <v>0</v>
      </c>
      <c r="F2384" s="1509">
        <f t="shared" si="366"/>
        <v>10</v>
      </c>
      <c r="G2384" s="1509">
        <f t="shared" si="367"/>
        <v>10</v>
      </c>
      <c r="H2384" s="1509">
        <f t="shared" si="368"/>
        <v>0</v>
      </c>
      <c r="I2384" s="1509">
        <v>0</v>
      </c>
      <c r="J2384" s="1509">
        <v>0</v>
      </c>
      <c r="K2384" s="1509"/>
      <c r="L2384" s="1509"/>
      <c r="M2384" s="1509">
        <f t="shared" si="369"/>
        <v>0</v>
      </c>
      <c r="N2384" s="1509">
        <f t="shared" si="370"/>
        <v>0</v>
      </c>
    </row>
    <row r="2385" spans="1:14" customFormat="1" ht="29" outlineLevel="1" x14ac:dyDescent="0.25">
      <c r="A2385" s="1511">
        <f t="shared" si="372"/>
        <v>21.4</v>
      </c>
      <c r="B2385" s="1515" t="str">
        <f t="shared" si="372"/>
        <v>Rennovation/Replacement  of Boiler &amp; Turbine side lighting by energy efficient LED lighting at unit 6&amp;7, NPTPS, Parli vaijnath</v>
      </c>
      <c r="C2385" s="1396" t="str">
        <f t="shared" si="372"/>
        <v>Yet to be approved</v>
      </c>
      <c r="D2385" s="1378" t="str">
        <f t="shared" si="372"/>
        <v>-</v>
      </c>
      <c r="E2385" s="1505">
        <f t="shared" si="372"/>
        <v>0</v>
      </c>
      <c r="F2385" s="1509">
        <f t="shared" si="366"/>
        <v>3</v>
      </c>
      <c r="G2385" s="1509">
        <f t="shared" si="367"/>
        <v>3</v>
      </c>
      <c r="H2385" s="1509">
        <f t="shared" si="368"/>
        <v>0</v>
      </c>
      <c r="I2385" s="1509">
        <v>0</v>
      </c>
      <c r="J2385" s="1509">
        <v>0</v>
      </c>
      <c r="K2385" s="1509"/>
      <c r="L2385" s="1509"/>
      <c r="M2385" s="1509">
        <f t="shared" si="369"/>
        <v>0</v>
      </c>
      <c r="N2385" s="1509">
        <f t="shared" si="370"/>
        <v>0</v>
      </c>
    </row>
    <row r="2386" spans="1:14" customFormat="1" ht="29" outlineLevel="1" x14ac:dyDescent="0.25">
      <c r="A2386" s="1511">
        <f t="shared" si="372"/>
        <v>21.5</v>
      </c>
      <c r="B2386" s="1515" t="str">
        <f t="shared" si="372"/>
        <v>nstallation of VFD for CEP, FD Fan, Seal Air Fan &amp; HFO pump motors at unit 6&amp;7, NPTPS, Parli Vaijnath</v>
      </c>
      <c r="C2386" s="1396" t="str">
        <f t="shared" si="372"/>
        <v>Yet to be approved</v>
      </c>
      <c r="D2386" s="1378" t="str">
        <f t="shared" si="372"/>
        <v>-</v>
      </c>
      <c r="E2386" s="1505">
        <f t="shared" si="372"/>
        <v>0</v>
      </c>
      <c r="F2386" s="1509">
        <f t="shared" si="366"/>
        <v>10</v>
      </c>
      <c r="G2386" s="1509">
        <f t="shared" si="367"/>
        <v>10</v>
      </c>
      <c r="H2386" s="1509">
        <f t="shared" si="368"/>
        <v>0</v>
      </c>
      <c r="I2386" s="1509">
        <v>0</v>
      </c>
      <c r="J2386" s="1509">
        <v>0</v>
      </c>
      <c r="K2386" s="1509"/>
      <c r="L2386" s="1509"/>
      <c r="M2386" s="1509">
        <f t="shared" si="369"/>
        <v>0</v>
      </c>
      <c r="N2386" s="1509">
        <f t="shared" si="370"/>
        <v>0</v>
      </c>
    </row>
    <row r="2387" spans="1:14" customFormat="1" outlineLevel="1" x14ac:dyDescent="0.25">
      <c r="A2387" s="1511">
        <f t="shared" si="372"/>
        <v>0</v>
      </c>
      <c r="B2387" s="1515" t="str">
        <f t="shared" si="372"/>
        <v>IDC</v>
      </c>
      <c r="C2387" s="1396" t="str">
        <f t="shared" si="372"/>
        <v>Yet to be approved</v>
      </c>
      <c r="D2387" s="1378" t="str">
        <f t="shared" si="372"/>
        <v>-</v>
      </c>
      <c r="E2387" s="1505">
        <f t="shared" si="372"/>
        <v>0</v>
      </c>
      <c r="F2387" s="1509">
        <f t="shared" si="366"/>
        <v>0</v>
      </c>
      <c r="G2387" s="1509">
        <f t="shared" si="367"/>
        <v>0</v>
      </c>
      <c r="H2387" s="1509">
        <f t="shared" si="368"/>
        <v>0</v>
      </c>
      <c r="I2387" s="1509">
        <v>0</v>
      </c>
      <c r="J2387" s="1509">
        <v>0</v>
      </c>
      <c r="K2387" s="1509"/>
      <c r="L2387" s="1509"/>
      <c r="M2387" s="1509">
        <f t="shared" si="369"/>
        <v>0</v>
      </c>
      <c r="N2387" s="1509">
        <f t="shared" si="370"/>
        <v>0</v>
      </c>
    </row>
    <row r="2388" spans="1:14" customFormat="1" ht="29" outlineLevel="1" x14ac:dyDescent="0.25">
      <c r="A2388" s="1506">
        <f t="shared" si="372"/>
        <v>22</v>
      </c>
      <c r="B2388" s="1507" t="str">
        <f t="shared" si="372"/>
        <v>Renovation of Colony Electrical supply system &amp; also replacement of wiring of all Types of buildings ,street light,highmast etc</v>
      </c>
      <c r="C2388" s="1506" t="str">
        <f t="shared" si="372"/>
        <v>Yet to be approved</v>
      </c>
      <c r="D2388" s="1507" t="str">
        <f t="shared" si="372"/>
        <v>-</v>
      </c>
      <c r="E2388" s="1506">
        <f t="shared" si="372"/>
        <v>0</v>
      </c>
      <c r="F2388" s="1509">
        <f t="shared" si="366"/>
        <v>0</v>
      </c>
      <c r="G2388" s="1509">
        <f t="shared" si="367"/>
        <v>0</v>
      </c>
      <c r="H2388" s="1509">
        <f t="shared" si="368"/>
        <v>0</v>
      </c>
      <c r="I2388" s="1509">
        <v>0</v>
      </c>
      <c r="J2388" s="1509">
        <v>0</v>
      </c>
      <c r="K2388" s="1509"/>
      <c r="L2388" s="1509"/>
      <c r="M2388" s="1509">
        <f t="shared" si="369"/>
        <v>0</v>
      </c>
      <c r="N2388" s="1509">
        <f t="shared" si="370"/>
        <v>0</v>
      </c>
    </row>
    <row r="2389" spans="1:14" customFormat="1" ht="29" outlineLevel="1" x14ac:dyDescent="0.25">
      <c r="A2389" s="1511">
        <f t="shared" si="372"/>
        <v>22.1</v>
      </c>
      <c r="B2389" s="1515" t="str">
        <f t="shared" si="372"/>
        <v>Renovation of Colony Electrical supply system &amp; also replacement of wiring of all Types of buildings ,street light,highmast etc</v>
      </c>
      <c r="C2389" s="1396" t="str">
        <f t="shared" si="372"/>
        <v>Yet to be approved</v>
      </c>
      <c r="D2389" s="1378" t="str">
        <f t="shared" si="372"/>
        <v>-</v>
      </c>
      <c r="E2389" s="1505">
        <f t="shared" si="372"/>
        <v>0</v>
      </c>
      <c r="F2389" s="1509">
        <f t="shared" si="366"/>
        <v>25</v>
      </c>
      <c r="G2389" s="1509">
        <f t="shared" si="367"/>
        <v>25</v>
      </c>
      <c r="H2389" s="1509">
        <f t="shared" si="368"/>
        <v>0</v>
      </c>
      <c r="I2389" s="1509">
        <v>0</v>
      </c>
      <c r="J2389" s="1509">
        <v>0</v>
      </c>
      <c r="K2389" s="1509"/>
      <c r="L2389" s="1509"/>
      <c r="M2389" s="1509">
        <f t="shared" si="369"/>
        <v>0</v>
      </c>
      <c r="N2389" s="1509">
        <f t="shared" si="370"/>
        <v>0</v>
      </c>
    </row>
    <row r="2390" spans="1:14" customFormat="1" outlineLevel="1" x14ac:dyDescent="0.25">
      <c r="A2390" s="1511">
        <f t="shared" si="372"/>
        <v>0</v>
      </c>
      <c r="B2390" s="1515" t="str">
        <f t="shared" si="372"/>
        <v>IDC</v>
      </c>
      <c r="C2390" s="1396" t="str">
        <f t="shared" si="372"/>
        <v>Yet to be approved</v>
      </c>
      <c r="D2390" s="1378" t="str">
        <f t="shared" si="372"/>
        <v>-</v>
      </c>
      <c r="E2390" s="1505">
        <f t="shared" si="372"/>
        <v>0</v>
      </c>
      <c r="F2390" s="1509">
        <f t="shared" si="366"/>
        <v>0</v>
      </c>
      <c r="G2390" s="1509">
        <f t="shared" si="367"/>
        <v>0</v>
      </c>
      <c r="H2390" s="1509">
        <f t="shared" si="368"/>
        <v>0</v>
      </c>
      <c r="I2390" s="1509">
        <v>0</v>
      </c>
      <c r="J2390" s="1509">
        <v>0</v>
      </c>
      <c r="K2390" s="1509"/>
      <c r="L2390" s="1509"/>
      <c r="M2390" s="1509">
        <f t="shared" si="369"/>
        <v>0</v>
      </c>
      <c r="N2390" s="1509">
        <f t="shared" si="370"/>
        <v>0</v>
      </c>
    </row>
    <row r="2391" spans="1:14" customFormat="1" ht="58" outlineLevel="1" x14ac:dyDescent="0.25">
      <c r="A2391" s="1506">
        <f t="shared" si="372"/>
        <v>23</v>
      </c>
      <c r="B2391" s="1507" t="str">
        <f t="shared" si="372"/>
        <v xml:space="preserve"> UPGRADATION OF EXPIRED AND VULNERABLE Scada, operating system and hardware to improve life and communication system of IAC,OHP &amp; PTP plant UNIT 6&amp;7 250MW at NPTPS PARLI V" &amp; Emission Monitoring &amp; Water Quality Analysers system Upgradation Schemes</v>
      </c>
      <c r="C2391" s="1506" t="str">
        <f t="shared" si="372"/>
        <v>Yet to be approved</v>
      </c>
      <c r="D2391" s="1507" t="str">
        <f t="shared" si="372"/>
        <v>-</v>
      </c>
      <c r="E2391" s="1506">
        <f t="shared" si="372"/>
        <v>0</v>
      </c>
      <c r="F2391" s="1509">
        <f t="shared" si="366"/>
        <v>0</v>
      </c>
      <c r="G2391" s="1509">
        <f t="shared" si="367"/>
        <v>0</v>
      </c>
      <c r="H2391" s="1509">
        <f t="shared" si="368"/>
        <v>0</v>
      </c>
      <c r="I2391" s="1509">
        <v>0</v>
      </c>
      <c r="J2391" s="1509">
        <v>0</v>
      </c>
      <c r="K2391" s="1509"/>
      <c r="L2391" s="1509"/>
      <c r="M2391" s="1509">
        <f t="shared" si="369"/>
        <v>0</v>
      </c>
      <c r="N2391" s="1509">
        <f t="shared" si="370"/>
        <v>0</v>
      </c>
    </row>
    <row r="2392" spans="1:14" customFormat="1" ht="43.5" outlineLevel="1" x14ac:dyDescent="0.25">
      <c r="A2392" s="1511">
        <f t="shared" ref="A2392:E2407" si="373">A2035</f>
        <v>23.1</v>
      </c>
      <c r="B2392" s="1515" t="str">
        <f t="shared" si="373"/>
        <v>UPGRADATION OF EXPIRED AND VULNERABLE Scada, operating system and hardware to improve life and communication system of IAC,OHP &amp; PTP plant UNIT 6&amp;7 250MW at NPTPS PARLI V".</v>
      </c>
      <c r="C2392" s="1396" t="str">
        <f t="shared" si="373"/>
        <v>Yet to be approved</v>
      </c>
      <c r="D2392" s="1378" t="str">
        <f t="shared" si="373"/>
        <v>-</v>
      </c>
      <c r="E2392" s="1505">
        <f t="shared" si="373"/>
        <v>0</v>
      </c>
      <c r="F2392" s="1509">
        <f t="shared" si="366"/>
        <v>2</v>
      </c>
      <c r="G2392" s="1509">
        <f t="shared" si="367"/>
        <v>2</v>
      </c>
      <c r="H2392" s="1509">
        <f t="shared" si="368"/>
        <v>0</v>
      </c>
      <c r="I2392" s="1509">
        <v>0</v>
      </c>
      <c r="J2392" s="1509">
        <v>0</v>
      </c>
      <c r="K2392" s="1509"/>
      <c r="L2392" s="1509"/>
      <c r="M2392" s="1509">
        <f t="shared" si="369"/>
        <v>0</v>
      </c>
      <c r="N2392" s="1509">
        <f t="shared" si="370"/>
        <v>0</v>
      </c>
    </row>
    <row r="2393" spans="1:14" customFormat="1" outlineLevel="1" x14ac:dyDescent="0.25">
      <c r="A2393" s="1511">
        <f t="shared" si="373"/>
        <v>23.2</v>
      </c>
      <c r="B2393" s="1515" t="str">
        <f t="shared" si="373"/>
        <v>Up gradation of SWAS system at U 7,NPTPS</v>
      </c>
      <c r="C2393" s="1396" t="str">
        <f t="shared" si="373"/>
        <v>Yet to be approved</v>
      </c>
      <c r="D2393" s="1378" t="str">
        <f t="shared" si="373"/>
        <v>-</v>
      </c>
      <c r="E2393" s="1505">
        <f t="shared" si="373"/>
        <v>0</v>
      </c>
      <c r="F2393" s="1509">
        <f t="shared" si="366"/>
        <v>3</v>
      </c>
      <c r="G2393" s="1509">
        <f t="shared" si="367"/>
        <v>3</v>
      </c>
      <c r="H2393" s="1509">
        <f t="shared" si="368"/>
        <v>0</v>
      </c>
      <c r="I2393" s="1509">
        <v>0</v>
      </c>
      <c r="J2393" s="1509">
        <v>0</v>
      </c>
      <c r="K2393" s="1509"/>
      <c r="L2393" s="1509"/>
      <c r="M2393" s="1509">
        <f t="shared" si="369"/>
        <v>0</v>
      </c>
      <c r="N2393" s="1509">
        <f t="shared" si="370"/>
        <v>0</v>
      </c>
    </row>
    <row r="2394" spans="1:14" customFormat="1" outlineLevel="1" x14ac:dyDescent="0.25">
      <c r="A2394" s="1511">
        <f t="shared" si="373"/>
        <v>23.3</v>
      </c>
      <c r="B2394" s="1515" t="str">
        <f t="shared" si="373"/>
        <v>Oxygen measurement  APH and at ID outlet</v>
      </c>
      <c r="C2394" s="1396" t="str">
        <f t="shared" si="373"/>
        <v>Yet to be approved</v>
      </c>
      <c r="D2394" s="1378" t="str">
        <f t="shared" si="373"/>
        <v>-</v>
      </c>
      <c r="E2394" s="1505">
        <f t="shared" si="373"/>
        <v>0</v>
      </c>
      <c r="F2394" s="1509">
        <f t="shared" si="366"/>
        <v>1</v>
      </c>
      <c r="G2394" s="1509">
        <f t="shared" si="367"/>
        <v>1</v>
      </c>
      <c r="H2394" s="1509">
        <f t="shared" si="368"/>
        <v>0</v>
      </c>
      <c r="I2394" s="1509">
        <v>0</v>
      </c>
      <c r="J2394" s="1509">
        <v>0</v>
      </c>
      <c r="K2394" s="1509"/>
      <c r="L2394" s="1509"/>
      <c r="M2394" s="1509">
        <f t="shared" si="369"/>
        <v>0</v>
      </c>
      <c r="N2394" s="1509">
        <f t="shared" si="370"/>
        <v>0</v>
      </c>
    </row>
    <row r="2395" spans="1:14" customFormat="1" ht="29" outlineLevel="1" x14ac:dyDescent="0.25">
      <c r="A2395" s="1511">
        <f t="shared" si="373"/>
        <v>23.4</v>
      </c>
      <c r="B2395" s="1515" t="str">
        <f t="shared" si="373"/>
        <v>Up gradation of  Drum level measurement system at Unit – 6 &amp;7 New Parli TPS, Parli-V</v>
      </c>
      <c r="C2395" s="1396" t="str">
        <f t="shared" si="373"/>
        <v>Yet to be approved</v>
      </c>
      <c r="D2395" s="1378" t="str">
        <f t="shared" si="373"/>
        <v>-</v>
      </c>
      <c r="E2395" s="1505">
        <f t="shared" si="373"/>
        <v>0</v>
      </c>
      <c r="F2395" s="1509">
        <f t="shared" si="366"/>
        <v>3</v>
      </c>
      <c r="G2395" s="1509">
        <f t="shared" si="367"/>
        <v>3</v>
      </c>
      <c r="H2395" s="1509">
        <f t="shared" si="368"/>
        <v>0</v>
      </c>
      <c r="I2395" s="1509">
        <v>0</v>
      </c>
      <c r="J2395" s="1509">
        <v>0</v>
      </c>
      <c r="K2395" s="1509"/>
      <c r="L2395" s="1509"/>
      <c r="M2395" s="1509">
        <f t="shared" si="369"/>
        <v>0</v>
      </c>
      <c r="N2395" s="1509">
        <f t="shared" si="370"/>
        <v>0</v>
      </c>
    </row>
    <row r="2396" spans="1:14" customFormat="1" outlineLevel="1" x14ac:dyDescent="0.25">
      <c r="A2396" s="1511">
        <f t="shared" si="373"/>
        <v>23.5</v>
      </c>
      <c r="B2396" s="1515" t="str">
        <f t="shared" si="373"/>
        <v>OLCC SYSTEM UPGRADATION U6 &amp; U7</v>
      </c>
      <c r="C2396" s="1396" t="str">
        <f t="shared" si="373"/>
        <v>Yet to be approved</v>
      </c>
      <c r="D2396" s="1378" t="str">
        <f t="shared" si="373"/>
        <v>-</v>
      </c>
      <c r="E2396" s="1505">
        <f t="shared" si="373"/>
        <v>0</v>
      </c>
      <c r="F2396" s="1509">
        <f t="shared" si="366"/>
        <v>2</v>
      </c>
      <c r="G2396" s="1509">
        <f t="shared" si="367"/>
        <v>2</v>
      </c>
      <c r="H2396" s="1509">
        <f t="shared" si="368"/>
        <v>0</v>
      </c>
      <c r="I2396" s="1509">
        <v>0</v>
      </c>
      <c r="J2396" s="1509">
        <v>0</v>
      </c>
      <c r="K2396" s="1509"/>
      <c r="L2396" s="1509"/>
      <c r="M2396" s="1509">
        <f t="shared" si="369"/>
        <v>0</v>
      </c>
      <c r="N2396" s="1509">
        <f t="shared" si="370"/>
        <v>0</v>
      </c>
    </row>
    <row r="2397" spans="1:14" customFormat="1" ht="43.5" outlineLevel="1" x14ac:dyDescent="0.25">
      <c r="A2397" s="1511">
        <f t="shared" si="373"/>
        <v>23.6</v>
      </c>
      <c r="B2397" s="1515" t="str">
        <f t="shared" si="373"/>
        <v>Up gradation of  Boiler tubes leakage detection system &amp; Furnace flame mapping with video camera at Unit – 6 &amp;7 New Parli TPS, Parli-V</v>
      </c>
      <c r="C2397" s="1396" t="str">
        <f t="shared" si="373"/>
        <v>Yet to be approved</v>
      </c>
      <c r="D2397" s="1378" t="str">
        <f t="shared" si="373"/>
        <v>-</v>
      </c>
      <c r="E2397" s="1505">
        <f t="shared" si="373"/>
        <v>0</v>
      </c>
      <c r="F2397" s="1509">
        <f t="shared" si="366"/>
        <v>4</v>
      </c>
      <c r="G2397" s="1509">
        <f t="shared" si="367"/>
        <v>4</v>
      </c>
      <c r="H2397" s="1509">
        <f t="shared" si="368"/>
        <v>0</v>
      </c>
      <c r="I2397" s="1509">
        <v>0</v>
      </c>
      <c r="J2397" s="1509">
        <v>0</v>
      </c>
      <c r="K2397" s="1509"/>
      <c r="L2397" s="1509"/>
      <c r="M2397" s="1509">
        <f t="shared" si="369"/>
        <v>0</v>
      </c>
      <c r="N2397" s="1509">
        <f t="shared" si="370"/>
        <v>0</v>
      </c>
    </row>
    <row r="2398" spans="1:14" customFormat="1" outlineLevel="1" x14ac:dyDescent="0.25">
      <c r="A2398" s="1511">
        <f t="shared" si="373"/>
        <v>23.7</v>
      </c>
      <c r="B2398" s="1515" t="str">
        <f t="shared" si="373"/>
        <v>Unit7 LVS system SCADA/HMI  upgradation</v>
      </c>
      <c r="C2398" s="1396" t="str">
        <f t="shared" si="373"/>
        <v>Yet to be approved</v>
      </c>
      <c r="D2398" s="1378" t="str">
        <f t="shared" si="373"/>
        <v>-</v>
      </c>
      <c r="E2398" s="1505">
        <f t="shared" si="373"/>
        <v>0</v>
      </c>
      <c r="F2398" s="1509">
        <f t="shared" si="366"/>
        <v>1</v>
      </c>
      <c r="G2398" s="1509">
        <f t="shared" si="367"/>
        <v>1</v>
      </c>
      <c r="H2398" s="1509">
        <f t="shared" si="368"/>
        <v>0</v>
      </c>
      <c r="I2398" s="1509">
        <v>0</v>
      </c>
      <c r="J2398" s="1509">
        <v>0</v>
      </c>
      <c r="K2398" s="1509"/>
      <c r="L2398" s="1509"/>
      <c r="M2398" s="1509">
        <f t="shared" si="369"/>
        <v>0</v>
      </c>
      <c r="N2398" s="1509">
        <f t="shared" si="370"/>
        <v>0</v>
      </c>
    </row>
    <row r="2399" spans="1:14" customFormat="1" outlineLevel="1" x14ac:dyDescent="0.25">
      <c r="A2399" s="1511">
        <f t="shared" si="373"/>
        <v>23.8</v>
      </c>
      <c r="B2399" s="1515" t="str">
        <f t="shared" si="373"/>
        <v>Upgradation of Instrumentation &amp; control lab</v>
      </c>
      <c r="C2399" s="1396" t="str">
        <f t="shared" si="373"/>
        <v>Yet to be approved</v>
      </c>
      <c r="D2399" s="1378" t="str">
        <f t="shared" si="373"/>
        <v>-</v>
      </c>
      <c r="E2399" s="1505">
        <f t="shared" si="373"/>
        <v>0</v>
      </c>
      <c r="F2399" s="1509">
        <f t="shared" si="366"/>
        <v>1.5</v>
      </c>
      <c r="G2399" s="1509">
        <f t="shared" si="367"/>
        <v>1.5</v>
      </c>
      <c r="H2399" s="1509">
        <f t="shared" si="368"/>
        <v>0</v>
      </c>
      <c r="I2399" s="1509">
        <v>0</v>
      </c>
      <c r="J2399" s="1509">
        <v>0</v>
      </c>
      <c r="K2399" s="1509"/>
      <c r="L2399" s="1509"/>
      <c r="M2399" s="1509">
        <f t="shared" si="369"/>
        <v>0</v>
      </c>
      <c r="N2399" s="1509">
        <f t="shared" si="370"/>
        <v>0</v>
      </c>
    </row>
    <row r="2400" spans="1:14" customFormat="1" outlineLevel="1" x14ac:dyDescent="0.25">
      <c r="A2400" s="1511">
        <f t="shared" si="373"/>
        <v>0</v>
      </c>
      <c r="B2400" s="1515" t="str">
        <f t="shared" si="373"/>
        <v>IDC</v>
      </c>
      <c r="C2400" s="1396" t="str">
        <f t="shared" si="373"/>
        <v>Yet to be approved</v>
      </c>
      <c r="D2400" s="1378" t="str">
        <f t="shared" si="373"/>
        <v>-</v>
      </c>
      <c r="E2400" s="1505">
        <f t="shared" si="373"/>
        <v>0</v>
      </c>
      <c r="F2400" s="1509">
        <f t="shared" si="366"/>
        <v>0</v>
      </c>
      <c r="G2400" s="1509">
        <f t="shared" si="367"/>
        <v>0</v>
      </c>
      <c r="H2400" s="1509">
        <f t="shared" si="368"/>
        <v>0</v>
      </c>
      <c r="I2400" s="1509">
        <v>0</v>
      </c>
      <c r="J2400" s="1509">
        <v>0</v>
      </c>
      <c r="K2400" s="1509"/>
      <c r="L2400" s="1509"/>
      <c r="M2400" s="1509">
        <f t="shared" si="369"/>
        <v>0</v>
      </c>
      <c r="N2400" s="1509">
        <f t="shared" si="370"/>
        <v>0</v>
      </c>
    </row>
    <row r="2401" spans="1:14" customFormat="1" ht="29" outlineLevel="1" x14ac:dyDescent="0.25">
      <c r="A2401" s="1506">
        <f t="shared" si="373"/>
        <v>24</v>
      </c>
      <c r="B2401" s="1507" t="str">
        <f t="shared" si="373"/>
        <v>Control and monitoring system upgradation at U6&amp;7 NPTPS &amp; Various Instrumentation schemes at Unit 6,7, NPTPS Parli-V</v>
      </c>
      <c r="C2401" s="1506" t="str">
        <f t="shared" si="373"/>
        <v>Yet to be approved</v>
      </c>
      <c r="D2401" s="1507" t="str">
        <f t="shared" si="373"/>
        <v>-</v>
      </c>
      <c r="E2401" s="1506">
        <f t="shared" si="373"/>
        <v>0</v>
      </c>
      <c r="F2401" s="1509">
        <f t="shared" si="366"/>
        <v>0</v>
      </c>
      <c r="G2401" s="1509">
        <f t="shared" si="367"/>
        <v>0</v>
      </c>
      <c r="H2401" s="1509">
        <f t="shared" si="368"/>
        <v>0</v>
      </c>
      <c r="I2401" s="1509">
        <v>0</v>
      </c>
      <c r="J2401" s="1509">
        <v>0</v>
      </c>
      <c r="K2401" s="1509"/>
      <c r="L2401" s="1509"/>
      <c r="M2401" s="1509">
        <f t="shared" si="369"/>
        <v>0</v>
      </c>
      <c r="N2401" s="1509">
        <f t="shared" si="370"/>
        <v>0</v>
      </c>
    </row>
    <row r="2402" spans="1:14" customFormat="1" outlineLevel="1" x14ac:dyDescent="0.25">
      <c r="A2402" s="1511">
        <f t="shared" si="373"/>
        <v>24.1</v>
      </c>
      <c r="B2402" s="1515" t="str">
        <f t="shared" si="373"/>
        <v>Upgradation of level, flow &amp; pressure measurement system</v>
      </c>
      <c r="C2402" s="1396" t="str">
        <f t="shared" si="373"/>
        <v>Yet to be approved</v>
      </c>
      <c r="D2402" s="1378" t="str">
        <f t="shared" si="373"/>
        <v>-</v>
      </c>
      <c r="E2402" s="1505">
        <f t="shared" si="373"/>
        <v>0</v>
      </c>
      <c r="F2402" s="1509">
        <f t="shared" si="366"/>
        <v>0</v>
      </c>
      <c r="G2402" s="1509">
        <f t="shared" si="367"/>
        <v>0</v>
      </c>
      <c r="H2402" s="1509">
        <f t="shared" si="368"/>
        <v>0</v>
      </c>
      <c r="I2402" s="1509">
        <v>1.5</v>
      </c>
      <c r="J2402" s="1509">
        <v>1.5</v>
      </c>
      <c r="K2402" s="1509"/>
      <c r="L2402" s="1509"/>
      <c r="M2402" s="1509">
        <f t="shared" si="369"/>
        <v>1.5</v>
      </c>
      <c r="N2402" s="1509">
        <f t="shared" si="370"/>
        <v>0</v>
      </c>
    </row>
    <row r="2403" spans="1:14" customFormat="1" ht="29" outlineLevel="1" x14ac:dyDescent="0.25">
      <c r="A2403" s="1511">
        <f t="shared" si="373"/>
        <v>24.2</v>
      </c>
      <c r="B2403" s="1515" t="str">
        <f t="shared" si="373"/>
        <v>Up gradation of  Vibration Monitoring System(VMS) at Unit – 6 &amp;7 Parli TPS, Parli-V</v>
      </c>
      <c r="C2403" s="1396" t="str">
        <f t="shared" si="373"/>
        <v>Yet to be approved</v>
      </c>
      <c r="D2403" s="1378" t="str">
        <f t="shared" si="373"/>
        <v>-</v>
      </c>
      <c r="E2403" s="1505">
        <f t="shared" si="373"/>
        <v>0</v>
      </c>
      <c r="F2403" s="1509">
        <f t="shared" si="366"/>
        <v>5</v>
      </c>
      <c r="G2403" s="1509">
        <f t="shared" si="367"/>
        <v>5</v>
      </c>
      <c r="H2403" s="1509">
        <f t="shared" si="368"/>
        <v>0</v>
      </c>
      <c r="I2403" s="1509">
        <v>0</v>
      </c>
      <c r="J2403" s="1509">
        <v>0</v>
      </c>
      <c r="K2403" s="1509"/>
      <c r="L2403" s="1509"/>
      <c r="M2403" s="1509">
        <f t="shared" si="369"/>
        <v>0</v>
      </c>
      <c r="N2403" s="1509">
        <f t="shared" si="370"/>
        <v>0</v>
      </c>
    </row>
    <row r="2404" spans="1:14" customFormat="1" outlineLevel="1" x14ac:dyDescent="0.25">
      <c r="A2404" s="1511">
        <f t="shared" si="373"/>
        <v>24.3</v>
      </c>
      <c r="B2404" s="1515" t="str">
        <f t="shared" si="373"/>
        <v>Upgradation of feedstation valve contol instruments.</v>
      </c>
      <c r="C2404" s="1396" t="str">
        <f t="shared" si="373"/>
        <v>Yet to be approved</v>
      </c>
      <c r="D2404" s="1378" t="str">
        <f t="shared" si="373"/>
        <v>-</v>
      </c>
      <c r="E2404" s="1505">
        <f t="shared" si="373"/>
        <v>0</v>
      </c>
      <c r="F2404" s="1509">
        <f t="shared" si="366"/>
        <v>0</v>
      </c>
      <c r="G2404" s="1509">
        <f t="shared" si="367"/>
        <v>0</v>
      </c>
      <c r="H2404" s="1509">
        <f t="shared" si="368"/>
        <v>0</v>
      </c>
      <c r="I2404" s="1509">
        <v>2</v>
      </c>
      <c r="J2404" s="1509">
        <v>2</v>
      </c>
      <c r="K2404" s="1509"/>
      <c r="L2404" s="1509"/>
      <c r="M2404" s="1509">
        <f t="shared" si="369"/>
        <v>2</v>
      </c>
      <c r="N2404" s="1509">
        <f t="shared" si="370"/>
        <v>0</v>
      </c>
    </row>
    <row r="2405" spans="1:14" customFormat="1" ht="58" outlineLevel="1" x14ac:dyDescent="0.25">
      <c r="A2405" s="1511">
        <f t="shared" si="373"/>
        <v>24.4</v>
      </c>
      <c r="B2405" s="1515" t="str">
        <f t="shared" si="373"/>
        <v>Supply of various instuments like H2 Dew point measurement system spares, Hydrogen analyzer, H2 leak detection system spares etc.Critical/Non-Critical Spares sub-assembly for performance improvement</v>
      </c>
      <c r="C2405" s="1396" t="str">
        <f t="shared" si="373"/>
        <v>Yet to be approved</v>
      </c>
      <c r="D2405" s="1378" t="str">
        <f t="shared" si="373"/>
        <v>-</v>
      </c>
      <c r="E2405" s="1505">
        <f t="shared" si="373"/>
        <v>0</v>
      </c>
      <c r="F2405" s="1509">
        <f t="shared" si="366"/>
        <v>3</v>
      </c>
      <c r="G2405" s="1509">
        <f t="shared" si="367"/>
        <v>3</v>
      </c>
      <c r="H2405" s="1509">
        <f t="shared" si="368"/>
        <v>0</v>
      </c>
      <c r="I2405" s="1509">
        <v>0</v>
      </c>
      <c r="J2405" s="1509">
        <v>0</v>
      </c>
      <c r="K2405" s="1509"/>
      <c r="L2405" s="1509"/>
      <c r="M2405" s="1509">
        <f t="shared" si="369"/>
        <v>0</v>
      </c>
      <c r="N2405" s="1509">
        <f t="shared" si="370"/>
        <v>0</v>
      </c>
    </row>
    <row r="2406" spans="1:14" customFormat="1" outlineLevel="1" x14ac:dyDescent="0.25">
      <c r="A2406" s="1511">
        <f t="shared" si="373"/>
        <v>24.5</v>
      </c>
      <c r="B2406" s="1515" t="str">
        <f t="shared" si="373"/>
        <v>Online Water flow Monitoring System at Khadka</v>
      </c>
      <c r="C2406" s="1396" t="str">
        <f t="shared" si="373"/>
        <v>Yet to be approved</v>
      </c>
      <c r="D2406" s="1378" t="str">
        <f t="shared" si="373"/>
        <v>-</v>
      </c>
      <c r="E2406" s="1505">
        <f t="shared" si="373"/>
        <v>0</v>
      </c>
      <c r="F2406" s="1509">
        <f t="shared" si="366"/>
        <v>0</v>
      </c>
      <c r="G2406" s="1509">
        <f t="shared" si="367"/>
        <v>0</v>
      </c>
      <c r="H2406" s="1509">
        <f t="shared" si="368"/>
        <v>0</v>
      </c>
      <c r="I2406" s="1509">
        <v>2</v>
      </c>
      <c r="J2406" s="1509">
        <v>2</v>
      </c>
      <c r="K2406" s="1509"/>
      <c r="L2406" s="1509"/>
      <c r="M2406" s="1509">
        <f t="shared" si="369"/>
        <v>2</v>
      </c>
      <c r="N2406" s="1509">
        <f t="shared" si="370"/>
        <v>0</v>
      </c>
    </row>
    <row r="2407" spans="1:14" customFormat="1" ht="43.5" outlineLevel="1" x14ac:dyDescent="0.25">
      <c r="A2407" s="1511">
        <f t="shared" si="373"/>
        <v>24.6</v>
      </c>
      <c r="B2407" s="1515" t="str">
        <f t="shared" si="373"/>
        <v xml:space="preserve"> Upgradation of CO analyser at APH  inlete and SOX NOX gas analyser installed at ID discharge along with remote calibration facility and connectivity to CPCB and MPCB as per latest CPCB Guidelines </v>
      </c>
      <c r="C2407" s="1396" t="str">
        <f t="shared" si="373"/>
        <v>Yet to be approved</v>
      </c>
      <c r="D2407" s="1378" t="str">
        <f t="shared" si="373"/>
        <v>-</v>
      </c>
      <c r="E2407" s="1505">
        <f t="shared" si="373"/>
        <v>0</v>
      </c>
      <c r="F2407" s="1509">
        <f t="shared" si="366"/>
        <v>0</v>
      </c>
      <c r="G2407" s="1509">
        <f t="shared" si="367"/>
        <v>0</v>
      </c>
      <c r="H2407" s="1509">
        <f t="shared" si="368"/>
        <v>0</v>
      </c>
      <c r="I2407" s="1509">
        <v>0</v>
      </c>
      <c r="J2407" s="1509">
        <v>0</v>
      </c>
      <c r="K2407" s="1509"/>
      <c r="L2407" s="1509"/>
      <c r="M2407" s="1509">
        <f t="shared" si="369"/>
        <v>0</v>
      </c>
      <c r="N2407" s="1509">
        <f t="shared" si="370"/>
        <v>0</v>
      </c>
    </row>
    <row r="2408" spans="1:14" customFormat="1" ht="43.5" outlineLevel="1" x14ac:dyDescent="0.25">
      <c r="A2408" s="1511">
        <f t="shared" ref="A2408:E2423" si="374">A2051</f>
        <v>24.7</v>
      </c>
      <c r="B2408" s="1515" t="str">
        <f t="shared" si="374"/>
        <v>Supply, Erection and Commissioning of Effluent Analyser for the parameters like COD, BOD, TSS &amp; PH installed at ETP &amp; STP outlet of the NPTPS, Parli.       complying CPCB / MPCB Guidelines.</v>
      </c>
      <c r="C2408" s="1396" t="str">
        <f t="shared" si="374"/>
        <v>Yet to be approved</v>
      </c>
      <c r="D2408" s="1378" t="str">
        <f t="shared" si="374"/>
        <v>-</v>
      </c>
      <c r="E2408" s="1505">
        <f t="shared" si="374"/>
        <v>0</v>
      </c>
      <c r="F2408" s="1509">
        <f t="shared" ref="F2408:F2471" si="375">F2051+I2051</f>
        <v>0</v>
      </c>
      <c r="G2408" s="1509">
        <f t="shared" ref="G2408:G2471" si="376">G2051+M2051</f>
        <v>0</v>
      </c>
      <c r="H2408" s="1509">
        <f t="shared" si="368"/>
        <v>0</v>
      </c>
      <c r="I2408" s="1509">
        <v>0</v>
      </c>
      <c r="J2408" s="1509">
        <v>0</v>
      </c>
      <c r="K2408" s="1509"/>
      <c r="L2408" s="1509"/>
      <c r="M2408" s="1509">
        <f t="shared" si="369"/>
        <v>0</v>
      </c>
      <c r="N2408" s="1509">
        <f t="shared" si="370"/>
        <v>0</v>
      </c>
    </row>
    <row r="2409" spans="1:14" customFormat="1" outlineLevel="1" x14ac:dyDescent="0.25">
      <c r="A2409" s="1511">
        <f t="shared" si="374"/>
        <v>0</v>
      </c>
      <c r="B2409" s="1515" t="str">
        <f t="shared" si="374"/>
        <v>IDC</v>
      </c>
      <c r="C2409" s="1396" t="str">
        <f t="shared" si="374"/>
        <v>Yet to be approved</v>
      </c>
      <c r="D2409" s="1378" t="str">
        <f t="shared" si="374"/>
        <v>-</v>
      </c>
      <c r="E2409" s="1505">
        <f t="shared" si="374"/>
        <v>0</v>
      </c>
      <c r="F2409" s="1509">
        <f t="shared" si="375"/>
        <v>0</v>
      </c>
      <c r="G2409" s="1509">
        <f t="shared" si="376"/>
        <v>0</v>
      </c>
      <c r="H2409" s="1509">
        <f t="shared" ref="H2409:H2472" si="377">F2409-G2409</f>
        <v>0</v>
      </c>
      <c r="I2409" s="1509">
        <v>0</v>
      </c>
      <c r="J2409" s="1509">
        <v>0</v>
      </c>
      <c r="K2409" s="1509"/>
      <c r="L2409" s="1509"/>
      <c r="M2409" s="1509">
        <f t="shared" ref="M2409:M2472" si="378">SUM(J2409:L2409)</f>
        <v>0</v>
      </c>
      <c r="N2409" s="1509">
        <f t="shared" ref="N2409:N2472" si="379">H2409+I2409-M2409</f>
        <v>0</v>
      </c>
    </row>
    <row r="2410" spans="1:14" customFormat="1" ht="87" outlineLevel="1" x14ac:dyDescent="0.25">
      <c r="A2410" s="1506">
        <f t="shared" si="374"/>
        <v>25</v>
      </c>
      <c r="B2410" s="1507" t="str">
        <f t="shared" si="374"/>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2410" s="1506" t="str">
        <f t="shared" si="374"/>
        <v>Yet to be approved</v>
      </c>
      <c r="D2410" s="1507" t="str">
        <f t="shared" si="374"/>
        <v>-</v>
      </c>
      <c r="E2410" s="1506">
        <f t="shared" si="374"/>
        <v>0</v>
      </c>
      <c r="F2410" s="1509">
        <f t="shared" si="375"/>
        <v>0</v>
      </c>
      <c r="G2410" s="1509">
        <f t="shared" si="376"/>
        <v>0</v>
      </c>
      <c r="H2410" s="1509">
        <f t="shared" si="377"/>
        <v>0</v>
      </c>
      <c r="I2410" s="1509">
        <v>0</v>
      </c>
      <c r="J2410" s="1509">
        <v>0</v>
      </c>
      <c r="K2410" s="1509"/>
      <c r="L2410" s="1509"/>
      <c r="M2410" s="1509">
        <f t="shared" si="378"/>
        <v>0</v>
      </c>
      <c r="N2410" s="1509">
        <f t="shared" si="379"/>
        <v>0</v>
      </c>
    </row>
    <row r="2411" spans="1:14" customFormat="1" ht="58" outlineLevel="1" x14ac:dyDescent="0.25">
      <c r="A2411" s="1511">
        <f t="shared" si="374"/>
        <v>25.1</v>
      </c>
      <c r="B2411" s="1515" t="str">
        <f t="shared" si="374"/>
        <v>Work of replacement of damaged/leaky underground Fire Water Pipelines and Static Fire water Pumps at Plant (Unit-6, 7 &amp; 8) and ODP area of Parli TPS including required material viz. MSERW Pipes/Steel, etc.</v>
      </c>
      <c r="C2411" s="1396" t="str">
        <f t="shared" si="374"/>
        <v>Yet to be approved</v>
      </c>
      <c r="D2411" s="1378" t="str">
        <f t="shared" si="374"/>
        <v>-</v>
      </c>
      <c r="E2411" s="1505">
        <f t="shared" si="374"/>
        <v>0</v>
      </c>
      <c r="F2411" s="1509">
        <f t="shared" si="375"/>
        <v>17</v>
      </c>
      <c r="G2411" s="1509">
        <f t="shared" si="376"/>
        <v>17</v>
      </c>
      <c r="H2411" s="1509">
        <f t="shared" si="377"/>
        <v>0</v>
      </c>
      <c r="I2411" s="1509">
        <v>0</v>
      </c>
      <c r="J2411" s="1509">
        <v>0</v>
      </c>
      <c r="K2411" s="1509"/>
      <c r="L2411" s="1509"/>
      <c r="M2411" s="1509">
        <f t="shared" si="378"/>
        <v>0</v>
      </c>
      <c r="N2411" s="1509">
        <f t="shared" si="379"/>
        <v>0</v>
      </c>
    </row>
    <row r="2412" spans="1:14" customFormat="1" ht="58" outlineLevel="1" x14ac:dyDescent="0.25">
      <c r="A2412" s="1511">
        <f t="shared" si="374"/>
        <v>25.2</v>
      </c>
      <c r="B2412" s="1515" t="str">
        <f t="shared" si="374"/>
        <v>Restoration of Deluge Valve system along with work of repairing/reconstruction (with relocation for safe operation) of damaged Deluge Valve Houses at Plant &amp; ODP area of Parli TPS Unit#6, 7 &amp; 8.</v>
      </c>
      <c r="C2412" s="1396" t="str">
        <f t="shared" si="374"/>
        <v>Yet to be approved</v>
      </c>
      <c r="D2412" s="1378" t="str">
        <f t="shared" si="374"/>
        <v>-</v>
      </c>
      <c r="E2412" s="1505">
        <f t="shared" si="374"/>
        <v>0</v>
      </c>
      <c r="F2412" s="1509">
        <f t="shared" si="375"/>
        <v>10</v>
      </c>
      <c r="G2412" s="1509">
        <f t="shared" si="376"/>
        <v>10</v>
      </c>
      <c r="H2412" s="1509">
        <f t="shared" si="377"/>
        <v>0</v>
      </c>
      <c r="I2412" s="1509">
        <v>0</v>
      </c>
      <c r="J2412" s="1509">
        <v>0</v>
      </c>
      <c r="K2412" s="1509"/>
      <c r="L2412" s="1509"/>
      <c r="M2412" s="1509">
        <f t="shared" si="378"/>
        <v>0</v>
      </c>
      <c r="N2412" s="1509">
        <f t="shared" si="379"/>
        <v>0</v>
      </c>
    </row>
    <row r="2413" spans="1:14" customFormat="1" ht="29" outlineLevel="1" x14ac:dyDescent="0.25">
      <c r="A2413" s="1511">
        <f t="shared" si="374"/>
        <v>25.3</v>
      </c>
      <c r="B2413" s="1515" t="str">
        <f t="shared" si="374"/>
        <v>Supply, Rectification and Installation of addressable fire alarm system and Fire suppression system at unit 6 &amp; 7,Parli TPS.</v>
      </c>
      <c r="C2413" s="1396" t="str">
        <f t="shared" si="374"/>
        <v>Yet to be approved</v>
      </c>
      <c r="D2413" s="1378" t="str">
        <f t="shared" si="374"/>
        <v>-</v>
      </c>
      <c r="E2413" s="1505">
        <f t="shared" si="374"/>
        <v>0</v>
      </c>
      <c r="F2413" s="1509">
        <f t="shared" si="375"/>
        <v>7</v>
      </c>
      <c r="G2413" s="1509">
        <f t="shared" si="376"/>
        <v>7</v>
      </c>
      <c r="H2413" s="1509">
        <f t="shared" si="377"/>
        <v>0</v>
      </c>
      <c r="I2413" s="1509">
        <v>0</v>
      </c>
      <c r="J2413" s="1509">
        <v>0</v>
      </c>
      <c r="K2413" s="1509"/>
      <c r="L2413" s="1509"/>
      <c r="M2413" s="1509">
        <f t="shared" si="378"/>
        <v>0</v>
      </c>
      <c r="N2413" s="1509">
        <f t="shared" si="379"/>
        <v>0</v>
      </c>
    </row>
    <row r="2414" spans="1:14" customFormat="1" outlineLevel="1" x14ac:dyDescent="0.25">
      <c r="A2414" s="1511">
        <f t="shared" si="374"/>
        <v>0</v>
      </c>
      <c r="B2414" s="1515" t="str">
        <f t="shared" si="374"/>
        <v>IDC</v>
      </c>
      <c r="C2414" s="1396" t="str">
        <f t="shared" si="374"/>
        <v>Yet to be approved</v>
      </c>
      <c r="D2414" s="1378" t="str">
        <f t="shared" si="374"/>
        <v>-</v>
      </c>
      <c r="E2414" s="1505">
        <f t="shared" si="374"/>
        <v>0</v>
      </c>
      <c r="F2414" s="1509">
        <f t="shared" si="375"/>
        <v>0</v>
      </c>
      <c r="G2414" s="1509">
        <f t="shared" si="376"/>
        <v>0</v>
      </c>
      <c r="H2414" s="1509">
        <f t="shared" si="377"/>
        <v>0</v>
      </c>
      <c r="I2414" s="1509">
        <v>0</v>
      </c>
      <c r="J2414" s="1509">
        <v>0</v>
      </c>
      <c r="K2414" s="1509"/>
      <c r="L2414" s="1509"/>
      <c r="M2414" s="1509">
        <f t="shared" si="378"/>
        <v>0</v>
      </c>
      <c r="N2414" s="1509">
        <f t="shared" si="379"/>
        <v>0</v>
      </c>
    </row>
    <row r="2415" spans="1:14" customFormat="1" ht="29" outlineLevel="1" x14ac:dyDescent="0.25">
      <c r="A2415" s="1506">
        <f t="shared" si="374"/>
        <v>26</v>
      </c>
      <c r="B2415" s="1507" t="str">
        <f t="shared" si="374"/>
        <v>ASH  EVACUATION  IMPROVEMENT  AND  PERFORMANCE &amp; EFFICIENCY OF ASH HANDLING SYSTEM At NPTPS Parli-V AT TPS PARLI-V.</v>
      </c>
      <c r="C2415" s="1506" t="str">
        <f t="shared" si="374"/>
        <v>Yet to be approved</v>
      </c>
      <c r="D2415" s="1507" t="str">
        <f t="shared" si="374"/>
        <v>-</v>
      </c>
      <c r="E2415" s="1506">
        <f t="shared" si="374"/>
        <v>0</v>
      </c>
      <c r="F2415" s="1509">
        <f t="shared" si="375"/>
        <v>0</v>
      </c>
      <c r="G2415" s="1509">
        <f t="shared" si="376"/>
        <v>0</v>
      </c>
      <c r="H2415" s="1509">
        <f t="shared" si="377"/>
        <v>0</v>
      </c>
      <c r="I2415" s="1509">
        <v>0</v>
      </c>
      <c r="J2415" s="1509">
        <v>0</v>
      </c>
      <c r="K2415" s="1509"/>
      <c r="L2415" s="1509"/>
      <c r="M2415" s="1509">
        <f t="shared" si="378"/>
        <v>0</v>
      </c>
      <c r="N2415" s="1509">
        <f t="shared" si="379"/>
        <v>0</v>
      </c>
    </row>
    <row r="2416" spans="1:14" customFormat="1" ht="29" outlineLevel="1" x14ac:dyDescent="0.25">
      <c r="A2416" s="1511">
        <f t="shared" si="374"/>
        <v>26.1</v>
      </c>
      <c r="B2416" s="1515" t="str">
        <f t="shared" si="374"/>
        <v>DESIGN , SUPPLY &amp; REPLCEMENT OF  ASH DISPOSAL SLURRY PUMP  COMPLTE ASSEMBLY ALONG WITH GEAR BOX, MOTORS U-6</v>
      </c>
      <c r="C2416" s="1396" t="str">
        <f t="shared" si="374"/>
        <v>Yet to be approved</v>
      </c>
      <c r="D2416" s="1378" t="str">
        <f t="shared" si="374"/>
        <v>-</v>
      </c>
      <c r="E2416" s="1505">
        <f t="shared" si="374"/>
        <v>0</v>
      </c>
      <c r="F2416" s="1509">
        <f t="shared" si="375"/>
        <v>1.24</v>
      </c>
      <c r="G2416" s="1509">
        <f t="shared" si="376"/>
        <v>1.24</v>
      </c>
      <c r="H2416" s="1509">
        <f t="shared" si="377"/>
        <v>0</v>
      </c>
      <c r="I2416" s="1509">
        <v>0</v>
      </c>
      <c r="J2416" s="1509">
        <v>0</v>
      </c>
      <c r="K2416" s="1509"/>
      <c r="L2416" s="1509"/>
      <c r="M2416" s="1509">
        <f t="shared" si="378"/>
        <v>0</v>
      </c>
      <c r="N2416" s="1509">
        <f t="shared" si="379"/>
        <v>0</v>
      </c>
    </row>
    <row r="2417" spans="1:14" customFormat="1" ht="29" outlineLevel="1" x14ac:dyDescent="0.25">
      <c r="A2417" s="1511">
        <f t="shared" si="374"/>
        <v>26.2</v>
      </c>
      <c r="B2417" s="1515" t="str">
        <f t="shared" si="374"/>
        <v>DESIGN , SUPPLY &amp; REPLCEMENT OF  HP WATER PUMP COMPLTE ASSEMBLY ALONG WITH GEAR BOX, MOTORS U-6</v>
      </c>
      <c r="C2417" s="1396" t="str">
        <f t="shared" si="374"/>
        <v>Yet to be approved</v>
      </c>
      <c r="D2417" s="1378" t="str">
        <f t="shared" si="374"/>
        <v>-</v>
      </c>
      <c r="E2417" s="1505">
        <f t="shared" si="374"/>
        <v>0</v>
      </c>
      <c r="F2417" s="1509">
        <f t="shared" si="375"/>
        <v>1.17</v>
      </c>
      <c r="G2417" s="1509">
        <f t="shared" si="376"/>
        <v>1.17</v>
      </c>
      <c r="H2417" s="1509">
        <f t="shared" si="377"/>
        <v>0</v>
      </c>
      <c r="I2417" s="1509">
        <v>0</v>
      </c>
      <c r="J2417" s="1509">
        <v>0</v>
      </c>
      <c r="K2417" s="1509"/>
      <c r="L2417" s="1509"/>
      <c r="M2417" s="1509">
        <f t="shared" si="378"/>
        <v>0</v>
      </c>
      <c r="N2417" s="1509">
        <f t="shared" si="379"/>
        <v>0</v>
      </c>
    </row>
    <row r="2418" spans="1:14" customFormat="1" ht="29" outlineLevel="1" x14ac:dyDescent="0.25">
      <c r="A2418" s="1511">
        <f t="shared" si="374"/>
        <v>26.3</v>
      </c>
      <c r="B2418" s="1515" t="str">
        <f t="shared" si="374"/>
        <v>Upgradation of reciprocating  Conveying Air compressor into screw compressor  at U#6</v>
      </c>
      <c r="C2418" s="1396" t="str">
        <f t="shared" si="374"/>
        <v>Yet to be approved</v>
      </c>
      <c r="D2418" s="1378" t="str">
        <f t="shared" si="374"/>
        <v>-</v>
      </c>
      <c r="E2418" s="1505">
        <f t="shared" si="374"/>
        <v>0</v>
      </c>
      <c r="F2418" s="1509">
        <f t="shared" si="375"/>
        <v>5.98</v>
      </c>
      <c r="G2418" s="1509">
        <f t="shared" si="376"/>
        <v>5.98</v>
      </c>
      <c r="H2418" s="1509">
        <f t="shared" si="377"/>
        <v>0</v>
      </c>
      <c r="I2418" s="1509">
        <v>0</v>
      </c>
      <c r="J2418" s="1509">
        <v>0</v>
      </c>
      <c r="K2418" s="1509"/>
      <c r="L2418" s="1509"/>
      <c r="M2418" s="1509">
        <f t="shared" si="378"/>
        <v>0</v>
      </c>
      <c r="N2418" s="1509">
        <f t="shared" si="379"/>
        <v>0</v>
      </c>
    </row>
    <row r="2419" spans="1:14" customFormat="1" ht="29" outlineLevel="1" x14ac:dyDescent="0.25">
      <c r="A2419" s="1511">
        <f t="shared" si="374"/>
        <v>26.4</v>
      </c>
      <c r="B2419" s="1515" t="str">
        <f t="shared" si="374"/>
        <v>Upgradation of reciprocating  Instrument  Air compressor into screw compressor  at U#6</v>
      </c>
      <c r="C2419" s="1396" t="str">
        <f t="shared" si="374"/>
        <v>Yet to be approved</v>
      </c>
      <c r="D2419" s="1378" t="str">
        <f t="shared" si="374"/>
        <v>-</v>
      </c>
      <c r="E2419" s="1505">
        <f t="shared" si="374"/>
        <v>0</v>
      </c>
      <c r="F2419" s="1509">
        <f t="shared" si="375"/>
        <v>3.98</v>
      </c>
      <c r="G2419" s="1509">
        <f t="shared" si="376"/>
        <v>3.98</v>
      </c>
      <c r="H2419" s="1509">
        <f t="shared" si="377"/>
        <v>0</v>
      </c>
      <c r="I2419" s="1509">
        <v>0</v>
      </c>
      <c r="J2419" s="1509">
        <v>0</v>
      </c>
      <c r="K2419" s="1509"/>
      <c r="L2419" s="1509"/>
      <c r="M2419" s="1509">
        <f t="shared" si="378"/>
        <v>0</v>
      </c>
      <c r="N2419" s="1509">
        <f t="shared" si="379"/>
        <v>0</v>
      </c>
    </row>
    <row r="2420" spans="1:14" customFormat="1" ht="43.5" outlineLevel="1" x14ac:dyDescent="0.25">
      <c r="A2420" s="1511">
        <f t="shared" si="374"/>
        <v>26.5</v>
      </c>
      <c r="B2420" s="1515" t="str">
        <f t="shared" si="374"/>
        <v>Procurement &amp; replacement of 300 NB,200NB Cash Basalt Pipelines with the existing MSERW pipe of ash disposal system of Unit #6&amp;  7 at Parli TPS, Parli V .</v>
      </c>
      <c r="C2420" s="1396" t="str">
        <f t="shared" si="374"/>
        <v>Yet to be approved</v>
      </c>
      <c r="D2420" s="1378" t="str">
        <f t="shared" si="374"/>
        <v>-</v>
      </c>
      <c r="E2420" s="1505">
        <f t="shared" si="374"/>
        <v>0</v>
      </c>
      <c r="F2420" s="1509">
        <f t="shared" si="375"/>
        <v>6.61</v>
      </c>
      <c r="G2420" s="1509">
        <f t="shared" si="376"/>
        <v>6.61</v>
      </c>
      <c r="H2420" s="1509">
        <f t="shared" si="377"/>
        <v>0</v>
      </c>
      <c r="I2420" s="1509">
        <v>0</v>
      </c>
      <c r="J2420" s="1509">
        <v>0</v>
      </c>
      <c r="K2420" s="1509"/>
      <c r="L2420" s="1509"/>
      <c r="M2420" s="1509">
        <f t="shared" si="378"/>
        <v>0</v>
      </c>
      <c r="N2420" s="1509">
        <f t="shared" si="379"/>
        <v>0</v>
      </c>
    </row>
    <row r="2421" spans="1:14" customFormat="1" outlineLevel="1" x14ac:dyDescent="0.25">
      <c r="A2421" s="1511">
        <f t="shared" si="374"/>
        <v>26.6</v>
      </c>
      <c r="B2421" s="1515" t="str">
        <f t="shared" si="374"/>
        <v>DESIGN , SUPPLY &amp; REPLCEMENT  VACUUM PUMP U6</v>
      </c>
      <c r="C2421" s="1396" t="str">
        <f t="shared" si="374"/>
        <v>Yet to be approved</v>
      </c>
      <c r="D2421" s="1378" t="str">
        <f t="shared" si="374"/>
        <v>-</v>
      </c>
      <c r="E2421" s="1505">
        <f t="shared" si="374"/>
        <v>0</v>
      </c>
      <c r="F2421" s="1509">
        <f t="shared" si="375"/>
        <v>1.41</v>
      </c>
      <c r="G2421" s="1509">
        <f t="shared" si="376"/>
        <v>1.41</v>
      </c>
      <c r="H2421" s="1509">
        <f t="shared" si="377"/>
        <v>0</v>
      </c>
      <c r="I2421" s="1509">
        <v>0</v>
      </c>
      <c r="J2421" s="1509">
        <v>0</v>
      </c>
      <c r="K2421" s="1509"/>
      <c r="L2421" s="1509"/>
      <c r="M2421" s="1509">
        <f t="shared" si="378"/>
        <v>0</v>
      </c>
      <c r="N2421" s="1509">
        <f t="shared" si="379"/>
        <v>0</v>
      </c>
    </row>
    <row r="2422" spans="1:14" customFormat="1" ht="43.5" outlineLevel="1" x14ac:dyDescent="0.25">
      <c r="A2422" s="1511">
        <f t="shared" si="374"/>
        <v>26.7</v>
      </c>
      <c r="B2422" s="1515" t="str">
        <f t="shared" si="374"/>
        <v>Work of Repairing &amp; Reconditioning of Single Roll Clinker Grinder assembly from OEM on as and when required basis at AHP(2X250),Unit-6&amp;7 Parli TPS,Parli-V.</v>
      </c>
      <c r="C2422" s="1396" t="str">
        <f t="shared" si="374"/>
        <v>Yet to be approved</v>
      </c>
      <c r="D2422" s="1378" t="str">
        <f t="shared" si="374"/>
        <v>-</v>
      </c>
      <c r="E2422" s="1505">
        <f t="shared" si="374"/>
        <v>0</v>
      </c>
      <c r="F2422" s="1509">
        <f t="shared" si="375"/>
        <v>0.65</v>
      </c>
      <c r="G2422" s="1509">
        <f t="shared" si="376"/>
        <v>0.65</v>
      </c>
      <c r="H2422" s="1509">
        <f t="shared" si="377"/>
        <v>0</v>
      </c>
      <c r="I2422" s="1509">
        <v>0</v>
      </c>
      <c r="J2422" s="1509">
        <v>0</v>
      </c>
      <c r="K2422" s="1509"/>
      <c r="L2422" s="1509"/>
      <c r="M2422" s="1509">
        <f t="shared" si="378"/>
        <v>0</v>
      </c>
      <c r="N2422" s="1509">
        <f t="shared" si="379"/>
        <v>0</v>
      </c>
    </row>
    <row r="2423" spans="1:14" customFormat="1" ht="29" outlineLevel="1" x14ac:dyDescent="0.25">
      <c r="A2423" s="1511">
        <f t="shared" si="374"/>
        <v>26.8</v>
      </c>
      <c r="B2423" s="1515" t="str">
        <f t="shared" si="374"/>
        <v>Work of complete Reconditioning and refurbishment of various spares in Unit 6&amp;7, Parli TPS, Parli-V</v>
      </c>
      <c r="C2423" s="1396" t="str">
        <f t="shared" si="374"/>
        <v>Yet to be approved</v>
      </c>
      <c r="D2423" s="1378" t="str">
        <f t="shared" si="374"/>
        <v>-</v>
      </c>
      <c r="E2423" s="1505">
        <f t="shared" si="374"/>
        <v>0</v>
      </c>
      <c r="F2423" s="1509">
        <f t="shared" si="375"/>
        <v>0.73</v>
      </c>
      <c r="G2423" s="1509">
        <f t="shared" si="376"/>
        <v>0.73</v>
      </c>
      <c r="H2423" s="1509">
        <f t="shared" si="377"/>
        <v>0</v>
      </c>
      <c r="I2423" s="1509">
        <v>0</v>
      </c>
      <c r="J2423" s="1509">
        <v>0</v>
      </c>
      <c r="K2423" s="1509"/>
      <c r="L2423" s="1509"/>
      <c r="M2423" s="1509">
        <f t="shared" si="378"/>
        <v>0</v>
      </c>
      <c r="N2423" s="1509">
        <f t="shared" si="379"/>
        <v>0</v>
      </c>
    </row>
    <row r="2424" spans="1:14" customFormat="1" outlineLevel="1" x14ac:dyDescent="0.25">
      <c r="A2424" s="1511">
        <f t="shared" ref="A2424:E2439" si="380">A2067</f>
        <v>26.9</v>
      </c>
      <c r="B2424" s="1515" t="str">
        <f t="shared" si="380"/>
        <v>Transmission drive system &amp; Fluid coupling replacements.</v>
      </c>
      <c r="C2424" s="1396" t="str">
        <f t="shared" si="380"/>
        <v>Yet to be approved</v>
      </c>
      <c r="D2424" s="1378" t="str">
        <f t="shared" si="380"/>
        <v>-</v>
      </c>
      <c r="E2424" s="1505">
        <f t="shared" si="380"/>
        <v>0</v>
      </c>
      <c r="F2424" s="1509">
        <f t="shared" si="375"/>
        <v>2.92</v>
      </c>
      <c r="G2424" s="1509">
        <f t="shared" si="376"/>
        <v>2.92</v>
      </c>
      <c r="H2424" s="1509">
        <f t="shared" si="377"/>
        <v>0</v>
      </c>
      <c r="I2424" s="1509">
        <v>0</v>
      </c>
      <c r="J2424" s="1509">
        <v>0</v>
      </c>
      <c r="K2424" s="1509"/>
      <c r="L2424" s="1509"/>
      <c r="M2424" s="1509">
        <f t="shared" si="378"/>
        <v>0</v>
      </c>
      <c r="N2424" s="1509">
        <f t="shared" si="379"/>
        <v>0</v>
      </c>
    </row>
    <row r="2425" spans="1:14" customFormat="1" ht="29" outlineLevel="1" x14ac:dyDescent="0.25">
      <c r="A2425" s="1511">
        <f t="shared" si="380"/>
        <v>26.1</v>
      </c>
      <c r="B2425" s="1515" t="str">
        <f t="shared" si="380"/>
        <v>DESIGN , SUPPLY &amp; REPLCEMENT OF ASH INLET VALVE COMPLETE ASSEBLY U6</v>
      </c>
      <c r="C2425" s="1396" t="str">
        <f t="shared" si="380"/>
        <v>Yet to be approved</v>
      </c>
      <c r="D2425" s="1378" t="str">
        <f t="shared" si="380"/>
        <v>-</v>
      </c>
      <c r="E2425" s="1505">
        <f t="shared" si="380"/>
        <v>0</v>
      </c>
      <c r="F2425" s="1509">
        <f t="shared" si="375"/>
        <v>2.6</v>
      </c>
      <c r="G2425" s="1509">
        <f t="shared" si="376"/>
        <v>2.6</v>
      </c>
      <c r="H2425" s="1509">
        <f t="shared" si="377"/>
        <v>0</v>
      </c>
      <c r="I2425" s="1509">
        <v>0</v>
      </c>
      <c r="J2425" s="1509">
        <v>0</v>
      </c>
      <c r="K2425" s="1509"/>
      <c r="L2425" s="1509"/>
      <c r="M2425" s="1509">
        <f t="shared" si="378"/>
        <v>0</v>
      </c>
      <c r="N2425" s="1509">
        <f t="shared" si="379"/>
        <v>0</v>
      </c>
    </row>
    <row r="2426" spans="1:14" customFormat="1" ht="43.5" outlineLevel="1" x14ac:dyDescent="0.25">
      <c r="A2426" s="1511">
        <f t="shared" si="380"/>
        <v>26.11</v>
      </c>
      <c r="B2426" s="1515" t="str">
        <f t="shared" si="380"/>
        <v>UPGRADATION OF EXPIRED AND VULNERABLE Scada, operating system and hardware to improve life and communication system of Ash handling plant UNIT 6&amp;7 250MW at NPTPS PARLI V".</v>
      </c>
      <c r="C2426" s="1396" t="str">
        <f t="shared" si="380"/>
        <v>Yet to be approved</v>
      </c>
      <c r="D2426" s="1378" t="str">
        <f t="shared" si="380"/>
        <v>-</v>
      </c>
      <c r="E2426" s="1505">
        <f t="shared" si="380"/>
        <v>0</v>
      </c>
      <c r="F2426" s="1509">
        <f t="shared" si="375"/>
        <v>3</v>
      </c>
      <c r="G2426" s="1509">
        <f t="shared" si="376"/>
        <v>3</v>
      </c>
      <c r="H2426" s="1509">
        <f t="shared" si="377"/>
        <v>0</v>
      </c>
      <c r="I2426" s="1509">
        <v>0</v>
      </c>
      <c r="J2426" s="1509">
        <v>0</v>
      </c>
      <c r="K2426" s="1509"/>
      <c r="L2426" s="1509"/>
      <c r="M2426" s="1509">
        <f t="shared" si="378"/>
        <v>0</v>
      </c>
      <c r="N2426" s="1509">
        <f t="shared" si="379"/>
        <v>0</v>
      </c>
    </row>
    <row r="2427" spans="1:14" customFormat="1" outlineLevel="1" x14ac:dyDescent="0.25">
      <c r="A2427" s="1511">
        <f t="shared" si="380"/>
        <v>0</v>
      </c>
      <c r="B2427" s="1515" t="str">
        <f t="shared" si="380"/>
        <v>IDC</v>
      </c>
      <c r="C2427" s="1396" t="str">
        <f t="shared" si="380"/>
        <v>Yet to be approved</v>
      </c>
      <c r="D2427" s="1378" t="str">
        <f t="shared" si="380"/>
        <v>-</v>
      </c>
      <c r="E2427" s="1505">
        <f t="shared" si="380"/>
        <v>0</v>
      </c>
      <c r="F2427" s="1509">
        <f t="shared" si="375"/>
        <v>0</v>
      </c>
      <c r="G2427" s="1509">
        <f t="shared" si="376"/>
        <v>0</v>
      </c>
      <c r="H2427" s="1509">
        <f t="shared" si="377"/>
        <v>0</v>
      </c>
      <c r="I2427" s="1509">
        <v>0</v>
      </c>
      <c r="J2427" s="1509">
        <v>0</v>
      </c>
      <c r="K2427" s="1509"/>
      <c r="L2427" s="1509"/>
      <c r="M2427" s="1509">
        <f t="shared" si="378"/>
        <v>0</v>
      </c>
      <c r="N2427" s="1509">
        <f t="shared" si="379"/>
        <v>0</v>
      </c>
    </row>
    <row r="2428" spans="1:14" customFormat="1" ht="29" outlineLevel="1" x14ac:dyDescent="0.25">
      <c r="A2428" s="1506">
        <f t="shared" si="380"/>
        <v>27</v>
      </c>
      <c r="B2428" s="1507" t="str">
        <f t="shared" si="380"/>
        <v>ASH  EVACUATION  IMPROVEMENT  AND  PERFORMANCE &amp; EFFICIENCY OF ASH HANDLING SYSTEM At NPTPS Parli-V AT TPS PARLI-V.</v>
      </c>
      <c r="C2428" s="1506" t="str">
        <f t="shared" si="380"/>
        <v>Yet to be approved</v>
      </c>
      <c r="D2428" s="1507" t="str">
        <f t="shared" si="380"/>
        <v>-</v>
      </c>
      <c r="E2428" s="1506">
        <f t="shared" si="380"/>
        <v>0</v>
      </c>
      <c r="F2428" s="1509">
        <f t="shared" si="375"/>
        <v>0</v>
      </c>
      <c r="G2428" s="1509">
        <f t="shared" si="376"/>
        <v>0</v>
      </c>
      <c r="H2428" s="1509">
        <f t="shared" si="377"/>
        <v>0</v>
      </c>
      <c r="I2428" s="1509">
        <v>0</v>
      </c>
      <c r="J2428" s="1509">
        <v>0</v>
      </c>
      <c r="K2428" s="1509"/>
      <c r="L2428" s="1509"/>
      <c r="M2428" s="1509">
        <f t="shared" si="378"/>
        <v>0</v>
      </c>
      <c r="N2428" s="1509">
        <f t="shared" si="379"/>
        <v>0</v>
      </c>
    </row>
    <row r="2429" spans="1:14" customFormat="1" ht="29" outlineLevel="1" x14ac:dyDescent="0.25">
      <c r="A2429" s="1511">
        <f t="shared" si="380"/>
        <v>27.1</v>
      </c>
      <c r="B2429" s="1515" t="str">
        <f t="shared" si="380"/>
        <v>Upgradation of reciprocating  Conveying Air compressor into screw compressor  at U#7</v>
      </c>
      <c r="C2429" s="1396" t="str">
        <f t="shared" si="380"/>
        <v>Yet to be approved</v>
      </c>
      <c r="D2429" s="1378" t="str">
        <f t="shared" si="380"/>
        <v>-</v>
      </c>
      <c r="E2429" s="1505">
        <f t="shared" si="380"/>
        <v>0</v>
      </c>
      <c r="F2429" s="1509">
        <f t="shared" si="375"/>
        <v>5.98</v>
      </c>
      <c r="G2429" s="1509">
        <f t="shared" si="376"/>
        <v>5.98</v>
      </c>
      <c r="H2429" s="1509">
        <f t="shared" si="377"/>
        <v>0</v>
      </c>
      <c r="I2429" s="1509">
        <v>0</v>
      </c>
      <c r="J2429" s="1509">
        <v>0</v>
      </c>
      <c r="K2429" s="1509"/>
      <c r="L2429" s="1509"/>
      <c r="M2429" s="1509">
        <f t="shared" si="378"/>
        <v>0</v>
      </c>
      <c r="N2429" s="1509">
        <f t="shared" si="379"/>
        <v>0</v>
      </c>
    </row>
    <row r="2430" spans="1:14" customFormat="1" ht="29" outlineLevel="1" x14ac:dyDescent="0.25">
      <c r="A2430" s="1511">
        <f t="shared" si="380"/>
        <v>27.2</v>
      </c>
      <c r="B2430" s="1515" t="str">
        <f t="shared" si="380"/>
        <v>Upgradation of reciprocating  Instrument  Air compressor into screw compressor  at U#7</v>
      </c>
      <c r="C2430" s="1396" t="str">
        <f t="shared" si="380"/>
        <v>Yet to be approved</v>
      </c>
      <c r="D2430" s="1378" t="str">
        <f t="shared" si="380"/>
        <v>-</v>
      </c>
      <c r="E2430" s="1505">
        <f t="shared" si="380"/>
        <v>0</v>
      </c>
      <c r="F2430" s="1509">
        <f t="shared" si="375"/>
        <v>3.98</v>
      </c>
      <c r="G2430" s="1509">
        <f t="shared" si="376"/>
        <v>3.98</v>
      </c>
      <c r="H2430" s="1509">
        <f t="shared" si="377"/>
        <v>0</v>
      </c>
      <c r="I2430" s="1509">
        <v>0</v>
      </c>
      <c r="J2430" s="1509">
        <v>0</v>
      </c>
      <c r="K2430" s="1509"/>
      <c r="L2430" s="1509"/>
      <c r="M2430" s="1509">
        <f t="shared" si="378"/>
        <v>0</v>
      </c>
      <c r="N2430" s="1509">
        <f t="shared" si="379"/>
        <v>0</v>
      </c>
    </row>
    <row r="2431" spans="1:14" customFormat="1" ht="29" outlineLevel="1" x14ac:dyDescent="0.25">
      <c r="A2431" s="1511">
        <f t="shared" si="380"/>
        <v>27.3</v>
      </c>
      <c r="B2431" s="1515" t="str">
        <f t="shared" si="380"/>
        <v>DESIGN , SUPPLY &amp; REPLCEMENT OF  ASH DISPOSAL SLURRY PUMP  COMPLTE ASSEMBLY ALONG WITH GEAR BOX, MOTORS U-7</v>
      </c>
      <c r="C2431" s="1396" t="str">
        <f t="shared" si="380"/>
        <v>Yet to be approved</v>
      </c>
      <c r="D2431" s="1378" t="str">
        <f t="shared" si="380"/>
        <v>-</v>
      </c>
      <c r="E2431" s="1505">
        <f t="shared" si="380"/>
        <v>0</v>
      </c>
      <c r="F2431" s="1509">
        <f t="shared" si="375"/>
        <v>1.24</v>
      </c>
      <c r="G2431" s="1509">
        <f t="shared" si="376"/>
        <v>1.24</v>
      </c>
      <c r="H2431" s="1509">
        <f t="shared" si="377"/>
        <v>0</v>
      </c>
      <c r="I2431" s="1509">
        <v>0</v>
      </c>
      <c r="J2431" s="1509">
        <v>0</v>
      </c>
      <c r="K2431" s="1509"/>
      <c r="L2431" s="1509"/>
      <c r="M2431" s="1509">
        <f t="shared" si="378"/>
        <v>0</v>
      </c>
      <c r="N2431" s="1509">
        <f t="shared" si="379"/>
        <v>0</v>
      </c>
    </row>
    <row r="2432" spans="1:14" customFormat="1" ht="29" outlineLevel="1" x14ac:dyDescent="0.25">
      <c r="A2432" s="1511">
        <f t="shared" si="380"/>
        <v>27.4</v>
      </c>
      <c r="B2432" s="1515" t="str">
        <f t="shared" si="380"/>
        <v>DESIGN , SUPPLY &amp; REPLCEMENT OF  HP WATER PUMP COMPLTE ASSEMBLY ALONG WITH GEAR BOX, MOTORS U-7</v>
      </c>
      <c r="C2432" s="1396" t="str">
        <f t="shared" si="380"/>
        <v>Yet to be approved</v>
      </c>
      <c r="D2432" s="1378" t="str">
        <f t="shared" si="380"/>
        <v>-</v>
      </c>
      <c r="E2432" s="1505">
        <f t="shared" si="380"/>
        <v>0</v>
      </c>
      <c r="F2432" s="1509">
        <f t="shared" si="375"/>
        <v>1.17</v>
      </c>
      <c r="G2432" s="1509">
        <f t="shared" si="376"/>
        <v>1.17</v>
      </c>
      <c r="H2432" s="1509">
        <f t="shared" si="377"/>
        <v>0</v>
      </c>
      <c r="I2432" s="1509">
        <v>0</v>
      </c>
      <c r="J2432" s="1509">
        <v>0</v>
      </c>
      <c r="K2432" s="1509"/>
      <c r="L2432" s="1509"/>
      <c r="M2432" s="1509">
        <f t="shared" si="378"/>
        <v>0</v>
      </c>
      <c r="N2432" s="1509">
        <f t="shared" si="379"/>
        <v>0</v>
      </c>
    </row>
    <row r="2433" spans="1:14" customFormat="1" outlineLevel="1" x14ac:dyDescent="0.25">
      <c r="A2433" s="1511">
        <f t="shared" si="380"/>
        <v>27.5</v>
      </c>
      <c r="B2433" s="1515" t="str">
        <f t="shared" si="380"/>
        <v>DESIGN , SUPPLY &amp; REPLCEMENT  VACUUM PUMP U7.</v>
      </c>
      <c r="C2433" s="1396" t="str">
        <f t="shared" si="380"/>
        <v>Yet to be approved</v>
      </c>
      <c r="D2433" s="1378" t="str">
        <f t="shared" si="380"/>
        <v>-</v>
      </c>
      <c r="E2433" s="1505">
        <f t="shared" si="380"/>
        <v>0</v>
      </c>
      <c r="F2433" s="1509">
        <f t="shared" si="375"/>
        <v>1.41</v>
      </c>
      <c r="G2433" s="1509">
        <f t="shared" si="376"/>
        <v>1.41</v>
      </c>
      <c r="H2433" s="1509">
        <f t="shared" si="377"/>
        <v>0</v>
      </c>
      <c r="I2433" s="1509">
        <v>0</v>
      </c>
      <c r="J2433" s="1509">
        <v>0</v>
      </c>
      <c r="K2433" s="1509"/>
      <c r="L2433" s="1509"/>
      <c r="M2433" s="1509">
        <f t="shared" si="378"/>
        <v>0</v>
      </c>
      <c r="N2433" s="1509">
        <f t="shared" si="379"/>
        <v>0</v>
      </c>
    </row>
    <row r="2434" spans="1:14" customFormat="1" ht="29" outlineLevel="1" x14ac:dyDescent="0.25">
      <c r="A2434" s="1511">
        <f t="shared" si="380"/>
        <v>27.6</v>
      </c>
      <c r="B2434" s="1515" t="str">
        <f t="shared" si="380"/>
        <v>DESIGN , SUPPLY &amp; REPLCEMENT BRANCH SEGEGATION COMPLETE VALVE ASSEBLY U7</v>
      </c>
      <c r="C2434" s="1396" t="str">
        <f t="shared" si="380"/>
        <v>Yet to be approved</v>
      </c>
      <c r="D2434" s="1378" t="str">
        <f t="shared" si="380"/>
        <v>-</v>
      </c>
      <c r="E2434" s="1505">
        <f t="shared" si="380"/>
        <v>0</v>
      </c>
      <c r="F2434" s="1509">
        <f t="shared" si="375"/>
        <v>1</v>
      </c>
      <c r="G2434" s="1509">
        <f t="shared" si="376"/>
        <v>1</v>
      </c>
      <c r="H2434" s="1509">
        <f t="shared" si="377"/>
        <v>0</v>
      </c>
      <c r="I2434" s="1509">
        <v>0</v>
      </c>
      <c r="J2434" s="1509">
        <v>0</v>
      </c>
      <c r="K2434" s="1509"/>
      <c r="L2434" s="1509"/>
      <c r="M2434" s="1509">
        <f t="shared" si="378"/>
        <v>0</v>
      </c>
      <c r="N2434" s="1509">
        <f t="shared" si="379"/>
        <v>0</v>
      </c>
    </row>
    <row r="2435" spans="1:14" customFormat="1" ht="29" outlineLevel="1" x14ac:dyDescent="0.25">
      <c r="A2435" s="1511">
        <f t="shared" si="380"/>
        <v>27.7</v>
      </c>
      <c r="B2435" s="1515" t="str">
        <f t="shared" si="380"/>
        <v>DESIGN , SUPPLY &amp; REPLCEMENT BRANCH VALVE &amp; ASH INLET VALVE U7</v>
      </c>
      <c r="C2435" s="1396" t="str">
        <f t="shared" si="380"/>
        <v>Yet to be approved</v>
      </c>
      <c r="D2435" s="1378" t="str">
        <f t="shared" si="380"/>
        <v>-</v>
      </c>
      <c r="E2435" s="1505">
        <f t="shared" si="380"/>
        <v>0</v>
      </c>
      <c r="F2435" s="1509">
        <f t="shared" si="375"/>
        <v>2.6</v>
      </c>
      <c r="G2435" s="1509">
        <f t="shared" si="376"/>
        <v>2.6</v>
      </c>
      <c r="H2435" s="1509">
        <f t="shared" si="377"/>
        <v>0</v>
      </c>
      <c r="I2435" s="1509">
        <v>0</v>
      </c>
      <c r="J2435" s="1509">
        <v>0</v>
      </c>
      <c r="K2435" s="1509"/>
      <c r="L2435" s="1509"/>
      <c r="M2435" s="1509">
        <f t="shared" si="378"/>
        <v>0</v>
      </c>
      <c r="N2435" s="1509">
        <f t="shared" si="379"/>
        <v>0</v>
      </c>
    </row>
    <row r="2436" spans="1:14" customFormat="1" ht="43.5" outlineLevel="1" x14ac:dyDescent="0.25">
      <c r="A2436" s="1511">
        <f t="shared" si="380"/>
        <v>27.8</v>
      </c>
      <c r="B2436" s="1515" t="str">
        <f t="shared" si="380"/>
        <v>Procurement of MOTORS, RELAY ,BREAKERS &amp; RETROFITTING   for pumps , IAC/CAC to improve availability &amp; performance of Bottom ash,  Coarse Ash &amp;  fly ash system of AHP, unit -7</v>
      </c>
      <c r="C2436" s="1396" t="str">
        <f t="shared" si="380"/>
        <v>Yet to be approved</v>
      </c>
      <c r="D2436" s="1378" t="str">
        <f t="shared" si="380"/>
        <v>-</v>
      </c>
      <c r="E2436" s="1505">
        <f t="shared" si="380"/>
        <v>0</v>
      </c>
      <c r="F2436" s="1509">
        <f t="shared" si="375"/>
        <v>3.5</v>
      </c>
      <c r="G2436" s="1509">
        <f t="shared" si="376"/>
        <v>3.5</v>
      </c>
      <c r="H2436" s="1509">
        <f t="shared" si="377"/>
        <v>0</v>
      </c>
      <c r="I2436" s="1509">
        <v>0</v>
      </c>
      <c r="J2436" s="1509">
        <v>0</v>
      </c>
      <c r="K2436" s="1509"/>
      <c r="L2436" s="1509"/>
      <c r="M2436" s="1509">
        <f t="shared" si="378"/>
        <v>0</v>
      </c>
      <c r="N2436" s="1509">
        <f t="shared" si="379"/>
        <v>0</v>
      </c>
    </row>
    <row r="2437" spans="1:14" customFormat="1" outlineLevel="1" x14ac:dyDescent="0.25">
      <c r="A2437" s="1511">
        <f t="shared" si="380"/>
        <v>27.9</v>
      </c>
      <c r="B2437" s="1515" t="str">
        <f t="shared" si="380"/>
        <v>Procurement of Replcement Water valve, AUDCO valve</v>
      </c>
      <c r="C2437" s="1396" t="str">
        <f t="shared" si="380"/>
        <v>Yet to be approved</v>
      </c>
      <c r="D2437" s="1378" t="str">
        <f t="shared" si="380"/>
        <v>-</v>
      </c>
      <c r="E2437" s="1505">
        <f t="shared" si="380"/>
        <v>0</v>
      </c>
      <c r="F2437" s="1509">
        <f t="shared" si="375"/>
        <v>0.5</v>
      </c>
      <c r="G2437" s="1509">
        <f t="shared" si="376"/>
        <v>0.5</v>
      </c>
      <c r="H2437" s="1509">
        <f t="shared" si="377"/>
        <v>0</v>
      </c>
      <c r="I2437" s="1509">
        <v>0</v>
      </c>
      <c r="J2437" s="1509">
        <v>0</v>
      </c>
      <c r="K2437" s="1509"/>
      <c r="L2437" s="1509"/>
      <c r="M2437" s="1509">
        <f t="shared" si="378"/>
        <v>0</v>
      </c>
      <c r="N2437" s="1509">
        <f t="shared" si="379"/>
        <v>0</v>
      </c>
    </row>
    <row r="2438" spans="1:14" customFormat="1" outlineLevel="1" x14ac:dyDescent="0.25">
      <c r="A2438" s="1511">
        <f t="shared" si="380"/>
        <v>27.1</v>
      </c>
      <c r="B2438" s="1515" t="str">
        <f t="shared" si="380"/>
        <v>Procurement &amp; replacement of Bottom ash clinker grinder</v>
      </c>
      <c r="C2438" s="1396" t="str">
        <f t="shared" si="380"/>
        <v>Yet to be approved</v>
      </c>
      <c r="D2438" s="1378" t="str">
        <f t="shared" si="380"/>
        <v>-</v>
      </c>
      <c r="E2438" s="1505">
        <f t="shared" si="380"/>
        <v>0</v>
      </c>
      <c r="F2438" s="1509">
        <f t="shared" si="375"/>
        <v>1.89</v>
      </c>
      <c r="G2438" s="1509">
        <f t="shared" si="376"/>
        <v>1.89</v>
      </c>
      <c r="H2438" s="1509">
        <f t="shared" si="377"/>
        <v>0</v>
      </c>
      <c r="I2438" s="1509">
        <v>0</v>
      </c>
      <c r="J2438" s="1509">
        <v>0</v>
      </c>
      <c r="K2438" s="1509"/>
      <c r="L2438" s="1509"/>
      <c r="M2438" s="1509">
        <f t="shared" si="378"/>
        <v>0</v>
      </c>
      <c r="N2438" s="1509">
        <f t="shared" si="379"/>
        <v>0</v>
      </c>
    </row>
    <row r="2439" spans="1:14" customFormat="1" ht="43.5" outlineLevel="1" x14ac:dyDescent="0.25">
      <c r="A2439" s="1511">
        <f t="shared" si="380"/>
        <v>27.11</v>
      </c>
      <c r="B2439" s="1515" t="str">
        <f t="shared" si="380"/>
        <v>UPGRADATION OF EXPIRED AND VULNERABLE Scada, operating system and hardware to improve life and communication system of HCSD Ash handling plant UNIT 6&amp;7 250MW at NPTPS PARLI V"</v>
      </c>
      <c r="C2439" s="1396" t="str">
        <f t="shared" si="380"/>
        <v>Yet to be approved</v>
      </c>
      <c r="D2439" s="1378" t="str">
        <f t="shared" si="380"/>
        <v>-</v>
      </c>
      <c r="E2439" s="1505">
        <f t="shared" si="380"/>
        <v>0</v>
      </c>
      <c r="F2439" s="1509">
        <f t="shared" si="375"/>
        <v>2.5</v>
      </c>
      <c r="G2439" s="1509">
        <f t="shared" si="376"/>
        <v>2.5</v>
      </c>
      <c r="H2439" s="1509">
        <f t="shared" si="377"/>
        <v>0</v>
      </c>
      <c r="I2439" s="1509">
        <v>0</v>
      </c>
      <c r="J2439" s="1509">
        <v>0</v>
      </c>
      <c r="K2439" s="1509"/>
      <c r="L2439" s="1509"/>
      <c r="M2439" s="1509">
        <f t="shared" si="378"/>
        <v>0</v>
      </c>
      <c r="N2439" s="1509">
        <f t="shared" si="379"/>
        <v>0</v>
      </c>
    </row>
    <row r="2440" spans="1:14" customFormat="1" outlineLevel="1" x14ac:dyDescent="0.25">
      <c r="A2440" s="1511">
        <f t="shared" ref="A2440:E2455" si="381">A2083</f>
        <v>0</v>
      </c>
      <c r="B2440" s="1515" t="str">
        <f t="shared" si="381"/>
        <v>IDC</v>
      </c>
      <c r="C2440" s="1396" t="str">
        <f t="shared" si="381"/>
        <v>Yet to be approved</v>
      </c>
      <c r="D2440" s="1378" t="str">
        <f t="shared" si="381"/>
        <v>-</v>
      </c>
      <c r="E2440" s="1505">
        <f t="shared" si="381"/>
        <v>0</v>
      </c>
      <c r="F2440" s="1509">
        <f t="shared" si="375"/>
        <v>0</v>
      </c>
      <c r="G2440" s="1509">
        <f t="shared" si="376"/>
        <v>0</v>
      </c>
      <c r="H2440" s="1509">
        <f t="shared" si="377"/>
        <v>0</v>
      </c>
      <c r="I2440" s="1509">
        <v>0</v>
      </c>
      <c r="J2440" s="1509">
        <v>0</v>
      </c>
      <c r="K2440" s="1509"/>
      <c r="L2440" s="1509"/>
      <c r="M2440" s="1509">
        <f t="shared" si="378"/>
        <v>0</v>
      </c>
      <c r="N2440" s="1509">
        <f t="shared" si="379"/>
        <v>0</v>
      </c>
    </row>
    <row r="2441" spans="1:14" customFormat="1" ht="29" outlineLevel="1" x14ac:dyDescent="0.25">
      <c r="A2441" s="1506">
        <f t="shared" si="381"/>
        <v>28</v>
      </c>
      <c r="B2441" s="1507" t="str">
        <f t="shared" si="381"/>
        <v>ASH  EVACUATION  IMPROVEMENT  AND  PERFORMANCE &amp; EFFICIENCY OF ASH HANDLING SYSTEM At NPTPS Parli-V AT TPS PARLI-V.</v>
      </c>
      <c r="C2441" s="1506" t="str">
        <f t="shared" si="381"/>
        <v>Yet to be approved</v>
      </c>
      <c r="D2441" s="1507" t="str">
        <f t="shared" si="381"/>
        <v>-</v>
      </c>
      <c r="E2441" s="1506">
        <f t="shared" si="381"/>
        <v>0</v>
      </c>
      <c r="F2441" s="1509">
        <f t="shared" si="375"/>
        <v>0</v>
      </c>
      <c r="G2441" s="1509">
        <f t="shared" si="376"/>
        <v>0</v>
      </c>
      <c r="H2441" s="1509">
        <f t="shared" si="377"/>
        <v>0</v>
      </c>
      <c r="I2441" s="1509">
        <v>0</v>
      </c>
      <c r="J2441" s="1509">
        <v>0</v>
      </c>
      <c r="K2441" s="1509"/>
      <c r="L2441" s="1509"/>
      <c r="M2441" s="1509">
        <f t="shared" si="378"/>
        <v>0</v>
      </c>
      <c r="N2441" s="1509">
        <f t="shared" si="379"/>
        <v>0</v>
      </c>
    </row>
    <row r="2442" spans="1:14" customFormat="1" outlineLevel="1" x14ac:dyDescent="0.25">
      <c r="A2442" s="1511">
        <f t="shared" si="381"/>
        <v>28.1</v>
      </c>
      <c r="B2442" s="1515" t="str">
        <f t="shared" si="381"/>
        <v>GEHO pump critical assemblies replacement.</v>
      </c>
      <c r="C2442" s="1396" t="str">
        <f t="shared" si="381"/>
        <v>Yet to be approved</v>
      </c>
      <c r="D2442" s="1378" t="str">
        <f t="shared" si="381"/>
        <v>-</v>
      </c>
      <c r="E2442" s="1505">
        <f t="shared" si="381"/>
        <v>0</v>
      </c>
      <c r="F2442" s="1509">
        <f t="shared" si="375"/>
        <v>13.32</v>
      </c>
      <c r="G2442" s="1509">
        <f t="shared" si="376"/>
        <v>13.32</v>
      </c>
      <c r="H2442" s="1509">
        <f t="shared" si="377"/>
        <v>0</v>
      </c>
      <c r="I2442" s="1509">
        <v>0</v>
      </c>
      <c r="J2442" s="1509">
        <v>0</v>
      </c>
      <c r="K2442" s="1509"/>
      <c r="L2442" s="1509"/>
      <c r="M2442" s="1509">
        <f t="shared" si="378"/>
        <v>0</v>
      </c>
      <c r="N2442" s="1509">
        <f t="shared" si="379"/>
        <v>0</v>
      </c>
    </row>
    <row r="2443" spans="1:14" customFormat="1" ht="29" outlineLevel="1" x14ac:dyDescent="0.25">
      <c r="A2443" s="1511">
        <f t="shared" si="381"/>
        <v>28.2</v>
      </c>
      <c r="B2443" s="1515" t="str">
        <f t="shared" si="381"/>
        <v xml:space="preserve">DESIGN , SUPPLY &amp; REPLCEMENT OF  HP WATER PUMP COMPLTE ASSEMBLY ALONG WITH GEAR BOX, MOTORS </v>
      </c>
      <c r="C2443" s="1396" t="str">
        <f t="shared" si="381"/>
        <v>Yet to be approved</v>
      </c>
      <c r="D2443" s="1378" t="str">
        <f t="shared" si="381"/>
        <v>-</v>
      </c>
      <c r="E2443" s="1505">
        <f t="shared" si="381"/>
        <v>0</v>
      </c>
      <c r="F2443" s="1509">
        <f t="shared" si="375"/>
        <v>1.17</v>
      </c>
      <c r="G2443" s="1509">
        <f t="shared" si="376"/>
        <v>1.17</v>
      </c>
      <c r="H2443" s="1509">
        <f t="shared" si="377"/>
        <v>0</v>
      </c>
      <c r="I2443" s="1509">
        <v>0</v>
      </c>
      <c r="J2443" s="1509">
        <v>0</v>
      </c>
      <c r="K2443" s="1509"/>
      <c r="L2443" s="1509"/>
      <c r="M2443" s="1509">
        <f t="shared" si="378"/>
        <v>0</v>
      </c>
      <c r="N2443" s="1509">
        <f t="shared" si="379"/>
        <v>0</v>
      </c>
    </row>
    <row r="2444" spans="1:14" customFormat="1" outlineLevel="1" x14ac:dyDescent="0.25">
      <c r="A2444" s="1511">
        <f t="shared" si="381"/>
        <v>28.3</v>
      </c>
      <c r="B2444" s="1515" t="str">
        <f t="shared" si="381"/>
        <v>Upgradation of BA clinker grinder  at U#6/7</v>
      </c>
      <c r="C2444" s="1396" t="str">
        <f t="shared" si="381"/>
        <v>Yet to be approved</v>
      </c>
      <c r="D2444" s="1378" t="str">
        <f t="shared" si="381"/>
        <v>-</v>
      </c>
      <c r="E2444" s="1505">
        <f t="shared" si="381"/>
        <v>0</v>
      </c>
      <c r="F2444" s="1509">
        <f t="shared" si="375"/>
        <v>2.08</v>
      </c>
      <c r="G2444" s="1509">
        <f t="shared" si="376"/>
        <v>2.08</v>
      </c>
      <c r="H2444" s="1509">
        <f t="shared" si="377"/>
        <v>0</v>
      </c>
      <c r="I2444" s="1509">
        <v>0</v>
      </c>
      <c r="J2444" s="1509">
        <v>0</v>
      </c>
      <c r="K2444" s="1509"/>
      <c r="L2444" s="1509"/>
      <c r="M2444" s="1509">
        <f t="shared" si="378"/>
        <v>0</v>
      </c>
      <c r="N2444" s="1509">
        <f t="shared" si="379"/>
        <v>0</v>
      </c>
    </row>
    <row r="2445" spans="1:14" customFormat="1" ht="29" outlineLevel="1" x14ac:dyDescent="0.25">
      <c r="A2445" s="1511">
        <f t="shared" si="381"/>
        <v>28.4</v>
      </c>
      <c r="B2445" s="1515" t="str">
        <f t="shared" si="381"/>
        <v>Scheme 4: Spares for premium make ash mixer gear box H1-160 5.06/1, P2 O No.160106, Sr No.2RF 12629 &amp; H1-180 1.35/1</v>
      </c>
      <c r="C2445" s="1396" t="str">
        <f t="shared" si="381"/>
        <v>Yet to be approved</v>
      </c>
      <c r="D2445" s="1378" t="str">
        <f t="shared" si="381"/>
        <v>-</v>
      </c>
      <c r="E2445" s="1505">
        <f t="shared" si="381"/>
        <v>0</v>
      </c>
      <c r="F2445" s="1509">
        <f t="shared" si="375"/>
        <v>0.42</v>
      </c>
      <c r="G2445" s="1509">
        <f t="shared" si="376"/>
        <v>0.42</v>
      </c>
      <c r="H2445" s="1509">
        <f t="shared" si="377"/>
        <v>0</v>
      </c>
      <c r="I2445" s="1509">
        <v>0</v>
      </c>
      <c r="J2445" s="1509">
        <v>0</v>
      </c>
      <c r="K2445" s="1509"/>
      <c r="L2445" s="1509"/>
      <c r="M2445" s="1509">
        <f t="shared" si="378"/>
        <v>0</v>
      </c>
      <c r="N2445" s="1509">
        <f t="shared" si="379"/>
        <v>0</v>
      </c>
    </row>
    <row r="2446" spans="1:14" customFormat="1" outlineLevel="1" x14ac:dyDescent="0.25">
      <c r="A2446" s="1511">
        <f t="shared" si="381"/>
        <v>28.5</v>
      </c>
      <c r="B2446" s="1515" t="str">
        <f t="shared" si="381"/>
        <v>Spares for premium make ash mixer gear box  VB2SA-225 17.1/1p1</v>
      </c>
      <c r="C2446" s="1396" t="str">
        <f t="shared" si="381"/>
        <v>Yet to be approved</v>
      </c>
      <c r="D2446" s="1378" t="str">
        <f t="shared" si="381"/>
        <v>-</v>
      </c>
      <c r="E2446" s="1505">
        <f t="shared" si="381"/>
        <v>0</v>
      </c>
      <c r="F2446" s="1509">
        <f t="shared" si="375"/>
        <v>0.34</v>
      </c>
      <c r="G2446" s="1509">
        <f t="shared" si="376"/>
        <v>0.34</v>
      </c>
      <c r="H2446" s="1509">
        <f t="shared" si="377"/>
        <v>0</v>
      </c>
      <c r="I2446" s="1509">
        <v>0</v>
      </c>
      <c r="J2446" s="1509">
        <v>0</v>
      </c>
      <c r="K2446" s="1509"/>
      <c r="L2446" s="1509"/>
      <c r="M2446" s="1509">
        <f t="shared" si="378"/>
        <v>0</v>
      </c>
      <c r="N2446" s="1509">
        <f t="shared" si="379"/>
        <v>0</v>
      </c>
    </row>
    <row r="2447" spans="1:14" customFormat="1" outlineLevel="1" x14ac:dyDescent="0.25">
      <c r="A2447" s="1511">
        <f t="shared" si="381"/>
        <v>28.6</v>
      </c>
      <c r="B2447" s="1515" t="str">
        <f t="shared" si="381"/>
        <v xml:space="preserve">DESIGN , SUPPLY &amp; REPLCEMENT  VACUUM PUMP  </v>
      </c>
      <c r="C2447" s="1396" t="str">
        <f t="shared" si="381"/>
        <v>Yet to be approved</v>
      </c>
      <c r="D2447" s="1378" t="str">
        <f t="shared" si="381"/>
        <v>-</v>
      </c>
      <c r="E2447" s="1505">
        <f t="shared" si="381"/>
        <v>0</v>
      </c>
      <c r="F2447" s="1509">
        <f t="shared" si="375"/>
        <v>1.41</v>
      </c>
      <c r="G2447" s="1509">
        <f t="shared" si="376"/>
        <v>1.41</v>
      </c>
      <c r="H2447" s="1509">
        <f t="shared" si="377"/>
        <v>0</v>
      </c>
      <c r="I2447" s="1509">
        <v>0</v>
      </c>
      <c r="J2447" s="1509">
        <v>0</v>
      </c>
      <c r="K2447" s="1509"/>
      <c r="L2447" s="1509"/>
      <c r="M2447" s="1509">
        <f t="shared" si="378"/>
        <v>0</v>
      </c>
      <c r="N2447" s="1509">
        <f t="shared" si="379"/>
        <v>0</v>
      </c>
    </row>
    <row r="2448" spans="1:14" customFormat="1" outlineLevel="1" x14ac:dyDescent="0.25">
      <c r="A2448" s="1511">
        <f t="shared" si="381"/>
        <v>0</v>
      </c>
      <c r="B2448" s="1515" t="str">
        <f t="shared" si="381"/>
        <v>IDC</v>
      </c>
      <c r="C2448" s="1396" t="str">
        <f t="shared" si="381"/>
        <v>Yet to be approved</v>
      </c>
      <c r="D2448" s="1378" t="str">
        <f t="shared" si="381"/>
        <v>-</v>
      </c>
      <c r="E2448" s="1505">
        <f t="shared" si="381"/>
        <v>0</v>
      </c>
      <c r="F2448" s="1509">
        <f t="shared" si="375"/>
        <v>0</v>
      </c>
      <c r="G2448" s="1509">
        <f t="shared" si="376"/>
        <v>0</v>
      </c>
      <c r="H2448" s="1509">
        <f t="shared" si="377"/>
        <v>0</v>
      </c>
      <c r="I2448" s="1509">
        <v>0</v>
      </c>
      <c r="J2448" s="1509">
        <v>0</v>
      </c>
      <c r="K2448" s="1509"/>
      <c r="L2448" s="1509"/>
      <c r="M2448" s="1509">
        <f t="shared" si="378"/>
        <v>0</v>
      </c>
      <c r="N2448" s="1509">
        <f t="shared" si="379"/>
        <v>0</v>
      </c>
    </row>
    <row r="2449" spans="1:14" customFormat="1" ht="29" outlineLevel="1" x14ac:dyDescent="0.25">
      <c r="A2449" s="1506">
        <f t="shared" si="381"/>
        <v>29</v>
      </c>
      <c r="B2449" s="1507" t="str">
        <f t="shared" si="381"/>
        <v>ASH  EVACUATION  IMPROVEMENT  AND  PERFORMANCE &amp; EFFICIENCY OF ASH HANDLING SYSTEM At NPTPS Parli-V AT TPS PARLI-V.</v>
      </c>
      <c r="C2449" s="1506" t="str">
        <f t="shared" si="381"/>
        <v>Yet to be approved</v>
      </c>
      <c r="D2449" s="1507" t="str">
        <f t="shared" si="381"/>
        <v>-</v>
      </c>
      <c r="E2449" s="1506">
        <f t="shared" si="381"/>
        <v>0</v>
      </c>
      <c r="F2449" s="1509">
        <f t="shared" si="375"/>
        <v>0</v>
      </c>
      <c r="G2449" s="1509">
        <f t="shared" si="376"/>
        <v>0</v>
      </c>
      <c r="H2449" s="1509">
        <f t="shared" si="377"/>
        <v>0</v>
      </c>
      <c r="I2449" s="1509">
        <v>0</v>
      </c>
      <c r="J2449" s="1509">
        <v>0</v>
      </c>
      <c r="K2449" s="1509"/>
      <c r="L2449" s="1509"/>
      <c r="M2449" s="1509">
        <f t="shared" si="378"/>
        <v>0</v>
      </c>
      <c r="N2449" s="1509">
        <f t="shared" si="379"/>
        <v>0</v>
      </c>
    </row>
    <row r="2450" spans="1:14" customFormat="1" ht="43.5" outlineLevel="1" x14ac:dyDescent="0.25">
      <c r="A2450" s="1511">
        <f t="shared" si="381"/>
        <v>29.1</v>
      </c>
      <c r="B2450" s="1515" t="str">
        <f t="shared" si="381"/>
        <v>Procurement &amp; replacement of 300 NB,200NB Cash Basalt Pipelines with the existing MSERW pipe of ash disposal system of Unit #6&amp;  7 at Parli TPS, Parli V .</v>
      </c>
      <c r="C2450" s="1396" t="str">
        <f t="shared" si="381"/>
        <v>Yet to be approved</v>
      </c>
      <c r="D2450" s="1378" t="str">
        <f t="shared" si="381"/>
        <v>-</v>
      </c>
      <c r="E2450" s="1505">
        <f t="shared" si="381"/>
        <v>0</v>
      </c>
      <c r="F2450" s="1509">
        <f t="shared" si="375"/>
        <v>0</v>
      </c>
      <c r="G2450" s="1509">
        <f t="shared" si="376"/>
        <v>0</v>
      </c>
      <c r="H2450" s="1509">
        <f t="shared" si="377"/>
        <v>0</v>
      </c>
      <c r="I2450" s="1509">
        <v>6.61</v>
      </c>
      <c r="J2450" s="1509">
        <v>6.61</v>
      </c>
      <c r="K2450" s="1509"/>
      <c r="L2450" s="1509"/>
      <c r="M2450" s="1509">
        <f t="shared" si="378"/>
        <v>6.61</v>
      </c>
      <c r="N2450" s="1509">
        <f t="shared" si="379"/>
        <v>0</v>
      </c>
    </row>
    <row r="2451" spans="1:14" customFormat="1" ht="43.5" outlineLevel="1" x14ac:dyDescent="0.25">
      <c r="A2451" s="1511">
        <f t="shared" si="381"/>
        <v>29.2</v>
      </c>
      <c r="B2451" s="1515" t="str">
        <f t="shared" si="381"/>
        <v>Procurement of MOTORS, RELAY ,BREAKERS &amp; RETROFITTING   for pumps , IAC/CAC to improve availability &amp; performance of Bottom ash,  Coarse Ash &amp;  fly ash system of AHP, unit 6</v>
      </c>
      <c r="C2451" s="1396" t="str">
        <f t="shared" si="381"/>
        <v>Yet to be approved</v>
      </c>
      <c r="D2451" s="1378" t="str">
        <f t="shared" si="381"/>
        <v>-</v>
      </c>
      <c r="E2451" s="1505">
        <f t="shared" si="381"/>
        <v>0</v>
      </c>
      <c r="F2451" s="1509">
        <f t="shared" si="375"/>
        <v>0</v>
      </c>
      <c r="G2451" s="1509">
        <f t="shared" si="376"/>
        <v>0</v>
      </c>
      <c r="H2451" s="1509">
        <f t="shared" si="377"/>
        <v>0</v>
      </c>
      <c r="I2451" s="1509">
        <v>3.5</v>
      </c>
      <c r="J2451" s="1509">
        <v>3.5</v>
      </c>
      <c r="K2451" s="1509"/>
      <c r="L2451" s="1509"/>
      <c r="M2451" s="1509">
        <f t="shared" si="378"/>
        <v>3.5</v>
      </c>
      <c r="N2451" s="1509">
        <f t="shared" si="379"/>
        <v>0</v>
      </c>
    </row>
    <row r="2452" spans="1:14" customFormat="1" outlineLevel="1" x14ac:dyDescent="0.25">
      <c r="A2452" s="1511">
        <f t="shared" si="381"/>
        <v>29.3</v>
      </c>
      <c r="B2452" s="1515" t="str">
        <f t="shared" si="381"/>
        <v>DESIGN , SUPPLY &amp; REPLCEMENT  VACUUM PUMP U#6</v>
      </c>
      <c r="C2452" s="1396" t="str">
        <f t="shared" si="381"/>
        <v>Yet to be approved</v>
      </c>
      <c r="D2452" s="1378" t="str">
        <f t="shared" si="381"/>
        <v>-</v>
      </c>
      <c r="E2452" s="1505">
        <f t="shared" si="381"/>
        <v>0</v>
      </c>
      <c r="F2452" s="1509">
        <f t="shared" si="375"/>
        <v>0</v>
      </c>
      <c r="G2452" s="1509">
        <f t="shared" si="376"/>
        <v>0</v>
      </c>
      <c r="H2452" s="1509">
        <f t="shared" si="377"/>
        <v>0</v>
      </c>
      <c r="I2452" s="1509">
        <v>1.41</v>
      </c>
      <c r="J2452" s="1509">
        <v>1.41</v>
      </c>
      <c r="K2452" s="1509"/>
      <c r="L2452" s="1509"/>
      <c r="M2452" s="1509">
        <f t="shared" si="378"/>
        <v>1.41</v>
      </c>
      <c r="N2452" s="1509">
        <f t="shared" si="379"/>
        <v>0</v>
      </c>
    </row>
    <row r="2453" spans="1:14" customFormat="1" outlineLevel="1" x14ac:dyDescent="0.25">
      <c r="A2453" s="1511">
        <f t="shared" si="381"/>
        <v>0</v>
      </c>
      <c r="B2453" s="1515" t="str">
        <f t="shared" si="381"/>
        <v>IDC</v>
      </c>
      <c r="C2453" s="1396" t="str">
        <f t="shared" si="381"/>
        <v>Yet to be approved</v>
      </c>
      <c r="D2453" s="1378" t="str">
        <f t="shared" si="381"/>
        <v>-</v>
      </c>
      <c r="E2453" s="1505">
        <f t="shared" si="381"/>
        <v>0</v>
      </c>
      <c r="F2453" s="1509">
        <f t="shared" si="375"/>
        <v>0</v>
      </c>
      <c r="G2453" s="1509">
        <f t="shared" si="376"/>
        <v>0</v>
      </c>
      <c r="H2453" s="1509">
        <f t="shared" si="377"/>
        <v>0</v>
      </c>
      <c r="I2453" s="1509">
        <v>0</v>
      </c>
      <c r="J2453" s="1509">
        <v>0</v>
      </c>
      <c r="K2453" s="1509"/>
      <c r="L2453" s="1509"/>
      <c r="M2453" s="1509">
        <f t="shared" si="378"/>
        <v>0</v>
      </c>
      <c r="N2453" s="1509">
        <f t="shared" si="379"/>
        <v>0</v>
      </c>
    </row>
    <row r="2454" spans="1:14" customFormat="1" ht="29" outlineLevel="1" x14ac:dyDescent="0.25">
      <c r="A2454" s="1506">
        <f t="shared" si="381"/>
        <v>30</v>
      </c>
      <c r="B2454" s="1507" t="str">
        <f t="shared" si="381"/>
        <v>ASH  EVACUATION  IMPROVEMENT  AND  PERFORMANCE &amp; EFFICIENCY OF ASH HANDLING SYSTEM At NPTPS Parli-V AT TPS PARLI-V.</v>
      </c>
      <c r="C2454" s="1506" t="str">
        <f t="shared" si="381"/>
        <v>Yet to be approved</v>
      </c>
      <c r="D2454" s="1507" t="str">
        <f t="shared" si="381"/>
        <v>-</v>
      </c>
      <c r="E2454" s="1506">
        <f t="shared" si="381"/>
        <v>0</v>
      </c>
      <c r="F2454" s="1509">
        <f t="shared" si="375"/>
        <v>0</v>
      </c>
      <c r="G2454" s="1509">
        <f t="shared" si="376"/>
        <v>0</v>
      </c>
      <c r="H2454" s="1509">
        <f t="shared" si="377"/>
        <v>0</v>
      </c>
      <c r="I2454" s="1509">
        <v>0</v>
      </c>
      <c r="J2454" s="1509">
        <v>0</v>
      </c>
      <c r="K2454" s="1509"/>
      <c r="L2454" s="1509"/>
      <c r="M2454" s="1509">
        <f t="shared" si="378"/>
        <v>0</v>
      </c>
      <c r="N2454" s="1509">
        <f t="shared" si="379"/>
        <v>0</v>
      </c>
    </row>
    <row r="2455" spans="1:14" customFormat="1" outlineLevel="1" x14ac:dyDescent="0.25">
      <c r="A2455" s="1511">
        <f t="shared" si="381"/>
        <v>30.1</v>
      </c>
      <c r="B2455" s="1515" t="str">
        <f t="shared" si="381"/>
        <v>DESIGN , SUPPLY &amp; REPLCEMENT  VACUUM PUMP</v>
      </c>
      <c r="C2455" s="1396" t="str">
        <f t="shared" si="381"/>
        <v>Yet to be approved</v>
      </c>
      <c r="D2455" s="1378" t="str">
        <f t="shared" si="381"/>
        <v>-</v>
      </c>
      <c r="E2455" s="1505">
        <f t="shared" si="381"/>
        <v>0</v>
      </c>
      <c r="F2455" s="1509">
        <f t="shared" si="375"/>
        <v>0</v>
      </c>
      <c r="G2455" s="1509">
        <f t="shared" si="376"/>
        <v>0</v>
      </c>
      <c r="H2455" s="1509">
        <f t="shared" si="377"/>
        <v>0</v>
      </c>
      <c r="I2455" s="1509">
        <v>0</v>
      </c>
      <c r="J2455" s="1509">
        <v>0</v>
      </c>
      <c r="K2455" s="1509"/>
      <c r="L2455" s="1509"/>
      <c r="M2455" s="1509">
        <f t="shared" si="378"/>
        <v>0</v>
      </c>
      <c r="N2455" s="1509">
        <f t="shared" si="379"/>
        <v>0</v>
      </c>
    </row>
    <row r="2456" spans="1:14" customFormat="1" ht="29" outlineLevel="1" x14ac:dyDescent="0.25">
      <c r="A2456" s="1511">
        <f t="shared" ref="A2456:E2471" si="382">A2099</f>
        <v>30.2</v>
      </c>
      <c r="B2456" s="1515" t="str">
        <f t="shared" si="382"/>
        <v>DESIGN , SUPPLY &amp; REPLCEMENT OF  ASH DISPOSAL SLURRY PUMP  COMPLTE ASSEMBLY ALONG WITH GEAR BOX, MOTORS U-6&amp; 7</v>
      </c>
      <c r="C2456" s="1396" t="str">
        <f t="shared" si="382"/>
        <v>Yet to be approved</v>
      </c>
      <c r="D2456" s="1378" t="str">
        <f t="shared" si="382"/>
        <v>-</v>
      </c>
      <c r="E2456" s="1505">
        <f t="shared" si="382"/>
        <v>0</v>
      </c>
      <c r="F2456" s="1509">
        <f t="shared" si="375"/>
        <v>0</v>
      </c>
      <c r="G2456" s="1509">
        <f t="shared" si="376"/>
        <v>0</v>
      </c>
      <c r="H2456" s="1509">
        <f t="shared" si="377"/>
        <v>0</v>
      </c>
      <c r="I2456" s="1509">
        <v>0</v>
      </c>
      <c r="J2456" s="1509">
        <v>0</v>
      </c>
      <c r="K2456" s="1509"/>
      <c r="L2456" s="1509"/>
      <c r="M2456" s="1509">
        <f t="shared" si="378"/>
        <v>0</v>
      </c>
      <c r="N2456" s="1509">
        <f t="shared" si="379"/>
        <v>0</v>
      </c>
    </row>
    <row r="2457" spans="1:14" customFormat="1" ht="29" outlineLevel="1" x14ac:dyDescent="0.25">
      <c r="A2457" s="1511">
        <f t="shared" si="382"/>
        <v>30.3</v>
      </c>
      <c r="B2457" s="1515" t="str">
        <f t="shared" si="382"/>
        <v>DESIGN , SUPPLY &amp; REPLCEMENT OF  HP WATER PUMP COMPLTE ASSEMBLY ALONG WITH GEAR BOX, MOTORS U-6&amp; 7</v>
      </c>
      <c r="C2457" s="1396" t="str">
        <f t="shared" si="382"/>
        <v>Yet to be approved</v>
      </c>
      <c r="D2457" s="1378" t="str">
        <f t="shared" si="382"/>
        <v>-</v>
      </c>
      <c r="E2457" s="1505">
        <f t="shared" si="382"/>
        <v>0</v>
      </c>
      <c r="F2457" s="1509">
        <f t="shared" si="375"/>
        <v>0</v>
      </c>
      <c r="G2457" s="1509">
        <f t="shared" si="376"/>
        <v>0</v>
      </c>
      <c r="H2457" s="1509">
        <f t="shared" si="377"/>
        <v>0</v>
      </c>
      <c r="I2457" s="1509">
        <v>0</v>
      </c>
      <c r="J2457" s="1509">
        <v>0</v>
      </c>
      <c r="K2457" s="1509"/>
      <c r="L2457" s="1509"/>
      <c r="M2457" s="1509">
        <f t="shared" si="378"/>
        <v>0</v>
      </c>
      <c r="N2457" s="1509">
        <f t="shared" si="379"/>
        <v>0</v>
      </c>
    </row>
    <row r="2458" spans="1:14" customFormat="1" ht="43.5" outlineLevel="1" x14ac:dyDescent="0.25">
      <c r="A2458" s="1511">
        <f t="shared" si="382"/>
        <v>30.4</v>
      </c>
      <c r="B2458" s="1515" t="str">
        <f t="shared" si="382"/>
        <v xml:space="preserve"> Procurement of MOTORS, RELAY ,BREAKERS &amp; RETROFITTING   for HCSD  to improve availability &amp; performance of Bottom ash,  Coarse Ash &amp;  fly ash system of AHP, unit 6</v>
      </c>
      <c r="C2458" s="1396" t="str">
        <f t="shared" si="382"/>
        <v>Yet to be approved</v>
      </c>
      <c r="D2458" s="1378" t="str">
        <f t="shared" si="382"/>
        <v>-</v>
      </c>
      <c r="E2458" s="1505">
        <f t="shared" si="382"/>
        <v>0</v>
      </c>
      <c r="F2458" s="1509">
        <f t="shared" si="375"/>
        <v>0</v>
      </c>
      <c r="G2458" s="1509">
        <f t="shared" si="376"/>
        <v>0</v>
      </c>
      <c r="H2458" s="1509">
        <f t="shared" si="377"/>
        <v>0</v>
      </c>
      <c r="I2458" s="1509">
        <v>0</v>
      </c>
      <c r="J2458" s="1509">
        <v>0</v>
      </c>
      <c r="K2458" s="1509"/>
      <c r="L2458" s="1509"/>
      <c r="M2458" s="1509">
        <f t="shared" si="378"/>
        <v>0</v>
      </c>
      <c r="N2458" s="1509">
        <f t="shared" si="379"/>
        <v>0</v>
      </c>
    </row>
    <row r="2459" spans="1:14" customFormat="1" ht="29" outlineLevel="1" x14ac:dyDescent="0.25">
      <c r="A2459" s="1511">
        <f t="shared" si="382"/>
        <v>30.5</v>
      </c>
      <c r="B2459" s="1515" t="str">
        <f t="shared" si="382"/>
        <v>Upgradation of reciprocating  Conveying Air compressor into screw compressor  at U#6</v>
      </c>
      <c r="C2459" s="1396" t="str">
        <f t="shared" si="382"/>
        <v>Yet to be approved</v>
      </c>
      <c r="D2459" s="1378" t="str">
        <f t="shared" si="382"/>
        <v>-</v>
      </c>
      <c r="E2459" s="1505">
        <f t="shared" si="382"/>
        <v>0</v>
      </c>
      <c r="F2459" s="1509">
        <f t="shared" si="375"/>
        <v>0</v>
      </c>
      <c r="G2459" s="1509">
        <f t="shared" si="376"/>
        <v>0</v>
      </c>
      <c r="H2459" s="1509">
        <f t="shared" si="377"/>
        <v>0</v>
      </c>
      <c r="I2459" s="1509">
        <v>0</v>
      </c>
      <c r="J2459" s="1509">
        <v>0</v>
      </c>
      <c r="K2459" s="1509"/>
      <c r="L2459" s="1509"/>
      <c r="M2459" s="1509">
        <f t="shared" si="378"/>
        <v>0</v>
      </c>
      <c r="N2459" s="1509">
        <f t="shared" si="379"/>
        <v>0</v>
      </c>
    </row>
    <row r="2460" spans="1:14" customFormat="1" ht="29" outlineLevel="1" x14ac:dyDescent="0.25">
      <c r="A2460" s="1511">
        <f t="shared" si="382"/>
        <v>30.6</v>
      </c>
      <c r="B2460" s="1515" t="str">
        <f t="shared" si="382"/>
        <v xml:space="preserve">Upgradation of reciprocating  Instrument  Air compressor into screw compressor  at U#6  </v>
      </c>
      <c r="C2460" s="1396" t="str">
        <f t="shared" si="382"/>
        <v>Yet to be approved</v>
      </c>
      <c r="D2460" s="1378" t="str">
        <f t="shared" si="382"/>
        <v>-</v>
      </c>
      <c r="E2460" s="1505">
        <f t="shared" si="382"/>
        <v>0</v>
      </c>
      <c r="F2460" s="1509">
        <f t="shared" si="375"/>
        <v>0</v>
      </c>
      <c r="G2460" s="1509">
        <f t="shared" si="376"/>
        <v>0</v>
      </c>
      <c r="H2460" s="1509">
        <f t="shared" si="377"/>
        <v>0</v>
      </c>
      <c r="I2460" s="1509">
        <v>0</v>
      </c>
      <c r="J2460" s="1509">
        <v>0</v>
      </c>
      <c r="K2460" s="1509"/>
      <c r="L2460" s="1509"/>
      <c r="M2460" s="1509">
        <f t="shared" si="378"/>
        <v>0</v>
      </c>
      <c r="N2460" s="1509">
        <f t="shared" si="379"/>
        <v>0</v>
      </c>
    </row>
    <row r="2461" spans="1:14" customFormat="1" outlineLevel="1" x14ac:dyDescent="0.25">
      <c r="A2461" s="1511">
        <f t="shared" si="382"/>
        <v>0</v>
      </c>
      <c r="B2461" s="1515" t="str">
        <f t="shared" si="382"/>
        <v>IDC</v>
      </c>
      <c r="C2461" s="1396" t="str">
        <f t="shared" si="382"/>
        <v>Yet to be approved</v>
      </c>
      <c r="D2461" s="1378" t="str">
        <f t="shared" si="382"/>
        <v>-</v>
      </c>
      <c r="E2461" s="1505">
        <f t="shared" si="382"/>
        <v>0</v>
      </c>
      <c r="F2461" s="1509">
        <f t="shared" si="375"/>
        <v>0</v>
      </c>
      <c r="G2461" s="1509">
        <f t="shared" si="376"/>
        <v>0</v>
      </c>
      <c r="H2461" s="1509">
        <f t="shared" si="377"/>
        <v>0</v>
      </c>
      <c r="I2461" s="1509">
        <v>0</v>
      </c>
      <c r="J2461" s="1509">
        <v>0</v>
      </c>
      <c r="K2461" s="1509"/>
      <c r="L2461" s="1509"/>
      <c r="M2461" s="1509">
        <f t="shared" si="378"/>
        <v>0</v>
      </c>
      <c r="N2461" s="1509">
        <f t="shared" si="379"/>
        <v>0</v>
      </c>
    </row>
    <row r="2462" spans="1:14" customFormat="1" outlineLevel="1" x14ac:dyDescent="0.25">
      <c r="A2462" s="1506">
        <f t="shared" si="382"/>
        <v>31</v>
      </c>
      <c r="B2462" s="1507" t="str">
        <f t="shared" si="382"/>
        <v xml:space="preserve">Construction of VIP guest house building at TPS Parli Vaijnath  </v>
      </c>
      <c r="C2462" s="1506" t="str">
        <f t="shared" si="382"/>
        <v>Yet to be approved</v>
      </c>
      <c r="D2462" s="1507" t="str">
        <f t="shared" si="382"/>
        <v>-</v>
      </c>
      <c r="E2462" s="1506">
        <f t="shared" si="382"/>
        <v>0</v>
      </c>
      <c r="F2462" s="1509">
        <f t="shared" si="375"/>
        <v>0</v>
      </c>
      <c r="G2462" s="1509">
        <f t="shared" si="376"/>
        <v>0</v>
      </c>
      <c r="H2462" s="1509">
        <f t="shared" si="377"/>
        <v>0</v>
      </c>
      <c r="I2462" s="1509">
        <v>0</v>
      </c>
      <c r="J2462" s="1509">
        <v>0</v>
      </c>
      <c r="K2462" s="1509"/>
      <c r="L2462" s="1509"/>
      <c r="M2462" s="1509">
        <f t="shared" si="378"/>
        <v>0</v>
      </c>
      <c r="N2462" s="1509">
        <f t="shared" si="379"/>
        <v>0</v>
      </c>
    </row>
    <row r="2463" spans="1:14" customFormat="1" outlineLevel="1" x14ac:dyDescent="0.25">
      <c r="A2463" s="1511">
        <f t="shared" si="382"/>
        <v>31.1</v>
      </c>
      <c r="B2463" s="1515" t="str">
        <f t="shared" si="382"/>
        <v xml:space="preserve">Construction of VIP guest house building at TPS Parli Vaijnath  </v>
      </c>
      <c r="C2463" s="1396" t="str">
        <f t="shared" si="382"/>
        <v>Yet to be approved</v>
      </c>
      <c r="D2463" s="1378" t="str">
        <f t="shared" si="382"/>
        <v>-</v>
      </c>
      <c r="E2463" s="1505">
        <f t="shared" si="382"/>
        <v>0</v>
      </c>
      <c r="F2463" s="1509">
        <f t="shared" si="375"/>
        <v>26.98</v>
      </c>
      <c r="G2463" s="1509">
        <f t="shared" si="376"/>
        <v>26.98</v>
      </c>
      <c r="H2463" s="1509">
        <f t="shared" si="377"/>
        <v>0</v>
      </c>
      <c r="I2463" s="1509">
        <v>0</v>
      </c>
      <c r="J2463" s="1509">
        <v>0</v>
      </c>
      <c r="K2463" s="1509"/>
      <c r="L2463" s="1509"/>
      <c r="M2463" s="1509">
        <f t="shared" si="378"/>
        <v>0</v>
      </c>
      <c r="N2463" s="1509">
        <f t="shared" si="379"/>
        <v>0</v>
      </c>
    </row>
    <row r="2464" spans="1:14" customFormat="1" ht="43.5" outlineLevel="1" x14ac:dyDescent="0.25">
      <c r="A2464" s="1506">
        <f t="shared" si="382"/>
        <v>32</v>
      </c>
      <c r="B2464" s="1507" t="str">
        <f t="shared" si="382"/>
        <v xml:space="preserve"> Permanent water supply scheme for parli TPS by lifting water from Dead storage of Majalgaon dam and supplying through enclosed pipe line at New TPS Parli Vaijnath.</v>
      </c>
      <c r="C2464" s="1506" t="str">
        <f t="shared" si="382"/>
        <v>Yet to be approved</v>
      </c>
      <c r="D2464" s="1507" t="str">
        <f t="shared" si="382"/>
        <v>-</v>
      </c>
      <c r="E2464" s="1506">
        <f t="shared" si="382"/>
        <v>0</v>
      </c>
      <c r="F2464" s="1509">
        <f t="shared" si="375"/>
        <v>0</v>
      </c>
      <c r="G2464" s="1509">
        <f t="shared" si="376"/>
        <v>0</v>
      </c>
      <c r="H2464" s="1509">
        <f t="shared" si="377"/>
        <v>0</v>
      </c>
      <c r="I2464" s="1509">
        <v>0</v>
      </c>
      <c r="J2464" s="1509">
        <v>0</v>
      </c>
      <c r="K2464" s="1509"/>
      <c r="L2464" s="1509"/>
      <c r="M2464" s="1509">
        <f t="shared" si="378"/>
        <v>0</v>
      </c>
      <c r="N2464" s="1509">
        <f t="shared" si="379"/>
        <v>0</v>
      </c>
    </row>
    <row r="2465" spans="1:14" customFormat="1" ht="43.5" outlineLevel="1" x14ac:dyDescent="0.25">
      <c r="A2465" s="1511">
        <f t="shared" si="382"/>
        <v>32.1</v>
      </c>
      <c r="B2465" s="1515" t="str">
        <f t="shared" si="382"/>
        <v xml:space="preserve"> Permanent water supply scheme for parli TPS by lifting water from Dead storage of Majalgaon dam and supplying through enclosed pipe line at New TPS Parli Vaijnath.</v>
      </c>
      <c r="C2465" s="1396" t="str">
        <f t="shared" si="382"/>
        <v>Yet to be approved</v>
      </c>
      <c r="D2465" s="1378" t="str">
        <f t="shared" si="382"/>
        <v>-</v>
      </c>
      <c r="E2465" s="1505">
        <f t="shared" si="382"/>
        <v>0</v>
      </c>
      <c r="F2465" s="1509">
        <f t="shared" si="375"/>
        <v>300</v>
      </c>
      <c r="G2465" s="1509">
        <f t="shared" si="376"/>
        <v>0</v>
      </c>
      <c r="H2465" s="1509">
        <f t="shared" si="377"/>
        <v>300</v>
      </c>
      <c r="I2465" s="1509">
        <v>114.18</v>
      </c>
      <c r="J2465" s="1509">
        <v>414.18</v>
      </c>
      <c r="K2465" s="1509"/>
      <c r="L2465" s="1509"/>
      <c r="M2465" s="1509">
        <f t="shared" si="378"/>
        <v>414.18</v>
      </c>
      <c r="N2465" s="1509">
        <f t="shared" si="379"/>
        <v>0</v>
      </c>
    </row>
    <row r="2466" spans="1:14" customFormat="1" ht="29" outlineLevel="1" x14ac:dyDescent="0.25">
      <c r="A2466" s="1511">
        <f t="shared" si="382"/>
        <v>32.200000000000003</v>
      </c>
      <c r="B2466" s="1515" t="str">
        <f t="shared" si="382"/>
        <v>Providing drinking water supply to GSR Tank of Shaktikunj Vasahat from Unit 6,7 and 8 premises new TPS Parli Vaijnath</v>
      </c>
      <c r="C2466" s="1396" t="str">
        <f t="shared" si="382"/>
        <v>Yet to be approved</v>
      </c>
      <c r="D2466" s="1378" t="str">
        <f t="shared" si="382"/>
        <v>-</v>
      </c>
      <c r="E2466" s="1505">
        <f t="shared" si="382"/>
        <v>0</v>
      </c>
      <c r="F2466" s="1509">
        <f t="shared" si="375"/>
        <v>17</v>
      </c>
      <c r="G2466" s="1509">
        <f t="shared" si="376"/>
        <v>17</v>
      </c>
      <c r="H2466" s="1509">
        <f t="shared" si="377"/>
        <v>0</v>
      </c>
      <c r="I2466" s="1509">
        <v>0</v>
      </c>
      <c r="J2466" s="1509">
        <v>0</v>
      </c>
      <c r="K2466" s="1509"/>
      <c r="L2466" s="1509"/>
      <c r="M2466" s="1509">
        <f t="shared" si="378"/>
        <v>0</v>
      </c>
      <c r="N2466" s="1509">
        <f t="shared" si="379"/>
        <v>0</v>
      </c>
    </row>
    <row r="2467" spans="1:14" customFormat="1" outlineLevel="1" x14ac:dyDescent="0.25">
      <c r="A2467" s="1506">
        <f t="shared" si="382"/>
        <v>33</v>
      </c>
      <c r="B2467" s="1507" t="str">
        <f t="shared" si="382"/>
        <v>DPR on Raw water leackage arresting</v>
      </c>
      <c r="C2467" s="1506" t="str">
        <f t="shared" si="382"/>
        <v>Yet to be approved</v>
      </c>
      <c r="D2467" s="1507" t="str">
        <f t="shared" si="382"/>
        <v>-</v>
      </c>
      <c r="E2467" s="1506">
        <f t="shared" si="382"/>
        <v>0</v>
      </c>
      <c r="F2467" s="1509">
        <f t="shared" si="375"/>
        <v>0</v>
      </c>
      <c r="G2467" s="1509">
        <f t="shared" si="376"/>
        <v>0</v>
      </c>
      <c r="H2467" s="1509">
        <f t="shared" si="377"/>
        <v>0</v>
      </c>
      <c r="I2467" s="1509">
        <v>0</v>
      </c>
      <c r="J2467" s="1509">
        <v>0</v>
      </c>
      <c r="K2467" s="1509"/>
      <c r="L2467" s="1509"/>
      <c r="M2467" s="1509">
        <f t="shared" si="378"/>
        <v>0</v>
      </c>
      <c r="N2467" s="1509">
        <f t="shared" si="379"/>
        <v>0</v>
      </c>
    </row>
    <row r="2468" spans="1:14" customFormat="1" outlineLevel="1" x14ac:dyDescent="0.25">
      <c r="A2468" s="1511">
        <f t="shared" si="382"/>
        <v>33.1</v>
      </c>
      <c r="B2468" s="1515" t="str">
        <f t="shared" si="382"/>
        <v xml:space="preserve">Raw water leackage arresting </v>
      </c>
      <c r="C2468" s="1396" t="str">
        <f t="shared" si="382"/>
        <v>Yet to be approved</v>
      </c>
      <c r="D2468" s="1378" t="str">
        <f t="shared" si="382"/>
        <v>-</v>
      </c>
      <c r="E2468" s="1505">
        <f t="shared" si="382"/>
        <v>0</v>
      </c>
      <c r="F2468" s="1509">
        <f t="shared" si="375"/>
        <v>36</v>
      </c>
      <c r="G2468" s="1509">
        <f t="shared" si="376"/>
        <v>36</v>
      </c>
      <c r="H2468" s="1509">
        <f t="shared" si="377"/>
        <v>0</v>
      </c>
      <c r="I2468" s="1509">
        <v>0</v>
      </c>
      <c r="J2468" s="1509">
        <v>0</v>
      </c>
      <c r="K2468" s="1509"/>
      <c r="L2468" s="1509"/>
      <c r="M2468" s="1509">
        <f t="shared" si="378"/>
        <v>0</v>
      </c>
      <c r="N2468" s="1509">
        <f t="shared" si="379"/>
        <v>0</v>
      </c>
    </row>
    <row r="2469" spans="1:14" customFormat="1" ht="29" outlineLevel="1" x14ac:dyDescent="0.25">
      <c r="A2469" s="1506">
        <f t="shared" si="382"/>
        <v>34</v>
      </c>
      <c r="B2469" s="1507" t="str">
        <f t="shared" si="382"/>
        <v>NDCT structural strenthing and leackage arresting througth  basin and CW channel of Unit 6,7</v>
      </c>
      <c r="C2469" s="1506" t="str">
        <f t="shared" si="382"/>
        <v>Yet to be approved</v>
      </c>
      <c r="D2469" s="1507" t="str">
        <f t="shared" si="382"/>
        <v>-</v>
      </c>
      <c r="E2469" s="1506">
        <f t="shared" si="382"/>
        <v>0</v>
      </c>
      <c r="F2469" s="1509">
        <f t="shared" si="375"/>
        <v>0</v>
      </c>
      <c r="G2469" s="1509">
        <f t="shared" si="376"/>
        <v>0</v>
      </c>
      <c r="H2469" s="1509">
        <f t="shared" si="377"/>
        <v>0</v>
      </c>
      <c r="I2469" s="1509">
        <v>0</v>
      </c>
      <c r="J2469" s="1509">
        <v>0</v>
      </c>
      <c r="K2469" s="1509"/>
      <c r="L2469" s="1509"/>
      <c r="M2469" s="1509">
        <f t="shared" si="378"/>
        <v>0</v>
      </c>
      <c r="N2469" s="1509">
        <f t="shared" si="379"/>
        <v>0</v>
      </c>
    </row>
    <row r="2470" spans="1:14" customFormat="1" outlineLevel="1" x14ac:dyDescent="0.25">
      <c r="A2470" s="1511">
        <f t="shared" si="382"/>
        <v>34.1</v>
      </c>
      <c r="B2470" s="1515" t="str">
        <f t="shared" si="382"/>
        <v xml:space="preserve">NDCT basin of unit 6&amp; 7 leackage arresing work </v>
      </c>
      <c r="C2470" s="1396" t="str">
        <f t="shared" si="382"/>
        <v>Yet to be approved</v>
      </c>
      <c r="D2470" s="1378" t="str">
        <f t="shared" si="382"/>
        <v>-</v>
      </c>
      <c r="E2470" s="1505">
        <f t="shared" si="382"/>
        <v>0</v>
      </c>
      <c r="F2470" s="1509">
        <f t="shared" si="375"/>
        <v>10</v>
      </c>
      <c r="G2470" s="1509">
        <f t="shared" si="376"/>
        <v>10</v>
      </c>
      <c r="H2470" s="1509">
        <f t="shared" si="377"/>
        <v>0</v>
      </c>
      <c r="I2470" s="1509">
        <v>0</v>
      </c>
      <c r="J2470" s="1509">
        <v>0</v>
      </c>
      <c r="K2470" s="1509"/>
      <c r="L2470" s="1509"/>
      <c r="M2470" s="1509">
        <f t="shared" si="378"/>
        <v>0</v>
      </c>
      <c r="N2470" s="1509">
        <f t="shared" si="379"/>
        <v>0</v>
      </c>
    </row>
    <row r="2471" spans="1:14" customFormat="1" outlineLevel="1" x14ac:dyDescent="0.25">
      <c r="A2471" s="1511">
        <f t="shared" si="382"/>
        <v>34.200000000000003</v>
      </c>
      <c r="B2471" s="1515" t="str">
        <f t="shared" si="382"/>
        <v>CW channel leackage arresting of  Unit 6 &amp;7</v>
      </c>
      <c r="C2471" s="1396" t="str">
        <f t="shared" si="382"/>
        <v>Yet to be approved</v>
      </c>
      <c r="D2471" s="1378" t="str">
        <f t="shared" si="382"/>
        <v>-</v>
      </c>
      <c r="E2471" s="1505">
        <f t="shared" si="382"/>
        <v>0</v>
      </c>
      <c r="F2471" s="1509">
        <f t="shared" si="375"/>
        <v>10</v>
      </c>
      <c r="G2471" s="1509">
        <f t="shared" si="376"/>
        <v>10</v>
      </c>
      <c r="H2471" s="1509">
        <f t="shared" si="377"/>
        <v>0</v>
      </c>
      <c r="I2471" s="1509">
        <v>0</v>
      </c>
      <c r="J2471" s="1509">
        <v>0</v>
      </c>
      <c r="K2471" s="1509"/>
      <c r="L2471" s="1509"/>
      <c r="M2471" s="1509">
        <f t="shared" si="378"/>
        <v>0</v>
      </c>
      <c r="N2471" s="1509">
        <f t="shared" si="379"/>
        <v>0</v>
      </c>
    </row>
    <row r="2472" spans="1:14" customFormat="1" ht="29" outlineLevel="1" x14ac:dyDescent="0.25">
      <c r="A2472" s="1511">
        <f t="shared" ref="A2472:E2487" si="383">A2115</f>
        <v>34.299999999999997</v>
      </c>
      <c r="B2472" s="1515" t="str">
        <f t="shared" si="383"/>
        <v>NDCT structural strenthing of intermadiate racker coloumn of Unit 6&amp;7</v>
      </c>
      <c r="C2472" s="1396" t="str">
        <f t="shared" si="383"/>
        <v>Yet to be approved</v>
      </c>
      <c r="D2472" s="1378" t="str">
        <f t="shared" si="383"/>
        <v>-</v>
      </c>
      <c r="E2472" s="1505">
        <f t="shared" si="383"/>
        <v>0</v>
      </c>
      <c r="F2472" s="1509">
        <f t="shared" ref="F2472:F2503" si="384">F2115+I2115</f>
        <v>15</v>
      </c>
      <c r="G2472" s="1509">
        <f t="shared" ref="G2472:G2503" si="385">G2115+M2115</f>
        <v>15</v>
      </c>
      <c r="H2472" s="1509">
        <f t="shared" si="377"/>
        <v>0</v>
      </c>
      <c r="I2472" s="1509">
        <v>0</v>
      </c>
      <c r="J2472" s="1509">
        <v>0</v>
      </c>
      <c r="K2472" s="1509"/>
      <c r="L2472" s="1509"/>
      <c r="M2472" s="1509">
        <f t="shared" si="378"/>
        <v>0</v>
      </c>
      <c r="N2472" s="1509">
        <f t="shared" si="379"/>
        <v>0</v>
      </c>
    </row>
    <row r="2473" spans="1:14" customFormat="1" ht="29" outlineLevel="1" x14ac:dyDescent="0.25">
      <c r="A2473" s="1511">
        <f t="shared" si="383"/>
        <v>34.4</v>
      </c>
      <c r="B2473" s="1515" t="str">
        <f t="shared" si="383"/>
        <v>Construction of Store shed's at Major store in Unit No.6,7 NPTPS Parli V</v>
      </c>
      <c r="C2473" s="1396" t="str">
        <f t="shared" si="383"/>
        <v>Yet to be approved</v>
      </c>
      <c r="D2473" s="1378" t="str">
        <f t="shared" si="383"/>
        <v>-</v>
      </c>
      <c r="E2473" s="1505">
        <f t="shared" si="383"/>
        <v>0</v>
      </c>
      <c r="F2473" s="1509">
        <f t="shared" si="384"/>
        <v>1.35</v>
      </c>
      <c r="G2473" s="1509">
        <f t="shared" si="385"/>
        <v>1.35</v>
      </c>
      <c r="H2473" s="1509">
        <f t="shared" ref="H2473:H2503" si="386">F2473-G2473</f>
        <v>0</v>
      </c>
      <c r="I2473" s="1509">
        <v>0</v>
      </c>
      <c r="J2473" s="1509">
        <v>0</v>
      </c>
      <c r="K2473" s="1509"/>
      <c r="L2473" s="1509"/>
      <c r="M2473" s="1509">
        <f t="shared" ref="M2473:M2503" si="387">SUM(J2473:L2473)</f>
        <v>0</v>
      </c>
      <c r="N2473" s="1509">
        <f t="shared" ref="N2473:N2503" si="388">H2473+I2473-M2473</f>
        <v>0</v>
      </c>
    </row>
    <row r="2474" spans="1:14" customFormat="1" ht="29" outlineLevel="1" x14ac:dyDescent="0.25">
      <c r="A2474" s="1506">
        <f t="shared" si="383"/>
        <v>35</v>
      </c>
      <c r="B2474" s="1507" t="str">
        <f t="shared" si="383"/>
        <v>DPR on road work &amp;   rennovation work of colony buildings Parli -V at TPS Parli -V</v>
      </c>
      <c r="C2474" s="1506" t="str">
        <f t="shared" si="383"/>
        <v>Yet to be approved</v>
      </c>
      <c r="D2474" s="1507" t="str">
        <f t="shared" si="383"/>
        <v>-</v>
      </c>
      <c r="E2474" s="1506">
        <f t="shared" si="383"/>
        <v>0</v>
      </c>
      <c r="F2474" s="1509">
        <f t="shared" si="384"/>
        <v>0</v>
      </c>
      <c r="G2474" s="1509">
        <f t="shared" si="385"/>
        <v>0</v>
      </c>
      <c r="H2474" s="1509">
        <f t="shared" si="386"/>
        <v>0</v>
      </c>
      <c r="I2474" s="1509">
        <v>0</v>
      </c>
      <c r="J2474" s="1509">
        <v>0</v>
      </c>
      <c r="K2474" s="1509"/>
      <c r="L2474" s="1509"/>
      <c r="M2474" s="1509">
        <f t="shared" si="387"/>
        <v>0</v>
      </c>
      <c r="N2474" s="1509">
        <f t="shared" si="388"/>
        <v>0</v>
      </c>
    </row>
    <row r="2475" spans="1:14" customFormat="1" ht="43.5" outlineLevel="1" x14ac:dyDescent="0.25">
      <c r="A2475" s="1511">
        <f t="shared" si="383"/>
        <v>35.1</v>
      </c>
      <c r="B2475" s="1515" t="str">
        <f t="shared" si="383"/>
        <v xml:space="preserve">contruction of roads of few roads in clusters and main road repairs ,carpet laying,seal coats, strips on road &amp; indicators on roads with rumbble strips at TPS colony Parli V </v>
      </c>
      <c r="C2475" s="1396" t="str">
        <f t="shared" si="383"/>
        <v>Yet to be approved</v>
      </c>
      <c r="D2475" s="1378" t="str">
        <f t="shared" si="383"/>
        <v>-</v>
      </c>
      <c r="E2475" s="1505">
        <f t="shared" si="383"/>
        <v>0</v>
      </c>
      <c r="F2475" s="1509">
        <f t="shared" si="384"/>
        <v>10</v>
      </c>
      <c r="G2475" s="1509">
        <f t="shared" si="385"/>
        <v>10</v>
      </c>
      <c r="H2475" s="1509">
        <f t="shared" si="386"/>
        <v>0</v>
      </c>
      <c r="I2475" s="1509">
        <v>0</v>
      </c>
      <c r="J2475" s="1509">
        <v>0</v>
      </c>
      <c r="K2475" s="1509"/>
      <c r="L2475" s="1509"/>
      <c r="M2475" s="1509">
        <f t="shared" si="387"/>
        <v>0</v>
      </c>
      <c r="N2475" s="1509">
        <f t="shared" si="388"/>
        <v>0</v>
      </c>
    </row>
    <row r="2476" spans="1:14" customFormat="1" ht="43.5" outlineLevel="1" x14ac:dyDescent="0.25">
      <c r="A2476" s="1511">
        <f t="shared" si="383"/>
        <v>35.200000000000003</v>
      </c>
      <c r="B2476" s="1515" t="str">
        <f t="shared" si="383"/>
        <v xml:space="preserve"> In ABC colony ( Putty work,plastic emulsion paint,oil paint plaster etc) ,In DEF &amp; New colony ( internal &amp; external paint  ,oil paint etc) at TPS colony Parli-V.</v>
      </c>
      <c r="C2476" s="1396" t="str">
        <f t="shared" si="383"/>
        <v>Yet to be approved</v>
      </c>
      <c r="D2476" s="1378" t="str">
        <f t="shared" si="383"/>
        <v>-</v>
      </c>
      <c r="E2476" s="1505">
        <f t="shared" si="383"/>
        <v>0</v>
      </c>
      <c r="F2476" s="1509">
        <f t="shared" si="384"/>
        <v>5</v>
      </c>
      <c r="G2476" s="1509">
        <f t="shared" si="385"/>
        <v>5</v>
      </c>
      <c r="H2476" s="1509">
        <f t="shared" si="386"/>
        <v>0</v>
      </c>
      <c r="I2476" s="1509">
        <v>0</v>
      </c>
      <c r="J2476" s="1509">
        <v>0</v>
      </c>
      <c r="K2476" s="1509"/>
      <c r="L2476" s="1509"/>
      <c r="M2476" s="1509">
        <f t="shared" si="387"/>
        <v>0</v>
      </c>
      <c r="N2476" s="1509">
        <f t="shared" si="388"/>
        <v>0</v>
      </c>
    </row>
    <row r="2477" spans="1:14" customFormat="1" ht="29" outlineLevel="1" x14ac:dyDescent="0.25">
      <c r="A2477" s="1511">
        <f t="shared" si="383"/>
        <v>35.299999999999997</v>
      </c>
      <c r="B2477" s="1515" t="str">
        <f t="shared" si="383"/>
        <v xml:space="preserve"> In ABC,DEF &amp; New colony ( chember ,300 m dia rcc pipe,150mm  rcc pipe etc)at tps colony Parli V </v>
      </c>
      <c r="C2477" s="1396" t="str">
        <f t="shared" si="383"/>
        <v>Yet to be approved</v>
      </c>
      <c r="D2477" s="1378" t="str">
        <f t="shared" si="383"/>
        <v>-</v>
      </c>
      <c r="E2477" s="1505">
        <f t="shared" si="383"/>
        <v>0</v>
      </c>
      <c r="F2477" s="1509">
        <f t="shared" si="384"/>
        <v>5</v>
      </c>
      <c r="G2477" s="1509">
        <f t="shared" si="385"/>
        <v>5</v>
      </c>
      <c r="H2477" s="1509">
        <f t="shared" si="386"/>
        <v>0</v>
      </c>
      <c r="I2477" s="1509">
        <v>0</v>
      </c>
      <c r="J2477" s="1509">
        <v>0</v>
      </c>
      <c r="K2477" s="1509"/>
      <c r="L2477" s="1509"/>
      <c r="M2477" s="1509">
        <f t="shared" si="387"/>
        <v>0</v>
      </c>
      <c r="N2477" s="1509">
        <f t="shared" si="388"/>
        <v>0</v>
      </c>
    </row>
    <row r="2478" spans="1:14" customFormat="1" ht="29" outlineLevel="1" x14ac:dyDescent="0.25">
      <c r="A2478" s="1511">
        <f t="shared" si="383"/>
        <v>35.4</v>
      </c>
      <c r="B2478" s="1515" t="str">
        <f t="shared" si="383"/>
        <v>Plinth protection along the building and providing and placing rcc bench infront of all buildings etc at tps colony Parli v</v>
      </c>
      <c r="C2478" s="1396" t="str">
        <f t="shared" si="383"/>
        <v>Yet to be approved</v>
      </c>
      <c r="D2478" s="1378" t="str">
        <f t="shared" si="383"/>
        <v>-</v>
      </c>
      <c r="E2478" s="1505">
        <f t="shared" si="383"/>
        <v>0</v>
      </c>
      <c r="F2478" s="1509">
        <f t="shared" si="384"/>
        <v>2</v>
      </c>
      <c r="G2478" s="1509">
        <f t="shared" si="385"/>
        <v>2</v>
      </c>
      <c r="H2478" s="1509">
        <f t="shared" si="386"/>
        <v>0</v>
      </c>
      <c r="I2478" s="1509">
        <v>0</v>
      </c>
      <c r="J2478" s="1509">
        <v>0</v>
      </c>
      <c r="K2478" s="1509"/>
      <c r="L2478" s="1509"/>
      <c r="M2478" s="1509">
        <f t="shared" si="387"/>
        <v>0</v>
      </c>
      <c r="N2478" s="1509">
        <f t="shared" si="388"/>
        <v>0</v>
      </c>
    </row>
    <row r="2479" spans="1:14" customFormat="1" ht="58" outlineLevel="1" x14ac:dyDescent="0.25">
      <c r="A2479" s="1511">
        <f t="shared" si="383"/>
        <v>35.5</v>
      </c>
      <c r="B2479" s="1515" t="str">
        <f t="shared" si="383"/>
        <v xml:space="preserve">changing all internal qtrs pipeline from gi pipeline to Upvc pipeline and replacing existing damaged gi pipe by new one and also providing water tank  over single qtrs and buildings at ABC, DEF, &amp; New colony TPS Parli v </v>
      </c>
      <c r="C2479" s="1396" t="str">
        <f t="shared" si="383"/>
        <v>Yet to be approved</v>
      </c>
      <c r="D2479" s="1378" t="str">
        <f t="shared" si="383"/>
        <v>-</v>
      </c>
      <c r="E2479" s="1505">
        <f t="shared" si="383"/>
        <v>0</v>
      </c>
      <c r="F2479" s="1509">
        <f t="shared" si="384"/>
        <v>5</v>
      </c>
      <c r="G2479" s="1509">
        <f t="shared" si="385"/>
        <v>5</v>
      </c>
      <c r="H2479" s="1509">
        <f t="shared" si="386"/>
        <v>0</v>
      </c>
      <c r="I2479" s="1509">
        <v>0</v>
      </c>
      <c r="J2479" s="1509">
        <v>0</v>
      </c>
      <c r="K2479" s="1509"/>
      <c r="L2479" s="1509"/>
      <c r="M2479" s="1509">
        <f t="shared" si="387"/>
        <v>0</v>
      </c>
      <c r="N2479" s="1509">
        <f t="shared" si="388"/>
        <v>0</v>
      </c>
    </row>
    <row r="2480" spans="1:14" customFormat="1" outlineLevel="1" x14ac:dyDescent="0.25">
      <c r="A2480" s="1511">
        <f t="shared" si="383"/>
        <v>35.6</v>
      </c>
      <c r="B2480" s="1515" t="str">
        <f t="shared" si="383"/>
        <v>Carpentary works  at ABC,DEF &amp; New colony TPS  , Parli -V</v>
      </c>
      <c r="C2480" s="1396" t="str">
        <f t="shared" si="383"/>
        <v>Yet to be approved</v>
      </c>
      <c r="D2480" s="1378" t="str">
        <f t="shared" si="383"/>
        <v>-</v>
      </c>
      <c r="E2480" s="1505">
        <f t="shared" si="383"/>
        <v>0</v>
      </c>
      <c r="F2480" s="1509">
        <f t="shared" si="384"/>
        <v>4</v>
      </c>
      <c r="G2480" s="1509">
        <f t="shared" si="385"/>
        <v>4</v>
      </c>
      <c r="H2480" s="1509">
        <f t="shared" si="386"/>
        <v>0</v>
      </c>
      <c r="I2480" s="1509">
        <v>0</v>
      </c>
      <c r="J2480" s="1509">
        <v>0</v>
      </c>
      <c r="K2480" s="1509"/>
      <c r="L2480" s="1509"/>
      <c r="M2480" s="1509">
        <f t="shared" si="387"/>
        <v>0</v>
      </c>
      <c r="N2480" s="1509">
        <f t="shared" si="388"/>
        <v>0</v>
      </c>
    </row>
    <row r="2481" spans="1:14" customFormat="1" outlineLevel="1" x14ac:dyDescent="0.25">
      <c r="A2481" s="1511">
        <f t="shared" si="383"/>
        <v>35.700000000000003</v>
      </c>
      <c r="B2481" s="1515" t="str">
        <f t="shared" si="383"/>
        <v>Flooring work  at ABC,DEF &amp; New colony TPS  , Parli -V</v>
      </c>
      <c r="C2481" s="1396" t="str">
        <f t="shared" si="383"/>
        <v>Yet to be approved</v>
      </c>
      <c r="D2481" s="1378" t="str">
        <f t="shared" si="383"/>
        <v>-</v>
      </c>
      <c r="E2481" s="1505">
        <f t="shared" si="383"/>
        <v>0</v>
      </c>
      <c r="F2481" s="1509">
        <f t="shared" si="384"/>
        <v>5</v>
      </c>
      <c r="G2481" s="1509">
        <f t="shared" si="385"/>
        <v>5</v>
      </c>
      <c r="H2481" s="1509">
        <f t="shared" si="386"/>
        <v>0</v>
      </c>
      <c r="I2481" s="1509">
        <v>0</v>
      </c>
      <c r="J2481" s="1509">
        <v>0</v>
      </c>
      <c r="K2481" s="1509"/>
      <c r="L2481" s="1509"/>
      <c r="M2481" s="1509">
        <f t="shared" si="387"/>
        <v>0</v>
      </c>
      <c r="N2481" s="1509">
        <f t="shared" si="388"/>
        <v>0</v>
      </c>
    </row>
    <row r="2482" spans="1:14" customFormat="1" ht="29" outlineLevel="1" x14ac:dyDescent="0.25">
      <c r="A2482" s="1511">
        <f t="shared" si="383"/>
        <v>35.799999999999997</v>
      </c>
      <c r="B2482" s="1515" t="str">
        <f t="shared" si="383"/>
        <v>construction of new ESR and GSR  at ABC,DEF &amp; New colony TPS  , Parli -V</v>
      </c>
      <c r="C2482" s="1396" t="str">
        <f t="shared" si="383"/>
        <v>Yet to be approved</v>
      </c>
      <c r="D2482" s="1378" t="str">
        <f t="shared" si="383"/>
        <v>-</v>
      </c>
      <c r="E2482" s="1505">
        <f t="shared" si="383"/>
        <v>0</v>
      </c>
      <c r="F2482" s="1509">
        <f t="shared" si="384"/>
        <v>4</v>
      </c>
      <c r="G2482" s="1509">
        <f t="shared" si="385"/>
        <v>4</v>
      </c>
      <c r="H2482" s="1509">
        <f t="shared" si="386"/>
        <v>0</v>
      </c>
      <c r="I2482" s="1509">
        <v>0</v>
      </c>
      <c r="J2482" s="1509">
        <v>0</v>
      </c>
      <c r="K2482" s="1509"/>
      <c r="L2482" s="1509"/>
      <c r="M2482" s="1509">
        <f t="shared" si="387"/>
        <v>0</v>
      </c>
      <c r="N2482" s="1509">
        <f t="shared" si="388"/>
        <v>0</v>
      </c>
    </row>
    <row r="2483" spans="1:14" customFormat="1" ht="29" outlineLevel="1" x14ac:dyDescent="0.25">
      <c r="A2483" s="1511">
        <f t="shared" si="383"/>
        <v>35.9</v>
      </c>
      <c r="B2483" s="1515" t="str">
        <f t="shared" si="383"/>
        <v>refurbishment of qtrs by strenthening structurein ABC ,DEF &amp; New colony tps parli v</v>
      </c>
      <c r="C2483" s="1396" t="str">
        <f t="shared" si="383"/>
        <v>Yet to be approved</v>
      </c>
      <c r="D2483" s="1378" t="str">
        <f t="shared" si="383"/>
        <v>-</v>
      </c>
      <c r="E2483" s="1505">
        <f t="shared" si="383"/>
        <v>0</v>
      </c>
      <c r="F2483" s="1509">
        <f t="shared" si="384"/>
        <v>10</v>
      </c>
      <c r="G2483" s="1509">
        <f t="shared" si="385"/>
        <v>10</v>
      </c>
      <c r="H2483" s="1509">
        <f t="shared" si="386"/>
        <v>0</v>
      </c>
      <c r="I2483" s="1509">
        <v>0</v>
      </c>
      <c r="J2483" s="1509">
        <v>0</v>
      </c>
      <c r="K2483" s="1509"/>
      <c r="L2483" s="1509"/>
      <c r="M2483" s="1509">
        <f t="shared" si="387"/>
        <v>0</v>
      </c>
      <c r="N2483" s="1509">
        <f t="shared" si="388"/>
        <v>0</v>
      </c>
    </row>
    <row r="2484" spans="1:14" customFormat="1" ht="29" outlineLevel="1" x14ac:dyDescent="0.25">
      <c r="A2484" s="1511">
        <f t="shared" si="383"/>
        <v>35.1</v>
      </c>
      <c r="B2484" s="1515" t="str">
        <f t="shared" si="383"/>
        <v>Devolpment of garden and providing child friendly equiment in ABC ,DEF &amp; New colony tps parli v</v>
      </c>
      <c r="C2484" s="1396" t="str">
        <f t="shared" si="383"/>
        <v>Yet to be approved</v>
      </c>
      <c r="D2484" s="1378" t="str">
        <f t="shared" si="383"/>
        <v>-</v>
      </c>
      <c r="E2484" s="1505">
        <f t="shared" si="383"/>
        <v>0</v>
      </c>
      <c r="F2484" s="1509">
        <f t="shared" si="384"/>
        <v>4</v>
      </c>
      <c r="G2484" s="1509">
        <f t="shared" si="385"/>
        <v>4</v>
      </c>
      <c r="H2484" s="1509">
        <f t="shared" si="386"/>
        <v>0</v>
      </c>
      <c r="I2484" s="1509">
        <v>0</v>
      </c>
      <c r="J2484" s="1509">
        <v>0</v>
      </c>
      <c r="K2484" s="1509"/>
      <c r="L2484" s="1509"/>
      <c r="M2484" s="1509">
        <f t="shared" si="387"/>
        <v>0</v>
      </c>
      <c r="N2484" s="1509">
        <f t="shared" si="388"/>
        <v>0</v>
      </c>
    </row>
    <row r="2485" spans="1:14" customFormat="1" outlineLevel="1" x14ac:dyDescent="0.25">
      <c r="A2485" s="1506">
        <f t="shared" si="383"/>
        <v>36</v>
      </c>
      <c r="B2485" s="1507" t="str">
        <f t="shared" si="383"/>
        <v xml:space="preserve">CHP improvement schemes at 2 x 250 MW Unit </v>
      </c>
      <c r="C2485" s="1506">
        <f t="shared" si="383"/>
        <v>0</v>
      </c>
      <c r="D2485" s="1507" t="str">
        <f t="shared" si="383"/>
        <v>-</v>
      </c>
      <c r="E2485" s="1506">
        <f t="shared" si="383"/>
        <v>0</v>
      </c>
      <c r="F2485" s="1509">
        <f t="shared" si="384"/>
        <v>0</v>
      </c>
      <c r="G2485" s="1509">
        <f t="shared" si="385"/>
        <v>0</v>
      </c>
      <c r="H2485" s="1509">
        <f t="shared" si="386"/>
        <v>0</v>
      </c>
      <c r="I2485" s="1509">
        <v>0</v>
      </c>
      <c r="J2485" s="1509">
        <v>0</v>
      </c>
      <c r="K2485" s="1509"/>
      <c r="L2485" s="1509"/>
      <c r="M2485" s="1509">
        <f t="shared" si="387"/>
        <v>0</v>
      </c>
      <c r="N2485" s="1509">
        <f t="shared" si="388"/>
        <v>0</v>
      </c>
    </row>
    <row r="2486" spans="1:14" customFormat="1" outlineLevel="1" x14ac:dyDescent="0.25">
      <c r="A2486" s="1511">
        <f t="shared" si="383"/>
        <v>36.1</v>
      </c>
      <c r="B2486" s="1515" t="str">
        <f t="shared" si="383"/>
        <v xml:space="preserve">CHP improvement schemes at 2 x 250 MW Unit </v>
      </c>
      <c r="C2486" s="1396">
        <f t="shared" si="383"/>
        <v>0</v>
      </c>
      <c r="D2486" s="1378" t="str">
        <f t="shared" si="383"/>
        <v>-</v>
      </c>
      <c r="E2486" s="1505">
        <f t="shared" si="383"/>
        <v>0</v>
      </c>
      <c r="F2486" s="1509">
        <f t="shared" si="384"/>
        <v>25</v>
      </c>
      <c r="G2486" s="1509">
        <f t="shared" si="385"/>
        <v>25</v>
      </c>
      <c r="H2486" s="1509">
        <f t="shared" si="386"/>
        <v>0</v>
      </c>
      <c r="I2486" s="1509">
        <v>0</v>
      </c>
      <c r="J2486" s="1509">
        <v>0</v>
      </c>
      <c r="K2486" s="1509"/>
      <c r="L2486" s="1509"/>
      <c r="M2486" s="1509">
        <f t="shared" si="387"/>
        <v>0</v>
      </c>
      <c r="N2486" s="1509">
        <f t="shared" si="388"/>
        <v>0</v>
      </c>
    </row>
    <row r="2487" spans="1:14" customFormat="1" outlineLevel="1" x14ac:dyDescent="0.25">
      <c r="A2487" s="1506">
        <f t="shared" si="383"/>
        <v>37</v>
      </c>
      <c r="B2487" s="1507" t="str">
        <f t="shared" si="383"/>
        <v>Flexible Operation work at U#6,7</v>
      </c>
      <c r="C2487" s="1506" t="str">
        <f t="shared" si="383"/>
        <v>Yet to be approved</v>
      </c>
      <c r="D2487" s="1507" t="str">
        <f t="shared" si="383"/>
        <v>-</v>
      </c>
      <c r="E2487" s="1506">
        <f t="shared" si="383"/>
        <v>0</v>
      </c>
      <c r="F2487" s="1509">
        <f t="shared" si="384"/>
        <v>0</v>
      </c>
      <c r="G2487" s="1509">
        <f t="shared" si="385"/>
        <v>0</v>
      </c>
      <c r="H2487" s="1509">
        <f t="shared" si="386"/>
        <v>0</v>
      </c>
      <c r="I2487" s="1509">
        <v>0</v>
      </c>
      <c r="J2487" s="1509">
        <v>0</v>
      </c>
      <c r="K2487" s="1509"/>
      <c r="L2487" s="1509"/>
      <c r="M2487" s="1509">
        <f t="shared" si="387"/>
        <v>0</v>
      </c>
      <c r="N2487" s="1509">
        <f t="shared" si="388"/>
        <v>0</v>
      </c>
    </row>
    <row r="2488" spans="1:14" customFormat="1" outlineLevel="1" x14ac:dyDescent="0.25">
      <c r="A2488" s="1511">
        <f t="shared" ref="A2488:E2503" si="389">A2131</f>
        <v>37.1</v>
      </c>
      <c r="B2488" s="1515" t="str">
        <f t="shared" si="389"/>
        <v>Flexible Operation work at U#6,7</v>
      </c>
      <c r="C2488" s="1396" t="str">
        <f t="shared" si="389"/>
        <v>Yet to be approved</v>
      </c>
      <c r="D2488" s="1378" t="str">
        <f t="shared" si="389"/>
        <v>-</v>
      </c>
      <c r="E2488" s="1505">
        <f t="shared" si="389"/>
        <v>0</v>
      </c>
      <c r="F2488" s="1509">
        <f t="shared" si="384"/>
        <v>0</v>
      </c>
      <c r="G2488" s="1509">
        <f t="shared" si="385"/>
        <v>0</v>
      </c>
      <c r="H2488" s="1509">
        <f t="shared" si="386"/>
        <v>0</v>
      </c>
      <c r="I2488" s="1509">
        <v>28</v>
      </c>
      <c r="J2488" s="1509">
        <v>28</v>
      </c>
      <c r="K2488" s="1509"/>
      <c r="L2488" s="1509"/>
      <c r="M2488" s="1509">
        <f t="shared" si="387"/>
        <v>28</v>
      </c>
      <c r="N2488" s="1509">
        <f t="shared" si="388"/>
        <v>0</v>
      </c>
    </row>
    <row r="2489" spans="1:14" customFormat="1" outlineLevel="1" x14ac:dyDescent="0.25">
      <c r="A2489" s="1511">
        <f t="shared" si="389"/>
        <v>0</v>
      </c>
      <c r="B2489" s="1515">
        <f t="shared" si="389"/>
        <v>0</v>
      </c>
      <c r="C2489" s="1396">
        <f t="shared" si="389"/>
        <v>0</v>
      </c>
      <c r="D2489" s="1378" t="str">
        <f t="shared" si="389"/>
        <v>-</v>
      </c>
      <c r="E2489" s="1505">
        <f t="shared" si="389"/>
        <v>0</v>
      </c>
      <c r="F2489" s="1509">
        <f t="shared" si="384"/>
        <v>0</v>
      </c>
      <c r="G2489" s="1509">
        <f t="shared" si="385"/>
        <v>0</v>
      </c>
      <c r="H2489" s="1509">
        <f t="shared" si="386"/>
        <v>0</v>
      </c>
      <c r="I2489" s="1509">
        <v>0</v>
      </c>
      <c r="J2489" s="1509">
        <v>0</v>
      </c>
      <c r="K2489" s="1509"/>
      <c r="L2489" s="1509"/>
      <c r="M2489" s="1509">
        <f t="shared" si="387"/>
        <v>0</v>
      </c>
      <c r="N2489" s="1509">
        <f t="shared" si="388"/>
        <v>0</v>
      </c>
    </row>
    <row r="2490" spans="1:14" customFormat="1" outlineLevel="1" x14ac:dyDescent="0.25">
      <c r="A2490" s="1511">
        <f t="shared" si="389"/>
        <v>0</v>
      </c>
      <c r="B2490" s="1515">
        <f t="shared" si="389"/>
        <v>0</v>
      </c>
      <c r="C2490" s="1396">
        <f t="shared" si="389"/>
        <v>0</v>
      </c>
      <c r="D2490" s="1378" t="str">
        <f t="shared" si="389"/>
        <v>-</v>
      </c>
      <c r="E2490" s="1505">
        <f t="shared" si="389"/>
        <v>0</v>
      </c>
      <c r="F2490" s="1509">
        <f t="shared" si="384"/>
        <v>0</v>
      </c>
      <c r="G2490" s="1509">
        <f t="shared" si="385"/>
        <v>0</v>
      </c>
      <c r="H2490" s="1509">
        <f t="shared" si="386"/>
        <v>0</v>
      </c>
      <c r="I2490" s="1509">
        <v>0</v>
      </c>
      <c r="J2490" s="1509">
        <v>0</v>
      </c>
      <c r="K2490" s="1509"/>
      <c r="L2490" s="1509"/>
      <c r="M2490" s="1509">
        <f t="shared" si="387"/>
        <v>0</v>
      </c>
      <c r="N2490" s="1509">
        <f t="shared" si="388"/>
        <v>0</v>
      </c>
    </row>
    <row r="2491" spans="1:14" customFormat="1" ht="18.5" outlineLevel="1" x14ac:dyDescent="0.25">
      <c r="A2491" s="1339" t="str">
        <f t="shared" si="389"/>
        <v>D</v>
      </c>
      <c r="B2491" s="1339" t="str">
        <f t="shared" si="389"/>
        <v>Non-DPR Schemes</v>
      </c>
      <c r="C2491" s="1396">
        <f t="shared" si="389"/>
        <v>0</v>
      </c>
      <c r="D2491" s="1378" t="str">
        <f t="shared" si="389"/>
        <v>-</v>
      </c>
      <c r="E2491" s="1505">
        <f t="shared" si="389"/>
        <v>0</v>
      </c>
      <c r="F2491" s="1509">
        <f t="shared" si="384"/>
        <v>0</v>
      </c>
      <c r="G2491" s="1509">
        <f t="shared" si="385"/>
        <v>0</v>
      </c>
      <c r="H2491" s="1509">
        <f t="shared" si="386"/>
        <v>0</v>
      </c>
      <c r="I2491" s="1509">
        <v>0</v>
      </c>
      <c r="J2491" s="1509">
        <v>0</v>
      </c>
      <c r="K2491" s="1509"/>
      <c r="L2491" s="1509"/>
      <c r="M2491" s="1509">
        <f t="shared" si="387"/>
        <v>0</v>
      </c>
      <c r="N2491" s="1509">
        <f t="shared" si="388"/>
        <v>0</v>
      </c>
    </row>
    <row r="2492" spans="1:14" customFormat="1" outlineLevel="1" x14ac:dyDescent="0.25">
      <c r="A2492" s="1511">
        <f t="shared" si="389"/>
        <v>1</v>
      </c>
      <c r="B2492" s="1515" t="str">
        <f t="shared" si="389"/>
        <v>SWAS Upgradation at U#6 NPTPS Parli-V</v>
      </c>
      <c r="C2492" s="1396" t="str">
        <f t="shared" si="389"/>
        <v>N.A.</v>
      </c>
      <c r="D2492" s="1378" t="str">
        <f t="shared" si="389"/>
        <v>-</v>
      </c>
      <c r="E2492" s="1505">
        <f t="shared" si="389"/>
        <v>0</v>
      </c>
      <c r="F2492" s="1509">
        <f t="shared" si="384"/>
        <v>2.2390500000000002</v>
      </c>
      <c r="G2492" s="1509">
        <f t="shared" si="385"/>
        <v>2.2390500000000002</v>
      </c>
      <c r="H2492" s="1509">
        <f t="shared" si="386"/>
        <v>0</v>
      </c>
      <c r="I2492" s="1509">
        <v>0</v>
      </c>
      <c r="J2492" s="1509">
        <v>0</v>
      </c>
      <c r="K2492" s="1509"/>
      <c r="L2492" s="1509"/>
      <c r="M2492" s="1509">
        <f t="shared" si="387"/>
        <v>0</v>
      </c>
      <c r="N2492" s="1509">
        <f t="shared" si="388"/>
        <v>0</v>
      </c>
    </row>
    <row r="2493" spans="1:14" customFormat="1" ht="30.75" customHeight="1" outlineLevel="1" x14ac:dyDescent="0.25">
      <c r="A2493" s="1511">
        <f t="shared" si="389"/>
        <v>2</v>
      </c>
      <c r="B2493" s="1515" t="str">
        <f t="shared" si="389"/>
        <v xml:space="preserve">Procurement of electro-machanical vibrating feeder at CHP NPTPS 6,7
</v>
      </c>
      <c r="C2493" s="1396" t="str">
        <f t="shared" si="389"/>
        <v>N.A.</v>
      </c>
      <c r="D2493" s="1378" t="str">
        <f t="shared" si="389"/>
        <v>-</v>
      </c>
      <c r="E2493" s="1505">
        <f t="shared" si="389"/>
        <v>0</v>
      </c>
      <c r="F2493" s="1509">
        <f t="shared" si="384"/>
        <v>0.89292959999999999</v>
      </c>
      <c r="G2493" s="1509">
        <f t="shared" si="385"/>
        <v>0.89292959999999999</v>
      </c>
      <c r="H2493" s="1509">
        <f t="shared" si="386"/>
        <v>0</v>
      </c>
      <c r="I2493" s="1509">
        <v>0</v>
      </c>
      <c r="J2493" s="1509">
        <v>0</v>
      </c>
      <c r="K2493" s="1509"/>
      <c r="L2493" s="1509"/>
      <c r="M2493" s="1509">
        <f t="shared" si="387"/>
        <v>0</v>
      </c>
      <c r="N2493" s="1509">
        <f t="shared" si="388"/>
        <v>0</v>
      </c>
    </row>
    <row r="2494" spans="1:14" customFormat="1" ht="43.5" outlineLevel="1" x14ac:dyDescent="0.25">
      <c r="A2494" s="1511">
        <f t="shared" si="389"/>
        <v>3</v>
      </c>
      <c r="B2494" s="1515" t="str">
        <f t="shared" si="389"/>
        <v xml:space="preserve">erection, commissioning of 6.6kv/33kv switch yard &amp; shifting of 2x7.5 MVA 6.6/33KV transformer from 210 MW to proposed switch yard for 33KV supply feeder to Khadka naikota at NPTPS Parli-V. </v>
      </c>
      <c r="C2494" s="1396" t="str">
        <f t="shared" si="389"/>
        <v>N.A.</v>
      </c>
      <c r="D2494" s="1378" t="str">
        <f t="shared" si="389"/>
        <v>-</v>
      </c>
      <c r="E2494" s="1505">
        <f t="shared" si="389"/>
        <v>0</v>
      </c>
      <c r="F2494" s="1509">
        <f t="shared" si="384"/>
        <v>2.1992632800000003</v>
      </c>
      <c r="G2494" s="1509">
        <f t="shared" si="385"/>
        <v>2.1992632800000003</v>
      </c>
      <c r="H2494" s="1509">
        <f t="shared" si="386"/>
        <v>0</v>
      </c>
      <c r="I2494" s="1509">
        <v>0</v>
      </c>
      <c r="J2494" s="1509">
        <v>0</v>
      </c>
      <c r="K2494" s="1509"/>
      <c r="L2494" s="1509"/>
      <c r="M2494" s="1509">
        <f t="shared" si="387"/>
        <v>0</v>
      </c>
      <c r="N2494" s="1509">
        <f t="shared" si="388"/>
        <v>0</v>
      </c>
    </row>
    <row r="2495" spans="1:14" customFormat="1" outlineLevel="1" x14ac:dyDescent="0.25">
      <c r="A2495" s="1511">
        <f t="shared" si="389"/>
        <v>4</v>
      </c>
      <c r="B2495" s="1515" t="str">
        <f t="shared" si="389"/>
        <v>IDC</v>
      </c>
      <c r="C2495" s="1396">
        <f t="shared" si="389"/>
        <v>0</v>
      </c>
      <c r="D2495" s="1378" t="str">
        <f t="shared" si="389"/>
        <v>-</v>
      </c>
      <c r="E2495" s="1505">
        <f t="shared" si="389"/>
        <v>0</v>
      </c>
      <c r="F2495" s="1509">
        <f t="shared" si="384"/>
        <v>7.2220000000000001E-3</v>
      </c>
      <c r="G2495" s="1509">
        <f t="shared" si="385"/>
        <v>7.2220000000000001E-3</v>
      </c>
      <c r="H2495" s="1509">
        <f t="shared" si="386"/>
        <v>0</v>
      </c>
      <c r="I2495" s="1509">
        <v>0</v>
      </c>
      <c r="J2495" s="1509">
        <v>0</v>
      </c>
      <c r="K2495" s="1509"/>
      <c r="L2495" s="1509"/>
      <c r="M2495" s="1509">
        <f t="shared" si="387"/>
        <v>0</v>
      </c>
      <c r="N2495" s="1509">
        <f t="shared" si="388"/>
        <v>0</v>
      </c>
    </row>
    <row r="2496" spans="1:14" customFormat="1" ht="43.5" outlineLevel="1" x14ac:dyDescent="0.25">
      <c r="A2496" s="1511">
        <f t="shared" si="389"/>
        <v>5</v>
      </c>
      <c r="B2496" s="1515" t="str">
        <f t="shared" si="389"/>
        <v xml:space="preserve"> Non-DPR scheme "Design, Supply, Installation &amp; Commissioning of High performance Energy Chain System for Stacker reclaimer, Shuttle Conveyors at U-6/7 CHP NPTPS – PARLI-Vaijnath.”</v>
      </c>
      <c r="C2496" s="1396" t="str">
        <f t="shared" si="389"/>
        <v>N.A.</v>
      </c>
      <c r="D2496" s="1378" t="str">
        <f t="shared" si="389"/>
        <v>-</v>
      </c>
      <c r="E2496" s="1505">
        <f t="shared" si="389"/>
        <v>0</v>
      </c>
      <c r="F2496" s="1509">
        <f t="shared" si="384"/>
        <v>2.8638599999999999</v>
      </c>
      <c r="G2496" s="1509">
        <f t="shared" si="385"/>
        <v>2.8638599999999999</v>
      </c>
      <c r="H2496" s="1509">
        <f t="shared" si="386"/>
        <v>0</v>
      </c>
      <c r="I2496" s="1509">
        <v>0</v>
      </c>
      <c r="J2496" s="1509">
        <v>0</v>
      </c>
      <c r="K2496" s="1509"/>
      <c r="L2496" s="1509"/>
      <c r="M2496" s="1509">
        <f t="shared" si="387"/>
        <v>0</v>
      </c>
      <c r="N2496" s="1509">
        <f t="shared" si="388"/>
        <v>0</v>
      </c>
    </row>
    <row r="2497" spans="1:16" customFormat="1" ht="29" outlineLevel="1" x14ac:dyDescent="0.25">
      <c r="A2497" s="1511">
        <f t="shared" si="389"/>
        <v>6</v>
      </c>
      <c r="B2497" s="1515" t="str">
        <f t="shared" si="389"/>
        <v>Refurbishment of Existing M/s Atlas Copco Make Air Compressors at Unit 7 Parli TPS</v>
      </c>
      <c r="C2497" s="1396" t="str">
        <f t="shared" si="389"/>
        <v>N.A.</v>
      </c>
      <c r="D2497" s="1378" t="str">
        <f t="shared" si="389"/>
        <v>-</v>
      </c>
      <c r="E2497" s="1505">
        <f t="shared" si="389"/>
        <v>0</v>
      </c>
      <c r="F2497" s="1509">
        <f t="shared" si="384"/>
        <v>2.9532406999999998</v>
      </c>
      <c r="G2497" s="1509">
        <f t="shared" si="385"/>
        <v>2.9532406999999998</v>
      </c>
      <c r="H2497" s="1509">
        <f t="shared" si="386"/>
        <v>0</v>
      </c>
      <c r="I2497" s="1509">
        <v>0</v>
      </c>
      <c r="J2497" s="1509">
        <v>0</v>
      </c>
      <c r="K2497" s="1509"/>
      <c r="L2497" s="1509"/>
      <c r="M2497" s="1509">
        <f t="shared" si="387"/>
        <v>0</v>
      </c>
      <c r="N2497" s="1509">
        <f t="shared" si="388"/>
        <v>0</v>
      </c>
    </row>
    <row r="2498" spans="1:16" customFormat="1" outlineLevel="1" x14ac:dyDescent="0.25">
      <c r="A2498" s="1511">
        <f t="shared" si="389"/>
        <v>7</v>
      </c>
      <c r="B2498" s="1515" t="str">
        <f t="shared" si="389"/>
        <v>Procurement of Fire Extinguisher</v>
      </c>
      <c r="C2498" s="1396" t="str">
        <f t="shared" si="389"/>
        <v>N.A.</v>
      </c>
      <c r="D2498" s="1378" t="str">
        <f t="shared" si="389"/>
        <v>-</v>
      </c>
      <c r="E2498" s="1505">
        <f t="shared" si="389"/>
        <v>0</v>
      </c>
      <c r="F2498" s="1509">
        <f t="shared" si="384"/>
        <v>0.68</v>
      </c>
      <c r="G2498" s="1509">
        <f t="shared" si="385"/>
        <v>0.67830000000000001</v>
      </c>
      <c r="H2498" s="1509">
        <f t="shared" si="386"/>
        <v>1.7000000000000348E-3</v>
      </c>
      <c r="I2498" s="1509">
        <v>0</v>
      </c>
      <c r="J2498" s="1509">
        <v>0</v>
      </c>
      <c r="K2498" s="1509"/>
      <c r="L2498" s="1509"/>
      <c r="M2498" s="1509">
        <f t="shared" si="387"/>
        <v>0</v>
      </c>
      <c r="N2498" s="1509">
        <f t="shared" si="388"/>
        <v>1.7000000000000348E-3</v>
      </c>
    </row>
    <row r="2499" spans="1:16" customFormat="1" ht="29" outlineLevel="1" x14ac:dyDescent="0.25">
      <c r="A2499" s="1511">
        <f t="shared" si="389"/>
        <v>8</v>
      </c>
      <c r="B2499" s="1515" t="str">
        <f t="shared" si="389"/>
        <v>Non DPR For Supply, Erection &amp; Commissioning, Testing of Coal Flow Management system for Coal Bunker at CHP NPTPS U-6.</v>
      </c>
      <c r="C2499" s="1396" t="str">
        <f t="shared" si="389"/>
        <v>N.A.</v>
      </c>
      <c r="D2499" s="1378" t="str">
        <f t="shared" si="389"/>
        <v>-</v>
      </c>
      <c r="E2499" s="1505">
        <f t="shared" si="389"/>
        <v>0</v>
      </c>
      <c r="F2499" s="1509">
        <f t="shared" si="384"/>
        <v>2.972</v>
      </c>
      <c r="G2499" s="1509">
        <f t="shared" si="385"/>
        <v>2.972</v>
      </c>
      <c r="H2499" s="1509">
        <f t="shared" si="386"/>
        <v>0</v>
      </c>
      <c r="I2499" s="1509">
        <v>0</v>
      </c>
      <c r="J2499" s="1509">
        <v>0</v>
      </c>
      <c r="K2499" s="1509"/>
      <c r="L2499" s="1509"/>
      <c r="M2499" s="1509">
        <f t="shared" si="387"/>
        <v>0</v>
      </c>
      <c r="N2499" s="1509">
        <f t="shared" si="388"/>
        <v>0</v>
      </c>
    </row>
    <row r="2500" spans="1:16" customFormat="1" ht="43.5" outlineLevel="1" x14ac:dyDescent="0.25">
      <c r="A2500" s="1511">
        <f t="shared" si="389"/>
        <v>9</v>
      </c>
      <c r="B2500" s="1515" t="str">
        <f t="shared" si="389"/>
        <v xml:space="preserve">Non DPR for Supply &amp; Installation of Coal Handling Plant critical equipment Major Spares like Wagon Tippler and Conveyors at CHP U6/7 ,T.P.S.Parli. </v>
      </c>
      <c r="C2500" s="1396" t="str">
        <f t="shared" si="389"/>
        <v>N.A.</v>
      </c>
      <c r="D2500" s="1378" t="str">
        <f t="shared" si="389"/>
        <v>-</v>
      </c>
      <c r="E2500" s="1505">
        <f t="shared" si="389"/>
        <v>0</v>
      </c>
      <c r="F2500" s="1509">
        <f t="shared" si="384"/>
        <v>2.79</v>
      </c>
      <c r="G2500" s="1509">
        <f t="shared" si="385"/>
        <v>2.79</v>
      </c>
      <c r="H2500" s="1509">
        <f t="shared" si="386"/>
        <v>0</v>
      </c>
      <c r="I2500" s="1509">
        <v>0</v>
      </c>
      <c r="J2500" s="1509">
        <v>0</v>
      </c>
      <c r="K2500" s="1509"/>
      <c r="L2500" s="1509"/>
      <c r="M2500" s="1509">
        <f t="shared" si="387"/>
        <v>0</v>
      </c>
      <c r="N2500" s="1509">
        <f t="shared" si="388"/>
        <v>0</v>
      </c>
    </row>
    <row r="2501" spans="1:16" customFormat="1" ht="43.5" outlineLevel="1" x14ac:dyDescent="0.25">
      <c r="A2501" s="1511">
        <f t="shared" si="389"/>
        <v>10</v>
      </c>
      <c r="B2501" s="1515" t="str">
        <f t="shared" si="389"/>
        <v>Design,Manufacture ,Supply &amp; Installation of Banana pattern and Modular chutes for various Conveyor discharge areas at CHP U 6/7,TPS Parli.</v>
      </c>
      <c r="C2501" s="1396" t="str">
        <f t="shared" si="389"/>
        <v>N.A.</v>
      </c>
      <c r="D2501" s="1378" t="str">
        <f t="shared" si="389"/>
        <v>-</v>
      </c>
      <c r="E2501" s="1505">
        <f t="shared" si="389"/>
        <v>0</v>
      </c>
      <c r="F2501" s="1509">
        <f t="shared" si="384"/>
        <v>2.94</v>
      </c>
      <c r="G2501" s="1509">
        <f t="shared" si="385"/>
        <v>2.94</v>
      </c>
      <c r="H2501" s="1509">
        <f t="shared" si="386"/>
        <v>0</v>
      </c>
      <c r="I2501" s="1509">
        <v>0</v>
      </c>
      <c r="J2501" s="1509">
        <v>0</v>
      </c>
      <c r="K2501" s="1509"/>
      <c r="L2501" s="1509"/>
      <c r="M2501" s="1509">
        <f t="shared" si="387"/>
        <v>0</v>
      </c>
      <c r="N2501" s="1509">
        <f t="shared" si="388"/>
        <v>0</v>
      </c>
    </row>
    <row r="2502" spans="1:16" customFormat="1" outlineLevel="1" x14ac:dyDescent="0.25">
      <c r="A2502" s="1511">
        <f t="shared" si="389"/>
        <v>11</v>
      </c>
      <c r="B2502" s="1515" t="str">
        <f t="shared" si="389"/>
        <v>Refrigeration Compressed Air Dryer at TM &amp; AHP, U#6,7 Parli TPS</v>
      </c>
      <c r="C2502" s="1396">
        <f t="shared" si="389"/>
        <v>0</v>
      </c>
      <c r="D2502" s="1378" t="str">
        <f t="shared" si="389"/>
        <v>-</v>
      </c>
      <c r="E2502" s="1505">
        <f t="shared" si="389"/>
        <v>0</v>
      </c>
      <c r="F2502" s="1509">
        <f t="shared" si="384"/>
        <v>1.57</v>
      </c>
      <c r="G2502" s="1509">
        <f t="shared" si="385"/>
        <v>1.57</v>
      </c>
      <c r="H2502" s="1509">
        <f t="shared" si="386"/>
        <v>0</v>
      </c>
      <c r="I2502" s="1509">
        <v>0</v>
      </c>
      <c r="J2502" s="1509">
        <v>0</v>
      </c>
      <c r="K2502" s="1509"/>
      <c r="L2502" s="1509"/>
      <c r="M2502" s="1509">
        <f t="shared" si="387"/>
        <v>0</v>
      </c>
      <c r="N2502" s="1509">
        <f t="shared" si="388"/>
        <v>0</v>
      </c>
    </row>
    <row r="2503" spans="1:16" customFormat="1" ht="15" outlineLevel="1" thickBot="1" x14ac:dyDescent="0.3">
      <c r="A2503" s="1511">
        <f t="shared" si="389"/>
        <v>12</v>
      </c>
      <c r="B2503" s="1515" t="str">
        <f t="shared" si="389"/>
        <v>General Asset</v>
      </c>
      <c r="C2503" s="1396">
        <f t="shared" si="389"/>
        <v>0</v>
      </c>
      <c r="D2503" s="1378" t="str">
        <f t="shared" si="389"/>
        <v>-</v>
      </c>
      <c r="E2503" s="1505">
        <f t="shared" si="389"/>
        <v>0</v>
      </c>
      <c r="F2503" s="1509">
        <f t="shared" si="384"/>
        <v>4.3893938489999993</v>
      </c>
      <c r="G2503" s="1509">
        <f t="shared" si="385"/>
        <v>4.2254596690000001</v>
      </c>
      <c r="H2503" s="1509">
        <f t="shared" si="386"/>
        <v>0.16393417999999915</v>
      </c>
      <c r="I2503" s="1509">
        <v>0.31</v>
      </c>
      <c r="J2503" s="1509">
        <v>0.31</v>
      </c>
      <c r="K2503" s="1509"/>
      <c r="L2503" s="1509"/>
      <c r="M2503" s="1509">
        <f t="shared" si="387"/>
        <v>0.31</v>
      </c>
      <c r="N2503" s="1509">
        <f t="shared" si="388"/>
        <v>0.16393417999999915</v>
      </c>
    </row>
    <row r="2504" spans="1:16" ht="15" thickBot="1" x14ac:dyDescent="0.3">
      <c r="A2504" s="1454"/>
      <c r="B2504" s="1455" t="str">
        <f>B2147</f>
        <v>Total</v>
      </c>
      <c r="C2504" s="1456"/>
      <c r="D2504" s="1457"/>
      <c r="E2504" s="1517"/>
      <c r="F2504" s="1517">
        <f>SUM(F2152:F2503)</f>
        <v>1991.133957749</v>
      </c>
      <c r="G2504" s="1517">
        <f t="shared" ref="G2504:N2504" si="390">SUM(G2152:G2503)</f>
        <v>1577.9841626889997</v>
      </c>
      <c r="H2504" s="1517">
        <f t="shared" si="390"/>
        <v>413.14979506000003</v>
      </c>
      <c r="I2504" s="1517">
        <f t="shared" si="390"/>
        <v>237.61</v>
      </c>
      <c r="J2504" s="1517">
        <f t="shared" si="390"/>
        <v>512.6099999999999</v>
      </c>
      <c r="K2504" s="1517">
        <f t="shared" si="390"/>
        <v>0</v>
      </c>
      <c r="L2504" s="1517">
        <f t="shared" si="390"/>
        <v>0</v>
      </c>
      <c r="M2504" s="1517">
        <f t="shared" si="390"/>
        <v>512.6099999999999</v>
      </c>
      <c r="N2504" s="1517">
        <f t="shared" si="390"/>
        <v>138.14979506</v>
      </c>
    </row>
    <row r="2506" spans="1:16" x14ac:dyDescent="0.25">
      <c r="A2506" s="1446"/>
      <c r="B2506" s="1447" t="s">
        <v>972</v>
      </c>
      <c r="C2506" s="1448"/>
      <c r="D2506" s="1449"/>
      <c r="E2506" s="1504"/>
      <c r="F2506" s="1504"/>
      <c r="G2506" s="1504"/>
      <c r="H2506" s="1504"/>
      <c r="I2506" s="1504"/>
      <c r="J2506" s="1504"/>
      <c r="K2506" s="1504"/>
      <c r="L2506" s="1504"/>
      <c r="M2506" s="1504"/>
      <c r="N2506" s="1504"/>
    </row>
    <row r="2507" spans="1:16" ht="18.5" outlineLevel="1" x14ac:dyDescent="0.25">
      <c r="A2507" s="1339" t="s">
        <v>171</v>
      </c>
      <c r="B2507" s="1339" t="s">
        <v>1575</v>
      </c>
      <c r="C2507" s="1448"/>
      <c r="D2507" s="1449"/>
      <c r="E2507" s="1504"/>
      <c r="F2507" s="1504"/>
      <c r="G2507" s="1504"/>
      <c r="H2507" s="1504"/>
      <c r="I2507" s="1504"/>
      <c r="J2507" s="1504"/>
      <c r="K2507" s="1504"/>
      <c r="L2507" s="1504"/>
      <c r="M2507" s="1504"/>
      <c r="N2507" s="1504"/>
    </row>
    <row r="2508" spans="1:16" outlineLevel="1" x14ac:dyDescent="0.25">
      <c r="A2508" s="1450"/>
      <c r="B2508" s="1450"/>
      <c r="C2508" s="1451"/>
      <c r="D2508" s="1452"/>
      <c r="E2508" s="1505"/>
      <c r="F2508" s="1505"/>
      <c r="G2508" s="1505"/>
      <c r="H2508" s="1505"/>
      <c r="I2508" s="1505"/>
      <c r="J2508" s="1505"/>
      <c r="K2508" s="1505"/>
      <c r="L2508" s="1505"/>
      <c r="M2508" s="1505"/>
      <c r="N2508" s="1505"/>
    </row>
    <row r="2509" spans="1:16" ht="43.5" outlineLevel="1" x14ac:dyDescent="0.25">
      <c r="A2509" s="1506">
        <f t="shared" ref="A2509:E2524" si="391">A2152</f>
        <v>6</v>
      </c>
      <c r="B2509" s="1507" t="str">
        <f t="shared" si="391"/>
        <v>Arrangement for permanent water supply scheme for Parli TPS from Majalgaon Dam through Majalgaon Lift Irrigation scheme (Loni / Savangi)</v>
      </c>
      <c r="C2509" s="1506" t="str">
        <f t="shared" si="391"/>
        <v>MERC/TECH 1/CAPEX/20122013/00500</v>
      </c>
      <c r="D2509" s="1508">
        <f t="shared" si="391"/>
        <v>41421</v>
      </c>
      <c r="E2509" s="1509">
        <f t="shared" si="391"/>
        <v>199.86</v>
      </c>
      <c r="F2509" s="1509">
        <f t="shared" ref="F2509:F2572" si="392">F2152+I2152</f>
        <v>142</v>
      </c>
      <c r="G2509" s="1509">
        <f t="shared" ref="G2509:G2572" si="393">G2152+M2152</f>
        <v>0</v>
      </c>
      <c r="H2509" s="1509">
        <f>F2509-G2509</f>
        <v>142</v>
      </c>
      <c r="I2509" s="1509">
        <v>0</v>
      </c>
      <c r="J2509" s="1509">
        <v>0</v>
      </c>
      <c r="K2509" s="1509"/>
      <c r="L2509" s="1509"/>
      <c r="M2509" s="1509">
        <f>SUM(J2509:L2509)</f>
        <v>0</v>
      </c>
      <c r="N2509" s="1509">
        <f>H2509+I2509-M2509</f>
        <v>142</v>
      </c>
      <c r="O2509" s="1510">
        <f t="shared" ref="O2509:O2561" si="394">MAX(0,IF(M2509=0,0,IF(G2509+M2509&lt;E2509,M2509,E2509-G2509)))</f>
        <v>0</v>
      </c>
      <c r="P2509" s="1453">
        <f t="shared" ref="P2509:P2561" si="395">M2509-O2509</f>
        <v>0</v>
      </c>
    </row>
    <row r="2510" spans="1:16" ht="29" outlineLevel="1" x14ac:dyDescent="0.25">
      <c r="A2510" s="1506">
        <f t="shared" si="391"/>
        <v>9</v>
      </c>
      <c r="B2510" s="1507" t="str">
        <f t="shared" si="391"/>
        <v>Procurement of 250 MW spare HPT Module, IPT Module &amp; LPT Rotor of New Parli TPS</v>
      </c>
      <c r="C2510" s="1506" t="str">
        <f t="shared" si="391"/>
        <v>MERC/TECH 1/CAPEX/20142015/00362</v>
      </c>
      <c r="D2510" s="1508">
        <f t="shared" si="391"/>
        <v>41779</v>
      </c>
      <c r="E2510" s="1509">
        <f t="shared" si="391"/>
        <v>22.059060828</v>
      </c>
      <c r="F2510" s="1509">
        <f t="shared" si="392"/>
        <v>0</v>
      </c>
      <c r="G2510" s="1509">
        <f t="shared" si="393"/>
        <v>0</v>
      </c>
      <c r="H2510" s="1509">
        <f t="shared" ref="H2510:H2573" si="396">F2510-G2510</f>
        <v>0</v>
      </c>
      <c r="I2510" s="1509">
        <v>0</v>
      </c>
      <c r="J2510" s="1509">
        <v>0</v>
      </c>
      <c r="K2510" s="1509"/>
      <c r="L2510" s="1509"/>
      <c r="M2510" s="1509">
        <f t="shared" ref="M2510:M2573" si="397">SUM(J2510:L2510)</f>
        <v>0</v>
      </c>
      <c r="N2510" s="1509">
        <f t="shared" ref="N2510:N2573" si="398">H2510+I2510-M2510</f>
        <v>0</v>
      </c>
      <c r="O2510" s="1510">
        <f t="shared" si="394"/>
        <v>0</v>
      </c>
      <c r="P2510" s="1453">
        <f t="shared" si="395"/>
        <v>0</v>
      </c>
    </row>
    <row r="2511" spans="1:16" outlineLevel="1" x14ac:dyDescent="0.25">
      <c r="A2511" s="1511">
        <f t="shared" si="391"/>
        <v>9.1</v>
      </c>
      <c r="B2511" s="1512" t="str">
        <f t="shared" si="391"/>
        <v>HP Module</v>
      </c>
      <c r="C2511" s="1511" t="str">
        <f t="shared" si="391"/>
        <v>MERC/TECH 1/CAPEX/20142015/00362</v>
      </c>
      <c r="D2511" s="1378">
        <f t="shared" si="391"/>
        <v>41779</v>
      </c>
      <c r="E2511" s="1513">
        <f t="shared" si="391"/>
        <v>22.059060828</v>
      </c>
      <c r="F2511" s="1509">
        <f t="shared" si="392"/>
        <v>21.53</v>
      </c>
      <c r="G2511" s="1509">
        <f t="shared" si="393"/>
        <v>21.53</v>
      </c>
      <c r="H2511" s="1509">
        <f t="shared" si="396"/>
        <v>0</v>
      </c>
      <c r="I2511" s="1509">
        <v>0</v>
      </c>
      <c r="J2511" s="1509">
        <v>0</v>
      </c>
      <c r="K2511" s="1509"/>
      <c r="L2511" s="1509"/>
      <c r="M2511" s="1509">
        <f t="shared" si="397"/>
        <v>0</v>
      </c>
      <c r="N2511" s="1509">
        <f t="shared" si="398"/>
        <v>0</v>
      </c>
      <c r="O2511" s="1510">
        <f t="shared" si="394"/>
        <v>0</v>
      </c>
      <c r="P2511" s="1453">
        <f t="shared" si="395"/>
        <v>0</v>
      </c>
    </row>
    <row r="2512" spans="1:16" outlineLevel="1" x14ac:dyDescent="0.25">
      <c r="A2512" s="1511">
        <f t="shared" si="391"/>
        <v>9.1999999999999993</v>
      </c>
      <c r="B2512" s="1512" t="str">
        <f t="shared" si="391"/>
        <v>IP Module</v>
      </c>
      <c r="C2512" s="1511" t="str">
        <f t="shared" si="391"/>
        <v>MERC/TECH 1/CAPEX/20142015/00362</v>
      </c>
      <c r="D2512" s="1378">
        <f t="shared" si="391"/>
        <v>41779</v>
      </c>
      <c r="E2512" s="1513">
        <f t="shared" si="391"/>
        <v>21.359824199999998</v>
      </c>
      <c r="F2512" s="1509">
        <f t="shared" si="392"/>
        <v>20.62</v>
      </c>
      <c r="G2512" s="1509">
        <f t="shared" si="393"/>
        <v>20.62</v>
      </c>
      <c r="H2512" s="1509">
        <f t="shared" si="396"/>
        <v>0</v>
      </c>
      <c r="I2512" s="1509">
        <v>0</v>
      </c>
      <c r="J2512" s="1509">
        <v>0</v>
      </c>
      <c r="K2512" s="1509"/>
      <c r="L2512" s="1509"/>
      <c r="M2512" s="1509">
        <f t="shared" si="397"/>
        <v>0</v>
      </c>
      <c r="N2512" s="1509">
        <f t="shared" si="398"/>
        <v>0</v>
      </c>
      <c r="O2512" s="1510">
        <f t="shared" si="394"/>
        <v>0</v>
      </c>
      <c r="P2512" s="1453">
        <f t="shared" si="395"/>
        <v>0</v>
      </c>
    </row>
    <row r="2513" spans="1:16" outlineLevel="1" x14ac:dyDescent="0.25">
      <c r="A2513" s="1511">
        <f t="shared" si="391"/>
        <v>9.3000000000000007</v>
      </c>
      <c r="B2513" s="1512" t="str">
        <f t="shared" si="391"/>
        <v>LP Rotor</v>
      </c>
      <c r="C2513" s="1511" t="str">
        <f t="shared" si="391"/>
        <v>MERC/TECH 1/CAPEX/20142015/00362</v>
      </c>
      <c r="D2513" s="1378">
        <f t="shared" si="391"/>
        <v>41779</v>
      </c>
      <c r="E2513" s="1513">
        <f t="shared" si="391"/>
        <v>38.724661685000001</v>
      </c>
      <c r="F2513" s="1509">
        <f t="shared" si="392"/>
        <v>38.72</v>
      </c>
      <c r="G2513" s="1509">
        <f t="shared" si="393"/>
        <v>38.72</v>
      </c>
      <c r="H2513" s="1509">
        <f t="shared" si="396"/>
        <v>0</v>
      </c>
      <c r="I2513" s="1509">
        <v>0</v>
      </c>
      <c r="J2513" s="1509">
        <v>0</v>
      </c>
      <c r="K2513" s="1509"/>
      <c r="L2513" s="1509"/>
      <c r="M2513" s="1509">
        <f t="shared" si="397"/>
        <v>0</v>
      </c>
      <c r="N2513" s="1509">
        <f t="shared" si="398"/>
        <v>0</v>
      </c>
      <c r="O2513" s="1510">
        <f t="shared" si="394"/>
        <v>0</v>
      </c>
      <c r="P2513" s="1453">
        <f t="shared" si="395"/>
        <v>0</v>
      </c>
    </row>
    <row r="2514" spans="1:16" outlineLevel="1" x14ac:dyDescent="0.25">
      <c r="A2514" s="1511">
        <f t="shared" si="391"/>
        <v>0</v>
      </c>
      <c r="B2514" s="1512" t="str">
        <f t="shared" si="391"/>
        <v>IDC</v>
      </c>
      <c r="C2514" s="1511" t="str">
        <f t="shared" si="391"/>
        <v>MERC/TECH 1/CAPEX/20142015/00362</v>
      </c>
      <c r="D2514" s="1378">
        <f t="shared" si="391"/>
        <v>41779</v>
      </c>
      <c r="E2514" s="1513">
        <f t="shared" si="391"/>
        <v>0</v>
      </c>
      <c r="F2514" s="1509">
        <f t="shared" si="392"/>
        <v>0</v>
      </c>
      <c r="G2514" s="1509">
        <f t="shared" si="393"/>
        <v>0</v>
      </c>
      <c r="H2514" s="1509">
        <f t="shared" si="396"/>
        <v>0</v>
      </c>
      <c r="I2514" s="1509">
        <v>0</v>
      </c>
      <c r="J2514" s="1509">
        <v>0</v>
      </c>
      <c r="K2514" s="1509"/>
      <c r="L2514" s="1509"/>
      <c r="M2514" s="1509">
        <f t="shared" si="397"/>
        <v>0</v>
      </c>
      <c r="N2514" s="1509">
        <f t="shared" si="398"/>
        <v>0</v>
      </c>
      <c r="O2514" s="1510">
        <f t="shared" si="394"/>
        <v>0</v>
      </c>
      <c r="P2514" s="1453">
        <f t="shared" si="395"/>
        <v>0</v>
      </c>
    </row>
    <row r="2515" spans="1:16" ht="29" outlineLevel="1" x14ac:dyDescent="0.25">
      <c r="A2515" s="1506">
        <f t="shared" si="391"/>
        <v>10</v>
      </c>
      <c r="B2515" s="1507" t="str">
        <f t="shared" si="391"/>
        <v xml:space="preserve">Procurement of 315 MVA Spare GTR for 250 MW sets at New Parli &amp; New Paras TPS </v>
      </c>
      <c r="C2515" s="1506" t="str">
        <f t="shared" si="391"/>
        <v>MERC/TECH 1/CAPEX/20142015/001</v>
      </c>
      <c r="D2515" s="1508">
        <f t="shared" si="391"/>
        <v>41913</v>
      </c>
      <c r="E2515" s="1509">
        <f t="shared" si="391"/>
        <v>11.32</v>
      </c>
      <c r="F2515" s="1509">
        <f t="shared" si="392"/>
        <v>0</v>
      </c>
      <c r="G2515" s="1509">
        <f t="shared" si="393"/>
        <v>0</v>
      </c>
      <c r="H2515" s="1509">
        <f t="shared" si="396"/>
        <v>0</v>
      </c>
      <c r="I2515" s="1509">
        <v>0</v>
      </c>
      <c r="J2515" s="1509">
        <v>0</v>
      </c>
      <c r="K2515" s="1509"/>
      <c r="L2515" s="1509"/>
      <c r="M2515" s="1509">
        <f t="shared" si="397"/>
        <v>0</v>
      </c>
      <c r="N2515" s="1509">
        <f t="shared" si="398"/>
        <v>0</v>
      </c>
      <c r="O2515" s="1510">
        <f t="shared" si="394"/>
        <v>0</v>
      </c>
      <c r="P2515" s="1453">
        <f t="shared" si="395"/>
        <v>0</v>
      </c>
    </row>
    <row r="2516" spans="1:16" outlineLevel="1" x14ac:dyDescent="0.25">
      <c r="A2516" s="1511">
        <f t="shared" si="391"/>
        <v>10.1</v>
      </c>
      <c r="B2516" s="1512" t="str">
        <f t="shared" si="391"/>
        <v>Procurement of 250 MVA Spare GTR</v>
      </c>
      <c r="C2516" s="1511" t="str">
        <f t="shared" si="391"/>
        <v>MERC/TECH 1/CAPEX/20142015/001</v>
      </c>
      <c r="D2516" s="1378">
        <f t="shared" si="391"/>
        <v>41913</v>
      </c>
      <c r="E2516" s="1513">
        <f t="shared" si="391"/>
        <v>11.32</v>
      </c>
      <c r="F2516" s="1509">
        <f t="shared" si="392"/>
        <v>13.4</v>
      </c>
      <c r="G2516" s="1509">
        <f t="shared" si="393"/>
        <v>13.4</v>
      </c>
      <c r="H2516" s="1509">
        <f t="shared" si="396"/>
        <v>0</v>
      </c>
      <c r="I2516" s="1509">
        <v>0</v>
      </c>
      <c r="J2516" s="1509">
        <v>0</v>
      </c>
      <c r="K2516" s="1509"/>
      <c r="L2516" s="1509"/>
      <c r="M2516" s="1509">
        <f t="shared" si="397"/>
        <v>0</v>
      </c>
      <c r="N2516" s="1509">
        <f t="shared" si="398"/>
        <v>0</v>
      </c>
      <c r="O2516" s="1510">
        <f t="shared" si="394"/>
        <v>0</v>
      </c>
      <c r="P2516" s="1453">
        <f t="shared" si="395"/>
        <v>0</v>
      </c>
    </row>
    <row r="2517" spans="1:16" ht="29" outlineLevel="1" x14ac:dyDescent="0.25">
      <c r="A2517" s="1506">
        <f t="shared" si="391"/>
        <v>13</v>
      </c>
      <c r="B2517" s="1507" t="str">
        <f t="shared" si="391"/>
        <v>Construction of Concrete Roads &amp; Spare Generator Transformer Foundation at Parli TPS</v>
      </c>
      <c r="C2517" s="1506" t="str">
        <f t="shared" si="391"/>
        <v>MERC/CAPEX/20162017/01172</v>
      </c>
      <c r="D2517" s="1508">
        <f t="shared" si="391"/>
        <v>42713</v>
      </c>
      <c r="E2517" s="1509">
        <f t="shared" si="391"/>
        <v>16.850000000000001</v>
      </c>
      <c r="F2517" s="1509">
        <f t="shared" si="392"/>
        <v>0</v>
      </c>
      <c r="G2517" s="1509">
        <f t="shared" si="393"/>
        <v>0</v>
      </c>
      <c r="H2517" s="1509">
        <f t="shared" si="396"/>
        <v>0</v>
      </c>
      <c r="I2517" s="1509">
        <v>0</v>
      </c>
      <c r="J2517" s="1509">
        <v>0</v>
      </c>
      <c r="K2517" s="1509"/>
      <c r="L2517" s="1509"/>
      <c r="M2517" s="1509">
        <f t="shared" si="397"/>
        <v>0</v>
      </c>
      <c r="N2517" s="1509">
        <f t="shared" si="398"/>
        <v>0</v>
      </c>
      <c r="O2517" s="1510">
        <f t="shared" si="394"/>
        <v>0</v>
      </c>
      <c r="P2517" s="1453">
        <f t="shared" si="395"/>
        <v>0</v>
      </c>
    </row>
    <row r="2518" spans="1:16" ht="29" outlineLevel="1" x14ac:dyDescent="0.25">
      <c r="A2518" s="1511">
        <f t="shared" si="391"/>
        <v>13.1</v>
      </c>
      <c r="B2518" s="1512" t="str">
        <f t="shared" si="391"/>
        <v>Construction of concrete road from Gangakhed road to entrance of unit no.6,7 at NPTPS Parli V.</v>
      </c>
      <c r="C2518" s="1511" t="str">
        <f t="shared" si="391"/>
        <v>MERC/CAPEX/20162017/01172</v>
      </c>
      <c r="D2518" s="1378">
        <f t="shared" si="391"/>
        <v>42713</v>
      </c>
      <c r="E2518" s="1513">
        <f t="shared" si="391"/>
        <v>7.02</v>
      </c>
      <c r="F2518" s="1509">
        <f t="shared" si="392"/>
        <v>6.8551506</v>
      </c>
      <c r="G2518" s="1509">
        <f t="shared" si="393"/>
        <v>6.8551506</v>
      </c>
      <c r="H2518" s="1509">
        <f t="shared" si="396"/>
        <v>0</v>
      </c>
      <c r="I2518" s="1509">
        <v>0</v>
      </c>
      <c r="J2518" s="1509">
        <v>0</v>
      </c>
      <c r="K2518" s="1509"/>
      <c r="L2518" s="1509"/>
      <c r="M2518" s="1509">
        <f t="shared" si="397"/>
        <v>0</v>
      </c>
      <c r="N2518" s="1509">
        <f t="shared" si="398"/>
        <v>0</v>
      </c>
      <c r="O2518" s="1510">
        <f t="shared" si="394"/>
        <v>0</v>
      </c>
      <c r="P2518" s="1453">
        <f t="shared" si="395"/>
        <v>0</v>
      </c>
    </row>
    <row r="2519" spans="1:16" ht="29" outlineLevel="1" x14ac:dyDescent="0.25">
      <c r="A2519" s="1511">
        <f t="shared" si="391"/>
        <v>13.2</v>
      </c>
      <c r="B2519" s="1512" t="str">
        <f t="shared" si="391"/>
        <v>Construction of internal concrete roads within premises of Unit 6 and 7.</v>
      </c>
      <c r="C2519" s="1511" t="str">
        <f t="shared" si="391"/>
        <v>MERC/CAPEX/20162017/01172</v>
      </c>
      <c r="D2519" s="1378">
        <f t="shared" si="391"/>
        <v>42713</v>
      </c>
      <c r="E2519" s="1513">
        <f t="shared" si="391"/>
        <v>7.55</v>
      </c>
      <c r="F2519" s="1509">
        <f t="shared" si="392"/>
        <v>5.9636063540000004</v>
      </c>
      <c r="G2519" s="1509">
        <f t="shared" si="393"/>
        <v>5.9636063540000004</v>
      </c>
      <c r="H2519" s="1509">
        <f t="shared" si="396"/>
        <v>0</v>
      </c>
      <c r="I2519" s="1509">
        <v>0</v>
      </c>
      <c r="J2519" s="1509">
        <v>0</v>
      </c>
      <c r="K2519" s="1509"/>
      <c r="L2519" s="1509"/>
      <c r="M2519" s="1509">
        <f t="shared" si="397"/>
        <v>0</v>
      </c>
      <c r="N2519" s="1509">
        <f t="shared" si="398"/>
        <v>0</v>
      </c>
      <c r="O2519" s="1510">
        <f t="shared" si="394"/>
        <v>0</v>
      </c>
      <c r="P2519" s="1453">
        <f t="shared" si="395"/>
        <v>0</v>
      </c>
    </row>
    <row r="2520" spans="1:16" ht="29" outlineLevel="1" x14ac:dyDescent="0.25">
      <c r="A2520" s="1511">
        <f t="shared" si="391"/>
        <v>13.3</v>
      </c>
      <c r="B2520" s="1512" t="str">
        <f t="shared" si="391"/>
        <v>Construction of spare generator transformer foundation of Unit No. 6,7 at NPTPS Parli-V &amp; Paras TPS</v>
      </c>
      <c r="C2520" s="1511" t="str">
        <f t="shared" si="391"/>
        <v>MERC/CAPEX/20162017/01172</v>
      </c>
      <c r="D2520" s="1378">
        <f t="shared" si="391"/>
        <v>42713</v>
      </c>
      <c r="E2520" s="1513">
        <f t="shared" si="391"/>
        <v>1.48</v>
      </c>
      <c r="F2520" s="1509">
        <f t="shared" si="392"/>
        <v>1.2847999999999999</v>
      </c>
      <c r="G2520" s="1509">
        <f t="shared" si="393"/>
        <v>1.2847999999999999</v>
      </c>
      <c r="H2520" s="1509">
        <f t="shared" si="396"/>
        <v>0</v>
      </c>
      <c r="I2520" s="1509">
        <v>0</v>
      </c>
      <c r="J2520" s="1509">
        <v>0</v>
      </c>
      <c r="K2520" s="1509"/>
      <c r="L2520" s="1509"/>
      <c r="M2520" s="1509">
        <f t="shared" si="397"/>
        <v>0</v>
      </c>
      <c r="N2520" s="1509">
        <f t="shared" si="398"/>
        <v>0</v>
      </c>
      <c r="O2520" s="1510">
        <f t="shared" si="394"/>
        <v>0</v>
      </c>
      <c r="P2520" s="1453">
        <f t="shared" si="395"/>
        <v>0</v>
      </c>
    </row>
    <row r="2521" spans="1:16" outlineLevel="1" x14ac:dyDescent="0.25">
      <c r="A2521" s="1511">
        <f t="shared" si="391"/>
        <v>0</v>
      </c>
      <c r="B2521" s="1515" t="str">
        <f t="shared" si="391"/>
        <v>IDC</v>
      </c>
      <c r="C2521" s="1511" t="str">
        <f t="shared" si="391"/>
        <v>MERC/CAPEX/20162017/01172</v>
      </c>
      <c r="D2521" s="1378">
        <f t="shared" si="391"/>
        <v>42713</v>
      </c>
      <c r="E2521" s="1513">
        <f t="shared" si="391"/>
        <v>0.8</v>
      </c>
      <c r="F2521" s="1509">
        <f t="shared" si="392"/>
        <v>0</v>
      </c>
      <c r="G2521" s="1509">
        <f t="shared" si="393"/>
        <v>0</v>
      </c>
      <c r="H2521" s="1509">
        <f t="shared" si="396"/>
        <v>0</v>
      </c>
      <c r="I2521" s="1509">
        <v>0</v>
      </c>
      <c r="J2521" s="1509">
        <v>0</v>
      </c>
      <c r="K2521" s="1509"/>
      <c r="L2521" s="1509"/>
      <c r="M2521" s="1509">
        <f t="shared" si="397"/>
        <v>0</v>
      </c>
      <c r="N2521" s="1509">
        <f t="shared" si="398"/>
        <v>0</v>
      </c>
      <c r="O2521" s="1510">
        <f t="shared" si="394"/>
        <v>0</v>
      </c>
      <c r="P2521" s="1453">
        <f t="shared" si="395"/>
        <v>0</v>
      </c>
    </row>
    <row r="2522" spans="1:16" outlineLevel="1" x14ac:dyDescent="0.25">
      <c r="A2522" s="1506">
        <f t="shared" si="391"/>
        <v>14</v>
      </c>
      <c r="B2522" s="1507" t="str">
        <f t="shared" si="391"/>
        <v>Procurement of battery breakers and weigh bridge for Parli Unit 6 &amp; 7</v>
      </c>
      <c r="C2522" s="1506" t="str">
        <f t="shared" si="391"/>
        <v>MERC/CAPEX/20172018/4711</v>
      </c>
      <c r="D2522" s="1508">
        <f t="shared" si="391"/>
        <v>43055</v>
      </c>
      <c r="E2522" s="1509">
        <f t="shared" si="391"/>
        <v>18.279999999999998</v>
      </c>
      <c r="F2522" s="1509">
        <f t="shared" si="392"/>
        <v>0</v>
      </c>
      <c r="G2522" s="1509">
        <f t="shared" si="393"/>
        <v>0</v>
      </c>
      <c r="H2522" s="1509">
        <f t="shared" si="396"/>
        <v>0</v>
      </c>
      <c r="I2522" s="1509">
        <v>0</v>
      </c>
      <c r="J2522" s="1509">
        <v>0</v>
      </c>
      <c r="K2522" s="1509"/>
      <c r="L2522" s="1509"/>
      <c r="M2522" s="1509">
        <f t="shared" si="397"/>
        <v>0</v>
      </c>
      <c r="N2522" s="1509">
        <f t="shared" si="398"/>
        <v>0</v>
      </c>
      <c r="O2522" s="1510">
        <f t="shared" si="394"/>
        <v>0</v>
      </c>
      <c r="P2522" s="1453">
        <f t="shared" si="395"/>
        <v>0</v>
      </c>
    </row>
    <row r="2523" spans="1:16" ht="29" outlineLevel="1" x14ac:dyDescent="0.25">
      <c r="A2523" s="1511">
        <f t="shared" si="391"/>
        <v>14.1</v>
      </c>
      <c r="B2523" s="1512" t="str">
        <f t="shared" si="391"/>
        <v>Replacement of 220V station batteries, 360V UPS batteries, 24V DCS batteries , 360V UPS AHP batteries at U6 &amp; U7 NPTPS</v>
      </c>
      <c r="C2523" s="1511" t="str">
        <f t="shared" si="391"/>
        <v>MERC/CAPEX/20172018/4711</v>
      </c>
      <c r="D2523" s="1378">
        <f t="shared" si="391"/>
        <v>43055</v>
      </c>
      <c r="E2523" s="1513">
        <f t="shared" si="391"/>
        <v>15.08</v>
      </c>
      <c r="F2523" s="1509">
        <f t="shared" si="392"/>
        <v>14.4772699</v>
      </c>
      <c r="G2523" s="1509">
        <f t="shared" si="393"/>
        <v>14.4772699</v>
      </c>
      <c r="H2523" s="1509">
        <f t="shared" si="396"/>
        <v>0</v>
      </c>
      <c r="I2523" s="1509">
        <v>0</v>
      </c>
      <c r="J2523" s="1509">
        <v>0</v>
      </c>
      <c r="K2523" s="1509"/>
      <c r="L2523" s="1509"/>
      <c r="M2523" s="1509">
        <f t="shared" si="397"/>
        <v>0</v>
      </c>
      <c r="N2523" s="1509">
        <f t="shared" si="398"/>
        <v>0</v>
      </c>
      <c r="O2523" s="1510">
        <f t="shared" si="394"/>
        <v>0</v>
      </c>
      <c r="P2523" s="1453">
        <f t="shared" si="395"/>
        <v>0</v>
      </c>
    </row>
    <row r="2524" spans="1:16" outlineLevel="1" x14ac:dyDescent="0.25">
      <c r="A2524" s="1511">
        <f t="shared" si="391"/>
        <v>14.2</v>
      </c>
      <c r="B2524" s="1512" t="str">
        <f t="shared" si="391"/>
        <v>Installation of Pit less weighbridge of 100 MT capacity.</v>
      </c>
      <c r="C2524" s="1511" t="str">
        <f t="shared" si="391"/>
        <v>MERC/CAPEX/20172018/4711</v>
      </c>
      <c r="D2524" s="1378">
        <f t="shared" si="391"/>
        <v>43055</v>
      </c>
      <c r="E2524" s="1513">
        <f t="shared" si="391"/>
        <v>0.3</v>
      </c>
      <c r="F2524" s="1509">
        <f t="shared" si="392"/>
        <v>0.29736000000000001</v>
      </c>
      <c r="G2524" s="1509">
        <f t="shared" si="393"/>
        <v>0.29736000000000001</v>
      </c>
      <c r="H2524" s="1509">
        <f t="shared" si="396"/>
        <v>0</v>
      </c>
      <c r="I2524" s="1509">
        <v>0</v>
      </c>
      <c r="J2524" s="1509">
        <v>0</v>
      </c>
      <c r="K2524" s="1509"/>
      <c r="L2524" s="1509"/>
      <c r="M2524" s="1509">
        <f t="shared" si="397"/>
        <v>0</v>
      </c>
      <c r="N2524" s="1509">
        <f t="shared" si="398"/>
        <v>0</v>
      </c>
      <c r="O2524" s="1510">
        <f t="shared" si="394"/>
        <v>0</v>
      </c>
      <c r="P2524" s="1453">
        <f t="shared" si="395"/>
        <v>0</v>
      </c>
    </row>
    <row r="2525" spans="1:16" outlineLevel="1" x14ac:dyDescent="0.25">
      <c r="A2525" s="1511">
        <f t="shared" ref="A2525:E2540" si="399">A2168</f>
        <v>14.3</v>
      </c>
      <c r="B2525" s="1512" t="str">
        <f t="shared" si="399"/>
        <v>Procurement of SF 6 Generator Circuit Breaker Type- FKG1X</v>
      </c>
      <c r="C2525" s="1511" t="str">
        <f t="shared" si="399"/>
        <v>MERC/CAPEX/20172018/4711</v>
      </c>
      <c r="D2525" s="1378">
        <f t="shared" si="399"/>
        <v>43055</v>
      </c>
      <c r="E2525" s="1513">
        <f t="shared" si="399"/>
        <v>2.46</v>
      </c>
      <c r="F2525" s="1509">
        <f t="shared" si="392"/>
        <v>2.46</v>
      </c>
      <c r="G2525" s="1509">
        <f t="shared" si="393"/>
        <v>2.46</v>
      </c>
      <c r="H2525" s="1509">
        <f t="shared" si="396"/>
        <v>0</v>
      </c>
      <c r="I2525" s="1509">
        <v>0</v>
      </c>
      <c r="J2525" s="1509">
        <v>0</v>
      </c>
      <c r="K2525" s="1509"/>
      <c r="L2525" s="1509"/>
      <c r="M2525" s="1509">
        <f t="shared" si="397"/>
        <v>0</v>
      </c>
      <c r="N2525" s="1509">
        <f t="shared" si="398"/>
        <v>0</v>
      </c>
      <c r="O2525" s="1510">
        <f t="shared" si="394"/>
        <v>0</v>
      </c>
      <c r="P2525" s="1453">
        <f t="shared" si="395"/>
        <v>0</v>
      </c>
    </row>
    <row r="2526" spans="1:16" outlineLevel="1" x14ac:dyDescent="0.25">
      <c r="A2526" s="1511">
        <f t="shared" si="399"/>
        <v>14.4</v>
      </c>
      <c r="B2526" s="1512" t="str">
        <f t="shared" si="399"/>
        <v>Procurement of spare VCB’s trolleys.</v>
      </c>
      <c r="C2526" s="1511" t="str">
        <f t="shared" si="399"/>
        <v>MERC/CAPEX/20172018/4711</v>
      </c>
      <c r="D2526" s="1378">
        <f t="shared" si="399"/>
        <v>43055</v>
      </c>
      <c r="E2526" s="1513">
        <f t="shared" si="399"/>
        <v>0.31</v>
      </c>
      <c r="F2526" s="1509">
        <f t="shared" si="392"/>
        <v>0.5057102</v>
      </c>
      <c r="G2526" s="1509">
        <f t="shared" si="393"/>
        <v>0.5057102</v>
      </c>
      <c r="H2526" s="1509">
        <f t="shared" si="396"/>
        <v>0</v>
      </c>
      <c r="I2526" s="1509">
        <v>0</v>
      </c>
      <c r="J2526" s="1509">
        <v>0</v>
      </c>
      <c r="K2526" s="1509"/>
      <c r="L2526" s="1509"/>
      <c r="M2526" s="1509">
        <f t="shared" si="397"/>
        <v>0</v>
      </c>
      <c r="N2526" s="1509">
        <f t="shared" si="398"/>
        <v>0</v>
      </c>
      <c r="O2526" s="1510">
        <f t="shared" si="394"/>
        <v>0</v>
      </c>
      <c r="P2526" s="1453">
        <f t="shared" si="395"/>
        <v>0</v>
      </c>
    </row>
    <row r="2527" spans="1:16" outlineLevel="1" x14ac:dyDescent="0.25">
      <c r="A2527" s="1511">
        <f t="shared" si="399"/>
        <v>0</v>
      </c>
      <c r="B2527" s="1512" t="str">
        <f t="shared" si="399"/>
        <v>IDC</v>
      </c>
      <c r="C2527" s="1511" t="str">
        <f t="shared" si="399"/>
        <v>MERC/CAPEX/20172018/4711</v>
      </c>
      <c r="D2527" s="1378">
        <f t="shared" si="399"/>
        <v>43055</v>
      </c>
      <c r="E2527" s="1513">
        <f t="shared" si="399"/>
        <v>0.13</v>
      </c>
      <c r="F2527" s="1509">
        <f t="shared" si="392"/>
        <v>0</v>
      </c>
      <c r="G2527" s="1509">
        <f t="shared" si="393"/>
        <v>0</v>
      </c>
      <c r="H2527" s="1509">
        <f t="shared" si="396"/>
        <v>0</v>
      </c>
      <c r="I2527" s="1509">
        <v>0</v>
      </c>
      <c r="J2527" s="1509">
        <v>0</v>
      </c>
      <c r="K2527" s="1509"/>
      <c r="L2527" s="1509"/>
      <c r="M2527" s="1509">
        <f t="shared" si="397"/>
        <v>0</v>
      </c>
      <c r="N2527" s="1509">
        <f t="shared" si="398"/>
        <v>0</v>
      </c>
      <c r="O2527" s="1510">
        <f t="shared" si="394"/>
        <v>0</v>
      </c>
      <c r="P2527" s="1453">
        <f t="shared" si="395"/>
        <v>0</v>
      </c>
    </row>
    <row r="2528" spans="1:16" ht="29" outlineLevel="1" x14ac:dyDescent="0.25">
      <c r="A2528" s="1506">
        <f t="shared" si="399"/>
        <v>15</v>
      </c>
      <c r="B2528" s="1507" t="str">
        <f t="shared" si="399"/>
        <v>First raising of ash bund from 426 Mtr. To 432 Mtr. Of Dautpur Ash Bund No. 2 for Unit No. 4, 6, 7 &amp; 8 at Parli TPS.</v>
      </c>
      <c r="C2528" s="1506" t="str">
        <f t="shared" si="399"/>
        <v>MERC/CAPEX/20172018/4703</v>
      </c>
      <c r="D2528" s="1508">
        <f t="shared" si="399"/>
        <v>43055</v>
      </c>
      <c r="E2528" s="1509">
        <f t="shared" si="399"/>
        <v>45.524777499999992</v>
      </c>
      <c r="F2528" s="1509">
        <f t="shared" si="392"/>
        <v>0</v>
      </c>
      <c r="G2528" s="1509">
        <f t="shared" si="393"/>
        <v>0</v>
      </c>
      <c r="H2528" s="1509">
        <f t="shared" si="396"/>
        <v>0</v>
      </c>
      <c r="I2528" s="1509">
        <v>0</v>
      </c>
      <c r="J2528" s="1509">
        <v>0</v>
      </c>
      <c r="K2528" s="1509"/>
      <c r="L2528" s="1509"/>
      <c r="M2528" s="1509">
        <f t="shared" si="397"/>
        <v>0</v>
      </c>
      <c r="N2528" s="1509">
        <f t="shared" si="398"/>
        <v>0</v>
      </c>
      <c r="O2528" s="1510">
        <f t="shared" si="394"/>
        <v>0</v>
      </c>
      <c r="P2528" s="1453">
        <f t="shared" si="395"/>
        <v>0</v>
      </c>
    </row>
    <row r="2529" spans="1:16" ht="29" outlineLevel="1" x14ac:dyDescent="0.25">
      <c r="A2529" s="1511">
        <f t="shared" si="399"/>
        <v>15.1</v>
      </c>
      <c r="B2529" s="1512" t="str">
        <f t="shared" si="399"/>
        <v>First raising of ash bund from 426 Mtr. To 432 Mtr. Of Dautpur Ash Bund No. 2 for Unit No. 4, 6, 7 &amp; 8 at Parli TPS.</v>
      </c>
      <c r="C2529" s="1511" t="str">
        <f t="shared" si="399"/>
        <v>MERC/CAPEX/20172018/4703</v>
      </c>
      <c r="D2529" s="1378">
        <f t="shared" si="399"/>
        <v>43055</v>
      </c>
      <c r="E2529" s="1513">
        <f t="shared" si="399"/>
        <v>44.154777499999994</v>
      </c>
      <c r="F2529" s="1509">
        <f t="shared" si="392"/>
        <v>43.094741947000003</v>
      </c>
      <c r="G2529" s="1509">
        <f t="shared" si="393"/>
        <v>43.094741947000003</v>
      </c>
      <c r="H2529" s="1509">
        <f t="shared" si="396"/>
        <v>0</v>
      </c>
      <c r="I2529" s="1509">
        <v>0</v>
      </c>
      <c r="J2529" s="1509">
        <v>0</v>
      </c>
      <c r="K2529" s="1509"/>
      <c r="L2529" s="1509"/>
      <c r="M2529" s="1509">
        <f t="shared" si="397"/>
        <v>0</v>
      </c>
      <c r="N2529" s="1509">
        <f t="shared" si="398"/>
        <v>0</v>
      </c>
      <c r="O2529" s="1510">
        <f t="shared" si="394"/>
        <v>0</v>
      </c>
      <c r="P2529" s="1453">
        <f t="shared" si="395"/>
        <v>0</v>
      </c>
    </row>
    <row r="2530" spans="1:16" outlineLevel="1" x14ac:dyDescent="0.25">
      <c r="A2530" s="1511">
        <f t="shared" si="399"/>
        <v>0</v>
      </c>
      <c r="B2530" s="1512" t="str">
        <f t="shared" si="399"/>
        <v>IDC</v>
      </c>
      <c r="C2530" s="1511" t="str">
        <f t="shared" si="399"/>
        <v>MERC/CAPEX/20172018/4703</v>
      </c>
      <c r="D2530" s="1378">
        <f t="shared" si="399"/>
        <v>43055</v>
      </c>
      <c r="E2530" s="1513">
        <f t="shared" si="399"/>
        <v>1.37</v>
      </c>
      <c r="F2530" s="1509">
        <f t="shared" si="392"/>
        <v>0</v>
      </c>
      <c r="G2530" s="1509">
        <f t="shared" si="393"/>
        <v>0</v>
      </c>
      <c r="H2530" s="1509">
        <f t="shared" si="396"/>
        <v>0</v>
      </c>
      <c r="I2530" s="1509">
        <v>0</v>
      </c>
      <c r="J2530" s="1509">
        <v>0</v>
      </c>
      <c r="K2530" s="1509"/>
      <c r="L2530" s="1509"/>
      <c r="M2530" s="1509">
        <f t="shared" si="397"/>
        <v>0</v>
      </c>
      <c r="N2530" s="1509">
        <f t="shared" si="398"/>
        <v>0</v>
      </c>
      <c r="O2530" s="1510">
        <f t="shared" si="394"/>
        <v>0</v>
      </c>
      <c r="P2530" s="1453">
        <f t="shared" si="395"/>
        <v>0</v>
      </c>
    </row>
    <row r="2531" spans="1:16" outlineLevel="1" x14ac:dyDescent="0.25">
      <c r="A2531" s="1506">
        <f t="shared" si="399"/>
        <v>16</v>
      </c>
      <c r="B2531" s="1507" t="str">
        <f t="shared" si="399"/>
        <v>Renovation works of colony at Parli TPS</v>
      </c>
      <c r="C2531" s="1506" t="str">
        <f t="shared" si="399"/>
        <v>MERC/CAPEX/2018-2019/065</v>
      </c>
      <c r="D2531" s="1508">
        <f t="shared" si="399"/>
        <v>43529</v>
      </c>
      <c r="E2531" s="1509">
        <f t="shared" si="399"/>
        <v>13.148149</v>
      </c>
      <c r="F2531" s="1509">
        <f t="shared" si="392"/>
        <v>0</v>
      </c>
      <c r="G2531" s="1509">
        <f t="shared" si="393"/>
        <v>0</v>
      </c>
      <c r="H2531" s="1509">
        <f t="shared" si="396"/>
        <v>0</v>
      </c>
      <c r="I2531" s="1509">
        <v>0</v>
      </c>
      <c r="J2531" s="1509">
        <v>0</v>
      </c>
      <c r="K2531" s="1509"/>
      <c r="L2531" s="1509"/>
      <c r="M2531" s="1509">
        <f t="shared" si="397"/>
        <v>0</v>
      </c>
      <c r="N2531" s="1509">
        <f t="shared" si="398"/>
        <v>0</v>
      </c>
      <c r="O2531" s="1510">
        <f t="shared" si="394"/>
        <v>0</v>
      </c>
      <c r="P2531" s="1453">
        <f t="shared" si="395"/>
        <v>0</v>
      </c>
    </row>
    <row r="2532" spans="1:16" outlineLevel="1" x14ac:dyDescent="0.25">
      <c r="A2532" s="1511">
        <f t="shared" si="399"/>
        <v>16.100000000000001</v>
      </c>
      <c r="B2532" s="1512" t="str">
        <f t="shared" si="399"/>
        <v>Colony Renovation / Garden and relation works</v>
      </c>
      <c r="C2532" s="1511" t="str">
        <f t="shared" si="399"/>
        <v>MERC/CAPEX/2018-2019/065</v>
      </c>
      <c r="D2532" s="1378">
        <f t="shared" si="399"/>
        <v>43529</v>
      </c>
      <c r="E2532" s="1513">
        <f t="shared" si="399"/>
        <v>8.0502839999999996</v>
      </c>
      <c r="F2532" s="1509">
        <f t="shared" si="392"/>
        <v>5.98991717</v>
      </c>
      <c r="G2532" s="1509">
        <f t="shared" si="393"/>
        <v>5.98991717</v>
      </c>
      <c r="H2532" s="1509">
        <f t="shared" si="396"/>
        <v>0</v>
      </c>
      <c r="I2532" s="1509">
        <v>0</v>
      </c>
      <c r="J2532" s="1509">
        <v>0</v>
      </c>
      <c r="K2532" s="1509"/>
      <c r="L2532" s="1509"/>
      <c r="M2532" s="1509">
        <f t="shared" si="397"/>
        <v>0</v>
      </c>
      <c r="N2532" s="1509">
        <f t="shared" si="398"/>
        <v>0</v>
      </c>
      <c r="O2532" s="1510">
        <f t="shared" si="394"/>
        <v>0</v>
      </c>
      <c r="P2532" s="1453">
        <f t="shared" si="395"/>
        <v>0</v>
      </c>
    </row>
    <row r="2533" spans="1:16" outlineLevel="1" x14ac:dyDescent="0.25">
      <c r="A2533" s="1511">
        <f t="shared" si="399"/>
        <v>16.2</v>
      </c>
      <c r="B2533" s="1512" t="str">
        <f t="shared" si="399"/>
        <v>Colony Road work</v>
      </c>
      <c r="C2533" s="1511" t="str">
        <f t="shared" si="399"/>
        <v>MERC/CAPEX/2018-2019/065</v>
      </c>
      <c r="D2533" s="1378">
        <f t="shared" si="399"/>
        <v>43529</v>
      </c>
      <c r="E2533" s="1513">
        <f t="shared" si="399"/>
        <v>2.3051249999999999</v>
      </c>
      <c r="F2533" s="1509">
        <f t="shared" si="392"/>
        <v>2.0084425239999999</v>
      </c>
      <c r="G2533" s="1509">
        <f t="shared" si="393"/>
        <v>2.0084425239999999</v>
      </c>
      <c r="H2533" s="1509">
        <f t="shared" si="396"/>
        <v>0</v>
      </c>
      <c r="I2533" s="1509">
        <v>0</v>
      </c>
      <c r="J2533" s="1509">
        <v>0</v>
      </c>
      <c r="K2533" s="1509"/>
      <c r="L2533" s="1509"/>
      <c r="M2533" s="1509">
        <f t="shared" si="397"/>
        <v>0</v>
      </c>
      <c r="N2533" s="1509">
        <f t="shared" si="398"/>
        <v>0</v>
      </c>
      <c r="O2533" s="1510">
        <f t="shared" si="394"/>
        <v>0</v>
      </c>
      <c r="P2533" s="1453">
        <f t="shared" si="395"/>
        <v>0</v>
      </c>
    </row>
    <row r="2534" spans="1:16" outlineLevel="1" x14ac:dyDescent="0.25">
      <c r="A2534" s="1511">
        <f t="shared" si="399"/>
        <v>16.3</v>
      </c>
      <c r="B2534" s="1512" t="str">
        <f t="shared" si="399"/>
        <v>Colony Water supply, Sanitary and drinage line work</v>
      </c>
      <c r="C2534" s="1511" t="str">
        <f t="shared" si="399"/>
        <v>MERC/CAPEX/2018-2019/065</v>
      </c>
      <c r="D2534" s="1378">
        <f t="shared" si="399"/>
        <v>43529</v>
      </c>
      <c r="E2534" s="1513">
        <f t="shared" si="399"/>
        <v>2.7927399999999998</v>
      </c>
      <c r="F2534" s="1509">
        <f t="shared" si="392"/>
        <v>2.514492449</v>
      </c>
      <c r="G2534" s="1509">
        <f t="shared" si="393"/>
        <v>2.514492449</v>
      </c>
      <c r="H2534" s="1509">
        <f t="shared" si="396"/>
        <v>0</v>
      </c>
      <c r="I2534" s="1509">
        <v>0</v>
      </c>
      <c r="J2534" s="1509">
        <v>0</v>
      </c>
      <c r="K2534" s="1509"/>
      <c r="L2534" s="1509"/>
      <c r="M2534" s="1509">
        <f t="shared" si="397"/>
        <v>0</v>
      </c>
      <c r="N2534" s="1509">
        <f t="shared" si="398"/>
        <v>0</v>
      </c>
      <c r="O2534" s="1510">
        <f t="shared" si="394"/>
        <v>0</v>
      </c>
      <c r="P2534" s="1453">
        <f t="shared" si="395"/>
        <v>0</v>
      </c>
    </row>
    <row r="2535" spans="1:16" outlineLevel="1" x14ac:dyDescent="0.25">
      <c r="A2535" s="1511">
        <f t="shared" si="399"/>
        <v>16.399999999999999</v>
      </c>
      <c r="B2535" s="1512" t="str">
        <f t="shared" si="399"/>
        <v>Mangal Karyalaya and Community Hall work</v>
      </c>
      <c r="C2535" s="1511" t="str">
        <f t="shared" si="399"/>
        <v>MERC/CAPEX/2018-2019/065</v>
      </c>
      <c r="D2535" s="1378">
        <f t="shared" si="399"/>
        <v>43529</v>
      </c>
      <c r="E2535" s="1513">
        <f t="shared" si="399"/>
        <v>0</v>
      </c>
      <c r="F2535" s="1509">
        <f t="shared" si="392"/>
        <v>0</v>
      </c>
      <c r="G2535" s="1509">
        <f t="shared" si="393"/>
        <v>0</v>
      </c>
      <c r="H2535" s="1509">
        <f t="shared" si="396"/>
        <v>0</v>
      </c>
      <c r="I2535" s="1509">
        <v>0</v>
      </c>
      <c r="J2535" s="1509">
        <v>0</v>
      </c>
      <c r="K2535" s="1509"/>
      <c r="L2535" s="1509"/>
      <c r="M2535" s="1509">
        <f t="shared" si="397"/>
        <v>0</v>
      </c>
      <c r="N2535" s="1509">
        <f t="shared" si="398"/>
        <v>0</v>
      </c>
      <c r="O2535" s="1510">
        <f t="shared" si="394"/>
        <v>0</v>
      </c>
      <c r="P2535" s="1453">
        <f t="shared" si="395"/>
        <v>0</v>
      </c>
    </row>
    <row r="2536" spans="1:16" outlineLevel="1" x14ac:dyDescent="0.25">
      <c r="A2536" s="1511">
        <f t="shared" si="399"/>
        <v>16.5</v>
      </c>
      <c r="B2536" s="1512" t="str">
        <f t="shared" si="399"/>
        <v>Other Civil  works</v>
      </c>
      <c r="C2536" s="1511" t="str">
        <f t="shared" si="399"/>
        <v>MERC/CAPEX/2018-2019/065</v>
      </c>
      <c r="D2536" s="1378">
        <f t="shared" si="399"/>
        <v>43529</v>
      </c>
      <c r="E2536" s="1513">
        <f t="shared" si="399"/>
        <v>0</v>
      </c>
      <c r="F2536" s="1509">
        <f t="shared" si="392"/>
        <v>0</v>
      </c>
      <c r="G2536" s="1509">
        <f t="shared" si="393"/>
        <v>0</v>
      </c>
      <c r="H2536" s="1509">
        <f t="shared" si="396"/>
        <v>0</v>
      </c>
      <c r="I2536" s="1509">
        <v>0</v>
      </c>
      <c r="J2536" s="1509">
        <v>0</v>
      </c>
      <c r="K2536" s="1509"/>
      <c r="L2536" s="1509"/>
      <c r="M2536" s="1509">
        <f t="shared" si="397"/>
        <v>0</v>
      </c>
      <c r="N2536" s="1509">
        <f t="shared" si="398"/>
        <v>0</v>
      </c>
      <c r="O2536" s="1510">
        <f t="shared" si="394"/>
        <v>0</v>
      </c>
      <c r="P2536" s="1453">
        <f t="shared" si="395"/>
        <v>0</v>
      </c>
    </row>
    <row r="2537" spans="1:16" outlineLevel="1" x14ac:dyDescent="0.25">
      <c r="A2537" s="1506">
        <f t="shared" si="399"/>
        <v>17</v>
      </c>
      <c r="B2537" s="1507" t="str">
        <f t="shared" si="399"/>
        <v>Various Civil Schemes at Parli TPS</v>
      </c>
      <c r="C2537" s="1506" t="str">
        <f t="shared" si="399"/>
        <v>MERC/CAPEX/20182019/020</v>
      </c>
      <c r="D2537" s="1508">
        <f t="shared" si="399"/>
        <v>43481</v>
      </c>
      <c r="E2537" s="1509">
        <f t="shared" si="399"/>
        <v>11.99868781</v>
      </c>
      <c r="F2537" s="1509">
        <f t="shared" si="392"/>
        <v>0</v>
      </c>
      <c r="G2537" s="1509">
        <f t="shared" si="393"/>
        <v>0</v>
      </c>
      <c r="H2537" s="1509">
        <f t="shared" si="396"/>
        <v>0</v>
      </c>
      <c r="I2537" s="1509">
        <v>0</v>
      </c>
      <c r="J2537" s="1509">
        <v>0</v>
      </c>
      <c r="K2537" s="1509"/>
      <c r="L2537" s="1509"/>
      <c r="M2537" s="1509">
        <f t="shared" si="397"/>
        <v>0</v>
      </c>
      <c r="N2537" s="1509">
        <f t="shared" si="398"/>
        <v>0</v>
      </c>
      <c r="O2537" s="1510">
        <f t="shared" si="394"/>
        <v>0</v>
      </c>
      <c r="P2537" s="1453">
        <f t="shared" si="395"/>
        <v>0</v>
      </c>
    </row>
    <row r="2538" spans="1:16" ht="43.5" outlineLevel="1" x14ac:dyDescent="0.25">
      <c r="A2538" s="1511">
        <f t="shared" si="399"/>
        <v>17.100000000000001</v>
      </c>
      <c r="B2538" s="1512" t="str">
        <f t="shared" si="399"/>
        <v>Repair work of Khadka road from Sangam T point TPS compound wall to Khadka pump house by providing and laying GSB and bituminous macadam surface on existing road at TPS Parli V</v>
      </c>
      <c r="C2538" s="1511" t="str">
        <f t="shared" si="399"/>
        <v>MERC/CAPEX/20182019/020</v>
      </c>
      <c r="D2538" s="1378">
        <f t="shared" si="399"/>
        <v>43481</v>
      </c>
      <c r="E2538" s="1513">
        <f t="shared" si="399"/>
        <v>6.1932861680000002</v>
      </c>
      <c r="F2538" s="1509">
        <f t="shared" si="392"/>
        <v>5.6459529719999999</v>
      </c>
      <c r="G2538" s="1509">
        <f t="shared" si="393"/>
        <v>5.6459529719999999</v>
      </c>
      <c r="H2538" s="1509">
        <f t="shared" si="396"/>
        <v>0</v>
      </c>
      <c r="I2538" s="1509">
        <v>0</v>
      </c>
      <c r="J2538" s="1509">
        <v>0</v>
      </c>
      <c r="K2538" s="1509"/>
      <c r="L2538" s="1509"/>
      <c r="M2538" s="1509">
        <f t="shared" si="397"/>
        <v>0</v>
      </c>
      <c r="N2538" s="1509">
        <f t="shared" si="398"/>
        <v>0</v>
      </c>
      <c r="O2538" s="1510">
        <f t="shared" si="394"/>
        <v>0</v>
      </c>
      <c r="P2538" s="1453">
        <f t="shared" si="395"/>
        <v>0</v>
      </c>
    </row>
    <row r="2539" spans="1:16" ht="29" outlineLevel="1" x14ac:dyDescent="0.25">
      <c r="A2539" s="1511">
        <f t="shared" si="399"/>
        <v>17.2</v>
      </c>
      <c r="B2539" s="1512" t="str">
        <f t="shared" si="399"/>
        <v xml:space="preserve">Replacement of old  A.C. / G.I. Sheets by new C.G.I. Sheets  at Unit 4 and 5  TPS Parli Vaijnath                         </v>
      </c>
      <c r="C2539" s="1511" t="str">
        <f t="shared" si="399"/>
        <v>MERC/CAPEX/20182019/020</v>
      </c>
      <c r="D2539" s="1378">
        <f t="shared" si="399"/>
        <v>43481</v>
      </c>
      <c r="E2539" s="1513">
        <f t="shared" si="399"/>
        <v>0.38584171</v>
      </c>
      <c r="F2539" s="1509">
        <f t="shared" si="392"/>
        <v>0.28061102900000001</v>
      </c>
      <c r="G2539" s="1509">
        <f t="shared" si="393"/>
        <v>0.28061102900000001</v>
      </c>
      <c r="H2539" s="1509">
        <f t="shared" si="396"/>
        <v>0</v>
      </c>
      <c r="I2539" s="1509">
        <v>0</v>
      </c>
      <c r="J2539" s="1509">
        <v>0</v>
      </c>
      <c r="K2539" s="1509"/>
      <c r="L2539" s="1509"/>
      <c r="M2539" s="1509">
        <f t="shared" si="397"/>
        <v>0</v>
      </c>
      <c r="N2539" s="1509">
        <f t="shared" si="398"/>
        <v>0</v>
      </c>
      <c r="O2539" s="1510">
        <f t="shared" si="394"/>
        <v>0</v>
      </c>
      <c r="P2539" s="1453">
        <f t="shared" si="395"/>
        <v>0</v>
      </c>
    </row>
    <row r="2540" spans="1:16" ht="29" outlineLevel="1" x14ac:dyDescent="0.25">
      <c r="A2540" s="1511">
        <f t="shared" si="399"/>
        <v>17.3</v>
      </c>
      <c r="B2540" s="1512" t="str">
        <f t="shared" si="399"/>
        <v xml:space="preserve">Water supply pipe line  from Way bridge to chummery gate at Old Power House premises TPS Parli   Vaijnath   </v>
      </c>
      <c r="C2540" s="1511" t="str">
        <f t="shared" si="399"/>
        <v>MERC/CAPEX/20182019/020</v>
      </c>
      <c r="D2540" s="1378">
        <f t="shared" si="399"/>
        <v>43481</v>
      </c>
      <c r="E2540" s="1513">
        <f t="shared" si="399"/>
        <v>1.490824862</v>
      </c>
      <c r="F2540" s="1509">
        <f t="shared" si="392"/>
        <v>1.49</v>
      </c>
      <c r="G2540" s="1509">
        <f t="shared" si="393"/>
        <v>1.49</v>
      </c>
      <c r="H2540" s="1509">
        <f t="shared" si="396"/>
        <v>0</v>
      </c>
      <c r="I2540" s="1509">
        <v>0</v>
      </c>
      <c r="J2540" s="1509">
        <v>0</v>
      </c>
      <c r="K2540" s="1509"/>
      <c r="L2540" s="1509"/>
      <c r="M2540" s="1509">
        <f t="shared" si="397"/>
        <v>0</v>
      </c>
      <c r="N2540" s="1509">
        <f t="shared" si="398"/>
        <v>0</v>
      </c>
      <c r="O2540" s="1510">
        <f t="shared" si="394"/>
        <v>0</v>
      </c>
      <c r="P2540" s="1453">
        <f t="shared" si="395"/>
        <v>0</v>
      </c>
    </row>
    <row r="2541" spans="1:16" ht="29" outlineLevel="1" x14ac:dyDescent="0.25">
      <c r="A2541" s="1511">
        <f t="shared" ref="A2541:E2556" si="400">A2184</f>
        <v>17.399999999999999</v>
      </c>
      <c r="B2541" s="1512" t="str">
        <f t="shared" si="400"/>
        <v>Providing and fixing colour coated sheets for roofing and cladding of Major Store godowns (3 Nos.) at NPTPS Parli Vaijnath.</v>
      </c>
      <c r="C2541" s="1511" t="str">
        <f t="shared" si="400"/>
        <v>MERC/CAPEX/20182019/020</v>
      </c>
      <c r="D2541" s="1378">
        <f t="shared" si="400"/>
        <v>43481</v>
      </c>
      <c r="E2541" s="1513">
        <f t="shared" si="400"/>
        <v>0.32052575999999999</v>
      </c>
      <c r="F2541" s="1509">
        <f t="shared" si="392"/>
        <v>0.23293444999999999</v>
      </c>
      <c r="G2541" s="1509">
        <f t="shared" si="393"/>
        <v>0.23293444999999999</v>
      </c>
      <c r="H2541" s="1509">
        <f t="shared" si="396"/>
        <v>0</v>
      </c>
      <c r="I2541" s="1509">
        <v>0</v>
      </c>
      <c r="J2541" s="1509">
        <v>0</v>
      </c>
      <c r="K2541" s="1509"/>
      <c r="L2541" s="1509"/>
      <c r="M2541" s="1509">
        <f t="shared" si="397"/>
        <v>0</v>
      </c>
      <c r="N2541" s="1509">
        <f t="shared" si="398"/>
        <v>0</v>
      </c>
      <c r="O2541" s="1510">
        <f t="shared" si="394"/>
        <v>0</v>
      </c>
      <c r="P2541" s="1453">
        <f t="shared" si="395"/>
        <v>0</v>
      </c>
    </row>
    <row r="2542" spans="1:16" ht="29" outlineLevel="1" x14ac:dyDescent="0.25">
      <c r="A2542" s="1511">
        <f t="shared" si="400"/>
        <v>17.5</v>
      </c>
      <c r="B2542" s="1512" t="str">
        <f t="shared" si="400"/>
        <v xml:space="preserve">Development of Major store unloading yard by providing RCC grade slab in unit 6 &amp; 7 premises at NPTPS Parli     V.                   </v>
      </c>
      <c r="C2542" s="1511" t="str">
        <f t="shared" si="400"/>
        <v>MERC/CAPEX/20182019/020</v>
      </c>
      <c r="D2542" s="1378">
        <f t="shared" si="400"/>
        <v>43481</v>
      </c>
      <c r="E2542" s="1513">
        <f t="shared" si="400"/>
        <v>2.7334139500000001</v>
      </c>
      <c r="F2542" s="1509">
        <f t="shared" si="392"/>
        <v>2.73</v>
      </c>
      <c r="G2542" s="1509">
        <f t="shared" si="393"/>
        <v>2.73</v>
      </c>
      <c r="H2542" s="1509">
        <f t="shared" si="396"/>
        <v>0</v>
      </c>
      <c r="I2542" s="1509">
        <v>0</v>
      </c>
      <c r="J2542" s="1509">
        <v>0</v>
      </c>
      <c r="K2542" s="1509"/>
      <c r="L2542" s="1509"/>
      <c r="M2542" s="1509">
        <f t="shared" si="397"/>
        <v>0</v>
      </c>
      <c r="N2542" s="1509">
        <f t="shared" si="398"/>
        <v>0</v>
      </c>
      <c r="O2542" s="1510">
        <f t="shared" si="394"/>
        <v>0</v>
      </c>
      <c r="P2542" s="1453">
        <f t="shared" si="395"/>
        <v>0</v>
      </c>
    </row>
    <row r="2543" spans="1:16" ht="43.5" outlineLevel="1" x14ac:dyDescent="0.25">
      <c r="A2543" s="1511">
        <f t="shared" si="400"/>
        <v>17.600000000000001</v>
      </c>
      <c r="B2543" s="1512" t="str">
        <f t="shared" si="400"/>
        <v xml:space="preserve">Work of painting to service building, Main plant building and various Auxillarey buildings of unit No. 6&amp;7 at New Parli Thermal Power Station.         </v>
      </c>
      <c r="C2543" s="1511" t="str">
        <f t="shared" si="400"/>
        <v>MERC/CAPEX/20182019/020</v>
      </c>
      <c r="D2543" s="1378">
        <f t="shared" si="400"/>
        <v>43481</v>
      </c>
      <c r="E2543" s="1513">
        <f t="shared" si="400"/>
        <v>0.58998525000000002</v>
      </c>
      <c r="F2543" s="1509">
        <f t="shared" si="392"/>
        <v>0.43154335300000002</v>
      </c>
      <c r="G2543" s="1509">
        <f t="shared" si="393"/>
        <v>0.43154335300000002</v>
      </c>
      <c r="H2543" s="1509">
        <f t="shared" si="396"/>
        <v>0</v>
      </c>
      <c r="I2543" s="1509">
        <v>0</v>
      </c>
      <c r="J2543" s="1509">
        <v>0</v>
      </c>
      <c r="K2543" s="1509"/>
      <c r="L2543" s="1509"/>
      <c r="M2543" s="1509">
        <f t="shared" si="397"/>
        <v>0</v>
      </c>
      <c r="N2543" s="1509">
        <f t="shared" si="398"/>
        <v>0</v>
      </c>
      <c r="O2543" s="1510">
        <f t="shared" si="394"/>
        <v>0</v>
      </c>
      <c r="P2543" s="1453">
        <f t="shared" si="395"/>
        <v>0</v>
      </c>
    </row>
    <row r="2544" spans="1:16" ht="29" outlineLevel="1" x14ac:dyDescent="0.25">
      <c r="A2544" s="1511">
        <f t="shared" si="400"/>
        <v>17.600000000000001</v>
      </c>
      <c r="B2544" s="1512" t="str">
        <f t="shared" si="400"/>
        <v>Construction of RCC cabins at various locations in unit No.6&amp;7 premises at NPTPS Parli - V.</v>
      </c>
      <c r="C2544" s="1511" t="str">
        <f t="shared" si="400"/>
        <v>MERC/CAPEX/20182019/020</v>
      </c>
      <c r="D2544" s="1378">
        <f t="shared" si="400"/>
        <v>43481</v>
      </c>
      <c r="E2544" s="1513">
        <f t="shared" si="400"/>
        <v>0.28481011000000001</v>
      </c>
      <c r="F2544" s="1509">
        <f t="shared" si="392"/>
        <v>0.20461170000000001</v>
      </c>
      <c r="G2544" s="1509">
        <f t="shared" si="393"/>
        <v>0.20461170000000001</v>
      </c>
      <c r="H2544" s="1509">
        <f t="shared" si="396"/>
        <v>0</v>
      </c>
      <c r="I2544" s="1509">
        <v>0</v>
      </c>
      <c r="J2544" s="1509">
        <v>0</v>
      </c>
      <c r="K2544" s="1509"/>
      <c r="L2544" s="1509"/>
      <c r="M2544" s="1509">
        <f t="shared" si="397"/>
        <v>0</v>
      </c>
      <c r="N2544" s="1509">
        <f t="shared" si="398"/>
        <v>0</v>
      </c>
      <c r="O2544" s="1510">
        <f t="shared" si="394"/>
        <v>0</v>
      </c>
      <c r="P2544" s="1453">
        <f t="shared" si="395"/>
        <v>0</v>
      </c>
    </row>
    <row r="2545" spans="1:16" outlineLevel="1" x14ac:dyDescent="0.25">
      <c r="A2545" s="1511">
        <f t="shared" si="400"/>
        <v>0</v>
      </c>
      <c r="B2545" s="1512" t="str">
        <f t="shared" si="400"/>
        <v>IDC</v>
      </c>
      <c r="C2545" s="1511" t="str">
        <f t="shared" si="400"/>
        <v>MERC/CAPEX/20182019/020</v>
      </c>
      <c r="D2545" s="1378">
        <f t="shared" si="400"/>
        <v>43481</v>
      </c>
      <c r="E2545" s="1513">
        <f t="shared" si="400"/>
        <v>0</v>
      </c>
      <c r="F2545" s="1509">
        <f t="shared" si="392"/>
        <v>0</v>
      </c>
      <c r="G2545" s="1509">
        <f t="shared" si="393"/>
        <v>0</v>
      </c>
      <c r="H2545" s="1509">
        <f t="shared" si="396"/>
        <v>0</v>
      </c>
      <c r="I2545" s="1509">
        <v>0</v>
      </c>
      <c r="J2545" s="1509">
        <v>0</v>
      </c>
      <c r="K2545" s="1509"/>
      <c r="L2545" s="1509"/>
      <c r="M2545" s="1509">
        <f t="shared" si="397"/>
        <v>0</v>
      </c>
      <c r="N2545" s="1509">
        <f t="shared" si="398"/>
        <v>0</v>
      </c>
      <c r="O2545" s="1510">
        <f t="shared" si="394"/>
        <v>0</v>
      </c>
      <c r="P2545" s="1453">
        <f t="shared" si="395"/>
        <v>0</v>
      </c>
    </row>
    <row r="2546" spans="1:16" ht="29" outlineLevel="1" x14ac:dyDescent="0.25">
      <c r="A2546" s="1506">
        <f t="shared" si="400"/>
        <v>18</v>
      </c>
      <c r="B2546" s="1507" t="str">
        <f t="shared" si="400"/>
        <v>Procurement &amp; replacement of complete set of Economizer and LTSH upper &amp; lower coils of Unit No. 6 &amp; 7 at Parli TPS</v>
      </c>
      <c r="C2546" s="1506" t="str">
        <f t="shared" si="400"/>
        <v>MERC/CAPEX/2019-2020/419</v>
      </c>
      <c r="D2546" s="1508">
        <f t="shared" si="400"/>
        <v>43672</v>
      </c>
      <c r="E2546" s="1509">
        <f t="shared" si="400"/>
        <v>22.72</v>
      </c>
      <c r="F2546" s="1509">
        <f t="shared" si="392"/>
        <v>0</v>
      </c>
      <c r="G2546" s="1509">
        <f t="shared" si="393"/>
        <v>0</v>
      </c>
      <c r="H2546" s="1509">
        <f t="shared" si="396"/>
        <v>0</v>
      </c>
      <c r="I2546" s="1509">
        <v>0</v>
      </c>
      <c r="J2546" s="1509">
        <v>0</v>
      </c>
      <c r="K2546" s="1509"/>
      <c r="L2546" s="1509"/>
      <c r="M2546" s="1509">
        <f t="shared" si="397"/>
        <v>0</v>
      </c>
      <c r="N2546" s="1509">
        <f t="shared" si="398"/>
        <v>0</v>
      </c>
      <c r="O2546" s="1510">
        <f t="shared" si="394"/>
        <v>0</v>
      </c>
      <c r="P2546" s="1453">
        <f t="shared" si="395"/>
        <v>0</v>
      </c>
    </row>
    <row r="2547" spans="1:16" ht="29" outlineLevel="1" x14ac:dyDescent="0.25">
      <c r="A2547" s="1511">
        <f t="shared" si="400"/>
        <v>18.100000000000001</v>
      </c>
      <c r="B2547" s="1512" t="str">
        <f t="shared" si="400"/>
        <v xml:space="preserve">Procurement &amp; replacement of complete set of economizer upper &amp; lower bank coils of Unit No. 6 </v>
      </c>
      <c r="C2547" s="1511" t="str">
        <f t="shared" si="400"/>
        <v>MERC/CAPEX/2019-2020/419</v>
      </c>
      <c r="D2547" s="1378">
        <f t="shared" si="400"/>
        <v>43672</v>
      </c>
      <c r="E2547" s="1513">
        <f t="shared" si="400"/>
        <v>10.6</v>
      </c>
      <c r="F2547" s="1509">
        <f t="shared" si="392"/>
        <v>12.505020100000001</v>
      </c>
      <c r="G2547" s="1509">
        <f t="shared" si="393"/>
        <v>12.505120100000001</v>
      </c>
      <c r="H2547" s="1509">
        <f t="shared" si="396"/>
        <v>-9.9999999999766942E-5</v>
      </c>
      <c r="I2547" s="1509">
        <v>0</v>
      </c>
      <c r="J2547" s="1509">
        <v>0</v>
      </c>
      <c r="K2547" s="1509"/>
      <c r="L2547" s="1509"/>
      <c r="M2547" s="1509">
        <f t="shared" si="397"/>
        <v>0</v>
      </c>
      <c r="N2547" s="1509">
        <f t="shared" si="398"/>
        <v>-9.9999999999766942E-5</v>
      </c>
      <c r="O2547" s="1510">
        <f t="shared" si="394"/>
        <v>0</v>
      </c>
      <c r="P2547" s="1453">
        <f t="shared" si="395"/>
        <v>0</v>
      </c>
    </row>
    <row r="2548" spans="1:16" ht="29" outlineLevel="1" x14ac:dyDescent="0.25">
      <c r="A2548" s="1511">
        <f t="shared" si="400"/>
        <v>18.2</v>
      </c>
      <c r="B2548" s="1512" t="str">
        <f t="shared" si="400"/>
        <v>Procurement &amp; replacement of complete set of LTSH upper &amp; lower bank coils for Parli TPS unit-7</v>
      </c>
      <c r="C2548" s="1511" t="str">
        <f t="shared" si="400"/>
        <v>MERC/CAPEX/2019-2020/419</v>
      </c>
      <c r="D2548" s="1378">
        <f t="shared" si="400"/>
        <v>43672</v>
      </c>
      <c r="E2548" s="1513">
        <f t="shared" si="400"/>
        <v>10.6</v>
      </c>
      <c r="F2548" s="1509">
        <f t="shared" si="392"/>
        <v>12.3255</v>
      </c>
      <c r="G2548" s="1509">
        <f t="shared" si="393"/>
        <v>12.328390300000001</v>
      </c>
      <c r="H2548" s="1509">
        <f t="shared" si="396"/>
        <v>-2.8903000000006784E-3</v>
      </c>
      <c r="I2548" s="1509">
        <v>0</v>
      </c>
      <c r="J2548" s="1509">
        <v>0</v>
      </c>
      <c r="K2548" s="1509"/>
      <c r="L2548" s="1509"/>
      <c r="M2548" s="1509">
        <f t="shared" si="397"/>
        <v>0</v>
      </c>
      <c r="N2548" s="1509">
        <f t="shared" si="398"/>
        <v>-2.8903000000006784E-3</v>
      </c>
      <c r="O2548" s="1510">
        <f t="shared" si="394"/>
        <v>0</v>
      </c>
      <c r="P2548" s="1453">
        <f t="shared" si="395"/>
        <v>0</v>
      </c>
    </row>
    <row r="2549" spans="1:16" outlineLevel="1" x14ac:dyDescent="0.25">
      <c r="A2549" s="1511">
        <f t="shared" si="400"/>
        <v>0</v>
      </c>
      <c r="B2549" s="1516" t="str">
        <f t="shared" si="400"/>
        <v>IDC</v>
      </c>
      <c r="C2549" s="1511" t="str">
        <f t="shared" si="400"/>
        <v>MERC/CAPEX/2019-2020/419</v>
      </c>
      <c r="D2549" s="1378">
        <f t="shared" si="400"/>
        <v>43672</v>
      </c>
      <c r="E2549" s="1513">
        <f t="shared" si="400"/>
        <v>1.52</v>
      </c>
      <c r="F2549" s="1509">
        <f t="shared" si="392"/>
        <v>0.81066607999999996</v>
      </c>
      <c r="G2549" s="1509">
        <f t="shared" si="393"/>
        <v>2.6306608000000002</v>
      </c>
      <c r="H2549" s="1509">
        <f t="shared" si="396"/>
        <v>-1.8199947200000004</v>
      </c>
      <c r="I2549" s="1509">
        <v>0</v>
      </c>
      <c r="J2549" s="1509">
        <v>0</v>
      </c>
      <c r="K2549" s="1509"/>
      <c r="L2549" s="1509"/>
      <c r="M2549" s="1509">
        <f t="shared" si="397"/>
        <v>0</v>
      </c>
      <c r="N2549" s="1509">
        <f t="shared" si="398"/>
        <v>-1.8199947200000004</v>
      </c>
      <c r="O2549" s="1510">
        <f t="shared" si="394"/>
        <v>0</v>
      </c>
      <c r="P2549" s="1453">
        <f t="shared" si="395"/>
        <v>0</v>
      </c>
    </row>
    <row r="2550" spans="1:16" ht="29" outlineLevel="1" x14ac:dyDescent="0.25">
      <c r="A2550" s="1506">
        <f t="shared" si="400"/>
        <v>19</v>
      </c>
      <c r="B2550" s="1507" t="str">
        <f t="shared" si="400"/>
        <v>Schemes related to enhance the performance of Coal Handling Plant (2 x 250 MW) at Parli TPS</v>
      </c>
      <c r="C2550" s="1506" t="str">
        <f t="shared" si="400"/>
        <v>MERC/CAPEX/2019-2020/451</v>
      </c>
      <c r="D2550" s="1508">
        <f t="shared" si="400"/>
        <v>43676</v>
      </c>
      <c r="E2550" s="1509">
        <f t="shared" si="400"/>
        <v>10.719999999999999</v>
      </c>
      <c r="F2550" s="1509">
        <f t="shared" si="392"/>
        <v>0</v>
      </c>
      <c r="G2550" s="1509">
        <f t="shared" si="393"/>
        <v>0</v>
      </c>
      <c r="H2550" s="1509">
        <f t="shared" si="396"/>
        <v>0</v>
      </c>
      <c r="I2550" s="1509">
        <v>0</v>
      </c>
      <c r="J2550" s="1509">
        <v>0</v>
      </c>
      <c r="K2550" s="1509"/>
      <c r="L2550" s="1509"/>
      <c r="M2550" s="1509">
        <f t="shared" si="397"/>
        <v>0</v>
      </c>
      <c r="N2550" s="1509">
        <f t="shared" si="398"/>
        <v>0</v>
      </c>
      <c r="O2550" s="1510">
        <f t="shared" si="394"/>
        <v>0</v>
      </c>
      <c r="P2550" s="1453">
        <f t="shared" si="395"/>
        <v>0</v>
      </c>
    </row>
    <row r="2551" spans="1:16" outlineLevel="1" x14ac:dyDescent="0.25">
      <c r="A2551" s="1511">
        <f t="shared" si="400"/>
        <v>19.100000000000001</v>
      </c>
      <c r="B2551" s="1512" t="str">
        <f t="shared" si="400"/>
        <v xml:space="preserve">Procurement of 02 Nos. of BD155 Bulldozers for Parli TPS    </v>
      </c>
      <c r="C2551" s="1511" t="str">
        <f t="shared" si="400"/>
        <v>MERC/CAPEX/2019-2020/451</v>
      </c>
      <c r="D2551" s="1378">
        <f t="shared" si="400"/>
        <v>43676</v>
      </c>
      <c r="E2551" s="1513">
        <f t="shared" si="400"/>
        <v>3.93</v>
      </c>
      <c r="F2551" s="1509">
        <f t="shared" si="392"/>
        <v>4.3292536000000004</v>
      </c>
      <c r="G2551" s="1509">
        <f t="shared" si="393"/>
        <v>4.3292536000000004</v>
      </c>
      <c r="H2551" s="1509">
        <f t="shared" si="396"/>
        <v>0</v>
      </c>
      <c r="I2551" s="1509">
        <v>0</v>
      </c>
      <c r="J2551" s="1509">
        <v>0</v>
      </c>
      <c r="K2551" s="1509"/>
      <c r="L2551" s="1509"/>
      <c r="M2551" s="1509">
        <f t="shared" si="397"/>
        <v>0</v>
      </c>
      <c r="N2551" s="1509">
        <f t="shared" si="398"/>
        <v>0</v>
      </c>
      <c r="O2551" s="1510">
        <f t="shared" si="394"/>
        <v>0</v>
      </c>
      <c r="P2551" s="1453">
        <f t="shared" si="395"/>
        <v>0</v>
      </c>
    </row>
    <row r="2552" spans="1:16" outlineLevel="1" x14ac:dyDescent="0.25">
      <c r="A2552" s="1511">
        <f t="shared" si="400"/>
        <v>19.2</v>
      </c>
      <c r="B2552" s="1512" t="str">
        <f t="shared" si="400"/>
        <v xml:space="preserve">Procurement of 02 Nos. of Locomotives(800 HP) for Parli TPS    </v>
      </c>
      <c r="C2552" s="1506" t="str">
        <f t="shared" si="400"/>
        <v>MERC/CAPEX/2019-2020/451</v>
      </c>
      <c r="D2552" s="1508">
        <f t="shared" si="400"/>
        <v>43676</v>
      </c>
      <c r="E2552" s="1509">
        <f t="shared" si="400"/>
        <v>6.25</v>
      </c>
      <c r="F2552" s="1509">
        <f t="shared" si="392"/>
        <v>6.4416200000000003</v>
      </c>
      <c r="G2552" s="1509">
        <f t="shared" si="393"/>
        <v>6.4416200000000003</v>
      </c>
      <c r="H2552" s="1509">
        <f t="shared" si="396"/>
        <v>0</v>
      </c>
      <c r="I2552" s="1509">
        <v>0</v>
      </c>
      <c r="J2552" s="1509">
        <v>0</v>
      </c>
      <c r="K2552" s="1509"/>
      <c r="L2552" s="1509"/>
      <c r="M2552" s="1509">
        <f t="shared" si="397"/>
        <v>0</v>
      </c>
      <c r="N2552" s="1509">
        <f t="shared" si="398"/>
        <v>0</v>
      </c>
      <c r="O2552" s="1510">
        <f t="shared" si="394"/>
        <v>0</v>
      </c>
      <c r="P2552" s="1453">
        <f t="shared" si="395"/>
        <v>0</v>
      </c>
    </row>
    <row r="2553" spans="1:16" outlineLevel="1" x14ac:dyDescent="0.25">
      <c r="A2553" s="1511">
        <f t="shared" si="400"/>
        <v>0</v>
      </c>
      <c r="B2553" s="1512" t="str">
        <f t="shared" si="400"/>
        <v>IDC</v>
      </c>
      <c r="C2553" s="1511" t="str">
        <f t="shared" si="400"/>
        <v>MERC/CAPEX/2019-2020/451</v>
      </c>
      <c r="D2553" s="1378">
        <f t="shared" si="400"/>
        <v>43676</v>
      </c>
      <c r="E2553" s="1513">
        <f t="shared" si="400"/>
        <v>0.54</v>
      </c>
      <c r="F2553" s="1509">
        <f t="shared" si="392"/>
        <v>0</v>
      </c>
      <c r="G2553" s="1509">
        <f t="shared" si="393"/>
        <v>0</v>
      </c>
      <c r="H2553" s="1509">
        <f t="shared" si="396"/>
        <v>0</v>
      </c>
      <c r="I2553" s="1509">
        <v>0</v>
      </c>
      <c r="J2553" s="1509">
        <v>0</v>
      </c>
      <c r="K2553" s="1509"/>
      <c r="L2553" s="1509"/>
      <c r="M2553" s="1509">
        <f t="shared" si="397"/>
        <v>0</v>
      </c>
      <c r="N2553" s="1509">
        <f t="shared" si="398"/>
        <v>0</v>
      </c>
      <c r="O2553" s="1510">
        <f t="shared" si="394"/>
        <v>0</v>
      </c>
      <c r="P2553" s="1453">
        <f t="shared" si="395"/>
        <v>0</v>
      </c>
    </row>
    <row r="2554" spans="1:16" ht="58" outlineLevel="1" x14ac:dyDescent="0.25">
      <c r="A2554" s="1506">
        <f t="shared" si="400"/>
        <v>20</v>
      </c>
      <c r="B2554" s="1507" t="str">
        <f t="shared" si="400"/>
        <v>Procurement of Energy Efficient Cartridges of boiler Feed Pumps at Unit # 6 &amp; 7, Girth Gear, Pinion for BBD-4772 Coal Mills &amp; Procurement, Installation, Commissioning of Variable Frequency Drive for Gravimetric Coal Feeders (2X250MW) at Parli TPS</v>
      </c>
      <c r="C2554" s="1506" t="str">
        <f t="shared" si="400"/>
        <v>MERC/CAPEX/2019-2020/476,
MERC/CAPEX/2019-2020/858</v>
      </c>
      <c r="D2554" s="1508" t="str">
        <f t="shared" si="400"/>
        <v>01-08-2019,
10-10-2019</v>
      </c>
      <c r="E2554" s="1509">
        <f t="shared" si="400"/>
        <v>21.26</v>
      </c>
      <c r="F2554" s="1509">
        <f t="shared" si="392"/>
        <v>0</v>
      </c>
      <c r="G2554" s="1509">
        <f t="shared" si="393"/>
        <v>0</v>
      </c>
      <c r="H2554" s="1509">
        <f t="shared" si="396"/>
        <v>0</v>
      </c>
      <c r="I2554" s="1509">
        <v>0</v>
      </c>
      <c r="J2554" s="1509">
        <v>0</v>
      </c>
      <c r="K2554" s="1509"/>
      <c r="L2554" s="1509"/>
      <c r="M2554" s="1509">
        <f t="shared" si="397"/>
        <v>0</v>
      </c>
      <c r="N2554" s="1509">
        <f t="shared" si="398"/>
        <v>0</v>
      </c>
      <c r="O2554" s="1510">
        <f t="shared" si="394"/>
        <v>0</v>
      </c>
      <c r="P2554" s="1453">
        <f t="shared" si="395"/>
        <v>0</v>
      </c>
    </row>
    <row r="2555" spans="1:16" ht="58" outlineLevel="1" x14ac:dyDescent="0.25">
      <c r="A2555" s="1511">
        <f t="shared" si="400"/>
        <v>20.100000000000001</v>
      </c>
      <c r="B2555" s="1512" t="str">
        <f t="shared" si="400"/>
        <v>Procurement &amp; replacement of complete BFP Cartridge for advance class pump model FK-3B-40.</v>
      </c>
      <c r="C2555" s="1511" t="str">
        <f t="shared" si="400"/>
        <v>MERC/CAPEX/2019-2020/476,
MERC/CAPEX/2019-2020/858</v>
      </c>
      <c r="D2555" s="1378" t="str">
        <f t="shared" si="400"/>
        <v>01-08-2019,
10-10-2019</v>
      </c>
      <c r="E2555" s="1513">
        <f t="shared" si="400"/>
        <v>14.39</v>
      </c>
      <c r="F2555" s="1509">
        <f t="shared" si="392"/>
        <v>14.1187</v>
      </c>
      <c r="G2555" s="1509">
        <f t="shared" si="393"/>
        <v>14.1187</v>
      </c>
      <c r="H2555" s="1509">
        <f t="shared" si="396"/>
        <v>0</v>
      </c>
      <c r="I2555" s="1509">
        <v>0</v>
      </c>
      <c r="J2555" s="1509">
        <v>0</v>
      </c>
      <c r="K2555" s="1509"/>
      <c r="L2555" s="1509"/>
      <c r="M2555" s="1509">
        <f t="shared" si="397"/>
        <v>0</v>
      </c>
      <c r="N2555" s="1509">
        <f t="shared" si="398"/>
        <v>0</v>
      </c>
      <c r="O2555" s="1510">
        <f t="shared" si="394"/>
        <v>0</v>
      </c>
      <c r="P2555" s="1453">
        <f t="shared" si="395"/>
        <v>0</v>
      </c>
    </row>
    <row r="2556" spans="1:16" ht="29" outlineLevel="1" x14ac:dyDescent="0.25">
      <c r="A2556" s="1511">
        <f t="shared" si="400"/>
        <v>20.2</v>
      </c>
      <c r="B2556" s="1512" t="str">
        <f t="shared" si="400"/>
        <v>Procurement of girth gear pinion for BBD-4772 coal mill at Parli TPS &amp; Work Cost for replacement of girth gear, pinion shaft bearing.</v>
      </c>
      <c r="C2556" s="1506">
        <f t="shared" si="400"/>
        <v>0</v>
      </c>
      <c r="D2556" s="1508" t="str">
        <f t="shared" si="400"/>
        <v>Not Approved</v>
      </c>
      <c r="E2556" s="1509">
        <f t="shared" si="400"/>
        <v>0</v>
      </c>
      <c r="F2556" s="1509">
        <f t="shared" si="392"/>
        <v>0</v>
      </c>
      <c r="G2556" s="1509">
        <f t="shared" si="393"/>
        <v>0</v>
      </c>
      <c r="H2556" s="1509">
        <f t="shared" si="396"/>
        <v>0</v>
      </c>
      <c r="I2556" s="1509">
        <v>0</v>
      </c>
      <c r="J2556" s="1509">
        <v>0</v>
      </c>
      <c r="K2556" s="1509"/>
      <c r="L2556" s="1509"/>
      <c r="M2556" s="1509">
        <f t="shared" si="397"/>
        <v>0</v>
      </c>
      <c r="N2556" s="1509">
        <f t="shared" si="398"/>
        <v>0</v>
      </c>
      <c r="O2556" s="1510">
        <f t="shared" si="394"/>
        <v>0</v>
      </c>
      <c r="P2556" s="1453">
        <f t="shared" si="395"/>
        <v>0</v>
      </c>
    </row>
    <row r="2557" spans="1:16" ht="58" outlineLevel="1" x14ac:dyDescent="0.25">
      <c r="A2557" s="1511">
        <f t="shared" ref="A2557:E2572" si="401">A2200</f>
        <v>20.3</v>
      </c>
      <c r="B2557" s="1512" t="str">
        <f t="shared" si="401"/>
        <v>Procurement of VFD up-grade kit for replacement of existing Eddy current clutch drive system.</v>
      </c>
      <c r="C2557" s="1511" t="str">
        <f t="shared" si="401"/>
        <v>MERC/CAPEX/2019-2020/476,
MERC/CAPEX/2019-2020/858</v>
      </c>
      <c r="D2557" s="1378" t="str">
        <f t="shared" si="401"/>
        <v>01-08-2019,
10-10-2019</v>
      </c>
      <c r="E2557" s="1513">
        <f t="shared" si="401"/>
        <v>5.94</v>
      </c>
      <c r="F2557" s="1509">
        <f t="shared" si="392"/>
        <v>5.9323319999999997</v>
      </c>
      <c r="G2557" s="1509">
        <f t="shared" si="393"/>
        <v>5.9323319999999997</v>
      </c>
      <c r="H2557" s="1509">
        <f t="shared" si="396"/>
        <v>0</v>
      </c>
      <c r="I2557" s="1509">
        <v>0</v>
      </c>
      <c r="J2557" s="1509">
        <v>0</v>
      </c>
      <c r="K2557" s="1509"/>
      <c r="L2557" s="1509"/>
      <c r="M2557" s="1509">
        <f t="shared" si="397"/>
        <v>0</v>
      </c>
      <c r="N2557" s="1509">
        <f t="shared" si="398"/>
        <v>0</v>
      </c>
      <c r="O2557" s="1510">
        <f t="shared" si="394"/>
        <v>0</v>
      </c>
      <c r="P2557" s="1453">
        <f t="shared" si="395"/>
        <v>0</v>
      </c>
    </row>
    <row r="2558" spans="1:16" ht="58" outlineLevel="1" x14ac:dyDescent="0.25">
      <c r="A2558" s="1511">
        <f t="shared" si="401"/>
        <v>20.399999999999999</v>
      </c>
      <c r="B2558" s="1512" t="str">
        <f t="shared" si="401"/>
        <v>Supervision of Installation, erection and commissioning for DT-9 &amp; VFD Upgrade system inclusive of travel charges Boarding and lodging.</v>
      </c>
      <c r="C2558" s="1511" t="str">
        <f t="shared" si="401"/>
        <v>MERC/CAPEX/2019-2020/476,
MERC/CAPEX/2019-2020/858</v>
      </c>
      <c r="D2558" s="1378" t="str">
        <f t="shared" si="401"/>
        <v>01-08-2019,
10-10-2019</v>
      </c>
      <c r="E2558" s="1513">
        <f t="shared" si="401"/>
        <v>0.28999999999999998</v>
      </c>
      <c r="F2558" s="1509">
        <f t="shared" si="392"/>
        <v>0.28320000000000001</v>
      </c>
      <c r="G2558" s="1509">
        <f t="shared" si="393"/>
        <v>0.28320000000000001</v>
      </c>
      <c r="H2558" s="1509">
        <f t="shared" si="396"/>
        <v>0</v>
      </c>
      <c r="I2558" s="1509">
        <v>0</v>
      </c>
      <c r="J2558" s="1509">
        <v>0</v>
      </c>
      <c r="K2558" s="1509"/>
      <c r="L2558" s="1509"/>
      <c r="M2558" s="1509">
        <f t="shared" si="397"/>
        <v>0</v>
      </c>
      <c r="N2558" s="1509">
        <f t="shared" si="398"/>
        <v>0</v>
      </c>
      <c r="O2558" s="1510">
        <f t="shared" si="394"/>
        <v>0</v>
      </c>
      <c r="P2558" s="1453">
        <f t="shared" si="395"/>
        <v>0</v>
      </c>
    </row>
    <row r="2559" spans="1:16" ht="58" outlineLevel="1" x14ac:dyDescent="0.25">
      <c r="A2559" s="1511">
        <f t="shared" si="401"/>
        <v>0</v>
      </c>
      <c r="B2559" s="1512" t="str">
        <f t="shared" si="401"/>
        <v>IDC</v>
      </c>
      <c r="C2559" s="1511" t="str">
        <f t="shared" si="401"/>
        <v>MERC/CAPEX/2019-2020/476,
MERC/CAPEX/2019-2020/858</v>
      </c>
      <c r="D2559" s="1378" t="str">
        <f t="shared" si="401"/>
        <v>01-08-2019,
10-10-2019</v>
      </c>
      <c r="E2559" s="1513">
        <f t="shared" si="401"/>
        <v>0.64</v>
      </c>
      <c r="F2559" s="1509">
        <f t="shared" si="392"/>
        <v>0.51657549999999997</v>
      </c>
      <c r="G2559" s="1509">
        <f t="shared" si="393"/>
        <v>0.51657549999999997</v>
      </c>
      <c r="H2559" s="1509">
        <f t="shared" si="396"/>
        <v>0</v>
      </c>
      <c r="I2559" s="1509">
        <v>0</v>
      </c>
      <c r="J2559" s="1509">
        <v>0</v>
      </c>
      <c r="K2559" s="1509"/>
      <c r="L2559" s="1509"/>
      <c r="M2559" s="1509">
        <f t="shared" si="397"/>
        <v>0</v>
      </c>
      <c r="N2559" s="1509">
        <f t="shared" si="398"/>
        <v>0</v>
      </c>
      <c r="O2559" s="1510">
        <f t="shared" si="394"/>
        <v>0</v>
      </c>
      <c r="P2559" s="1453">
        <f t="shared" si="395"/>
        <v>0</v>
      </c>
    </row>
    <row r="2560" spans="1:16" ht="43.5" outlineLevel="1" x14ac:dyDescent="0.25">
      <c r="A2560" s="1506">
        <f t="shared" si="401"/>
        <v>21</v>
      </c>
      <c r="B2560" s="1507" t="str">
        <f t="shared" si="401"/>
        <v>HMI up-gradation of DCS U-6 &amp; U-7 and Procurement of Assemblies for Reducer Gear box SZN-630 &amp; SBN-630 for BBD-4772 (2 x 250 MW) coal mills at Parli TPS</v>
      </c>
      <c r="C2560" s="1506" t="str">
        <f t="shared" si="401"/>
        <v>MERC/CAPEX/2019-2020/854</v>
      </c>
      <c r="D2560" s="1508">
        <f t="shared" si="401"/>
        <v>43748</v>
      </c>
      <c r="E2560" s="1509">
        <f t="shared" si="401"/>
        <v>13.2</v>
      </c>
      <c r="F2560" s="1509">
        <f t="shared" si="392"/>
        <v>0</v>
      </c>
      <c r="G2560" s="1509">
        <f t="shared" si="393"/>
        <v>0</v>
      </c>
      <c r="H2560" s="1509">
        <f t="shared" si="396"/>
        <v>0</v>
      </c>
      <c r="I2560" s="1509">
        <v>0</v>
      </c>
      <c r="J2560" s="1509">
        <v>0</v>
      </c>
      <c r="K2560" s="1509"/>
      <c r="L2560" s="1509"/>
      <c r="M2560" s="1509">
        <f t="shared" si="397"/>
        <v>0</v>
      </c>
      <c r="N2560" s="1509">
        <f t="shared" si="398"/>
        <v>0</v>
      </c>
      <c r="O2560" s="1510">
        <f t="shared" si="394"/>
        <v>0</v>
      </c>
      <c r="P2560" s="1453">
        <f t="shared" si="395"/>
        <v>0</v>
      </c>
    </row>
    <row r="2561" spans="1:16" outlineLevel="1" x14ac:dyDescent="0.25">
      <c r="A2561" s="1511">
        <f t="shared" si="401"/>
        <v>21.1</v>
      </c>
      <c r="B2561" s="1512" t="str">
        <f t="shared" si="401"/>
        <v>Up gradation of MaxDNA DCS system (HMI Up gradation).</v>
      </c>
      <c r="C2561" s="1511" t="str">
        <f t="shared" si="401"/>
        <v>MERC/CAPEX/2019-2020/854</v>
      </c>
      <c r="D2561" s="1378">
        <f t="shared" si="401"/>
        <v>43748</v>
      </c>
      <c r="E2561" s="1513">
        <f t="shared" si="401"/>
        <v>10.49</v>
      </c>
      <c r="F2561" s="1509">
        <f t="shared" si="392"/>
        <v>9.06</v>
      </c>
      <c r="G2561" s="1509">
        <f t="shared" si="393"/>
        <v>9.4502962000000004</v>
      </c>
      <c r="H2561" s="1509">
        <f t="shared" si="396"/>
        <v>-0.39029619999999987</v>
      </c>
      <c r="I2561" s="1509">
        <v>0</v>
      </c>
      <c r="J2561" s="1509">
        <v>0</v>
      </c>
      <c r="K2561" s="1509"/>
      <c r="L2561" s="1509"/>
      <c r="M2561" s="1509">
        <f t="shared" si="397"/>
        <v>0</v>
      </c>
      <c r="N2561" s="1509">
        <f t="shared" si="398"/>
        <v>-0.39029619999999987</v>
      </c>
      <c r="O2561" s="1510">
        <f t="shared" si="394"/>
        <v>0</v>
      </c>
      <c r="P2561" s="1453">
        <f t="shared" si="395"/>
        <v>0</v>
      </c>
    </row>
    <row r="2562" spans="1:16" outlineLevel="1" x14ac:dyDescent="0.25">
      <c r="A2562" s="1511">
        <f t="shared" si="401"/>
        <v>0</v>
      </c>
      <c r="B2562" s="1512" t="str">
        <f t="shared" si="401"/>
        <v>IDC</v>
      </c>
      <c r="C2562" s="1511">
        <f t="shared" si="401"/>
        <v>0</v>
      </c>
      <c r="D2562" s="1378" t="str">
        <f t="shared" si="401"/>
        <v>-</v>
      </c>
      <c r="E2562" s="1513">
        <f t="shared" si="401"/>
        <v>0</v>
      </c>
      <c r="F2562" s="1509">
        <f t="shared" si="392"/>
        <v>0.20089699999999999</v>
      </c>
      <c r="G2562" s="1509">
        <f t="shared" si="393"/>
        <v>0.72855489999999945</v>
      </c>
      <c r="H2562" s="1509">
        <f t="shared" si="396"/>
        <v>-0.52765789999999946</v>
      </c>
      <c r="I2562" s="1509">
        <v>0</v>
      </c>
      <c r="J2562" s="1509">
        <v>0</v>
      </c>
      <c r="K2562" s="1509"/>
      <c r="L2562" s="1509"/>
      <c r="M2562" s="1509">
        <f t="shared" si="397"/>
        <v>0</v>
      </c>
      <c r="N2562" s="1509">
        <f t="shared" si="398"/>
        <v>-0.52765789999999946</v>
      </c>
      <c r="O2562" s="1510"/>
      <c r="P2562" s="1453"/>
    </row>
    <row r="2563" spans="1:16" ht="29" outlineLevel="1" x14ac:dyDescent="0.25">
      <c r="A2563" s="1511">
        <f t="shared" si="401"/>
        <v>21.2</v>
      </c>
      <c r="B2563" s="1512" t="str">
        <f t="shared" si="401"/>
        <v xml:space="preserve">Procurement of Spares for Reducer Gear box SZN-630 for BBD-4772 Coal mills of 250MW at Unit 6 </v>
      </c>
      <c r="C2563" s="1506" t="str">
        <f t="shared" si="401"/>
        <v>MERC/CAPEX/2019-2020/854</v>
      </c>
      <c r="D2563" s="1508">
        <f t="shared" si="401"/>
        <v>43748</v>
      </c>
      <c r="E2563" s="1509">
        <f t="shared" si="401"/>
        <v>1.01</v>
      </c>
      <c r="F2563" s="1509">
        <f t="shared" si="392"/>
        <v>1.0442298999999999</v>
      </c>
      <c r="G2563" s="1509">
        <f t="shared" si="393"/>
        <v>1.0442298999999999</v>
      </c>
      <c r="H2563" s="1509">
        <f t="shared" si="396"/>
        <v>0</v>
      </c>
      <c r="I2563" s="1509">
        <v>0</v>
      </c>
      <c r="J2563" s="1509">
        <v>0</v>
      </c>
      <c r="K2563" s="1509"/>
      <c r="L2563" s="1509"/>
      <c r="M2563" s="1509">
        <f t="shared" si="397"/>
        <v>0</v>
      </c>
      <c r="N2563" s="1509">
        <f t="shared" si="398"/>
        <v>0</v>
      </c>
      <c r="O2563" s="1510">
        <f t="shared" ref="O2563:O2572" si="402">MAX(0,IF(M2563=0,0,IF(G2563+M2563&lt;E2563,M2563,E2563-G2563)))</f>
        <v>0</v>
      </c>
      <c r="P2563" s="1453">
        <f t="shared" ref="P2563:P2572" si="403">M2563-O2563</f>
        <v>0</v>
      </c>
    </row>
    <row r="2564" spans="1:16" ht="29" outlineLevel="1" x14ac:dyDescent="0.25">
      <c r="A2564" s="1511">
        <f t="shared" si="401"/>
        <v>21.3</v>
      </c>
      <c r="B2564" s="1512" t="str">
        <f t="shared" si="401"/>
        <v xml:space="preserve">Procurement of Spares for Reducer Gear box SBN-630 for BBD-4772 Coal mills of 250MW at Unit 7 </v>
      </c>
      <c r="C2564" s="1511" t="str">
        <f t="shared" si="401"/>
        <v>MERC/CAPEX/2019-2020/854</v>
      </c>
      <c r="D2564" s="1378">
        <f t="shared" si="401"/>
        <v>43748</v>
      </c>
      <c r="E2564" s="1513">
        <f t="shared" si="401"/>
        <v>1.7</v>
      </c>
      <c r="F2564" s="1509">
        <f t="shared" si="392"/>
        <v>1.6232219000000001</v>
      </c>
      <c r="G2564" s="1509">
        <f t="shared" si="393"/>
        <v>1.6232219000000001</v>
      </c>
      <c r="H2564" s="1509">
        <f t="shared" si="396"/>
        <v>0</v>
      </c>
      <c r="I2564" s="1509">
        <v>0</v>
      </c>
      <c r="J2564" s="1509">
        <v>0</v>
      </c>
      <c r="K2564" s="1509"/>
      <c r="L2564" s="1509"/>
      <c r="M2564" s="1509">
        <f t="shared" si="397"/>
        <v>0</v>
      </c>
      <c r="N2564" s="1509">
        <f t="shared" si="398"/>
        <v>0</v>
      </c>
      <c r="O2564" s="1510">
        <f t="shared" si="402"/>
        <v>0</v>
      </c>
      <c r="P2564" s="1453">
        <f t="shared" si="403"/>
        <v>0</v>
      </c>
    </row>
    <row r="2565" spans="1:16" outlineLevel="1" x14ac:dyDescent="0.25">
      <c r="A2565" s="1511">
        <f t="shared" si="401"/>
        <v>0</v>
      </c>
      <c r="B2565" s="1512" t="str">
        <f t="shared" si="401"/>
        <v>IDC</v>
      </c>
      <c r="C2565" s="1511" t="str">
        <f t="shared" si="401"/>
        <v>MERC/CAPEX/2019-2020/854</v>
      </c>
      <c r="D2565" s="1378">
        <f t="shared" si="401"/>
        <v>43748</v>
      </c>
      <c r="E2565" s="1513">
        <f t="shared" si="401"/>
        <v>0</v>
      </c>
      <c r="F2565" s="1509">
        <f t="shared" si="392"/>
        <v>0</v>
      </c>
      <c r="G2565" s="1509">
        <f t="shared" si="393"/>
        <v>0</v>
      </c>
      <c r="H2565" s="1509">
        <f t="shared" si="396"/>
        <v>0</v>
      </c>
      <c r="I2565" s="1509">
        <v>0</v>
      </c>
      <c r="J2565" s="1509">
        <v>0</v>
      </c>
      <c r="K2565" s="1509"/>
      <c r="L2565" s="1509"/>
      <c r="M2565" s="1509">
        <f t="shared" si="397"/>
        <v>0</v>
      </c>
      <c r="N2565" s="1509">
        <f t="shared" si="398"/>
        <v>0</v>
      </c>
      <c r="O2565" s="1510">
        <f t="shared" si="402"/>
        <v>0</v>
      </c>
      <c r="P2565" s="1453">
        <f t="shared" si="403"/>
        <v>0</v>
      </c>
    </row>
    <row r="2566" spans="1:16" outlineLevel="1" x14ac:dyDescent="0.25">
      <c r="A2566" s="1506">
        <f t="shared" si="401"/>
        <v>22</v>
      </c>
      <c r="B2566" s="1507" t="str">
        <f t="shared" si="401"/>
        <v>Flue Gas Desulphurization (FGD) System at Unit 6 &amp; 7 Parli TPS</v>
      </c>
      <c r="C2566" s="1506" t="str">
        <f t="shared" si="401"/>
        <v>MERC/CAPEX/2021-2022/0284</v>
      </c>
      <c r="D2566" s="1508">
        <f t="shared" si="401"/>
        <v>44739</v>
      </c>
      <c r="E2566" s="1509">
        <f t="shared" si="401"/>
        <v>145.01688209794372</v>
      </c>
      <c r="F2566" s="1509">
        <f t="shared" si="392"/>
        <v>0</v>
      </c>
      <c r="G2566" s="1509">
        <f t="shared" si="393"/>
        <v>0</v>
      </c>
      <c r="H2566" s="1509">
        <f t="shared" si="396"/>
        <v>0</v>
      </c>
      <c r="I2566" s="1509">
        <v>0</v>
      </c>
      <c r="J2566" s="1509">
        <v>0</v>
      </c>
      <c r="K2566" s="1509"/>
      <c r="L2566" s="1509"/>
      <c r="M2566" s="1509">
        <f t="shared" si="397"/>
        <v>0</v>
      </c>
      <c r="N2566" s="1509">
        <f t="shared" si="398"/>
        <v>0</v>
      </c>
      <c r="O2566" s="1510">
        <f t="shared" si="402"/>
        <v>0</v>
      </c>
      <c r="P2566" s="1453">
        <f t="shared" si="403"/>
        <v>0</v>
      </c>
    </row>
    <row r="2567" spans="1:16" outlineLevel="1" x14ac:dyDescent="0.25">
      <c r="A2567" s="1511">
        <f t="shared" si="401"/>
        <v>22.1</v>
      </c>
      <c r="B2567" s="1512" t="str">
        <f t="shared" si="401"/>
        <v xml:space="preserve">Flue Gas Desulphurization (FGD) System at Unit 6 &amp; 7 Parli TPS                    </v>
      </c>
      <c r="C2567" s="1511" t="str">
        <f t="shared" si="401"/>
        <v>MERC/CAPEX/2021-2022/0284</v>
      </c>
      <c r="D2567" s="1378">
        <f t="shared" si="401"/>
        <v>44739</v>
      </c>
      <c r="E2567" s="1513">
        <f t="shared" si="401"/>
        <v>138.44</v>
      </c>
      <c r="F2567" s="1509">
        <f t="shared" si="392"/>
        <v>154.85509999999999</v>
      </c>
      <c r="G2567" s="1509">
        <f t="shared" si="393"/>
        <v>163.28</v>
      </c>
      <c r="H2567" s="1509">
        <f t="shared" si="396"/>
        <v>-8.424900000000008</v>
      </c>
      <c r="I2567" s="1509">
        <v>0</v>
      </c>
      <c r="J2567" s="1509">
        <v>0</v>
      </c>
      <c r="K2567" s="1509"/>
      <c r="L2567" s="1509"/>
      <c r="M2567" s="1509">
        <f t="shared" si="397"/>
        <v>0</v>
      </c>
      <c r="N2567" s="1509">
        <f t="shared" si="398"/>
        <v>-8.424900000000008</v>
      </c>
      <c r="O2567" s="1510">
        <f t="shared" si="402"/>
        <v>0</v>
      </c>
      <c r="P2567" s="1453">
        <f t="shared" si="403"/>
        <v>0</v>
      </c>
    </row>
    <row r="2568" spans="1:16" outlineLevel="1" x14ac:dyDescent="0.25">
      <c r="A2568" s="1511">
        <f t="shared" si="401"/>
        <v>0</v>
      </c>
      <c r="B2568" s="1512" t="str">
        <f t="shared" si="401"/>
        <v>IDC</v>
      </c>
      <c r="C2568" s="1511" t="str">
        <f t="shared" si="401"/>
        <v>MERC/CAPEX/2021-2022/0284</v>
      </c>
      <c r="D2568" s="1378">
        <f t="shared" si="401"/>
        <v>44739</v>
      </c>
      <c r="E2568" s="1513">
        <f t="shared" si="401"/>
        <v>6.5768820979437104</v>
      </c>
      <c r="F2568" s="1509">
        <f t="shared" si="392"/>
        <v>7.15</v>
      </c>
      <c r="G2568" s="1509">
        <f t="shared" si="393"/>
        <v>0</v>
      </c>
      <c r="H2568" s="1509">
        <f t="shared" si="396"/>
        <v>7.15</v>
      </c>
      <c r="I2568" s="1509">
        <v>0</v>
      </c>
      <c r="J2568" s="1509">
        <v>0</v>
      </c>
      <c r="K2568" s="1509"/>
      <c r="L2568" s="1509"/>
      <c r="M2568" s="1509">
        <f t="shared" si="397"/>
        <v>0</v>
      </c>
      <c r="N2568" s="1509">
        <f t="shared" si="398"/>
        <v>7.15</v>
      </c>
      <c r="O2568" s="1510">
        <f t="shared" si="402"/>
        <v>0</v>
      </c>
      <c r="P2568" s="1453">
        <f t="shared" si="403"/>
        <v>0</v>
      </c>
    </row>
    <row r="2569" spans="1:16" ht="43.5" outlineLevel="1" x14ac:dyDescent="0.25">
      <c r="A2569" s="1506" t="str">
        <f t="shared" si="401"/>
        <v>HO
DPR-5</v>
      </c>
      <c r="B2569" s="1507" t="str">
        <f t="shared" si="401"/>
        <v>Procurement of energy efficient HT motors at Bhusawal TPS, Koradi TPS, Chandrapur TPS, khaperkheda TPS, Parli TPS &amp; Paras TPS as insurance spares</v>
      </c>
      <c r="C2569" s="1506" t="str">
        <f t="shared" si="401"/>
        <v>MERC/TECH 1/CAPEX/20142015/01218</v>
      </c>
      <c r="D2569" s="1508">
        <f t="shared" si="401"/>
        <v>41968</v>
      </c>
      <c r="E2569" s="1509">
        <f t="shared" si="401"/>
        <v>3.05</v>
      </c>
      <c r="F2569" s="1509">
        <f t="shared" si="392"/>
        <v>0</v>
      </c>
      <c r="G2569" s="1509">
        <f t="shared" si="393"/>
        <v>0</v>
      </c>
      <c r="H2569" s="1509">
        <f t="shared" si="396"/>
        <v>0</v>
      </c>
      <c r="I2569" s="1509">
        <v>0</v>
      </c>
      <c r="J2569" s="1509">
        <v>0</v>
      </c>
      <c r="K2569" s="1509"/>
      <c r="L2569" s="1509"/>
      <c r="M2569" s="1509">
        <f t="shared" si="397"/>
        <v>0</v>
      </c>
      <c r="N2569" s="1509">
        <f t="shared" si="398"/>
        <v>0</v>
      </c>
      <c r="O2569" s="1510">
        <f t="shared" si="402"/>
        <v>0</v>
      </c>
      <c r="P2569" s="1453">
        <f t="shared" si="403"/>
        <v>0</v>
      </c>
    </row>
    <row r="2570" spans="1:16" ht="43.5" outlineLevel="1" x14ac:dyDescent="0.25">
      <c r="A2570" s="1511" t="str">
        <f t="shared" si="401"/>
        <v>HO
DPR-5a</v>
      </c>
      <c r="B2570" s="1512" t="str">
        <f t="shared" si="401"/>
        <v>Parli: Procurement of HT Motors (CHP-I Phase and CEP/CW/ACW-II Phase)for NPTPS U-6&amp;7</v>
      </c>
      <c r="C2570" s="1511" t="str">
        <f t="shared" si="401"/>
        <v>MERC/TECH 1/CAPEX/20142015/01218</v>
      </c>
      <c r="D2570" s="1378">
        <f t="shared" si="401"/>
        <v>41968</v>
      </c>
      <c r="E2570" s="1513">
        <f t="shared" si="401"/>
        <v>3.05</v>
      </c>
      <c r="F2570" s="1509">
        <f t="shared" si="392"/>
        <v>1.409902</v>
      </c>
      <c r="G2570" s="1509">
        <f t="shared" si="393"/>
        <v>1.409902</v>
      </c>
      <c r="H2570" s="1509">
        <f t="shared" si="396"/>
        <v>0</v>
      </c>
      <c r="I2570" s="1509">
        <v>0</v>
      </c>
      <c r="J2570" s="1509">
        <v>0</v>
      </c>
      <c r="K2570" s="1509"/>
      <c r="L2570" s="1509"/>
      <c r="M2570" s="1509">
        <f t="shared" si="397"/>
        <v>0</v>
      </c>
      <c r="N2570" s="1509">
        <f t="shared" si="398"/>
        <v>0</v>
      </c>
      <c r="O2570" s="1510">
        <f t="shared" si="402"/>
        <v>0</v>
      </c>
      <c r="P2570" s="1453">
        <f t="shared" si="403"/>
        <v>0</v>
      </c>
    </row>
    <row r="2571" spans="1:16" ht="43.5" outlineLevel="1" x14ac:dyDescent="0.25">
      <c r="A2571" s="1506" t="str">
        <f t="shared" si="401"/>
        <v>HO
DPR-6</v>
      </c>
      <c r="B2571" s="1507" t="str">
        <f t="shared" si="401"/>
        <v>Supply, Installation, Commissioning and Operation &amp; Maintenance Services of Continuous Ambient Air Quality Monitoring Stations (CAAQMS) at various TPS</v>
      </c>
      <c r="C2571" s="1506" t="str">
        <f t="shared" si="401"/>
        <v>MERC/CAPEX/20162017/00423</v>
      </c>
      <c r="D2571" s="1508">
        <f t="shared" si="401"/>
        <v>42585</v>
      </c>
      <c r="E2571" s="1509">
        <f t="shared" si="401"/>
        <v>1.3257526714285699</v>
      </c>
      <c r="F2571" s="1509">
        <f t="shared" si="392"/>
        <v>0</v>
      </c>
      <c r="G2571" s="1509">
        <f t="shared" si="393"/>
        <v>0</v>
      </c>
      <c r="H2571" s="1509">
        <f t="shared" si="396"/>
        <v>0</v>
      </c>
      <c r="I2571" s="1509">
        <v>0</v>
      </c>
      <c r="J2571" s="1509">
        <v>0</v>
      </c>
      <c r="K2571" s="1509"/>
      <c r="L2571" s="1509"/>
      <c r="M2571" s="1509">
        <f t="shared" si="397"/>
        <v>0</v>
      </c>
      <c r="N2571" s="1509">
        <f t="shared" si="398"/>
        <v>0</v>
      </c>
      <c r="O2571" s="1510">
        <f t="shared" si="402"/>
        <v>0</v>
      </c>
      <c r="P2571" s="1453">
        <f t="shared" si="403"/>
        <v>0</v>
      </c>
    </row>
    <row r="2572" spans="1:16" ht="43.5" outlineLevel="1" x14ac:dyDescent="0.25">
      <c r="A2572" s="1511" t="str">
        <f t="shared" si="401"/>
        <v>HO
DPR-6a</v>
      </c>
      <c r="B2572" s="1512" t="str">
        <f t="shared" si="401"/>
        <v>NEW PARLI (U-6 &amp; 7)</v>
      </c>
      <c r="C2572" s="1511" t="str">
        <f t="shared" si="401"/>
        <v>MERC/CAPEX/20162017/00423</v>
      </c>
      <c r="D2572" s="1378">
        <f t="shared" si="401"/>
        <v>42585</v>
      </c>
      <c r="E2572" s="1513">
        <f t="shared" si="401"/>
        <v>1.3257526714285699</v>
      </c>
      <c r="F2572" s="1509">
        <f t="shared" si="392"/>
        <v>0.94127489999999991</v>
      </c>
      <c r="G2572" s="1509">
        <f t="shared" si="393"/>
        <v>0.94127489999999991</v>
      </c>
      <c r="H2572" s="1509">
        <f t="shared" si="396"/>
        <v>0</v>
      </c>
      <c r="I2572" s="1509">
        <v>0</v>
      </c>
      <c r="J2572" s="1509">
        <v>0</v>
      </c>
      <c r="K2572" s="1509"/>
      <c r="L2572" s="1509"/>
      <c r="M2572" s="1509">
        <f t="shared" si="397"/>
        <v>0</v>
      </c>
      <c r="N2572" s="1509">
        <f t="shared" si="398"/>
        <v>0</v>
      </c>
      <c r="O2572" s="1510">
        <f t="shared" si="402"/>
        <v>0</v>
      </c>
      <c r="P2572" s="1453">
        <f t="shared" si="403"/>
        <v>0</v>
      </c>
    </row>
    <row r="2573" spans="1:16" outlineLevel="1" x14ac:dyDescent="0.25">
      <c r="A2573" s="1511">
        <f t="shared" ref="A2573:E2588" si="404">A2216</f>
        <v>0</v>
      </c>
      <c r="B2573" s="1512" t="str">
        <f t="shared" si="404"/>
        <v>IDC</v>
      </c>
      <c r="C2573" s="1511">
        <f t="shared" si="404"/>
        <v>0</v>
      </c>
      <c r="D2573" s="1378" t="str">
        <f t="shared" si="404"/>
        <v>-</v>
      </c>
      <c r="E2573" s="1513">
        <f t="shared" si="404"/>
        <v>0</v>
      </c>
      <c r="F2573" s="1509">
        <f t="shared" ref="F2573:F2636" si="405">F2216+I2216</f>
        <v>3.9603800000000002E-2</v>
      </c>
      <c r="G2573" s="1509">
        <f t="shared" ref="G2573:G2636" si="406">G2216+M2216</f>
        <v>3.9603800000000002E-2</v>
      </c>
      <c r="H2573" s="1509">
        <f t="shared" si="396"/>
        <v>0</v>
      </c>
      <c r="I2573" s="1509">
        <v>0</v>
      </c>
      <c r="J2573" s="1509">
        <v>0</v>
      </c>
      <c r="K2573" s="1509"/>
      <c r="L2573" s="1509"/>
      <c r="M2573" s="1509">
        <f t="shared" si="397"/>
        <v>0</v>
      </c>
      <c r="N2573" s="1509">
        <f t="shared" si="398"/>
        <v>0</v>
      </c>
      <c r="O2573" s="1510"/>
      <c r="P2573" s="1453"/>
    </row>
    <row r="2574" spans="1:16" ht="43.5" outlineLevel="1" x14ac:dyDescent="0.25">
      <c r="A2574" s="1506" t="str">
        <f t="shared" si="404"/>
        <v>HO
DPR 7</v>
      </c>
      <c r="B2574" s="1507" t="str">
        <f t="shared" si="404"/>
        <v>Installation of Real Time Online Coal-Ash Analyzer at various TPS</v>
      </c>
      <c r="C2574" s="1506" t="str">
        <f t="shared" si="404"/>
        <v>MERC/CAPEX/20162017/00774</v>
      </c>
      <c r="D2574" s="1508">
        <f t="shared" si="404"/>
        <v>42643</v>
      </c>
      <c r="E2574" s="1509">
        <f t="shared" si="404"/>
        <v>7.0965999999999996</v>
      </c>
      <c r="F2574" s="1509">
        <f t="shared" si="405"/>
        <v>0</v>
      </c>
      <c r="G2574" s="1509">
        <f t="shared" si="406"/>
        <v>0</v>
      </c>
      <c r="H2574" s="1509">
        <f t="shared" ref="H2574:H2637" si="407">F2574-G2574</f>
        <v>0</v>
      </c>
      <c r="I2574" s="1509">
        <v>0</v>
      </c>
      <c r="J2574" s="1509">
        <v>0</v>
      </c>
      <c r="K2574" s="1509"/>
      <c r="L2574" s="1509"/>
      <c r="M2574" s="1509">
        <f t="shared" ref="M2574:M2637" si="408">SUM(J2574:L2574)</f>
        <v>0</v>
      </c>
      <c r="N2574" s="1509">
        <f t="shared" ref="N2574:N2637" si="409">H2574+I2574-M2574</f>
        <v>0</v>
      </c>
      <c r="O2574" s="1510">
        <f t="shared" ref="O2574:O2583" si="410">MAX(0,IF(M2574=0,0,IF(G2574+M2574&lt;E2574,M2574,E2574-G2574)))</f>
        <v>0</v>
      </c>
      <c r="P2574" s="1453">
        <f t="shared" ref="P2574:P2583" si="411">M2574-O2574</f>
        <v>0</v>
      </c>
    </row>
    <row r="2575" spans="1:16" ht="43.5" outlineLevel="1" x14ac:dyDescent="0.25">
      <c r="A2575" s="1511" t="str">
        <f t="shared" si="404"/>
        <v>HO
DPR 7a</v>
      </c>
      <c r="B2575" s="1512" t="str">
        <f t="shared" si="404"/>
        <v>NEW PARLI (U-6 &amp; 7)</v>
      </c>
      <c r="C2575" s="1511" t="str">
        <f t="shared" si="404"/>
        <v>MERC/CAPEX/20162017/00774</v>
      </c>
      <c r="D2575" s="1378">
        <f t="shared" si="404"/>
        <v>42643</v>
      </c>
      <c r="E2575" s="1513">
        <f t="shared" si="404"/>
        <v>7.0965999999999996</v>
      </c>
      <c r="F2575" s="1509">
        <f t="shared" si="405"/>
        <v>0</v>
      </c>
      <c r="G2575" s="1509">
        <f t="shared" si="406"/>
        <v>0</v>
      </c>
      <c r="H2575" s="1509">
        <f t="shared" si="407"/>
        <v>0</v>
      </c>
      <c r="I2575" s="1509">
        <v>0</v>
      </c>
      <c r="J2575" s="1509">
        <v>0</v>
      </c>
      <c r="K2575" s="1509"/>
      <c r="L2575" s="1509"/>
      <c r="M2575" s="1509">
        <f t="shared" si="408"/>
        <v>0</v>
      </c>
      <c r="N2575" s="1509">
        <f t="shared" si="409"/>
        <v>0</v>
      </c>
      <c r="O2575" s="1510">
        <f t="shared" si="410"/>
        <v>0</v>
      </c>
      <c r="P2575" s="1453">
        <f t="shared" si="411"/>
        <v>0</v>
      </c>
    </row>
    <row r="2576" spans="1:16" ht="43.5" outlineLevel="1" x14ac:dyDescent="0.25">
      <c r="A2576" s="1506" t="str">
        <f t="shared" si="404"/>
        <v>HO
DPR 8</v>
      </c>
      <c r="B2576" s="1507" t="str">
        <f t="shared" si="404"/>
        <v>Replacement of Fire Tenders at Various Power Stations of Mahagenco</v>
      </c>
      <c r="C2576" s="1506" t="str">
        <f t="shared" si="404"/>
        <v>MERC/CAPEX/20172018/4653</v>
      </c>
      <c r="D2576" s="1508">
        <f t="shared" si="404"/>
        <v>43052</v>
      </c>
      <c r="E2576" s="1509">
        <f t="shared" si="404"/>
        <v>3.97</v>
      </c>
      <c r="F2576" s="1509">
        <f t="shared" si="405"/>
        <v>0</v>
      </c>
      <c r="G2576" s="1509">
        <f t="shared" si="406"/>
        <v>0</v>
      </c>
      <c r="H2576" s="1509">
        <f t="shared" si="407"/>
        <v>0</v>
      </c>
      <c r="I2576" s="1509">
        <v>0</v>
      </c>
      <c r="J2576" s="1509">
        <v>0</v>
      </c>
      <c r="K2576" s="1509"/>
      <c r="L2576" s="1509"/>
      <c r="M2576" s="1509">
        <f t="shared" si="408"/>
        <v>0</v>
      </c>
      <c r="N2576" s="1509">
        <f t="shared" si="409"/>
        <v>0</v>
      </c>
      <c r="O2576" s="1510">
        <f t="shared" si="410"/>
        <v>0</v>
      </c>
      <c r="P2576" s="1453">
        <f t="shared" si="411"/>
        <v>0</v>
      </c>
    </row>
    <row r="2577" spans="1:16" ht="43.5" outlineLevel="1" x14ac:dyDescent="0.25">
      <c r="A2577" s="1511" t="str">
        <f t="shared" si="404"/>
        <v>HO
DPR 8.1</v>
      </c>
      <c r="B2577" s="1512" t="str">
        <f t="shared" si="404"/>
        <v>Advance Multipurpose Fire Tender for Parli 6-7</v>
      </c>
      <c r="C2577" s="1511" t="str">
        <f t="shared" si="404"/>
        <v>MERC/CAPEX/20172018/4653</v>
      </c>
      <c r="D2577" s="1378">
        <f t="shared" si="404"/>
        <v>43052</v>
      </c>
      <c r="E2577" s="1513">
        <f t="shared" si="404"/>
        <v>2.72</v>
      </c>
      <c r="F2577" s="1509">
        <f t="shared" si="405"/>
        <v>1.7765</v>
      </c>
      <c r="G2577" s="1509">
        <f t="shared" si="406"/>
        <v>1.7765</v>
      </c>
      <c r="H2577" s="1509">
        <f t="shared" si="407"/>
        <v>0</v>
      </c>
      <c r="I2577" s="1509">
        <v>0</v>
      </c>
      <c r="J2577" s="1509">
        <v>0</v>
      </c>
      <c r="K2577" s="1509"/>
      <c r="L2577" s="1509"/>
      <c r="M2577" s="1509">
        <f t="shared" si="408"/>
        <v>0</v>
      </c>
      <c r="N2577" s="1509">
        <f t="shared" si="409"/>
        <v>0</v>
      </c>
      <c r="O2577" s="1510">
        <f t="shared" si="410"/>
        <v>0</v>
      </c>
      <c r="P2577" s="1453">
        <f t="shared" si="411"/>
        <v>0</v>
      </c>
    </row>
    <row r="2578" spans="1:16" ht="43.5" outlineLevel="1" x14ac:dyDescent="0.25">
      <c r="A2578" s="1511" t="str">
        <f t="shared" si="404"/>
        <v>HO
DPR 8.2</v>
      </c>
      <c r="B2578" s="1512" t="str">
        <f t="shared" si="404"/>
        <v>Normal Multipurpose Fire Tender Parli 6-7</v>
      </c>
      <c r="C2578" s="1511" t="str">
        <f t="shared" si="404"/>
        <v>MERC/CAPEX/20172018/4653</v>
      </c>
      <c r="D2578" s="1378">
        <f t="shared" si="404"/>
        <v>43052</v>
      </c>
      <c r="E2578" s="1513">
        <f t="shared" si="404"/>
        <v>1.25</v>
      </c>
      <c r="F2578" s="1509">
        <f t="shared" si="405"/>
        <v>0</v>
      </c>
      <c r="G2578" s="1509">
        <f t="shared" si="406"/>
        <v>0</v>
      </c>
      <c r="H2578" s="1509">
        <f t="shared" si="407"/>
        <v>0</v>
      </c>
      <c r="I2578" s="1509">
        <v>0</v>
      </c>
      <c r="J2578" s="1509">
        <v>0</v>
      </c>
      <c r="K2578" s="1509"/>
      <c r="L2578" s="1509"/>
      <c r="M2578" s="1509">
        <f t="shared" si="408"/>
        <v>0</v>
      </c>
      <c r="N2578" s="1509">
        <f t="shared" si="409"/>
        <v>0</v>
      </c>
      <c r="O2578" s="1510">
        <f t="shared" si="410"/>
        <v>0</v>
      </c>
      <c r="P2578" s="1453">
        <f t="shared" si="411"/>
        <v>0</v>
      </c>
    </row>
    <row r="2579" spans="1:16" outlineLevel="1" x14ac:dyDescent="0.25">
      <c r="A2579" s="1511">
        <f t="shared" si="404"/>
        <v>0</v>
      </c>
      <c r="B2579" s="1512" t="str">
        <f t="shared" si="404"/>
        <v>IDC</v>
      </c>
      <c r="C2579" s="1511" t="str">
        <f t="shared" si="404"/>
        <v>MERC/CAPEX/20172018/4653</v>
      </c>
      <c r="D2579" s="1378">
        <f t="shared" si="404"/>
        <v>43052</v>
      </c>
      <c r="E2579" s="1513">
        <f t="shared" si="404"/>
        <v>0</v>
      </c>
      <c r="F2579" s="1509">
        <f t="shared" si="405"/>
        <v>0</v>
      </c>
      <c r="G2579" s="1509">
        <f t="shared" si="406"/>
        <v>0</v>
      </c>
      <c r="H2579" s="1509">
        <f t="shared" si="407"/>
        <v>0</v>
      </c>
      <c r="I2579" s="1509">
        <v>0</v>
      </c>
      <c r="J2579" s="1509">
        <v>0</v>
      </c>
      <c r="K2579" s="1509"/>
      <c r="L2579" s="1509"/>
      <c r="M2579" s="1509">
        <f t="shared" si="408"/>
        <v>0</v>
      </c>
      <c r="N2579" s="1509">
        <f t="shared" si="409"/>
        <v>0</v>
      </c>
      <c r="O2579" s="1510">
        <f t="shared" si="410"/>
        <v>0</v>
      </c>
      <c r="P2579" s="1453">
        <f t="shared" si="411"/>
        <v>0</v>
      </c>
    </row>
    <row r="2580" spans="1:16" ht="43.5" outlineLevel="1" x14ac:dyDescent="0.25">
      <c r="A2580" s="1506" t="str">
        <f t="shared" si="404"/>
        <v>HO
DPR 10</v>
      </c>
      <c r="B2580" s="1507" t="str">
        <f t="shared" si="404"/>
        <v>Implementation of IB recommendations- Civil works at various TPS of Mahagenco</v>
      </c>
      <c r="C2580" s="1506" t="str">
        <f t="shared" si="404"/>
        <v>MERC/CAPEX/20172018/0177</v>
      </c>
      <c r="D2580" s="1508">
        <f t="shared" si="404"/>
        <v>43137</v>
      </c>
      <c r="E2580" s="1509">
        <f t="shared" si="404"/>
        <v>2.36</v>
      </c>
      <c r="F2580" s="1509">
        <f t="shared" si="405"/>
        <v>0</v>
      </c>
      <c r="G2580" s="1509">
        <f t="shared" si="406"/>
        <v>0</v>
      </c>
      <c r="H2580" s="1509">
        <f t="shared" si="407"/>
        <v>0</v>
      </c>
      <c r="I2580" s="1509">
        <v>0</v>
      </c>
      <c r="J2580" s="1509">
        <v>0</v>
      </c>
      <c r="K2580" s="1509"/>
      <c r="L2580" s="1509"/>
      <c r="M2580" s="1509">
        <f t="shared" si="408"/>
        <v>0</v>
      </c>
      <c r="N2580" s="1509">
        <f t="shared" si="409"/>
        <v>0</v>
      </c>
      <c r="O2580" s="1510">
        <f t="shared" si="410"/>
        <v>0</v>
      </c>
      <c r="P2580" s="1453">
        <f t="shared" si="411"/>
        <v>0</v>
      </c>
    </row>
    <row r="2581" spans="1:16" ht="43.5" outlineLevel="1" x14ac:dyDescent="0.25">
      <c r="A2581" s="1511" t="str">
        <f t="shared" si="404"/>
        <v>HO
DPR 10a</v>
      </c>
      <c r="B2581" s="1512" t="str">
        <f t="shared" si="404"/>
        <v>NEW PARLI (U-6 &amp; 7)</v>
      </c>
      <c r="C2581" s="1511" t="str">
        <f t="shared" si="404"/>
        <v>MERC/CAPEX/20172018/0177</v>
      </c>
      <c r="D2581" s="1378">
        <f t="shared" si="404"/>
        <v>43137</v>
      </c>
      <c r="E2581" s="1513">
        <f t="shared" si="404"/>
        <v>2.36</v>
      </c>
      <c r="F2581" s="1509">
        <f t="shared" si="405"/>
        <v>2.584952667</v>
      </c>
      <c r="G2581" s="1509">
        <f t="shared" si="406"/>
        <v>2.584952667</v>
      </c>
      <c r="H2581" s="1509">
        <f t="shared" si="407"/>
        <v>0</v>
      </c>
      <c r="I2581" s="1509">
        <v>0</v>
      </c>
      <c r="J2581" s="1509">
        <v>0</v>
      </c>
      <c r="K2581" s="1509"/>
      <c r="L2581" s="1509"/>
      <c r="M2581" s="1509">
        <f t="shared" si="408"/>
        <v>0</v>
      </c>
      <c r="N2581" s="1509">
        <f t="shared" si="409"/>
        <v>0</v>
      </c>
      <c r="O2581" s="1510">
        <f t="shared" si="410"/>
        <v>0</v>
      </c>
      <c r="P2581" s="1453">
        <f t="shared" si="411"/>
        <v>0</v>
      </c>
    </row>
    <row r="2582" spans="1:16" ht="43.5" outlineLevel="1" x14ac:dyDescent="0.25">
      <c r="A2582" s="1506" t="str">
        <f t="shared" si="404"/>
        <v>HO
DPR 15</v>
      </c>
      <c r="B2582" s="1507" t="str">
        <f t="shared" si="404"/>
        <v>Procurement &amp; Replacement of Complete Sets of Air Pre-heater Baskets at Nashik, Parli &amp; Chandrapur TPS of Mahagenco</v>
      </c>
      <c r="C2582" s="1506" t="str">
        <f t="shared" si="404"/>
        <v>MERC/CAPEX/2019-2020/643</v>
      </c>
      <c r="D2582" s="1508">
        <f t="shared" si="404"/>
        <v>43703</v>
      </c>
      <c r="E2582" s="1509">
        <f t="shared" si="404"/>
        <v>2.12</v>
      </c>
      <c r="F2582" s="1509">
        <f t="shared" si="405"/>
        <v>0</v>
      </c>
      <c r="G2582" s="1509">
        <f t="shared" si="406"/>
        <v>0</v>
      </c>
      <c r="H2582" s="1509">
        <f t="shared" si="407"/>
        <v>0</v>
      </c>
      <c r="I2582" s="1509">
        <v>0</v>
      </c>
      <c r="J2582" s="1509">
        <v>0</v>
      </c>
      <c r="K2582" s="1509"/>
      <c r="L2582" s="1509"/>
      <c r="M2582" s="1509">
        <f t="shared" si="408"/>
        <v>0</v>
      </c>
      <c r="N2582" s="1509">
        <f t="shared" si="409"/>
        <v>0</v>
      </c>
      <c r="O2582" s="1510">
        <f t="shared" si="410"/>
        <v>0</v>
      </c>
      <c r="P2582" s="1453">
        <f t="shared" si="411"/>
        <v>0</v>
      </c>
    </row>
    <row r="2583" spans="1:16" ht="43.5" outlineLevel="1" x14ac:dyDescent="0.25">
      <c r="A2583" s="1511" t="str">
        <f t="shared" si="404"/>
        <v>HO
DPR 15a</v>
      </c>
      <c r="B2583" s="1512" t="str">
        <f t="shared" si="404"/>
        <v>Procurement and Replacement of Complete sets of assembly of baskets for air preheater of type tri-sector APH 27 VI(T) 74” in NTPS unit no. 4 &amp; 5 (210MW). (2 Sets Per Unit)</v>
      </c>
      <c r="C2583" s="1511" t="str">
        <f t="shared" si="404"/>
        <v>MERC/CAPEX/2019-2020/643</v>
      </c>
      <c r="D2583" s="1378">
        <f t="shared" si="404"/>
        <v>43703</v>
      </c>
      <c r="E2583" s="1513">
        <f t="shared" si="404"/>
        <v>2.12</v>
      </c>
      <c r="F2583" s="1509">
        <f t="shared" si="405"/>
        <v>2.4580069300000003</v>
      </c>
      <c r="G2583" s="1509">
        <f t="shared" si="406"/>
        <v>2.4580069300000003</v>
      </c>
      <c r="H2583" s="1509">
        <f t="shared" si="407"/>
        <v>0</v>
      </c>
      <c r="I2583" s="1509">
        <v>0</v>
      </c>
      <c r="J2583" s="1509">
        <v>0</v>
      </c>
      <c r="K2583" s="1509"/>
      <c r="L2583" s="1509"/>
      <c r="M2583" s="1509">
        <f t="shared" si="408"/>
        <v>0</v>
      </c>
      <c r="N2583" s="1509">
        <f t="shared" si="409"/>
        <v>0</v>
      </c>
      <c r="O2583" s="1510">
        <f t="shared" si="410"/>
        <v>0</v>
      </c>
      <c r="P2583" s="1453">
        <f t="shared" si="411"/>
        <v>0</v>
      </c>
    </row>
    <row r="2584" spans="1:16" ht="43.5" outlineLevel="1" x14ac:dyDescent="0.25">
      <c r="A2584" s="1511" t="str">
        <f t="shared" si="404"/>
        <v>HO
DPR 16</v>
      </c>
      <c r="B2584" s="1512" t="str">
        <f t="shared" si="404"/>
        <v>Construction of new Administrative Building for Mahagenco at Vidyut Bhawan, Katol Road, Nagpur</v>
      </c>
      <c r="C2584" s="1511" t="str">
        <f t="shared" si="404"/>
        <v>MERC/CAPEX/2021-2022/MSPGCL/063</v>
      </c>
      <c r="D2584" s="1378">
        <f t="shared" si="404"/>
        <v>44604</v>
      </c>
      <c r="E2584" s="1513">
        <f t="shared" si="404"/>
        <v>57</v>
      </c>
      <c r="F2584" s="1509">
        <f t="shared" si="405"/>
        <v>0</v>
      </c>
      <c r="G2584" s="1509">
        <f t="shared" si="406"/>
        <v>0</v>
      </c>
      <c r="H2584" s="1509">
        <f t="shared" si="407"/>
        <v>0</v>
      </c>
      <c r="I2584" s="1509">
        <v>0</v>
      </c>
      <c r="J2584" s="1509">
        <v>0</v>
      </c>
      <c r="K2584" s="1509"/>
      <c r="L2584" s="1509"/>
      <c r="M2584" s="1509">
        <f t="shared" si="408"/>
        <v>0</v>
      </c>
      <c r="N2584" s="1509">
        <f t="shared" si="409"/>
        <v>0</v>
      </c>
      <c r="O2584" s="1510"/>
      <c r="P2584" s="1453"/>
    </row>
    <row r="2585" spans="1:16" ht="43.5" outlineLevel="1" x14ac:dyDescent="0.25">
      <c r="A2585" s="1511" t="str">
        <f t="shared" si="404"/>
        <v>HO
DPR 16.1</v>
      </c>
      <c r="B2585" s="1512" t="str">
        <f t="shared" si="404"/>
        <v>Construction of new Administrative Building for Mahagenco at Vidyut Bhawan, Katol Road, Nagpur</v>
      </c>
      <c r="C2585" s="1511" t="str">
        <f t="shared" si="404"/>
        <v>MERC/CAPEX/2021-2022/MSPGCL/063</v>
      </c>
      <c r="D2585" s="1378">
        <f t="shared" si="404"/>
        <v>44604</v>
      </c>
      <c r="E2585" s="1513">
        <f t="shared" si="404"/>
        <v>54.24</v>
      </c>
      <c r="F2585" s="1509">
        <f t="shared" si="405"/>
        <v>0</v>
      </c>
      <c r="G2585" s="1509">
        <f t="shared" si="406"/>
        <v>0</v>
      </c>
      <c r="H2585" s="1509">
        <f t="shared" si="407"/>
        <v>0</v>
      </c>
      <c r="I2585" s="1509">
        <v>0</v>
      </c>
      <c r="J2585" s="1509">
        <v>0</v>
      </c>
      <c r="K2585" s="1509"/>
      <c r="L2585" s="1509"/>
      <c r="M2585" s="1509">
        <f t="shared" si="408"/>
        <v>0</v>
      </c>
      <c r="N2585" s="1509">
        <f t="shared" si="409"/>
        <v>0</v>
      </c>
      <c r="O2585" s="1510"/>
      <c r="P2585" s="1453"/>
    </row>
    <row r="2586" spans="1:16" outlineLevel="1" x14ac:dyDescent="0.25">
      <c r="A2586" s="1511">
        <f t="shared" si="404"/>
        <v>0</v>
      </c>
      <c r="B2586" s="1512" t="str">
        <f t="shared" si="404"/>
        <v>IDC</v>
      </c>
      <c r="C2586" s="1511" t="str">
        <f t="shared" si="404"/>
        <v>MERC/CAPEX/2021-2022/MSPGCL/063</v>
      </c>
      <c r="D2586" s="1378">
        <f t="shared" si="404"/>
        <v>44604</v>
      </c>
      <c r="E2586" s="1513">
        <f t="shared" si="404"/>
        <v>2.76</v>
      </c>
      <c r="F2586" s="1509">
        <f t="shared" si="405"/>
        <v>0</v>
      </c>
      <c r="G2586" s="1509">
        <f t="shared" si="406"/>
        <v>0</v>
      </c>
      <c r="H2586" s="1509">
        <f t="shared" si="407"/>
        <v>0</v>
      </c>
      <c r="I2586" s="1509">
        <v>0</v>
      </c>
      <c r="J2586" s="1509">
        <v>0</v>
      </c>
      <c r="K2586" s="1509"/>
      <c r="L2586" s="1509"/>
      <c r="M2586" s="1509">
        <f t="shared" si="408"/>
        <v>0</v>
      </c>
      <c r="N2586" s="1509">
        <f t="shared" si="409"/>
        <v>0</v>
      </c>
      <c r="O2586" s="1510"/>
      <c r="P2586" s="1453"/>
    </row>
    <row r="2587" spans="1:16" ht="43.5" outlineLevel="1" x14ac:dyDescent="0.25">
      <c r="A2587" s="1511" t="str">
        <f t="shared" si="404"/>
        <v>HO
DPR 17</v>
      </c>
      <c r="B2587" s="1512" t="str">
        <f t="shared" si="404"/>
        <v>Centralized Monitoring Solution</v>
      </c>
      <c r="C2587" s="1511" t="str">
        <f t="shared" si="404"/>
        <v>MERC/CAPEX/MSPGCL/2023-24/0576</v>
      </c>
      <c r="D2587" s="1378">
        <f t="shared" si="404"/>
        <v>45232</v>
      </c>
      <c r="E2587" s="1513">
        <f t="shared" si="404"/>
        <v>69.308999999999997</v>
      </c>
      <c r="F2587" s="1509">
        <f t="shared" si="405"/>
        <v>0</v>
      </c>
      <c r="G2587" s="1509">
        <f t="shared" si="406"/>
        <v>0</v>
      </c>
      <c r="H2587" s="1509">
        <f t="shared" si="407"/>
        <v>0</v>
      </c>
      <c r="I2587" s="1509">
        <v>0</v>
      </c>
      <c r="J2587" s="1509">
        <v>0</v>
      </c>
      <c r="K2587" s="1509"/>
      <c r="L2587" s="1509"/>
      <c r="M2587" s="1509">
        <f t="shared" si="408"/>
        <v>0</v>
      </c>
      <c r="N2587" s="1509">
        <f t="shared" si="409"/>
        <v>0</v>
      </c>
      <c r="O2587" s="1510"/>
      <c r="P2587" s="1453"/>
    </row>
    <row r="2588" spans="1:16" ht="43.5" outlineLevel="1" x14ac:dyDescent="0.25">
      <c r="A2588" s="1511" t="str">
        <f t="shared" si="404"/>
        <v>HO
DPR 17.1</v>
      </c>
      <c r="B2588" s="1512" t="str">
        <f t="shared" si="404"/>
        <v>Centralized Monitoring Solution</v>
      </c>
      <c r="C2588" s="1511" t="str">
        <f t="shared" si="404"/>
        <v>MERC/CAPEX/MSPGCL/2023-24/0576</v>
      </c>
      <c r="D2588" s="1378">
        <f t="shared" si="404"/>
        <v>45232</v>
      </c>
      <c r="E2588" s="1513">
        <f t="shared" si="404"/>
        <v>66.009</v>
      </c>
      <c r="F2588" s="1509">
        <f t="shared" si="405"/>
        <v>4.46</v>
      </c>
      <c r="G2588" s="1509">
        <f t="shared" si="406"/>
        <v>4.46</v>
      </c>
      <c r="H2588" s="1509">
        <f t="shared" si="407"/>
        <v>0</v>
      </c>
      <c r="I2588" s="1509">
        <v>0</v>
      </c>
      <c r="J2588" s="1509">
        <v>0</v>
      </c>
      <c r="K2588" s="1509"/>
      <c r="L2588" s="1509"/>
      <c r="M2588" s="1509">
        <f t="shared" si="408"/>
        <v>0</v>
      </c>
      <c r="N2588" s="1509">
        <f t="shared" si="409"/>
        <v>0</v>
      </c>
      <c r="O2588" s="1510"/>
      <c r="P2588" s="1453"/>
    </row>
    <row r="2589" spans="1:16" outlineLevel="1" x14ac:dyDescent="0.25">
      <c r="A2589" s="1511">
        <f t="shared" ref="A2589:E2604" si="412">A2232</f>
        <v>0</v>
      </c>
      <c r="B2589" s="1512" t="str">
        <f t="shared" si="412"/>
        <v>IDC</v>
      </c>
      <c r="C2589" s="1511" t="str">
        <f t="shared" si="412"/>
        <v>MERC/CAPEX/MSPGCL/2023-24/0576</v>
      </c>
      <c r="D2589" s="1378">
        <f t="shared" si="412"/>
        <v>45232</v>
      </c>
      <c r="E2589" s="1513">
        <f t="shared" si="412"/>
        <v>3.3</v>
      </c>
      <c r="F2589" s="1509">
        <f t="shared" si="405"/>
        <v>0</v>
      </c>
      <c r="G2589" s="1509">
        <f t="shared" si="406"/>
        <v>0</v>
      </c>
      <c r="H2589" s="1509">
        <f t="shared" si="407"/>
        <v>0</v>
      </c>
      <c r="I2589" s="1509">
        <v>0</v>
      </c>
      <c r="J2589" s="1509">
        <v>0</v>
      </c>
      <c r="K2589" s="1509"/>
      <c r="L2589" s="1509"/>
      <c r="M2589" s="1509">
        <f t="shared" si="408"/>
        <v>0</v>
      </c>
      <c r="N2589" s="1509">
        <f t="shared" si="409"/>
        <v>0</v>
      </c>
      <c r="O2589" s="1510"/>
      <c r="P2589" s="1453"/>
    </row>
    <row r="2590" spans="1:16" ht="29" outlineLevel="1" x14ac:dyDescent="0.25">
      <c r="A2590" s="1506">
        <f t="shared" si="412"/>
        <v>23</v>
      </c>
      <c r="B2590" s="1507" t="str">
        <f t="shared" si="412"/>
        <v>Coal Handling Plant Environment Improvement Schemes at U-6&amp;7 CHP (2X250MW) Parli TPS</v>
      </c>
      <c r="C2590" s="1506" t="str">
        <f t="shared" si="412"/>
        <v>Yet to be approve</v>
      </c>
      <c r="D2590" s="1378" t="str">
        <f t="shared" si="412"/>
        <v>-</v>
      </c>
      <c r="E2590" s="1513">
        <f t="shared" si="412"/>
        <v>0</v>
      </c>
      <c r="F2590" s="1509">
        <f t="shared" si="405"/>
        <v>0</v>
      </c>
      <c r="G2590" s="1509">
        <f t="shared" si="406"/>
        <v>0</v>
      </c>
      <c r="H2590" s="1509">
        <f t="shared" si="407"/>
        <v>0</v>
      </c>
      <c r="I2590" s="1509">
        <v>0</v>
      </c>
      <c r="J2590" s="1509">
        <v>0</v>
      </c>
      <c r="K2590" s="1509"/>
      <c r="L2590" s="1509"/>
      <c r="M2590" s="1509">
        <f t="shared" si="408"/>
        <v>0</v>
      </c>
      <c r="N2590" s="1509">
        <f t="shared" si="409"/>
        <v>0</v>
      </c>
      <c r="O2590" s="1510">
        <f t="shared" ref="O2590:O2598" si="413">MAX(0,IF(M2590=0,0,IF(G2590+M2590&lt;E2590,M2590,E2590-G2590)))</f>
        <v>0</v>
      </c>
      <c r="P2590" s="1453">
        <f t="shared" ref="P2590:P2598" si="414">M2590-O2590</f>
        <v>0</v>
      </c>
    </row>
    <row r="2591" spans="1:16" ht="43.5" outlineLevel="1" x14ac:dyDescent="0.25">
      <c r="A2591" s="1511">
        <f t="shared" si="412"/>
        <v>23.1</v>
      </c>
      <c r="B2591" s="1515" t="str">
        <f t="shared" si="412"/>
        <v>Scheme-1: Design, Engineering, Manufacturing, Supply, Installation and Commissioning of Dedusting System ( Dust Extraction System) for Crusher House and Bunker House at  Unit -6 &amp; 7 at CHP Parli  TPS.</v>
      </c>
      <c r="C2591" s="1511" t="str">
        <f t="shared" si="412"/>
        <v>Yet to be approve</v>
      </c>
      <c r="D2591" s="1378" t="str">
        <f t="shared" si="412"/>
        <v>-</v>
      </c>
      <c r="E2591" s="1513">
        <f t="shared" si="412"/>
        <v>0</v>
      </c>
      <c r="F2591" s="1509">
        <f t="shared" si="405"/>
        <v>12.96</v>
      </c>
      <c r="G2591" s="1509">
        <f t="shared" si="406"/>
        <v>12.96</v>
      </c>
      <c r="H2591" s="1509">
        <f t="shared" si="407"/>
        <v>0</v>
      </c>
      <c r="I2591" s="1509">
        <v>0</v>
      </c>
      <c r="J2591" s="1509">
        <v>0</v>
      </c>
      <c r="K2591" s="1509"/>
      <c r="L2591" s="1509"/>
      <c r="M2591" s="1509">
        <f t="shared" si="408"/>
        <v>0</v>
      </c>
      <c r="N2591" s="1509">
        <f t="shared" si="409"/>
        <v>0</v>
      </c>
      <c r="O2591" s="1510">
        <f t="shared" si="413"/>
        <v>0</v>
      </c>
      <c r="P2591" s="1453">
        <f t="shared" si="414"/>
        <v>0</v>
      </c>
    </row>
    <row r="2592" spans="1:16" ht="43.5" outlineLevel="1" x14ac:dyDescent="0.25">
      <c r="A2592" s="1511">
        <f t="shared" si="412"/>
        <v>23.2</v>
      </c>
      <c r="B2592" s="1515" t="str">
        <f t="shared" si="412"/>
        <v>Scheme-2: Supply, Installation, Erection &amp; Commissioning of medium velocity water spray dust suppression system at CHP U-6/7 coal yard Crusher house &amp; Link Conveyor at Parli TPS.</v>
      </c>
      <c r="C2592" s="1511" t="str">
        <f t="shared" si="412"/>
        <v>Yet to be approve</v>
      </c>
      <c r="D2592" s="1378" t="str">
        <f t="shared" si="412"/>
        <v>-</v>
      </c>
      <c r="E2592" s="1513">
        <f t="shared" si="412"/>
        <v>0</v>
      </c>
      <c r="F2592" s="1509">
        <f t="shared" si="405"/>
        <v>3.52</v>
      </c>
      <c r="G2592" s="1509">
        <f t="shared" si="406"/>
        <v>3.52</v>
      </c>
      <c r="H2592" s="1509">
        <f t="shared" si="407"/>
        <v>0</v>
      </c>
      <c r="I2592" s="1509">
        <v>0</v>
      </c>
      <c r="J2592" s="1509">
        <v>0</v>
      </c>
      <c r="K2592" s="1509"/>
      <c r="L2592" s="1509"/>
      <c r="M2592" s="1509">
        <f t="shared" si="408"/>
        <v>0</v>
      </c>
      <c r="N2592" s="1509">
        <f t="shared" si="409"/>
        <v>0</v>
      </c>
      <c r="O2592" s="1510">
        <f t="shared" si="413"/>
        <v>0</v>
      </c>
      <c r="P2592" s="1453">
        <f t="shared" si="414"/>
        <v>0</v>
      </c>
    </row>
    <row r="2593" spans="1:16" ht="58" outlineLevel="1" x14ac:dyDescent="0.25">
      <c r="A2593" s="1511">
        <f t="shared" si="412"/>
        <v>23.3</v>
      </c>
      <c r="B2593" s="1515" t="str">
        <f t="shared" si="412"/>
        <v>Scheme-3: Supply, Installation, Commissioning of Fire Hydrant &amp; Spray line above ground around  stacker yard and crusher house, wagon tippler through conveyor belt with DV &amp; DV Shed at CHP U-6/7.</v>
      </c>
      <c r="C2593" s="1506" t="str">
        <f t="shared" si="412"/>
        <v>Yet to be approve</v>
      </c>
      <c r="D2593" s="1378" t="str">
        <f t="shared" si="412"/>
        <v>-</v>
      </c>
      <c r="E2593" s="1513">
        <f t="shared" si="412"/>
        <v>0</v>
      </c>
      <c r="F2593" s="1509">
        <f t="shared" si="405"/>
        <v>3.54</v>
      </c>
      <c r="G2593" s="1509">
        <f t="shared" si="406"/>
        <v>3.54</v>
      </c>
      <c r="H2593" s="1509">
        <f t="shared" si="407"/>
        <v>0</v>
      </c>
      <c r="I2593" s="1509">
        <v>0</v>
      </c>
      <c r="J2593" s="1509">
        <v>0</v>
      </c>
      <c r="K2593" s="1509"/>
      <c r="L2593" s="1509"/>
      <c r="M2593" s="1509">
        <f t="shared" si="408"/>
        <v>0</v>
      </c>
      <c r="N2593" s="1509">
        <f t="shared" si="409"/>
        <v>0</v>
      </c>
      <c r="O2593" s="1510">
        <f t="shared" si="413"/>
        <v>0</v>
      </c>
      <c r="P2593" s="1453">
        <f t="shared" si="414"/>
        <v>0</v>
      </c>
    </row>
    <row r="2594" spans="1:16" ht="43.5" outlineLevel="1" x14ac:dyDescent="0.25">
      <c r="A2594" s="1511">
        <f t="shared" si="412"/>
        <v>23.4</v>
      </c>
      <c r="B2594" s="1515" t="str">
        <f t="shared" si="412"/>
        <v>Scheme-4: Design, Manufacturing, Supply, Erection and Commissioning of DRY FOG Dust Suppression system at Wagon Tippler, Conveyor Belt Transfer point at U-6/7 CHP Parli TPS.</v>
      </c>
      <c r="C2594" s="1511" t="str">
        <f t="shared" si="412"/>
        <v>Yet to be approve</v>
      </c>
      <c r="D2594" s="1378" t="str">
        <f t="shared" si="412"/>
        <v>-</v>
      </c>
      <c r="E2594" s="1513">
        <f t="shared" si="412"/>
        <v>0</v>
      </c>
      <c r="F2594" s="1509">
        <f t="shared" si="405"/>
        <v>7</v>
      </c>
      <c r="G2594" s="1509">
        <f t="shared" si="406"/>
        <v>7</v>
      </c>
      <c r="H2594" s="1509">
        <f t="shared" si="407"/>
        <v>0</v>
      </c>
      <c r="I2594" s="1509">
        <v>0</v>
      </c>
      <c r="J2594" s="1509">
        <v>0</v>
      </c>
      <c r="K2594" s="1509"/>
      <c r="L2594" s="1509"/>
      <c r="M2594" s="1509">
        <f t="shared" si="408"/>
        <v>0</v>
      </c>
      <c r="N2594" s="1509">
        <f t="shared" si="409"/>
        <v>0</v>
      </c>
      <c r="O2594" s="1510">
        <f t="shared" si="413"/>
        <v>0</v>
      </c>
      <c r="P2594" s="1453">
        <f t="shared" si="414"/>
        <v>0</v>
      </c>
    </row>
    <row r="2595" spans="1:16" outlineLevel="1" x14ac:dyDescent="0.25">
      <c r="A2595" s="1511">
        <f t="shared" si="412"/>
        <v>0</v>
      </c>
      <c r="B2595" s="1515" t="str">
        <f t="shared" si="412"/>
        <v>IDC</v>
      </c>
      <c r="C2595" s="1396" t="str">
        <f t="shared" si="412"/>
        <v>Yet to be approve</v>
      </c>
      <c r="D2595" s="1378" t="str">
        <f t="shared" si="412"/>
        <v>-</v>
      </c>
      <c r="E2595" s="1513">
        <f t="shared" si="412"/>
        <v>0</v>
      </c>
      <c r="F2595" s="1509">
        <f t="shared" si="405"/>
        <v>0</v>
      </c>
      <c r="G2595" s="1509">
        <f t="shared" si="406"/>
        <v>0</v>
      </c>
      <c r="H2595" s="1509">
        <f t="shared" si="407"/>
        <v>0</v>
      </c>
      <c r="I2595" s="1509">
        <v>0</v>
      </c>
      <c r="J2595" s="1509">
        <v>0</v>
      </c>
      <c r="K2595" s="1509"/>
      <c r="L2595" s="1509"/>
      <c r="M2595" s="1509">
        <f t="shared" si="408"/>
        <v>0</v>
      </c>
      <c r="N2595" s="1509">
        <f t="shared" si="409"/>
        <v>0</v>
      </c>
      <c r="O2595" s="1510">
        <f t="shared" si="413"/>
        <v>0</v>
      </c>
      <c r="P2595" s="1453">
        <f t="shared" si="414"/>
        <v>0</v>
      </c>
    </row>
    <row r="2596" spans="1:16" ht="29" outlineLevel="1" x14ac:dyDescent="0.25">
      <c r="A2596" s="1506">
        <f t="shared" si="412"/>
        <v>24</v>
      </c>
      <c r="B2596" s="1507" t="str">
        <f t="shared" si="412"/>
        <v>Coal Mill Performance Improvement Schemes at U-6 &amp; 7 (2 x 250 MW) Parli TPS</v>
      </c>
      <c r="C2596" s="1506" t="str">
        <f t="shared" si="412"/>
        <v>Yet to be approve</v>
      </c>
      <c r="D2596" s="1378" t="str">
        <f t="shared" si="412"/>
        <v>-</v>
      </c>
      <c r="E2596" s="1513">
        <f t="shared" si="412"/>
        <v>0</v>
      </c>
      <c r="F2596" s="1509">
        <f t="shared" si="405"/>
        <v>0</v>
      </c>
      <c r="G2596" s="1509">
        <f t="shared" si="406"/>
        <v>0</v>
      </c>
      <c r="H2596" s="1509">
        <f t="shared" si="407"/>
        <v>0</v>
      </c>
      <c r="I2596" s="1509">
        <v>0</v>
      </c>
      <c r="J2596" s="1509">
        <v>0</v>
      </c>
      <c r="K2596" s="1509"/>
      <c r="L2596" s="1509"/>
      <c r="M2596" s="1509">
        <f t="shared" si="408"/>
        <v>0</v>
      </c>
      <c r="N2596" s="1509">
        <f t="shared" si="409"/>
        <v>0</v>
      </c>
      <c r="O2596" s="1510">
        <f t="shared" si="413"/>
        <v>0</v>
      </c>
      <c r="P2596" s="1453">
        <f t="shared" si="414"/>
        <v>0</v>
      </c>
    </row>
    <row r="2597" spans="1:16" ht="43.5" outlineLevel="1" x14ac:dyDescent="0.25">
      <c r="A2597" s="1511">
        <f t="shared" si="412"/>
        <v>24.1</v>
      </c>
      <c r="B2597" s="1515" t="str">
        <f t="shared" si="412"/>
        <v xml:space="preserve">Scheme-1: Procurement And Replacement Of Internals For Reducer Gear Box Szn-630 &amp; Sbn-630 for Bbd-4772 Coal Mills Of 250mw At Unit 6,7  Parli </v>
      </c>
      <c r="C2597" s="1396" t="str">
        <f t="shared" si="412"/>
        <v>Yet to be approve</v>
      </c>
      <c r="D2597" s="1378" t="str">
        <f t="shared" si="412"/>
        <v>-</v>
      </c>
      <c r="E2597" s="1513">
        <f t="shared" si="412"/>
        <v>0</v>
      </c>
      <c r="F2597" s="1509">
        <f t="shared" si="405"/>
        <v>6.5</v>
      </c>
      <c r="G2597" s="1509">
        <f t="shared" si="406"/>
        <v>6.5</v>
      </c>
      <c r="H2597" s="1509">
        <f t="shared" si="407"/>
        <v>0</v>
      </c>
      <c r="I2597" s="1509">
        <v>0</v>
      </c>
      <c r="J2597" s="1509">
        <v>0</v>
      </c>
      <c r="K2597" s="1509"/>
      <c r="L2597" s="1509"/>
      <c r="M2597" s="1509">
        <f t="shared" si="408"/>
        <v>0</v>
      </c>
      <c r="N2597" s="1509">
        <f t="shared" si="409"/>
        <v>0</v>
      </c>
      <c r="O2597" s="1510">
        <f t="shared" si="413"/>
        <v>0</v>
      </c>
      <c r="P2597" s="1453">
        <f t="shared" si="414"/>
        <v>0</v>
      </c>
    </row>
    <row r="2598" spans="1:16" ht="43.5" outlineLevel="1" x14ac:dyDescent="0.25">
      <c r="A2598" s="1511">
        <f t="shared" si="412"/>
        <v>24.2</v>
      </c>
      <c r="B2598" s="1515" t="str">
        <f t="shared" si="412"/>
        <v>Scheme-2: Supply, Replacement, Erection And Installation Of Foundation Deck Springs Assembly (Vibration Isolation System) For Bbd-4772 Coal Mill Of For 250mw Unit-6&amp;7 At Parli Tps..</v>
      </c>
      <c r="C2598" s="1396" t="str">
        <f t="shared" si="412"/>
        <v>Yet to be approve</v>
      </c>
      <c r="D2598" s="1378" t="str">
        <f t="shared" si="412"/>
        <v>-</v>
      </c>
      <c r="E2598" s="1513">
        <f t="shared" si="412"/>
        <v>0</v>
      </c>
      <c r="F2598" s="1509">
        <f t="shared" si="405"/>
        <v>4.01</v>
      </c>
      <c r="G2598" s="1509">
        <f t="shared" si="406"/>
        <v>4.01</v>
      </c>
      <c r="H2598" s="1509">
        <f t="shared" si="407"/>
        <v>0</v>
      </c>
      <c r="I2598" s="1509">
        <v>0</v>
      </c>
      <c r="J2598" s="1509">
        <v>0</v>
      </c>
      <c r="K2598" s="1509"/>
      <c r="L2598" s="1509"/>
      <c r="M2598" s="1509">
        <f t="shared" si="408"/>
        <v>0</v>
      </c>
      <c r="N2598" s="1509">
        <f t="shared" si="409"/>
        <v>0</v>
      </c>
      <c r="O2598" s="1510">
        <f t="shared" si="413"/>
        <v>0</v>
      </c>
      <c r="P2598" s="1453">
        <f t="shared" si="414"/>
        <v>0</v>
      </c>
    </row>
    <row r="2599" spans="1:16" ht="29" outlineLevel="1" x14ac:dyDescent="0.25">
      <c r="A2599" s="1511">
        <f t="shared" si="412"/>
        <v>24.3</v>
      </c>
      <c r="B2599" s="1515" t="str">
        <f t="shared" si="412"/>
        <v>Scheme-3: Procurement And Installation of Girth Gear And Pinion Of Coal Mill Bbd-4772 For Unit-6,7 At Parli TPS.</v>
      </c>
      <c r="C2599" s="1396" t="str">
        <f t="shared" si="412"/>
        <v>Yet to be approve</v>
      </c>
      <c r="D2599" s="1378" t="str">
        <f t="shared" si="412"/>
        <v>-</v>
      </c>
      <c r="E2599" s="1513">
        <f t="shared" si="412"/>
        <v>0</v>
      </c>
      <c r="F2599" s="1509">
        <f t="shared" si="405"/>
        <v>14.24</v>
      </c>
      <c r="G2599" s="1509">
        <f t="shared" si="406"/>
        <v>14.24</v>
      </c>
      <c r="H2599" s="1509">
        <f t="shared" si="407"/>
        <v>0</v>
      </c>
      <c r="I2599" s="1509">
        <v>0</v>
      </c>
      <c r="J2599" s="1509">
        <v>0</v>
      </c>
      <c r="K2599" s="1509"/>
      <c r="L2599" s="1509"/>
      <c r="M2599" s="1509">
        <f t="shared" si="408"/>
        <v>0</v>
      </c>
      <c r="N2599" s="1509">
        <f t="shared" si="409"/>
        <v>0</v>
      </c>
    </row>
    <row r="2600" spans="1:16" ht="29" outlineLevel="1" x14ac:dyDescent="0.25">
      <c r="A2600" s="1511">
        <f t="shared" si="412"/>
        <v>24.4</v>
      </c>
      <c r="B2600" s="1515" t="str">
        <f t="shared" si="412"/>
        <v xml:space="preserve">Scheme-4: Procurement And Installation of Drive Shaft Assembly Of Coal Mill BBD-4772 For Unit-6 ,7 At Parli TPS. </v>
      </c>
      <c r="C2600" s="1396" t="str">
        <f t="shared" si="412"/>
        <v>Yet to be approve</v>
      </c>
      <c r="D2600" s="1378" t="str">
        <f t="shared" si="412"/>
        <v>-</v>
      </c>
      <c r="E2600" s="1513">
        <f t="shared" si="412"/>
        <v>0</v>
      </c>
      <c r="F2600" s="1509">
        <f t="shared" si="405"/>
        <v>9.18</v>
      </c>
      <c r="G2600" s="1509">
        <f t="shared" si="406"/>
        <v>9.18</v>
      </c>
      <c r="H2600" s="1509">
        <f t="shared" si="407"/>
        <v>0</v>
      </c>
      <c r="I2600" s="1509">
        <v>0</v>
      </c>
      <c r="J2600" s="1509">
        <v>0</v>
      </c>
      <c r="K2600" s="1509"/>
      <c r="L2600" s="1509"/>
      <c r="M2600" s="1509">
        <f t="shared" si="408"/>
        <v>0</v>
      </c>
      <c r="N2600" s="1509">
        <f t="shared" si="409"/>
        <v>0</v>
      </c>
    </row>
    <row r="2601" spans="1:16" ht="29" outlineLevel="1" x14ac:dyDescent="0.25">
      <c r="A2601" s="1511">
        <f t="shared" si="412"/>
        <v>24.5</v>
      </c>
      <c r="B2601" s="1515" t="str">
        <f t="shared" si="412"/>
        <v>Scheme-5: Procurement And Replacement of  Bearing Shell Liner For Bbd-4772 Coal Mills Of 250mw At Unit 6,7  Parli TPS.</v>
      </c>
      <c r="C2601" s="1396" t="str">
        <f t="shared" si="412"/>
        <v>Yet to be approve</v>
      </c>
      <c r="D2601" s="1378" t="str">
        <f t="shared" si="412"/>
        <v>-</v>
      </c>
      <c r="E2601" s="1513">
        <f t="shared" si="412"/>
        <v>0</v>
      </c>
      <c r="F2601" s="1509">
        <f t="shared" si="405"/>
        <v>8.19</v>
      </c>
      <c r="G2601" s="1509">
        <f t="shared" si="406"/>
        <v>8.19</v>
      </c>
      <c r="H2601" s="1509">
        <f t="shared" si="407"/>
        <v>0</v>
      </c>
      <c r="I2601" s="1509">
        <v>0</v>
      </c>
      <c r="J2601" s="1509">
        <v>0</v>
      </c>
      <c r="K2601" s="1509"/>
      <c r="L2601" s="1509"/>
      <c r="M2601" s="1509">
        <f t="shared" si="408"/>
        <v>0</v>
      </c>
      <c r="N2601" s="1509">
        <f t="shared" si="409"/>
        <v>0</v>
      </c>
    </row>
    <row r="2602" spans="1:16" outlineLevel="1" x14ac:dyDescent="0.25">
      <c r="A2602" s="1511">
        <f t="shared" si="412"/>
        <v>0</v>
      </c>
      <c r="B2602" s="1515" t="str">
        <f t="shared" si="412"/>
        <v>IDC</v>
      </c>
      <c r="C2602" s="1396" t="str">
        <f t="shared" si="412"/>
        <v>Yet to be approve</v>
      </c>
      <c r="D2602" s="1378" t="str">
        <f t="shared" si="412"/>
        <v>-</v>
      </c>
      <c r="E2602" s="1513">
        <f t="shared" si="412"/>
        <v>0</v>
      </c>
      <c r="F2602" s="1509">
        <f t="shared" si="405"/>
        <v>2</v>
      </c>
      <c r="G2602" s="1509">
        <f t="shared" si="406"/>
        <v>2</v>
      </c>
      <c r="H2602" s="1509">
        <f t="shared" si="407"/>
        <v>0</v>
      </c>
      <c r="I2602" s="1509">
        <v>0</v>
      </c>
      <c r="J2602" s="1509">
        <v>0</v>
      </c>
      <c r="K2602" s="1509"/>
      <c r="L2602" s="1509"/>
      <c r="M2602" s="1509">
        <f t="shared" si="408"/>
        <v>0</v>
      </c>
      <c r="N2602" s="1509">
        <f t="shared" si="409"/>
        <v>0</v>
      </c>
    </row>
    <row r="2603" spans="1:16" outlineLevel="1" x14ac:dyDescent="0.25">
      <c r="A2603" s="1506">
        <f t="shared" si="412"/>
        <v>25</v>
      </c>
      <c r="B2603" s="1507" t="str">
        <f t="shared" si="412"/>
        <v>Administrative building</v>
      </c>
      <c r="C2603" s="1506" t="str">
        <f t="shared" si="412"/>
        <v>Yet to be approved</v>
      </c>
      <c r="D2603" s="1378" t="str">
        <f t="shared" si="412"/>
        <v>-</v>
      </c>
      <c r="E2603" s="1513">
        <f t="shared" si="412"/>
        <v>0</v>
      </c>
      <c r="F2603" s="1509">
        <f t="shared" si="405"/>
        <v>0</v>
      </c>
      <c r="G2603" s="1509">
        <f t="shared" si="406"/>
        <v>0</v>
      </c>
      <c r="H2603" s="1509">
        <f t="shared" si="407"/>
        <v>0</v>
      </c>
      <c r="I2603" s="1509">
        <v>0</v>
      </c>
      <c r="J2603" s="1509">
        <v>0</v>
      </c>
      <c r="K2603" s="1509"/>
      <c r="L2603" s="1509"/>
      <c r="M2603" s="1509">
        <f t="shared" si="408"/>
        <v>0</v>
      </c>
      <c r="N2603" s="1509">
        <f t="shared" si="409"/>
        <v>0</v>
      </c>
      <c r="O2603" s="1510"/>
      <c r="P2603" s="1453"/>
    </row>
    <row r="2604" spans="1:16" outlineLevel="1" x14ac:dyDescent="0.25">
      <c r="A2604" s="1511">
        <f t="shared" si="412"/>
        <v>25.1</v>
      </c>
      <c r="B2604" s="1515" t="str">
        <f t="shared" si="412"/>
        <v>Administrative building</v>
      </c>
      <c r="C2604" s="1396" t="str">
        <f t="shared" si="412"/>
        <v>Yet to be approved</v>
      </c>
      <c r="D2604" s="1378" t="str">
        <f t="shared" si="412"/>
        <v>-</v>
      </c>
      <c r="E2604" s="1513">
        <f t="shared" si="412"/>
        <v>0</v>
      </c>
      <c r="F2604" s="1509">
        <f t="shared" si="405"/>
        <v>25</v>
      </c>
      <c r="G2604" s="1509">
        <f t="shared" si="406"/>
        <v>25</v>
      </c>
      <c r="H2604" s="1509">
        <f t="shared" si="407"/>
        <v>0</v>
      </c>
      <c r="I2604" s="1509">
        <v>0</v>
      </c>
      <c r="J2604" s="1509">
        <v>0</v>
      </c>
      <c r="K2604" s="1509"/>
      <c r="L2604" s="1509"/>
      <c r="M2604" s="1509">
        <f t="shared" si="408"/>
        <v>0</v>
      </c>
      <c r="N2604" s="1509">
        <f t="shared" si="409"/>
        <v>0</v>
      </c>
    </row>
    <row r="2605" spans="1:16" ht="72.5" outlineLevel="1" x14ac:dyDescent="0.25">
      <c r="A2605" s="1511">
        <f t="shared" ref="A2605:E2620" si="415">A2248</f>
        <v>26</v>
      </c>
      <c r="B2605" s="1515" t="str">
        <f t="shared" si="415"/>
        <v>DPR on  Refurbishment of spare HPT module (Common pool item) at TM U#6,7 Parli TPS, Upgradation of Air  Temperature Controlling system &amp; Supply, Installation and commissioning of unit-6 air compressor  &amp; Upgradation of existing chiller AC plant for PCR,Service Building,VFD area at NPTPS Parli -V at TPS Parli -V</v>
      </c>
      <c r="C2605" s="1396" t="str">
        <f t="shared" si="415"/>
        <v>Yet to be approved</v>
      </c>
      <c r="D2605" s="1378" t="str">
        <f t="shared" si="415"/>
        <v>-</v>
      </c>
      <c r="E2605" s="1513">
        <f t="shared" si="415"/>
        <v>0</v>
      </c>
      <c r="F2605" s="1509">
        <f t="shared" si="405"/>
        <v>0</v>
      </c>
      <c r="G2605" s="1509">
        <f t="shared" si="406"/>
        <v>0</v>
      </c>
      <c r="H2605" s="1509">
        <f t="shared" si="407"/>
        <v>0</v>
      </c>
      <c r="I2605" s="1509">
        <v>0</v>
      </c>
      <c r="J2605" s="1509">
        <v>0</v>
      </c>
      <c r="K2605" s="1509"/>
      <c r="L2605" s="1509"/>
      <c r="M2605" s="1509">
        <f t="shared" si="408"/>
        <v>0</v>
      </c>
      <c r="N2605" s="1509">
        <f t="shared" si="409"/>
        <v>0</v>
      </c>
    </row>
    <row r="2606" spans="1:16" ht="29" outlineLevel="1" x14ac:dyDescent="0.25">
      <c r="A2606" s="1511">
        <f t="shared" si="415"/>
        <v>26.1</v>
      </c>
      <c r="B2606" s="1515" t="str">
        <f t="shared" si="415"/>
        <v>Refurbishment of spare HPT module (Common pool item) at TM U#6,7 Parli TPS</v>
      </c>
      <c r="C2606" s="1396" t="str">
        <f t="shared" si="415"/>
        <v>Yet to be approved</v>
      </c>
      <c r="D2606" s="1378" t="str">
        <f t="shared" si="415"/>
        <v>-</v>
      </c>
      <c r="E2606" s="1513">
        <f t="shared" si="415"/>
        <v>0</v>
      </c>
      <c r="F2606" s="1509">
        <f t="shared" si="405"/>
        <v>9.2100000000000009</v>
      </c>
      <c r="G2606" s="1509">
        <f t="shared" si="406"/>
        <v>9.2100000000000009</v>
      </c>
      <c r="H2606" s="1509">
        <f t="shared" si="407"/>
        <v>0</v>
      </c>
      <c r="I2606" s="1509">
        <v>0</v>
      </c>
      <c r="J2606" s="1509">
        <v>0</v>
      </c>
      <c r="K2606" s="1509"/>
      <c r="L2606" s="1509"/>
      <c r="M2606" s="1509">
        <f t="shared" si="408"/>
        <v>0</v>
      </c>
      <c r="N2606" s="1509">
        <f t="shared" si="409"/>
        <v>0</v>
      </c>
    </row>
    <row r="2607" spans="1:16" ht="29" outlineLevel="1" x14ac:dyDescent="0.25">
      <c r="A2607" s="1511">
        <f t="shared" si="415"/>
        <v>26.2</v>
      </c>
      <c r="B2607" s="1515" t="str">
        <f t="shared" si="415"/>
        <v xml:space="preserve"> Design, Erection, Testing &amp; Commissioning of Energy Efficient Air Washer (cooling) System  at Unit 6&amp;7 NPTPS, Parli-V.</v>
      </c>
      <c r="C2607" s="1396" t="str">
        <f t="shared" si="415"/>
        <v>Yet to be approved</v>
      </c>
      <c r="D2607" s="1378" t="str">
        <f t="shared" si="415"/>
        <v>-</v>
      </c>
      <c r="E2607" s="1513">
        <f t="shared" si="415"/>
        <v>0</v>
      </c>
      <c r="F2607" s="1509">
        <f t="shared" si="405"/>
        <v>14.61</v>
      </c>
      <c r="G2607" s="1509">
        <f t="shared" si="406"/>
        <v>14.61</v>
      </c>
      <c r="H2607" s="1509">
        <f t="shared" si="407"/>
        <v>0</v>
      </c>
      <c r="I2607" s="1509">
        <v>0</v>
      </c>
      <c r="J2607" s="1509">
        <v>0</v>
      </c>
      <c r="K2607" s="1509"/>
      <c r="L2607" s="1509"/>
      <c r="M2607" s="1509">
        <f t="shared" si="408"/>
        <v>0</v>
      </c>
      <c r="N2607" s="1509">
        <f t="shared" si="409"/>
        <v>0</v>
      </c>
    </row>
    <row r="2608" spans="1:16" ht="29" outlineLevel="1" x14ac:dyDescent="0.25">
      <c r="A2608" s="1511">
        <f t="shared" si="415"/>
        <v>26.3</v>
      </c>
      <c r="B2608" s="1515" t="str">
        <f t="shared" si="415"/>
        <v>Upgradation of reciprocating compressor into screw compressor  at U#6</v>
      </c>
      <c r="C2608" s="1396" t="str">
        <f t="shared" si="415"/>
        <v>Yet to be approved</v>
      </c>
      <c r="D2608" s="1378" t="str">
        <f t="shared" si="415"/>
        <v>-</v>
      </c>
      <c r="E2608" s="1513">
        <f t="shared" si="415"/>
        <v>0</v>
      </c>
      <c r="F2608" s="1509">
        <f t="shared" si="405"/>
        <v>9.2100000000000009</v>
      </c>
      <c r="G2608" s="1509">
        <f t="shared" si="406"/>
        <v>9.2100000000000009</v>
      </c>
      <c r="H2608" s="1509">
        <f t="shared" si="407"/>
        <v>0</v>
      </c>
      <c r="I2608" s="1509">
        <v>0</v>
      </c>
      <c r="J2608" s="1509">
        <v>0</v>
      </c>
      <c r="K2608" s="1509"/>
      <c r="L2608" s="1509"/>
      <c r="M2608" s="1509">
        <f t="shared" si="408"/>
        <v>0</v>
      </c>
      <c r="N2608" s="1509">
        <f t="shared" si="409"/>
        <v>0</v>
      </c>
    </row>
    <row r="2609" spans="1:16" ht="29" outlineLevel="1" x14ac:dyDescent="0.25">
      <c r="A2609" s="1511">
        <f t="shared" si="415"/>
        <v>26.4</v>
      </c>
      <c r="B2609" s="1515" t="str">
        <f t="shared" si="415"/>
        <v>Upgradation of existing chiller AC plant for PCR,Service Building,VFD area at NPTPS Parli -V</v>
      </c>
      <c r="C2609" s="1396" t="str">
        <f t="shared" si="415"/>
        <v>Yet to be approved</v>
      </c>
      <c r="D2609" s="1378" t="str">
        <f t="shared" si="415"/>
        <v>-</v>
      </c>
      <c r="E2609" s="1513">
        <f t="shared" si="415"/>
        <v>0</v>
      </c>
      <c r="F2609" s="1509">
        <f t="shared" si="405"/>
        <v>8.6199999999999992</v>
      </c>
      <c r="G2609" s="1509">
        <f t="shared" si="406"/>
        <v>8.6199999999999992</v>
      </c>
      <c r="H2609" s="1509">
        <f t="shared" si="407"/>
        <v>0</v>
      </c>
      <c r="I2609" s="1509">
        <v>0</v>
      </c>
      <c r="J2609" s="1509">
        <v>0</v>
      </c>
      <c r="K2609" s="1509"/>
      <c r="L2609" s="1509"/>
      <c r="M2609" s="1509">
        <f t="shared" si="408"/>
        <v>0</v>
      </c>
      <c r="N2609" s="1509">
        <f t="shared" si="409"/>
        <v>0</v>
      </c>
    </row>
    <row r="2610" spans="1:16" outlineLevel="1" x14ac:dyDescent="0.25">
      <c r="A2610" s="1511">
        <f t="shared" si="415"/>
        <v>0</v>
      </c>
      <c r="B2610" s="1515" t="str">
        <f t="shared" si="415"/>
        <v>IDC</v>
      </c>
      <c r="C2610" s="1396">
        <f t="shared" si="415"/>
        <v>0</v>
      </c>
      <c r="D2610" s="1378" t="str">
        <f t="shared" si="415"/>
        <v>-</v>
      </c>
      <c r="E2610" s="1513">
        <f t="shared" si="415"/>
        <v>0</v>
      </c>
      <c r="F2610" s="1509">
        <f t="shared" si="405"/>
        <v>1.41</v>
      </c>
      <c r="G2610" s="1509">
        <f t="shared" si="406"/>
        <v>1.41</v>
      </c>
      <c r="H2610" s="1509">
        <f t="shared" si="407"/>
        <v>0</v>
      </c>
      <c r="I2610" s="1509">
        <v>0</v>
      </c>
      <c r="J2610" s="1509">
        <v>0</v>
      </c>
      <c r="K2610" s="1509"/>
      <c r="L2610" s="1509"/>
      <c r="M2610" s="1509">
        <f t="shared" si="408"/>
        <v>0</v>
      </c>
      <c r="N2610" s="1509">
        <f t="shared" si="409"/>
        <v>0</v>
      </c>
    </row>
    <row r="2611" spans="1:16" ht="58" outlineLevel="1" x14ac:dyDescent="0.25">
      <c r="A2611" s="1506" t="str">
        <f t="shared" si="415"/>
        <v>Covid Related Work</v>
      </c>
      <c r="B2611" s="1507" t="str">
        <f t="shared" si="415"/>
        <v>U#6,7 Medical02 Oxygen Gr&amp;Cyl Ozonization Plant501</v>
      </c>
      <c r="C2611" s="1506" t="str">
        <f t="shared" si="415"/>
        <v>N.A.</v>
      </c>
      <c r="D2611" s="1508" t="str">
        <f t="shared" si="415"/>
        <v>-</v>
      </c>
      <c r="E2611" s="1509">
        <f t="shared" si="415"/>
        <v>0</v>
      </c>
      <c r="F2611" s="1509">
        <f t="shared" si="405"/>
        <v>3.8414035910000002</v>
      </c>
      <c r="G2611" s="1509">
        <f t="shared" si="406"/>
        <v>3.8414035910000002</v>
      </c>
      <c r="H2611" s="1509">
        <f t="shared" si="407"/>
        <v>0</v>
      </c>
      <c r="I2611" s="1509">
        <v>0</v>
      </c>
      <c r="J2611" s="1509">
        <v>0</v>
      </c>
      <c r="K2611" s="1509"/>
      <c r="L2611" s="1509"/>
      <c r="M2611" s="1509">
        <f t="shared" si="408"/>
        <v>0</v>
      </c>
      <c r="N2611" s="1509">
        <f t="shared" si="409"/>
        <v>0</v>
      </c>
      <c r="O2611" s="1510"/>
      <c r="P2611" s="1453"/>
    </row>
    <row r="2612" spans="1:16" outlineLevel="1" x14ac:dyDescent="0.25">
      <c r="A2612" s="1511">
        <f t="shared" si="415"/>
        <v>0</v>
      </c>
      <c r="B2612" s="1515">
        <f t="shared" si="415"/>
        <v>0</v>
      </c>
      <c r="C2612" s="1396">
        <f t="shared" si="415"/>
        <v>0</v>
      </c>
      <c r="D2612" s="1378" t="str">
        <f t="shared" si="415"/>
        <v>-</v>
      </c>
      <c r="E2612" s="1505">
        <f t="shared" si="415"/>
        <v>0</v>
      </c>
      <c r="F2612" s="1509">
        <f t="shared" si="405"/>
        <v>0</v>
      </c>
      <c r="G2612" s="1509">
        <f t="shared" si="406"/>
        <v>0</v>
      </c>
      <c r="H2612" s="1509">
        <f t="shared" si="407"/>
        <v>0</v>
      </c>
      <c r="I2612" s="1509">
        <v>0</v>
      </c>
      <c r="J2612" s="1509">
        <v>0</v>
      </c>
      <c r="K2612" s="1509"/>
      <c r="L2612" s="1509"/>
      <c r="M2612" s="1509">
        <f t="shared" si="408"/>
        <v>0</v>
      </c>
      <c r="N2612" s="1509">
        <f t="shared" si="409"/>
        <v>0</v>
      </c>
    </row>
    <row r="2613" spans="1:16" ht="18.5" outlineLevel="1" x14ac:dyDescent="0.25">
      <c r="A2613" s="1339" t="str">
        <f t="shared" si="415"/>
        <v>B</v>
      </c>
      <c r="B2613" s="1339" t="str">
        <f t="shared" si="415"/>
        <v>Asset received from Project of 6-7</v>
      </c>
      <c r="C2613" s="1396">
        <f t="shared" si="415"/>
        <v>0</v>
      </c>
      <c r="D2613" s="1378" t="str">
        <f t="shared" si="415"/>
        <v>-</v>
      </c>
      <c r="E2613" s="1505">
        <f t="shared" si="415"/>
        <v>0</v>
      </c>
      <c r="F2613" s="1509">
        <f t="shared" si="405"/>
        <v>0</v>
      </c>
      <c r="G2613" s="1509">
        <f t="shared" si="406"/>
        <v>0</v>
      </c>
      <c r="H2613" s="1509">
        <f t="shared" si="407"/>
        <v>0</v>
      </c>
      <c r="I2613" s="1509">
        <v>0</v>
      </c>
      <c r="J2613" s="1509">
        <v>0</v>
      </c>
      <c r="K2613" s="1509"/>
      <c r="L2613" s="1509"/>
      <c r="M2613" s="1509">
        <f t="shared" si="408"/>
        <v>0</v>
      </c>
      <c r="N2613" s="1509">
        <f t="shared" si="409"/>
        <v>0</v>
      </c>
    </row>
    <row r="2614" spans="1:16" outlineLevel="1" x14ac:dyDescent="0.25">
      <c r="A2614" s="1511">
        <f t="shared" si="415"/>
        <v>1</v>
      </c>
      <c r="B2614" s="1515" t="str">
        <f t="shared" si="415"/>
        <v>Enhanced Land Compensation LAR No-127/2003</v>
      </c>
      <c r="C2614" s="1396" t="str">
        <f t="shared" si="415"/>
        <v>N.A.</v>
      </c>
      <c r="D2614" s="1378" t="str">
        <f t="shared" si="415"/>
        <v>-</v>
      </c>
      <c r="E2614" s="1505">
        <f t="shared" si="415"/>
        <v>0</v>
      </c>
      <c r="F2614" s="1509">
        <f t="shared" si="405"/>
        <v>0.72651449999999995</v>
      </c>
      <c r="G2614" s="1509">
        <f t="shared" si="406"/>
        <v>0.72651449999999995</v>
      </c>
      <c r="H2614" s="1509">
        <f t="shared" si="407"/>
        <v>0</v>
      </c>
      <c r="I2614" s="1509">
        <v>0</v>
      </c>
      <c r="J2614" s="1509">
        <v>0</v>
      </c>
      <c r="K2614" s="1509"/>
      <c r="L2614" s="1509"/>
      <c r="M2614" s="1509">
        <f t="shared" si="408"/>
        <v>0</v>
      </c>
      <c r="N2614" s="1509">
        <f t="shared" si="409"/>
        <v>0</v>
      </c>
    </row>
    <row r="2615" spans="1:16" outlineLevel="1" x14ac:dyDescent="0.25">
      <c r="A2615" s="1511">
        <f t="shared" si="415"/>
        <v>2</v>
      </c>
      <c r="B2615" s="1515" t="str">
        <f t="shared" si="415"/>
        <v>Assets rec. from Project Boiler Plant and Equipments</v>
      </c>
      <c r="C2615" s="1396" t="str">
        <f t="shared" si="415"/>
        <v>N.A.</v>
      </c>
      <c r="D2615" s="1378" t="str">
        <f t="shared" si="415"/>
        <v>-</v>
      </c>
      <c r="E2615" s="1505">
        <f t="shared" si="415"/>
        <v>0</v>
      </c>
      <c r="F2615" s="1509">
        <f t="shared" si="405"/>
        <v>14.2796416</v>
      </c>
      <c r="G2615" s="1509">
        <f t="shared" si="406"/>
        <v>14.2796416</v>
      </c>
      <c r="H2615" s="1509">
        <f t="shared" si="407"/>
        <v>0</v>
      </c>
      <c r="I2615" s="1509">
        <v>0</v>
      </c>
      <c r="J2615" s="1509">
        <v>0</v>
      </c>
      <c r="K2615" s="1509"/>
      <c r="L2615" s="1509"/>
      <c r="M2615" s="1509">
        <f t="shared" si="408"/>
        <v>0</v>
      </c>
      <c r="N2615" s="1509">
        <f t="shared" si="409"/>
        <v>0</v>
      </c>
    </row>
    <row r="2616" spans="1:16" outlineLevel="1" x14ac:dyDescent="0.25">
      <c r="A2616" s="1511">
        <f t="shared" si="415"/>
        <v>3</v>
      </c>
      <c r="B2616" s="1515" t="str">
        <f t="shared" si="415"/>
        <v>Assets rec. from Project &amp; CivilBoiler Plant and Equipments</v>
      </c>
      <c r="C2616" s="1396" t="str">
        <f t="shared" si="415"/>
        <v>N.A.</v>
      </c>
      <c r="D2616" s="1378" t="str">
        <f t="shared" si="415"/>
        <v>-</v>
      </c>
      <c r="E2616" s="1505">
        <f t="shared" si="415"/>
        <v>0</v>
      </c>
      <c r="F2616" s="1509">
        <f t="shared" si="405"/>
        <v>0.118890178</v>
      </c>
      <c r="G2616" s="1509">
        <f t="shared" si="406"/>
        <v>0.118890178</v>
      </c>
      <c r="H2616" s="1509">
        <f t="shared" si="407"/>
        <v>0</v>
      </c>
      <c r="I2616" s="1509">
        <v>0</v>
      </c>
      <c r="J2616" s="1509">
        <v>0</v>
      </c>
      <c r="K2616" s="1509"/>
      <c r="L2616" s="1509"/>
      <c r="M2616" s="1509">
        <f t="shared" si="408"/>
        <v>0</v>
      </c>
      <c r="N2616" s="1509">
        <f t="shared" si="409"/>
        <v>0</v>
      </c>
    </row>
    <row r="2617" spans="1:16" ht="29" outlineLevel="1" x14ac:dyDescent="0.25">
      <c r="A2617" s="1511">
        <f t="shared" si="415"/>
        <v>4</v>
      </c>
      <c r="B2617" s="1515" t="str">
        <f t="shared" si="415"/>
        <v>Received from project 2010-11 - mechanical works o f Boiler Plant and Equipments</v>
      </c>
      <c r="C2617" s="1396" t="str">
        <f t="shared" si="415"/>
        <v>N.A.</v>
      </c>
      <c r="D2617" s="1378" t="str">
        <f t="shared" si="415"/>
        <v>-</v>
      </c>
      <c r="E2617" s="1505">
        <f t="shared" si="415"/>
        <v>0</v>
      </c>
      <c r="F2617" s="1509">
        <f t="shared" si="405"/>
        <v>0.118890178</v>
      </c>
      <c r="G2617" s="1509">
        <f t="shared" si="406"/>
        <v>0.118890178</v>
      </c>
      <c r="H2617" s="1509">
        <f t="shared" si="407"/>
        <v>0</v>
      </c>
      <c r="I2617" s="1509">
        <v>0</v>
      </c>
      <c r="J2617" s="1509">
        <v>0</v>
      </c>
      <c r="K2617" s="1509"/>
      <c r="L2617" s="1509"/>
      <c r="M2617" s="1509">
        <f t="shared" si="408"/>
        <v>0</v>
      </c>
      <c r="N2617" s="1509">
        <f t="shared" si="409"/>
        <v>0</v>
      </c>
    </row>
    <row r="2618" spans="1:16" outlineLevel="1" x14ac:dyDescent="0.25">
      <c r="A2618" s="1511">
        <f t="shared" si="415"/>
        <v>5</v>
      </c>
      <c r="B2618" s="1515" t="str">
        <f t="shared" si="415"/>
        <v>Assets Received from project 2010-11 - Ash handling plant</v>
      </c>
      <c r="C2618" s="1396" t="str">
        <f t="shared" si="415"/>
        <v>N.A.</v>
      </c>
      <c r="D2618" s="1378" t="str">
        <f t="shared" si="415"/>
        <v>-</v>
      </c>
      <c r="E2618" s="1505">
        <f t="shared" si="415"/>
        <v>0</v>
      </c>
      <c r="F2618" s="1509">
        <f t="shared" si="405"/>
        <v>7.6350699999999994E-2</v>
      </c>
      <c r="G2618" s="1509">
        <f t="shared" si="406"/>
        <v>7.6350699999999994E-2</v>
      </c>
      <c r="H2618" s="1509">
        <f t="shared" si="407"/>
        <v>0</v>
      </c>
      <c r="I2618" s="1509">
        <v>0</v>
      </c>
      <c r="J2618" s="1509">
        <v>0</v>
      </c>
      <c r="K2618" s="1509"/>
      <c r="L2618" s="1509"/>
      <c r="M2618" s="1509">
        <f t="shared" si="408"/>
        <v>0</v>
      </c>
      <c r="N2618" s="1509">
        <f t="shared" si="409"/>
        <v>0</v>
      </c>
    </row>
    <row r="2619" spans="1:16" outlineLevel="1" x14ac:dyDescent="0.25">
      <c r="A2619" s="1511">
        <f t="shared" si="415"/>
        <v>6</v>
      </c>
      <c r="B2619" s="1515" t="str">
        <f t="shared" si="415"/>
        <v>Bolero Jeep MH 19 AE 6941</v>
      </c>
      <c r="C2619" s="1396" t="str">
        <f t="shared" si="415"/>
        <v>N.A.</v>
      </c>
      <c r="D2619" s="1378" t="str">
        <f t="shared" si="415"/>
        <v>-</v>
      </c>
      <c r="E2619" s="1505">
        <f t="shared" si="415"/>
        <v>0</v>
      </c>
      <c r="F2619" s="1509">
        <f t="shared" si="405"/>
        <v>4.2359800000000003E-2</v>
      </c>
      <c r="G2619" s="1509">
        <f t="shared" si="406"/>
        <v>4.2359800000000003E-2</v>
      </c>
      <c r="H2619" s="1509">
        <f t="shared" si="407"/>
        <v>0</v>
      </c>
      <c r="I2619" s="1509">
        <v>0</v>
      </c>
      <c r="J2619" s="1509">
        <v>0</v>
      </c>
      <c r="K2619" s="1509"/>
      <c r="L2619" s="1509"/>
      <c r="M2619" s="1509">
        <f t="shared" si="408"/>
        <v>0</v>
      </c>
      <c r="N2619" s="1509">
        <f t="shared" si="409"/>
        <v>0</v>
      </c>
    </row>
    <row r="2620" spans="1:16" customFormat="1" outlineLevel="1" x14ac:dyDescent="0.25">
      <c r="A2620" s="1511">
        <f t="shared" si="415"/>
        <v>7</v>
      </c>
      <c r="B2620" s="1515" t="str">
        <f t="shared" si="415"/>
        <v>Land owned under full title</v>
      </c>
      <c r="C2620" s="1396" t="str">
        <f t="shared" si="415"/>
        <v>N.A.</v>
      </c>
      <c r="D2620" s="1378" t="str">
        <f t="shared" si="415"/>
        <v>-</v>
      </c>
      <c r="E2620" s="1505">
        <f t="shared" si="415"/>
        <v>0</v>
      </c>
      <c r="F2620" s="1509">
        <f t="shared" si="405"/>
        <v>0.60786030000000002</v>
      </c>
      <c r="G2620" s="1509">
        <f t="shared" si="406"/>
        <v>0.60786030000000002</v>
      </c>
      <c r="H2620" s="1509">
        <f t="shared" si="407"/>
        <v>0</v>
      </c>
      <c r="I2620" s="1509">
        <v>0</v>
      </c>
      <c r="J2620" s="1509">
        <v>0</v>
      </c>
      <c r="K2620" s="1509"/>
      <c r="L2620" s="1509"/>
      <c r="M2620" s="1509">
        <f t="shared" si="408"/>
        <v>0</v>
      </c>
      <c r="N2620" s="1509">
        <f t="shared" si="409"/>
        <v>0</v>
      </c>
    </row>
    <row r="2621" spans="1:16" customFormat="1" outlineLevel="1" x14ac:dyDescent="0.25">
      <c r="A2621" s="1511">
        <f t="shared" ref="A2621:E2636" si="416">A2264</f>
        <v>8</v>
      </c>
      <c r="B2621" s="1515" t="str">
        <f t="shared" si="416"/>
        <v>Assets rec. from Project &amp; CivilBoiler Plant and Equipments</v>
      </c>
      <c r="C2621" s="1396" t="str">
        <f t="shared" si="416"/>
        <v>N.A.</v>
      </c>
      <c r="D2621" s="1378" t="str">
        <f t="shared" si="416"/>
        <v>-</v>
      </c>
      <c r="E2621" s="1505">
        <f t="shared" si="416"/>
        <v>0</v>
      </c>
      <c r="F2621" s="1509">
        <f t="shared" si="405"/>
        <v>2.6342887240000001</v>
      </c>
      <c r="G2621" s="1509">
        <f t="shared" si="406"/>
        <v>2.6342887240000001</v>
      </c>
      <c r="H2621" s="1509">
        <f t="shared" si="407"/>
        <v>0</v>
      </c>
      <c r="I2621" s="1509">
        <v>0</v>
      </c>
      <c r="J2621" s="1509">
        <v>0</v>
      </c>
      <c r="K2621" s="1509"/>
      <c r="L2621" s="1509"/>
      <c r="M2621" s="1509">
        <f t="shared" si="408"/>
        <v>0</v>
      </c>
      <c r="N2621" s="1509">
        <f t="shared" si="409"/>
        <v>0</v>
      </c>
    </row>
    <row r="2622" spans="1:16" customFormat="1" ht="29" outlineLevel="1" x14ac:dyDescent="0.25">
      <c r="A2622" s="1511">
        <f t="shared" si="416"/>
        <v>9</v>
      </c>
      <c r="B2622" s="1515" t="str">
        <f t="shared" si="416"/>
        <v>Received from project 2010-11 - mechanical works o f Boiler Plant and Equipments</v>
      </c>
      <c r="C2622" s="1396" t="str">
        <f t="shared" si="416"/>
        <v>N.A.</v>
      </c>
      <c r="D2622" s="1378" t="str">
        <f t="shared" si="416"/>
        <v>-</v>
      </c>
      <c r="E2622" s="1505">
        <f t="shared" si="416"/>
        <v>0</v>
      </c>
      <c r="F2622" s="1509">
        <f t="shared" si="405"/>
        <v>2.6342887240000001</v>
      </c>
      <c r="G2622" s="1509">
        <f t="shared" si="406"/>
        <v>2.6342887240000001</v>
      </c>
      <c r="H2622" s="1509">
        <f t="shared" si="407"/>
        <v>0</v>
      </c>
      <c r="I2622" s="1509">
        <v>0</v>
      </c>
      <c r="J2622" s="1509">
        <v>0</v>
      </c>
      <c r="K2622" s="1509"/>
      <c r="L2622" s="1509"/>
      <c r="M2622" s="1509">
        <f t="shared" si="408"/>
        <v>0</v>
      </c>
      <c r="N2622" s="1509">
        <f t="shared" si="409"/>
        <v>0</v>
      </c>
    </row>
    <row r="2623" spans="1:16" customFormat="1" outlineLevel="1" x14ac:dyDescent="0.25">
      <c r="A2623" s="1511">
        <f t="shared" si="416"/>
        <v>10</v>
      </c>
      <c r="B2623" s="1515" t="str">
        <f t="shared" si="416"/>
        <v>Received from Project 2010-11 - Crane   Hoising Equipment</v>
      </c>
      <c r="C2623" s="1396" t="str">
        <f t="shared" si="416"/>
        <v>N.A.</v>
      </c>
      <c r="D2623" s="1378" t="str">
        <f t="shared" si="416"/>
        <v>-</v>
      </c>
      <c r="E2623" s="1505">
        <f t="shared" si="416"/>
        <v>0</v>
      </c>
      <c r="F2623" s="1509">
        <f t="shared" si="405"/>
        <v>1.20114E-2</v>
      </c>
      <c r="G2623" s="1509">
        <f t="shared" si="406"/>
        <v>1.20114E-2</v>
      </c>
      <c r="H2623" s="1509">
        <f t="shared" si="407"/>
        <v>0</v>
      </c>
      <c r="I2623" s="1509">
        <v>0</v>
      </c>
      <c r="J2623" s="1509">
        <v>0</v>
      </c>
      <c r="K2623" s="1509"/>
      <c r="L2623" s="1509"/>
      <c r="M2623" s="1509">
        <f t="shared" si="408"/>
        <v>0</v>
      </c>
      <c r="N2623" s="1509">
        <f t="shared" si="409"/>
        <v>0</v>
      </c>
    </row>
    <row r="2624" spans="1:16" customFormat="1" outlineLevel="1" x14ac:dyDescent="0.25">
      <c r="A2624" s="1511">
        <f t="shared" si="416"/>
        <v>11</v>
      </c>
      <c r="B2624" s="1515" t="str">
        <f t="shared" si="416"/>
        <v>Enhancd Land CompnstnLarNo134/2003 Srvy No3Jlalp</v>
      </c>
      <c r="C2624" s="1396">
        <f t="shared" si="416"/>
        <v>0</v>
      </c>
      <c r="D2624" s="1378" t="str">
        <f t="shared" si="416"/>
        <v>-</v>
      </c>
      <c r="E2624" s="1505">
        <f t="shared" si="416"/>
        <v>0</v>
      </c>
      <c r="F2624" s="1509">
        <f t="shared" si="405"/>
        <v>0.4706939</v>
      </c>
      <c r="G2624" s="1509">
        <f t="shared" si="406"/>
        <v>0.4706939</v>
      </c>
      <c r="H2624" s="1509">
        <f t="shared" si="407"/>
        <v>0</v>
      </c>
      <c r="I2624" s="1509">
        <v>0</v>
      </c>
      <c r="J2624" s="1509">
        <v>0</v>
      </c>
      <c r="K2624" s="1509"/>
      <c r="L2624" s="1509"/>
      <c r="M2624" s="1509">
        <f t="shared" si="408"/>
        <v>0</v>
      </c>
      <c r="N2624" s="1509">
        <f t="shared" si="409"/>
        <v>0</v>
      </c>
    </row>
    <row r="2625" spans="1:14" customFormat="1" outlineLevel="1" x14ac:dyDescent="0.25">
      <c r="A2625" s="1511">
        <f t="shared" si="416"/>
        <v>12</v>
      </c>
      <c r="B2625" s="1515" t="str">
        <f t="shared" si="416"/>
        <v>Enhancd Land CompnstnLarNo273/2010Sangam Gat24,54,</v>
      </c>
      <c r="C2625" s="1396">
        <f t="shared" si="416"/>
        <v>0</v>
      </c>
      <c r="D2625" s="1378" t="str">
        <f t="shared" si="416"/>
        <v>-</v>
      </c>
      <c r="E2625" s="1505">
        <f t="shared" si="416"/>
        <v>0</v>
      </c>
      <c r="F2625" s="1509">
        <f t="shared" si="405"/>
        <v>0.32731569999999999</v>
      </c>
      <c r="G2625" s="1509">
        <f t="shared" si="406"/>
        <v>0.32731569999999999</v>
      </c>
      <c r="H2625" s="1509">
        <f t="shared" si="407"/>
        <v>0</v>
      </c>
      <c r="I2625" s="1509">
        <v>0</v>
      </c>
      <c r="J2625" s="1509">
        <v>0</v>
      </c>
      <c r="K2625" s="1509"/>
      <c r="L2625" s="1509"/>
      <c r="M2625" s="1509">
        <f t="shared" si="408"/>
        <v>0</v>
      </c>
      <c r="N2625" s="1509">
        <f t="shared" si="409"/>
        <v>0</v>
      </c>
    </row>
    <row r="2626" spans="1:14" customFormat="1" outlineLevel="1" x14ac:dyDescent="0.25">
      <c r="A2626" s="1511">
        <f t="shared" si="416"/>
        <v>13</v>
      </c>
      <c r="B2626" s="1515" t="str">
        <f t="shared" si="416"/>
        <v>Enhancd Land CompnstnLarNo273/2010Sangam Gat24,54,</v>
      </c>
      <c r="C2626" s="1396">
        <f t="shared" si="416"/>
        <v>0</v>
      </c>
      <c r="D2626" s="1378" t="str">
        <f t="shared" si="416"/>
        <v>-</v>
      </c>
      <c r="E2626" s="1505">
        <f t="shared" si="416"/>
        <v>0</v>
      </c>
      <c r="F2626" s="1509">
        <f t="shared" si="405"/>
        <v>8.7899000000000005E-2</v>
      </c>
      <c r="G2626" s="1509">
        <f t="shared" si="406"/>
        <v>8.7899000000000005E-2</v>
      </c>
      <c r="H2626" s="1509">
        <f t="shared" si="407"/>
        <v>0</v>
      </c>
      <c r="I2626" s="1509">
        <v>0</v>
      </c>
      <c r="J2626" s="1509">
        <v>0</v>
      </c>
      <c r="K2626" s="1509"/>
      <c r="L2626" s="1509"/>
      <c r="M2626" s="1509">
        <f t="shared" si="408"/>
        <v>0</v>
      </c>
      <c r="N2626" s="1509">
        <f t="shared" si="409"/>
        <v>0</v>
      </c>
    </row>
    <row r="2627" spans="1:14" customFormat="1" ht="29" outlineLevel="1" x14ac:dyDescent="0.25">
      <c r="A2627" s="1511">
        <f t="shared" si="416"/>
        <v>14</v>
      </c>
      <c r="B2627" s="1515" t="str">
        <f t="shared" si="416"/>
        <v>Received from project 2010-11 - mechanical works of Boiler Plant and Equipments</v>
      </c>
      <c r="C2627" s="1396">
        <f t="shared" si="416"/>
        <v>0</v>
      </c>
      <c r="D2627" s="1378" t="str">
        <f t="shared" si="416"/>
        <v>-</v>
      </c>
      <c r="E2627" s="1505">
        <f t="shared" si="416"/>
        <v>0</v>
      </c>
      <c r="F2627" s="1509">
        <f t="shared" si="405"/>
        <v>6.8807868000000001</v>
      </c>
      <c r="G2627" s="1509">
        <f t="shared" si="406"/>
        <v>6.8807868000000001</v>
      </c>
      <c r="H2627" s="1509">
        <f t="shared" si="407"/>
        <v>0</v>
      </c>
      <c r="I2627" s="1509">
        <v>0</v>
      </c>
      <c r="J2627" s="1509">
        <v>0</v>
      </c>
      <c r="K2627" s="1509"/>
      <c r="L2627" s="1509"/>
      <c r="M2627" s="1509">
        <f t="shared" si="408"/>
        <v>0</v>
      </c>
      <c r="N2627" s="1509">
        <f t="shared" si="409"/>
        <v>0</v>
      </c>
    </row>
    <row r="2628" spans="1:14" customFormat="1" outlineLevel="1" x14ac:dyDescent="0.25">
      <c r="A2628" s="1511">
        <f t="shared" si="416"/>
        <v>15</v>
      </c>
      <c r="B2628" s="1515" t="str">
        <f t="shared" si="416"/>
        <v>Compnsn payment agst land acquired</v>
      </c>
      <c r="C2628" s="1396">
        <f t="shared" si="416"/>
        <v>0</v>
      </c>
      <c r="D2628" s="1378" t="str">
        <f t="shared" si="416"/>
        <v>-</v>
      </c>
      <c r="E2628" s="1505">
        <f t="shared" si="416"/>
        <v>0</v>
      </c>
      <c r="F2628" s="1509">
        <f t="shared" si="405"/>
        <v>1.1658021999999999</v>
      </c>
      <c r="G2628" s="1509">
        <f t="shared" si="406"/>
        <v>1.1658021999999999</v>
      </c>
      <c r="H2628" s="1509">
        <f t="shared" si="407"/>
        <v>0</v>
      </c>
      <c r="I2628" s="1509">
        <v>0</v>
      </c>
      <c r="J2628" s="1509">
        <v>0</v>
      </c>
      <c r="K2628" s="1509"/>
      <c r="L2628" s="1509"/>
      <c r="M2628" s="1509">
        <f t="shared" si="408"/>
        <v>0</v>
      </c>
      <c r="N2628" s="1509">
        <f t="shared" si="409"/>
        <v>0</v>
      </c>
    </row>
    <row r="2629" spans="1:14" customFormat="1" ht="18.5" outlineLevel="1" x14ac:dyDescent="0.25">
      <c r="A2629" s="1339" t="str">
        <f t="shared" si="416"/>
        <v>C</v>
      </c>
      <c r="B2629" s="1339" t="str">
        <f t="shared" si="416"/>
        <v>Yet to be submitted to MERC</v>
      </c>
      <c r="C2629" s="1339">
        <f t="shared" si="416"/>
        <v>0</v>
      </c>
      <c r="D2629" s="1378" t="str">
        <f t="shared" si="416"/>
        <v>-</v>
      </c>
      <c r="E2629" s="1505">
        <f t="shared" si="416"/>
        <v>0</v>
      </c>
      <c r="F2629" s="1509">
        <f t="shared" si="405"/>
        <v>0</v>
      </c>
      <c r="G2629" s="1509">
        <f t="shared" si="406"/>
        <v>0</v>
      </c>
      <c r="H2629" s="1509">
        <f t="shared" si="407"/>
        <v>0</v>
      </c>
      <c r="I2629" s="1509">
        <v>0</v>
      </c>
      <c r="J2629" s="1509">
        <v>0</v>
      </c>
      <c r="K2629" s="1509"/>
      <c r="L2629" s="1509"/>
      <c r="M2629" s="1509">
        <f t="shared" si="408"/>
        <v>0</v>
      </c>
      <c r="N2629" s="1509">
        <f t="shared" si="409"/>
        <v>0</v>
      </c>
    </row>
    <row r="2630" spans="1:14" customFormat="1" ht="58" outlineLevel="1" x14ac:dyDescent="0.25">
      <c r="A2630" s="1506">
        <f t="shared" si="416"/>
        <v>2</v>
      </c>
      <c r="B2630" s="1507" t="str">
        <f t="shared" si="416"/>
        <v>Upgradation of PCAL to PADO upgradation Charger, UPS &amp; upgradation of fast bus transfer scheme, Installation, Erection and Commissioning of Mill Fire Detection System at U#6,7, HT motors procurement &amp; PLC upgradation.</v>
      </c>
      <c r="C2630" s="1506" t="str">
        <f t="shared" si="416"/>
        <v>Yet to be approved</v>
      </c>
      <c r="D2630" s="1507" t="str">
        <f t="shared" si="416"/>
        <v>-</v>
      </c>
      <c r="E2630" s="1506">
        <f t="shared" si="416"/>
        <v>0</v>
      </c>
      <c r="F2630" s="1509">
        <f t="shared" si="405"/>
        <v>0</v>
      </c>
      <c r="G2630" s="1509">
        <f t="shared" si="406"/>
        <v>0</v>
      </c>
      <c r="H2630" s="1509">
        <f t="shared" si="407"/>
        <v>0</v>
      </c>
      <c r="I2630" s="1509">
        <v>0</v>
      </c>
      <c r="J2630" s="1509">
        <v>0</v>
      </c>
      <c r="K2630" s="1509"/>
      <c r="L2630" s="1509"/>
      <c r="M2630" s="1509">
        <f t="shared" si="408"/>
        <v>0</v>
      </c>
      <c r="N2630" s="1509">
        <f t="shared" si="409"/>
        <v>0</v>
      </c>
    </row>
    <row r="2631" spans="1:14" customFormat="1" ht="43.5" outlineLevel="1" x14ac:dyDescent="0.25">
      <c r="A2631" s="1511">
        <f t="shared" si="416"/>
        <v>2.1</v>
      </c>
      <c r="B2631" s="1515" t="str">
        <f t="shared" si="416"/>
        <v xml:space="preserve">Supply, Erection &amp; Commissioning of 24 V,4500 AH Battery Charger at Unit 6&amp;7,220 V,2500 AH Battery Charger at U-6&amp;7, And110 V,400 AH Battery Charger at Khadka, Naikota Pump House, Parli Vaijnath. </v>
      </c>
      <c r="C2631" s="1396" t="str">
        <f t="shared" si="416"/>
        <v>Yet to be approved</v>
      </c>
      <c r="D2631" s="1378" t="str">
        <f t="shared" si="416"/>
        <v>-</v>
      </c>
      <c r="E2631" s="1505">
        <f t="shared" si="416"/>
        <v>0</v>
      </c>
      <c r="F2631" s="1509">
        <f t="shared" si="405"/>
        <v>6.73</v>
      </c>
      <c r="G2631" s="1509">
        <f t="shared" si="406"/>
        <v>6.73</v>
      </c>
      <c r="H2631" s="1509">
        <f t="shared" si="407"/>
        <v>0</v>
      </c>
      <c r="I2631" s="1509">
        <v>0</v>
      </c>
      <c r="J2631" s="1509">
        <v>0</v>
      </c>
      <c r="K2631" s="1509"/>
      <c r="L2631" s="1509"/>
      <c r="M2631" s="1509">
        <f t="shared" si="408"/>
        <v>0</v>
      </c>
      <c r="N2631" s="1509">
        <f t="shared" si="409"/>
        <v>0</v>
      </c>
    </row>
    <row r="2632" spans="1:14" customFormat="1" ht="29" outlineLevel="1" x14ac:dyDescent="0.25">
      <c r="A2632" s="1511">
        <f t="shared" si="416"/>
        <v>2.2000000000000002</v>
      </c>
      <c r="B2632" s="1515" t="str">
        <f t="shared" si="416"/>
        <v xml:space="preserve">Supply, Erection &amp; Commissioning of 80 KVA UPS at U-6&amp;7, Parli Vaijnath. </v>
      </c>
      <c r="C2632" s="1396" t="str">
        <f t="shared" si="416"/>
        <v>Yet to be approved</v>
      </c>
      <c r="D2632" s="1378" t="str">
        <f t="shared" si="416"/>
        <v>-</v>
      </c>
      <c r="E2632" s="1505">
        <f t="shared" si="416"/>
        <v>0</v>
      </c>
      <c r="F2632" s="1509">
        <f t="shared" si="405"/>
        <v>1.7850999999999999</v>
      </c>
      <c r="G2632" s="1509">
        <f t="shared" si="406"/>
        <v>1.7850999999999999</v>
      </c>
      <c r="H2632" s="1509">
        <f t="shared" si="407"/>
        <v>0</v>
      </c>
      <c r="I2632" s="1509">
        <v>0</v>
      </c>
      <c r="J2632" s="1509">
        <v>0</v>
      </c>
      <c r="K2632" s="1509"/>
      <c r="L2632" s="1509"/>
      <c r="M2632" s="1509">
        <f t="shared" si="408"/>
        <v>0</v>
      </c>
      <c r="N2632" s="1509">
        <f t="shared" si="409"/>
        <v>0</v>
      </c>
    </row>
    <row r="2633" spans="1:14" customFormat="1" outlineLevel="1" x14ac:dyDescent="0.25">
      <c r="A2633" s="1511">
        <f t="shared" si="416"/>
        <v>2.2999999999999998</v>
      </c>
      <c r="B2633" s="1515" t="str">
        <f t="shared" si="416"/>
        <v>Up-gradation of BTS system at Unit 6 &amp; 7 , Parli-Vaijnath.</v>
      </c>
      <c r="C2633" s="1396" t="str">
        <f t="shared" si="416"/>
        <v>Yet to be approved</v>
      </c>
      <c r="D2633" s="1378" t="str">
        <f t="shared" si="416"/>
        <v>-</v>
      </c>
      <c r="E2633" s="1505">
        <f t="shared" si="416"/>
        <v>0</v>
      </c>
      <c r="F2633" s="1509">
        <f t="shared" si="405"/>
        <v>5.3761000000000001</v>
      </c>
      <c r="G2633" s="1509">
        <f t="shared" si="406"/>
        <v>5.3761000000000001</v>
      </c>
      <c r="H2633" s="1509">
        <f t="shared" si="407"/>
        <v>0</v>
      </c>
      <c r="I2633" s="1509">
        <v>0</v>
      </c>
      <c r="J2633" s="1509">
        <v>0</v>
      </c>
      <c r="K2633" s="1509"/>
      <c r="L2633" s="1509"/>
      <c r="M2633" s="1509">
        <f t="shared" si="408"/>
        <v>0</v>
      </c>
      <c r="N2633" s="1509">
        <f t="shared" si="409"/>
        <v>0</v>
      </c>
    </row>
    <row r="2634" spans="1:14" customFormat="1" ht="29" outlineLevel="1" x14ac:dyDescent="0.25">
      <c r="A2634" s="1511">
        <f t="shared" si="416"/>
        <v>2.4</v>
      </c>
      <c r="B2634" s="1515" t="str">
        <f t="shared" si="416"/>
        <v>Supply Installation, erection, and commissioning of Mill fire detection system at U# 6,7 NPTPS, Parli- V</v>
      </c>
      <c r="C2634" s="1396" t="str">
        <f t="shared" si="416"/>
        <v>Yet to be approved</v>
      </c>
      <c r="D2634" s="1378" t="str">
        <f t="shared" si="416"/>
        <v>-</v>
      </c>
      <c r="E2634" s="1505">
        <f t="shared" si="416"/>
        <v>0</v>
      </c>
      <c r="F2634" s="1509">
        <f t="shared" si="405"/>
        <v>2.9378000000000002</v>
      </c>
      <c r="G2634" s="1509">
        <f t="shared" si="406"/>
        <v>2.9378000000000002</v>
      </c>
      <c r="H2634" s="1509">
        <f t="shared" si="407"/>
        <v>0</v>
      </c>
      <c r="I2634" s="1509">
        <v>0</v>
      </c>
      <c r="J2634" s="1509">
        <v>0</v>
      </c>
      <c r="K2634" s="1509"/>
      <c r="L2634" s="1509"/>
      <c r="M2634" s="1509">
        <f t="shared" si="408"/>
        <v>0</v>
      </c>
      <c r="N2634" s="1509">
        <f t="shared" si="409"/>
        <v>0</v>
      </c>
    </row>
    <row r="2635" spans="1:14" customFormat="1" ht="43.5" outlineLevel="1" x14ac:dyDescent="0.25">
      <c r="A2635" s="1511">
        <f t="shared" si="416"/>
        <v>2.5</v>
      </c>
      <c r="B2635" s="1515" t="str">
        <f t="shared" si="416"/>
        <v>Upgradation of Existing PCal System with Plant Performance Analysis Diagnostic and   Optimization System (PADO) at Unit - 6,7 New Parli TPS, Parli-V.</v>
      </c>
      <c r="C2635" s="1396" t="str">
        <f t="shared" si="416"/>
        <v>Yet to be approved</v>
      </c>
      <c r="D2635" s="1378" t="str">
        <f t="shared" si="416"/>
        <v>-</v>
      </c>
      <c r="E2635" s="1505">
        <f t="shared" si="416"/>
        <v>0</v>
      </c>
      <c r="F2635" s="1509">
        <f t="shared" si="405"/>
        <v>2.7534000000000001</v>
      </c>
      <c r="G2635" s="1509">
        <f t="shared" si="406"/>
        <v>2.7534000000000001</v>
      </c>
      <c r="H2635" s="1509">
        <f t="shared" si="407"/>
        <v>0</v>
      </c>
      <c r="I2635" s="1509">
        <v>0</v>
      </c>
      <c r="J2635" s="1509">
        <v>0</v>
      </c>
      <c r="K2635" s="1509"/>
      <c r="L2635" s="1509"/>
      <c r="M2635" s="1509">
        <f t="shared" si="408"/>
        <v>0</v>
      </c>
      <c r="N2635" s="1509">
        <f t="shared" si="409"/>
        <v>0</v>
      </c>
    </row>
    <row r="2636" spans="1:14" customFormat="1" ht="58" outlineLevel="1" x14ac:dyDescent="0.25">
      <c r="A2636" s="1511">
        <f t="shared" si="416"/>
        <v>2.6</v>
      </c>
      <c r="B2636" s="1515" t="str">
        <f t="shared" si="416"/>
        <v>Upgradation of expired and vulnerable SCADA, Operating System, and Hardware to improve life and communication system of DM Plant and Condenser Polishing Plant Unit 6&amp;7 250 MW at NPTPS Parli V".</v>
      </c>
      <c r="C2636" s="1396" t="str">
        <f t="shared" si="416"/>
        <v>Yet to be approved</v>
      </c>
      <c r="D2636" s="1378" t="str">
        <f t="shared" si="416"/>
        <v>-</v>
      </c>
      <c r="E2636" s="1505">
        <f t="shared" si="416"/>
        <v>0</v>
      </c>
      <c r="F2636" s="1509">
        <f t="shared" si="405"/>
        <v>4.58</v>
      </c>
      <c r="G2636" s="1509">
        <f t="shared" si="406"/>
        <v>4.58</v>
      </c>
      <c r="H2636" s="1509">
        <f t="shared" si="407"/>
        <v>0</v>
      </c>
      <c r="I2636" s="1509">
        <v>0</v>
      </c>
      <c r="J2636" s="1509">
        <v>0</v>
      </c>
      <c r="K2636" s="1509"/>
      <c r="L2636" s="1509"/>
      <c r="M2636" s="1509">
        <f t="shared" si="408"/>
        <v>0</v>
      </c>
      <c r="N2636" s="1509">
        <f t="shared" si="409"/>
        <v>0</v>
      </c>
    </row>
    <row r="2637" spans="1:14" customFormat="1" outlineLevel="1" x14ac:dyDescent="0.25">
      <c r="A2637" s="1511">
        <f t="shared" ref="A2637:E2652" si="417">A2280</f>
        <v>2.7</v>
      </c>
      <c r="B2637" s="1515" t="str">
        <f t="shared" si="417"/>
        <v>Procurement of Energy efficient HT motors at U#6,7, TPS Parli-V</v>
      </c>
      <c r="C2637" s="1396" t="str">
        <f t="shared" si="417"/>
        <v>Yet to be approved</v>
      </c>
      <c r="D2637" s="1378" t="str">
        <f t="shared" si="417"/>
        <v>-</v>
      </c>
      <c r="E2637" s="1505">
        <f t="shared" si="417"/>
        <v>0</v>
      </c>
      <c r="F2637" s="1509">
        <f t="shared" ref="F2637:F2700" si="418">F2280+I2280</f>
        <v>19.402799999999999</v>
      </c>
      <c r="G2637" s="1509">
        <f t="shared" ref="G2637:G2700" si="419">G2280+M2280</f>
        <v>19.402799999999999</v>
      </c>
      <c r="H2637" s="1509">
        <f t="shared" si="407"/>
        <v>0</v>
      </c>
      <c r="I2637" s="1509">
        <v>0</v>
      </c>
      <c r="J2637" s="1509">
        <v>0</v>
      </c>
      <c r="K2637" s="1509"/>
      <c r="L2637" s="1509"/>
      <c r="M2637" s="1509">
        <f t="shared" si="408"/>
        <v>0</v>
      </c>
      <c r="N2637" s="1509">
        <f t="shared" si="409"/>
        <v>0</v>
      </c>
    </row>
    <row r="2638" spans="1:14" customFormat="1" outlineLevel="1" x14ac:dyDescent="0.25">
      <c r="A2638" s="1515">
        <f t="shared" si="417"/>
        <v>0</v>
      </c>
      <c r="B2638" s="1515" t="str">
        <f t="shared" si="417"/>
        <v>IDC</v>
      </c>
      <c r="C2638" s="1396">
        <f t="shared" si="417"/>
        <v>0</v>
      </c>
      <c r="D2638" s="1378" t="str">
        <f t="shared" si="417"/>
        <v>-</v>
      </c>
      <c r="E2638" s="1505">
        <f t="shared" si="417"/>
        <v>0</v>
      </c>
      <c r="F2638" s="1509">
        <f t="shared" si="418"/>
        <v>0.8</v>
      </c>
      <c r="G2638" s="1509">
        <f t="shared" si="419"/>
        <v>0.8</v>
      </c>
      <c r="H2638" s="1509">
        <f t="shared" ref="H2638:H2701" si="420">F2638-G2638</f>
        <v>0</v>
      </c>
      <c r="I2638" s="1509">
        <v>0</v>
      </c>
      <c r="J2638" s="1509">
        <v>0</v>
      </c>
      <c r="K2638" s="1509"/>
      <c r="L2638" s="1509"/>
      <c r="M2638" s="1509">
        <f t="shared" ref="M2638:M2701" si="421">SUM(J2638:L2638)</f>
        <v>0</v>
      </c>
      <c r="N2638" s="1509">
        <f t="shared" ref="N2638:N2701" si="422">H2638+I2638-M2638</f>
        <v>0</v>
      </c>
    </row>
    <row r="2639" spans="1:14" customFormat="1" ht="43.5" outlineLevel="1" x14ac:dyDescent="0.25">
      <c r="A2639" s="1506">
        <f t="shared" si="417"/>
        <v>3</v>
      </c>
      <c r="B2639" s="1507" t="str">
        <f t="shared" si="417"/>
        <v>DPR on Supply, Installation, and commissioning of complete Governing rack assembly at Unit -06 &amp; 07 TPS Parli-V &amp; Procurement of LPT inner-inner casing at Unit 07 TPS Parli-V.</v>
      </c>
      <c r="C2639" s="1506" t="str">
        <f t="shared" si="417"/>
        <v>Yet to be approved</v>
      </c>
      <c r="D2639" s="1507" t="str">
        <f t="shared" si="417"/>
        <v>-</v>
      </c>
      <c r="E2639" s="1506">
        <f t="shared" si="417"/>
        <v>0</v>
      </c>
      <c r="F2639" s="1509">
        <f t="shared" si="418"/>
        <v>0</v>
      </c>
      <c r="G2639" s="1509">
        <f t="shared" si="419"/>
        <v>0</v>
      </c>
      <c r="H2639" s="1509">
        <f t="shared" si="420"/>
        <v>0</v>
      </c>
      <c r="I2639" s="1509">
        <v>0</v>
      </c>
      <c r="J2639" s="1509">
        <v>0</v>
      </c>
      <c r="K2639" s="1509"/>
      <c r="L2639" s="1509"/>
      <c r="M2639" s="1509">
        <f t="shared" si="421"/>
        <v>0</v>
      </c>
      <c r="N2639" s="1509">
        <f t="shared" si="422"/>
        <v>0</v>
      </c>
    </row>
    <row r="2640" spans="1:14" customFormat="1" ht="29" outlineLevel="1" x14ac:dyDescent="0.25">
      <c r="A2640" s="1511">
        <f t="shared" si="417"/>
        <v>3.1</v>
      </c>
      <c r="B2640" s="1515" t="str">
        <f t="shared" si="417"/>
        <v>Supply, Installation and Commissioning of complete governing rack assembly at Unit-06 TPS ,PARLI-V</v>
      </c>
      <c r="C2640" s="1396" t="str">
        <f t="shared" si="417"/>
        <v>Yet to be approved</v>
      </c>
      <c r="D2640" s="1378" t="str">
        <f t="shared" si="417"/>
        <v>-</v>
      </c>
      <c r="E2640" s="1505">
        <f t="shared" si="417"/>
        <v>0</v>
      </c>
      <c r="F2640" s="1509">
        <f t="shared" si="418"/>
        <v>23.423100000000002</v>
      </c>
      <c r="G2640" s="1509">
        <f t="shared" si="419"/>
        <v>23.423100000000002</v>
      </c>
      <c r="H2640" s="1509">
        <f t="shared" si="420"/>
        <v>0</v>
      </c>
      <c r="I2640" s="1509">
        <v>0</v>
      </c>
      <c r="J2640" s="1509">
        <v>0</v>
      </c>
      <c r="K2640" s="1509"/>
      <c r="L2640" s="1509"/>
      <c r="M2640" s="1509">
        <f t="shared" si="421"/>
        <v>0</v>
      </c>
      <c r="N2640" s="1509">
        <f t="shared" si="422"/>
        <v>0</v>
      </c>
    </row>
    <row r="2641" spans="1:14" customFormat="1" outlineLevel="1" x14ac:dyDescent="0.25">
      <c r="A2641" s="1511">
        <f t="shared" si="417"/>
        <v>3.2</v>
      </c>
      <c r="B2641" s="1515" t="str">
        <f t="shared" si="417"/>
        <v>Procurement of LPT inner-inner casing at Unit- 7 TPS, Parli-V</v>
      </c>
      <c r="C2641" s="1396" t="str">
        <f t="shared" si="417"/>
        <v>Yet to be approved</v>
      </c>
      <c r="D2641" s="1378" t="str">
        <f t="shared" si="417"/>
        <v>-</v>
      </c>
      <c r="E2641" s="1505">
        <f t="shared" si="417"/>
        <v>0</v>
      </c>
      <c r="F2641" s="1509">
        <f t="shared" si="418"/>
        <v>15.57</v>
      </c>
      <c r="G2641" s="1509">
        <f t="shared" si="419"/>
        <v>15.57</v>
      </c>
      <c r="H2641" s="1509">
        <f t="shared" si="420"/>
        <v>0</v>
      </c>
      <c r="I2641" s="1509">
        <v>0</v>
      </c>
      <c r="J2641" s="1509">
        <v>0</v>
      </c>
      <c r="K2641" s="1509"/>
      <c r="L2641" s="1509"/>
      <c r="M2641" s="1509">
        <f t="shared" si="421"/>
        <v>0</v>
      </c>
      <c r="N2641" s="1509">
        <f t="shared" si="422"/>
        <v>0</v>
      </c>
    </row>
    <row r="2642" spans="1:14" customFormat="1" outlineLevel="1" x14ac:dyDescent="0.25">
      <c r="A2642" s="1511">
        <f t="shared" si="417"/>
        <v>0</v>
      </c>
      <c r="B2642" s="1515" t="str">
        <f t="shared" si="417"/>
        <v>IDC</v>
      </c>
      <c r="C2642" s="1396" t="str">
        <f t="shared" si="417"/>
        <v>Yet to be approved</v>
      </c>
      <c r="D2642" s="1378" t="str">
        <f t="shared" si="417"/>
        <v>-</v>
      </c>
      <c r="E2642" s="1505">
        <f t="shared" si="417"/>
        <v>0</v>
      </c>
      <c r="F2642" s="1509">
        <f t="shared" si="418"/>
        <v>0</v>
      </c>
      <c r="G2642" s="1509">
        <f t="shared" si="419"/>
        <v>0</v>
      </c>
      <c r="H2642" s="1509">
        <f t="shared" si="420"/>
        <v>0</v>
      </c>
      <c r="I2642" s="1509">
        <v>0</v>
      </c>
      <c r="J2642" s="1509">
        <v>0</v>
      </c>
      <c r="K2642" s="1509"/>
      <c r="L2642" s="1509"/>
      <c r="M2642" s="1509">
        <f t="shared" si="421"/>
        <v>0</v>
      </c>
      <c r="N2642" s="1509">
        <f t="shared" si="422"/>
        <v>0</v>
      </c>
    </row>
    <row r="2643" spans="1:14" customFormat="1" ht="101.5" outlineLevel="1" x14ac:dyDescent="0.25">
      <c r="A2643" s="1506">
        <f t="shared" si="417"/>
        <v>4</v>
      </c>
      <c r="B2643" s="1507" t="str">
        <f t="shared" si="417"/>
        <v>DPR on Procurement of  BFP pumps, BFP booster pumps at Unit 6,7 Parli Vaijnath. Refurbishment of existing M/s Jindal make H2 gas Dryer,  Refurbishment of existing M/s Donaldson make Instrument Air Dryer at Unit#6 Parli TPS &amp; Repair and refurbishment of flowmore make ACW pump v.t model 24h/2 stage drawing no. csd/96502082k5(A)&amp; HSC booster pump model fig 5821 size 350 x 300 drawing no. csd/96502082k5(b) at unit#6,7.</v>
      </c>
      <c r="C2643" s="1506" t="str">
        <f t="shared" si="417"/>
        <v>Yet to be approved</v>
      </c>
      <c r="D2643" s="1507" t="str">
        <f t="shared" si="417"/>
        <v>-</v>
      </c>
      <c r="E2643" s="1506">
        <f t="shared" si="417"/>
        <v>0</v>
      </c>
      <c r="F2643" s="1509">
        <f t="shared" si="418"/>
        <v>0</v>
      </c>
      <c r="G2643" s="1509">
        <f t="shared" si="419"/>
        <v>0</v>
      </c>
      <c r="H2643" s="1509">
        <f t="shared" si="420"/>
        <v>0</v>
      </c>
      <c r="I2643" s="1509">
        <v>0</v>
      </c>
      <c r="J2643" s="1509">
        <v>0</v>
      </c>
      <c r="K2643" s="1509"/>
      <c r="L2643" s="1509"/>
      <c r="M2643" s="1509">
        <f t="shared" si="421"/>
        <v>0</v>
      </c>
      <c r="N2643" s="1509">
        <f t="shared" si="422"/>
        <v>0</v>
      </c>
    </row>
    <row r="2644" spans="1:14" customFormat="1" ht="29" outlineLevel="1" x14ac:dyDescent="0.25">
      <c r="A2644" s="1511">
        <f t="shared" si="417"/>
        <v>4.0999999999999996</v>
      </c>
      <c r="B2644" s="1515" t="str">
        <f t="shared" si="417"/>
        <v>Procurement of Energy Efficient Cartridges of Boiler Feed Pumps at Unit #6&amp;7 Parli TPS and BFP booster pumps at Unit 6,7 Parli Vaijnath.</v>
      </c>
      <c r="C2644" s="1396" t="str">
        <f t="shared" si="417"/>
        <v>Yet to be approved</v>
      </c>
      <c r="D2644" s="1378" t="str">
        <f t="shared" si="417"/>
        <v>-</v>
      </c>
      <c r="E2644" s="1505">
        <f t="shared" si="417"/>
        <v>0</v>
      </c>
      <c r="F2644" s="1509">
        <f t="shared" si="418"/>
        <v>15</v>
      </c>
      <c r="G2644" s="1509">
        <f t="shared" si="419"/>
        <v>15</v>
      </c>
      <c r="H2644" s="1509">
        <f t="shared" si="420"/>
        <v>0</v>
      </c>
      <c r="I2644" s="1509">
        <v>0</v>
      </c>
      <c r="J2644" s="1509">
        <v>0</v>
      </c>
      <c r="K2644" s="1509"/>
      <c r="L2644" s="1509"/>
      <c r="M2644" s="1509">
        <f t="shared" si="421"/>
        <v>0</v>
      </c>
      <c r="N2644" s="1509">
        <f t="shared" si="422"/>
        <v>0</v>
      </c>
    </row>
    <row r="2645" spans="1:14" customFormat="1" ht="29" outlineLevel="1" x14ac:dyDescent="0.25">
      <c r="A2645" s="1511">
        <f t="shared" si="417"/>
        <v>4.2</v>
      </c>
      <c r="B2645" s="1515" t="str">
        <f t="shared" si="417"/>
        <v>Refurbishment of existing M/s Jindal make H2 gas Dryer at Unit #6&amp;7 Parli TPS</v>
      </c>
      <c r="C2645" s="1396" t="str">
        <f t="shared" si="417"/>
        <v>Yet to be approved</v>
      </c>
      <c r="D2645" s="1378" t="str">
        <f t="shared" si="417"/>
        <v>-</v>
      </c>
      <c r="E2645" s="1505">
        <f t="shared" si="417"/>
        <v>0</v>
      </c>
      <c r="F2645" s="1509">
        <f t="shared" si="418"/>
        <v>3.51</v>
      </c>
      <c r="G2645" s="1509">
        <f t="shared" si="419"/>
        <v>3.51</v>
      </c>
      <c r="H2645" s="1509">
        <f t="shared" si="420"/>
        <v>0</v>
      </c>
      <c r="I2645" s="1509">
        <v>0</v>
      </c>
      <c r="J2645" s="1509">
        <v>0</v>
      </c>
      <c r="K2645" s="1509"/>
      <c r="L2645" s="1509"/>
      <c r="M2645" s="1509">
        <f t="shared" si="421"/>
        <v>0</v>
      </c>
      <c r="N2645" s="1509">
        <f t="shared" si="422"/>
        <v>0</v>
      </c>
    </row>
    <row r="2646" spans="1:14" customFormat="1" ht="29" outlineLevel="1" x14ac:dyDescent="0.25">
      <c r="A2646" s="1511">
        <f t="shared" si="417"/>
        <v>4.3</v>
      </c>
      <c r="B2646" s="1515" t="str">
        <f t="shared" si="417"/>
        <v>Refurbishment of existing M/s Donaldson make Instrument Air Dryer at Unit#6 Parli TPS</v>
      </c>
      <c r="C2646" s="1396" t="str">
        <f t="shared" si="417"/>
        <v>Yet to be approved</v>
      </c>
      <c r="D2646" s="1378" t="str">
        <f t="shared" si="417"/>
        <v>-</v>
      </c>
      <c r="E2646" s="1505">
        <f t="shared" si="417"/>
        <v>0</v>
      </c>
      <c r="F2646" s="1509">
        <f t="shared" si="418"/>
        <v>4.59</v>
      </c>
      <c r="G2646" s="1509">
        <f t="shared" si="419"/>
        <v>4.59</v>
      </c>
      <c r="H2646" s="1509">
        <f t="shared" si="420"/>
        <v>0</v>
      </c>
      <c r="I2646" s="1509">
        <v>0</v>
      </c>
      <c r="J2646" s="1509">
        <v>0</v>
      </c>
      <c r="K2646" s="1509"/>
      <c r="L2646" s="1509"/>
      <c r="M2646" s="1509">
        <f t="shared" si="421"/>
        <v>0</v>
      </c>
      <c r="N2646" s="1509">
        <f t="shared" si="422"/>
        <v>0</v>
      </c>
    </row>
    <row r="2647" spans="1:14" customFormat="1" ht="58" outlineLevel="1" x14ac:dyDescent="0.25">
      <c r="A2647" s="1511">
        <f t="shared" si="417"/>
        <v>4.4000000000000004</v>
      </c>
      <c r="B2647" s="1515" t="str">
        <f t="shared" si="417"/>
        <v xml:space="preserve"> Repair and refurbishment of flowmore make ACW pump v.t model 24h/2 stage drawing no. csd/96502082k5(A)&amp; HSC booster pump model fig 5821 size 350 x 300 drawing no. csd/96502082k5(b) at unit#6,7.</v>
      </c>
      <c r="C2647" s="1396" t="str">
        <f t="shared" si="417"/>
        <v>Yet to be approved</v>
      </c>
      <c r="D2647" s="1378" t="str">
        <f t="shared" si="417"/>
        <v>-</v>
      </c>
      <c r="E2647" s="1505">
        <f t="shared" si="417"/>
        <v>0</v>
      </c>
      <c r="F2647" s="1509">
        <f t="shared" si="418"/>
        <v>3.89</v>
      </c>
      <c r="G2647" s="1509">
        <f t="shared" si="419"/>
        <v>3.89</v>
      </c>
      <c r="H2647" s="1509">
        <f t="shared" si="420"/>
        <v>0</v>
      </c>
      <c r="I2647" s="1509">
        <v>0</v>
      </c>
      <c r="J2647" s="1509">
        <v>0</v>
      </c>
      <c r="K2647" s="1509"/>
      <c r="L2647" s="1509"/>
      <c r="M2647" s="1509">
        <f t="shared" si="421"/>
        <v>0</v>
      </c>
      <c r="N2647" s="1509">
        <f t="shared" si="422"/>
        <v>0</v>
      </c>
    </row>
    <row r="2648" spans="1:14" customFormat="1" outlineLevel="1" x14ac:dyDescent="0.25">
      <c r="A2648" s="1511">
        <f t="shared" si="417"/>
        <v>0</v>
      </c>
      <c r="B2648" s="1515" t="str">
        <f t="shared" si="417"/>
        <v>IDC</v>
      </c>
      <c r="C2648" s="1396" t="str">
        <f t="shared" si="417"/>
        <v>Yet to be approved</v>
      </c>
      <c r="D2648" s="1378" t="str">
        <f t="shared" si="417"/>
        <v>-</v>
      </c>
      <c r="E2648" s="1505">
        <f t="shared" si="417"/>
        <v>0</v>
      </c>
      <c r="F2648" s="1509">
        <f t="shared" si="418"/>
        <v>0</v>
      </c>
      <c r="G2648" s="1509">
        <f t="shared" si="419"/>
        <v>0</v>
      </c>
      <c r="H2648" s="1509">
        <f t="shared" si="420"/>
        <v>0</v>
      </c>
      <c r="I2648" s="1509">
        <v>0</v>
      </c>
      <c r="J2648" s="1509">
        <v>0</v>
      </c>
      <c r="K2648" s="1509"/>
      <c r="L2648" s="1509"/>
      <c r="M2648" s="1509">
        <f t="shared" si="421"/>
        <v>0</v>
      </c>
      <c r="N2648" s="1509">
        <f t="shared" si="422"/>
        <v>0</v>
      </c>
    </row>
    <row r="2649" spans="1:14" customFormat="1" outlineLevel="1" x14ac:dyDescent="0.25">
      <c r="A2649" s="1506">
        <f t="shared" si="417"/>
        <v>5</v>
      </c>
      <c r="B2649" s="1507" t="str">
        <f t="shared" si="417"/>
        <v>Bolier Improvement schemes at  U#6,7 Parli TPS</v>
      </c>
      <c r="C2649" s="1506" t="str">
        <f t="shared" si="417"/>
        <v>Yet to be approved</v>
      </c>
      <c r="D2649" s="1507" t="str">
        <f t="shared" si="417"/>
        <v>-</v>
      </c>
      <c r="E2649" s="1506">
        <f t="shared" si="417"/>
        <v>0</v>
      </c>
      <c r="F2649" s="1509">
        <f t="shared" si="418"/>
        <v>0</v>
      </c>
      <c r="G2649" s="1509">
        <f t="shared" si="419"/>
        <v>0</v>
      </c>
      <c r="H2649" s="1509">
        <f t="shared" si="420"/>
        <v>0</v>
      </c>
      <c r="I2649" s="1509">
        <v>0</v>
      </c>
      <c r="J2649" s="1509">
        <v>0</v>
      </c>
      <c r="K2649" s="1509"/>
      <c r="L2649" s="1509"/>
      <c r="M2649" s="1509">
        <f t="shared" si="421"/>
        <v>0</v>
      </c>
      <c r="N2649" s="1509">
        <f t="shared" si="422"/>
        <v>0</v>
      </c>
    </row>
    <row r="2650" spans="1:14" customFormat="1" ht="29" outlineLevel="1" x14ac:dyDescent="0.25">
      <c r="A2650" s="1511">
        <f t="shared" si="417"/>
        <v>5.0999999999999996</v>
      </c>
      <c r="B2650" s="1515" t="str">
        <f t="shared" si="417"/>
        <v>Procurment &amp; replacement of Four complete set of APH basket ay U#6 &amp; 7</v>
      </c>
      <c r="C2650" s="1396" t="str">
        <f t="shared" si="417"/>
        <v>Yet to be approved</v>
      </c>
      <c r="D2650" s="1378" t="str">
        <f t="shared" si="417"/>
        <v>-</v>
      </c>
      <c r="E2650" s="1505">
        <f t="shared" si="417"/>
        <v>0</v>
      </c>
      <c r="F2650" s="1509">
        <f t="shared" si="418"/>
        <v>10</v>
      </c>
      <c r="G2650" s="1509">
        <f t="shared" si="419"/>
        <v>10</v>
      </c>
      <c r="H2650" s="1509">
        <f t="shared" si="420"/>
        <v>0</v>
      </c>
      <c r="I2650" s="1509">
        <v>0</v>
      </c>
      <c r="J2650" s="1509">
        <v>0</v>
      </c>
      <c r="K2650" s="1509"/>
      <c r="L2650" s="1509"/>
      <c r="M2650" s="1509">
        <f t="shared" si="421"/>
        <v>0</v>
      </c>
      <c r="N2650" s="1509">
        <f t="shared" si="422"/>
        <v>0</v>
      </c>
    </row>
    <row r="2651" spans="1:14" customFormat="1" ht="29" outlineLevel="1" x14ac:dyDescent="0.25">
      <c r="A2651" s="1511">
        <f t="shared" si="417"/>
        <v>5.2</v>
      </c>
      <c r="B2651" s="1515" t="str">
        <f t="shared" si="417"/>
        <v>PROCUREMENT &amp; REPLACEMENT OF COAL COMPARATMENT ASSEMBLIES FOR 250 MW UNIT-6 &amp; 7 AT PARLI TPS</v>
      </c>
      <c r="C2651" s="1396" t="str">
        <f t="shared" si="417"/>
        <v>Yet to be approved</v>
      </c>
      <c r="D2651" s="1378" t="str">
        <f t="shared" si="417"/>
        <v>-</v>
      </c>
      <c r="E2651" s="1505">
        <f t="shared" si="417"/>
        <v>0</v>
      </c>
      <c r="F2651" s="1509">
        <f t="shared" si="418"/>
        <v>2.5499999999999998</v>
      </c>
      <c r="G2651" s="1509">
        <f t="shared" si="419"/>
        <v>2.5499999999999998</v>
      </c>
      <c r="H2651" s="1509">
        <f t="shared" si="420"/>
        <v>0</v>
      </c>
      <c r="I2651" s="1509">
        <v>0</v>
      </c>
      <c r="J2651" s="1509">
        <v>0</v>
      </c>
      <c r="K2651" s="1509"/>
      <c r="L2651" s="1509"/>
      <c r="M2651" s="1509">
        <f t="shared" si="421"/>
        <v>0</v>
      </c>
      <c r="N2651" s="1509">
        <f t="shared" si="422"/>
        <v>0</v>
      </c>
    </row>
    <row r="2652" spans="1:14" customFormat="1" ht="29" outlineLevel="1" x14ac:dyDescent="0.25">
      <c r="A2652" s="1511">
        <f t="shared" si="417"/>
        <v>5.3</v>
      </c>
      <c r="B2652" s="1515" t="str">
        <f t="shared" si="417"/>
        <v>Procurement &amp; replacement  of complete set of Reheater coils for U- 6 &amp; 7</v>
      </c>
      <c r="C2652" s="1396" t="str">
        <f t="shared" si="417"/>
        <v>Yet to be approved</v>
      </c>
      <c r="D2652" s="1378" t="str">
        <f t="shared" si="417"/>
        <v>-</v>
      </c>
      <c r="E2652" s="1505">
        <f t="shared" si="417"/>
        <v>0</v>
      </c>
      <c r="F2652" s="1509">
        <f t="shared" si="418"/>
        <v>22.5</v>
      </c>
      <c r="G2652" s="1509">
        <f t="shared" si="419"/>
        <v>22.5</v>
      </c>
      <c r="H2652" s="1509">
        <f t="shared" si="420"/>
        <v>0</v>
      </c>
      <c r="I2652" s="1509">
        <v>0</v>
      </c>
      <c r="J2652" s="1509">
        <v>0</v>
      </c>
      <c r="K2652" s="1509"/>
      <c r="L2652" s="1509"/>
      <c r="M2652" s="1509">
        <f t="shared" si="421"/>
        <v>0</v>
      </c>
      <c r="N2652" s="1509">
        <f t="shared" si="422"/>
        <v>0</v>
      </c>
    </row>
    <row r="2653" spans="1:14" customFormat="1" ht="29" outlineLevel="1" x14ac:dyDescent="0.25">
      <c r="A2653" s="1511">
        <f t="shared" ref="A2653:E2668" si="423">A2296</f>
        <v>5.4</v>
      </c>
      <c r="B2653" s="1515" t="str">
        <f t="shared" si="423"/>
        <v>Procurement &amp; replacement  of complete set of Platen SH coil for U- 6 &amp; 7</v>
      </c>
      <c r="C2653" s="1396" t="str">
        <f t="shared" si="423"/>
        <v>Yet to be approved</v>
      </c>
      <c r="D2653" s="1378" t="str">
        <f t="shared" si="423"/>
        <v>-</v>
      </c>
      <c r="E2653" s="1505">
        <f t="shared" si="423"/>
        <v>0</v>
      </c>
      <c r="F2653" s="1509">
        <f t="shared" si="418"/>
        <v>25.5</v>
      </c>
      <c r="G2653" s="1509">
        <f t="shared" si="419"/>
        <v>25.5</v>
      </c>
      <c r="H2653" s="1509">
        <f t="shared" si="420"/>
        <v>0</v>
      </c>
      <c r="I2653" s="1509">
        <v>0</v>
      </c>
      <c r="J2653" s="1509">
        <v>0</v>
      </c>
      <c r="K2653" s="1509"/>
      <c r="L2653" s="1509"/>
      <c r="M2653" s="1509">
        <f t="shared" si="421"/>
        <v>0</v>
      </c>
      <c r="N2653" s="1509">
        <f t="shared" si="422"/>
        <v>0</v>
      </c>
    </row>
    <row r="2654" spans="1:14" customFormat="1" outlineLevel="1" x14ac:dyDescent="0.25">
      <c r="A2654" s="1511">
        <f t="shared" si="423"/>
        <v>5.5</v>
      </c>
      <c r="B2654" s="1515" t="str">
        <f t="shared" si="423"/>
        <v>Procurement &amp; replacement of  shell liner for U-6&amp;7</v>
      </c>
      <c r="C2654" s="1396" t="str">
        <f t="shared" si="423"/>
        <v>Yet to be approved</v>
      </c>
      <c r="D2654" s="1378" t="str">
        <f t="shared" si="423"/>
        <v>-</v>
      </c>
      <c r="E2654" s="1505">
        <f t="shared" si="423"/>
        <v>0</v>
      </c>
      <c r="F2654" s="1509">
        <f t="shared" si="418"/>
        <v>3.5</v>
      </c>
      <c r="G2654" s="1509">
        <f t="shared" si="419"/>
        <v>3.5</v>
      </c>
      <c r="H2654" s="1509">
        <f t="shared" si="420"/>
        <v>0</v>
      </c>
      <c r="I2654" s="1509">
        <v>0</v>
      </c>
      <c r="J2654" s="1509">
        <v>0</v>
      </c>
      <c r="K2654" s="1509"/>
      <c r="L2654" s="1509"/>
      <c r="M2654" s="1509">
        <f t="shared" si="421"/>
        <v>0</v>
      </c>
      <c r="N2654" s="1509">
        <f t="shared" si="422"/>
        <v>0</v>
      </c>
    </row>
    <row r="2655" spans="1:14" customFormat="1" ht="29" outlineLevel="1" x14ac:dyDescent="0.25">
      <c r="A2655" s="1511">
        <f t="shared" si="423"/>
        <v>5.6</v>
      </c>
      <c r="B2655" s="1515" t="str">
        <f t="shared" si="423"/>
        <v>Procurement &amp; replacement of  FD fan assembly with blade set at U#6,7</v>
      </c>
      <c r="C2655" s="1396" t="str">
        <f t="shared" si="423"/>
        <v>Yet to be approved</v>
      </c>
      <c r="D2655" s="1378" t="str">
        <f t="shared" si="423"/>
        <v>-</v>
      </c>
      <c r="E2655" s="1505">
        <f t="shared" si="423"/>
        <v>0</v>
      </c>
      <c r="F2655" s="1509">
        <f t="shared" si="418"/>
        <v>8</v>
      </c>
      <c r="G2655" s="1509">
        <f t="shared" si="419"/>
        <v>8</v>
      </c>
      <c r="H2655" s="1509">
        <f t="shared" si="420"/>
        <v>0</v>
      </c>
      <c r="I2655" s="1509">
        <v>0</v>
      </c>
      <c r="J2655" s="1509">
        <v>0</v>
      </c>
      <c r="K2655" s="1509"/>
      <c r="L2655" s="1509"/>
      <c r="M2655" s="1509">
        <f t="shared" si="421"/>
        <v>0</v>
      </c>
      <c r="N2655" s="1509">
        <f t="shared" si="422"/>
        <v>0</v>
      </c>
    </row>
    <row r="2656" spans="1:14" customFormat="1" outlineLevel="1" x14ac:dyDescent="0.25">
      <c r="A2656" s="1511">
        <f t="shared" si="423"/>
        <v>0</v>
      </c>
      <c r="B2656" s="1515" t="str">
        <f t="shared" si="423"/>
        <v>IDC</v>
      </c>
      <c r="C2656" s="1396" t="str">
        <f t="shared" si="423"/>
        <v>Yet to be approved</v>
      </c>
      <c r="D2656" s="1378" t="str">
        <f t="shared" si="423"/>
        <v>-</v>
      </c>
      <c r="E2656" s="1505">
        <f t="shared" si="423"/>
        <v>0</v>
      </c>
      <c r="F2656" s="1509">
        <f t="shared" si="418"/>
        <v>0</v>
      </c>
      <c r="G2656" s="1509">
        <f t="shared" si="419"/>
        <v>0</v>
      </c>
      <c r="H2656" s="1509">
        <f t="shared" si="420"/>
        <v>0</v>
      </c>
      <c r="I2656" s="1509">
        <v>0</v>
      </c>
      <c r="J2656" s="1509">
        <v>0</v>
      </c>
      <c r="K2656" s="1509"/>
      <c r="L2656" s="1509"/>
      <c r="M2656" s="1509">
        <f t="shared" si="421"/>
        <v>0</v>
      </c>
      <c r="N2656" s="1509">
        <f t="shared" si="422"/>
        <v>0</v>
      </c>
    </row>
    <row r="2657" spans="1:14" customFormat="1" outlineLevel="1" x14ac:dyDescent="0.25">
      <c r="A2657" s="1506">
        <f t="shared" si="423"/>
        <v>6</v>
      </c>
      <c r="B2657" s="1507" t="str">
        <f t="shared" si="423"/>
        <v>Bolier plant performance Improvement schemes at  U#6,7 Parli TPS</v>
      </c>
      <c r="C2657" s="1506" t="str">
        <f t="shared" si="423"/>
        <v>Yet to be approved</v>
      </c>
      <c r="D2657" s="1507" t="str">
        <f t="shared" si="423"/>
        <v>-</v>
      </c>
      <c r="E2657" s="1506">
        <f t="shared" si="423"/>
        <v>0</v>
      </c>
      <c r="F2657" s="1509">
        <f t="shared" si="418"/>
        <v>0</v>
      </c>
      <c r="G2657" s="1509">
        <f t="shared" si="419"/>
        <v>0</v>
      </c>
      <c r="H2657" s="1509">
        <f t="shared" si="420"/>
        <v>0</v>
      </c>
      <c r="I2657" s="1509">
        <v>0</v>
      </c>
      <c r="J2657" s="1509">
        <v>0</v>
      </c>
      <c r="K2657" s="1509"/>
      <c r="L2657" s="1509"/>
      <c r="M2657" s="1509">
        <f t="shared" si="421"/>
        <v>0</v>
      </c>
      <c r="N2657" s="1509">
        <f t="shared" si="422"/>
        <v>0</v>
      </c>
    </row>
    <row r="2658" spans="1:14" customFormat="1" ht="29" outlineLevel="1" x14ac:dyDescent="0.25">
      <c r="A2658" s="1511">
        <f t="shared" si="423"/>
        <v>6.1</v>
      </c>
      <c r="B2658" s="1515" t="str">
        <f t="shared" si="423"/>
        <v xml:space="preserve"> PROCUREMENT &amp; REPLACEMENT OF COAL COMPARATMENT ASSEMBLIES FOR 250 MW UNIT-6 &amp; 7 AT PARLI TPS</v>
      </c>
      <c r="C2658" s="1396" t="str">
        <f t="shared" si="423"/>
        <v>Yet to be approved</v>
      </c>
      <c r="D2658" s="1378" t="str">
        <f t="shared" si="423"/>
        <v>-</v>
      </c>
      <c r="E2658" s="1505">
        <f t="shared" si="423"/>
        <v>0</v>
      </c>
      <c r="F2658" s="1509">
        <f t="shared" si="418"/>
        <v>2.75</v>
      </c>
      <c r="G2658" s="1509">
        <f t="shared" si="419"/>
        <v>2.75</v>
      </c>
      <c r="H2658" s="1509">
        <f t="shared" si="420"/>
        <v>0</v>
      </c>
      <c r="I2658" s="1509">
        <v>0</v>
      </c>
      <c r="J2658" s="1509">
        <v>0</v>
      </c>
      <c r="K2658" s="1509"/>
      <c r="L2658" s="1509"/>
      <c r="M2658" s="1509">
        <f t="shared" si="421"/>
        <v>0</v>
      </c>
      <c r="N2658" s="1509">
        <f t="shared" si="422"/>
        <v>0</v>
      </c>
    </row>
    <row r="2659" spans="1:14" customFormat="1" outlineLevel="1" x14ac:dyDescent="0.25">
      <c r="A2659" s="1511">
        <f t="shared" si="423"/>
        <v>6.2</v>
      </c>
      <c r="B2659" s="1515" t="str">
        <f t="shared" si="423"/>
        <v>Procurement &amp; replacement of  shell liner for U-6&amp;7</v>
      </c>
      <c r="C2659" s="1396" t="str">
        <f t="shared" si="423"/>
        <v>Yet to be approved</v>
      </c>
      <c r="D2659" s="1378" t="str">
        <f t="shared" si="423"/>
        <v>-</v>
      </c>
      <c r="E2659" s="1505">
        <f t="shared" si="423"/>
        <v>0</v>
      </c>
      <c r="F2659" s="1509">
        <f t="shared" si="418"/>
        <v>2.7</v>
      </c>
      <c r="G2659" s="1509">
        <f t="shared" si="419"/>
        <v>2.7</v>
      </c>
      <c r="H2659" s="1509">
        <f t="shared" si="420"/>
        <v>0</v>
      </c>
      <c r="I2659" s="1509">
        <v>1.35</v>
      </c>
      <c r="J2659" s="1509">
        <v>1.35</v>
      </c>
      <c r="K2659" s="1509"/>
      <c r="L2659" s="1509"/>
      <c r="M2659" s="1509">
        <f t="shared" si="421"/>
        <v>1.35</v>
      </c>
      <c r="N2659" s="1509">
        <f t="shared" si="422"/>
        <v>0</v>
      </c>
    </row>
    <row r="2660" spans="1:14" customFormat="1" ht="29" outlineLevel="1" x14ac:dyDescent="0.25">
      <c r="A2660" s="1511">
        <f t="shared" si="423"/>
        <v>6.3</v>
      </c>
      <c r="B2660" s="1515" t="str">
        <f t="shared" si="423"/>
        <v>Procurement &amp; replacement of water wall Z panel &amp; water wall soot blower panel at U#6,7</v>
      </c>
      <c r="C2660" s="1396" t="str">
        <f t="shared" si="423"/>
        <v>Yet to be approved</v>
      </c>
      <c r="D2660" s="1378" t="str">
        <f t="shared" si="423"/>
        <v>-</v>
      </c>
      <c r="E2660" s="1505">
        <f t="shared" si="423"/>
        <v>0</v>
      </c>
      <c r="F2660" s="1509">
        <f t="shared" si="418"/>
        <v>7</v>
      </c>
      <c r="G2660" s="1509">
        <f t="shared" si="419"/>
        <v>7</v>
      </c>
      <c r="H2660" s="1509">
        <f t="shared" si="420"/>
        <v>0</v>
      </c>
      <c r="I2660" s="1509">
        <v>0</v>
      </c>
      <c r="J2660" s="1509">
        <v>0</v>
      </c>
      <c r="K2660" s="1509"/>
      <c r="L2660" s="1509"/>
      <c r="M2660" s="1509">
        <f t="shared" si="421"/>
        <v>0</v>
      </c>
      <c r="N2660" s="1509">
        <f t="shared" si="422"/>
        <v>0</v>
      </c>
    </row>
    <row r="2661" spans="1:14" customFormat="1" ht="29" outlineLevel="1" x14ac:dyDescent="0.25">
      <c r="A2661" s="1511">
        <f t="shared" si="423"/>
        <v>6.4</v>
      </c>
      <c r="B2661" s="1515" t="str">
        <f t="shared" si="423"/>
        <v>Procurement &amp; Replacement of Two complete set of APH Baskets at 250 MW Unit-7, Parli TPS.</v>
      </c>
      <c r="C2661" s="1396" t="str">
        <f t="shared" si="423"/>
        <v>Yet to be approved</v>
      </c>
      <c r="D2661" s="1378" t="str">
        <f t="shared" si="423"/>
        <v>-</v>
      </c>
      <c r="E2661" s="1505">
        <f t="shared" si="423"/>
        <v>0</v>
      </c>
      <c r="F2661" s="1509">
        <f t="shared" si="418"/>
        <v>0</v>
      </c>
      <c r="G2661" s="1509">
        <f t="shared" si="419"/>
        <v>0</v>
      </c>
      <c r="H2661" s="1509">
        <f t="shared" si="420"/>
        <v>0</v>
      </c>
      <c r="I2661" s="1509">
        <v>5.5</v>
      </c>
      <c r="J2661" s="1509">
        <v>5.5</v>
      </c>
      <c r="K2661" s="1509"/>
      <c r="L2661" s="1509"/>
      <c r="M2661" s="1509">
        <f t="shared" si="421"/>
        <v>5.5</v>
      </c>
      <c r="N2661" s="1509">
        <f t="shared" si="422"/>
        <v>0</v>
      </c>
    </row>
    <row r="2662" spans="1:14" customFormat="1" outlineLevel="1" x14ac:dyDescent="0.25">
      <c r="A2662" s="1511">
        <f t="shared" si="423"/>
        <v>0</v>
      </c>
      <c r="B2662" s="1515" t="str">
        <f t="shared" si="423"/>
        <v>IDC</v>
      </c>
      <c r="C2662" s="1396" t="str">
        <f t="shared" si="423"/>
        <v>Yet to be approved</v>
      </c>
      <c r="D2662" s="1378" t="str">
        <f t="shared" si="423"/>
        <v>-</v>
      </c>
      <c r="E2662" s="1505">
        <f t="shared" si="423"/>
        <v>0</v>
      </c>
      <c r="F2662" s="1509">
        <f t="shared" si="418"/>
        <v>0</v>
      </c>
      <c r="G2662" s="1509">
        <f t="shared" si="419"/>
        <v>0</v>
      </c>
      <c r="H2662" s="1509">
        <f t="shared" si="420"/>
        <v>0</v>
      </c>
      <c r="I2662" s="1509">
        <v>0</v>
      </c>
      <c r="J2662" s="1509">
        <v>0</v>
      </c>
      <c r="K2662" s="1509"/>
      <c r="L2662" s="1509"/>
      <c r="M2662" s="1509">
        <f t="shared" si="421"/>
        <v>0</v>
      </c>
      <c r="N2662" s="1509">
        <f t="shared" si="422"/>
        <v>0</v>
      </c>
    </row>
    <row r="2663" spans="1:14" customFormat="1" outlineLevel="1" x14ac:dyDescent="0.25">
      <c r="A2663" s="1506">
        <f t="shared" si="423"/>
        <v>7</v>
      </c>
      <c r="B2663" s="1507" t="str">
        <f t="shared" si="423"/>
        <v>ESP Upgradation at U#6,7</v>
      </c>
      <c r="C2663" s="1506" t="str">
        <f t="shared" si="423"/>
        <v>Yet to be approved</v>
      </c>
      <c r="D2663" s="1507" t="str">
        <f t="shared" si="423"/>
        <v>-</v>
      </c>
      <c r="E2663" s="1506">
        <f t="shared" si="423"/>
        <v>0</v>
      </c>
      <c r="F2663" s="1509">
        <f t="shared" si="418"/>
        <v>0</v>
      </c>
      <c r="G2663" s="1509">
        <f t="shared" si="419"/>
        <v>0</v>
      </c>
      <c r="H2663" s="1509">
        <f t="shared" si="420"/>
        <v>0</v>
      </c>
      <c r="I2663" s="1509">
        <v>0</v>
      </c>
      <c r="J2663" s="1509">
        <v>0</v>
      </c>
      <c r="K2663" s="1509"/>
      <c r="L2663" s="1509"/>
      <c r="M2663" s="1509">
        <f t="shared" si="421"/>
        <v>0</v>
      </c>
      <c r="N2663" s="1509">
        <f t="shared" si="422"/>
        <v>0</v>
      </c>
    </row>
    <row r="2664" spans="1:14" customFormat="1" ht="58" outlineLevel="1" x14ac:dyDescent="0.25">
      <c r="A2664" s="1511">
        <f t="shared" si="423"/>
        <v>7.1</v>
      </c>
      <c r="B2664" s="1515" t="str">
        <f t="shared" si="423"/>
        <v xml:space="preserve"> Procurement &amp; replacement of all emitting coils &amp; collecting plates of ESP &amp; Procurement &amp; replacement of ESP internals at U#6,7 Parli TPS &amp; Replacement of thermal insulation of boiler, ducts &amp; steam piping along with supply</v>
      </c>
      <c r="C2664" s="1396" t="str">
        <f t="shared" si="423"/>
        <v>Yet to be approved</v>
      </c>
      <c r="D2664" s="1378" t="str">
        <f t="shared" si="423"/>
        <v>-</v>
      </c>
      <c r="E2664" s="1505">
        <f t="shared" si="423"/>
        <v>0</v>
      </c>
      <c r="F2664" s="1509">
        <f t="shared" si="418"/>
        <v>25</v>
      </c>
      <c r="G2664" s="1509">
        <f t="shared" si="419"/>
        <v>25</v>
      </c>
      <c r="H2664" s="1509">
        <f t="shared" si="420"/>
        <v>0</v>
      </c>
      <c r="I2664" s="1509">
        <v>0</v>
      </c>
      <c r="J2664" s="1509">
        <v>0</v>
      </c>
      <c r="K2664" s="1509"/>
      <c r="L2664" s="1509"/>
      <c r="M2664" s="1509">
        <f t="shared" si="421"/>
        <v>0</v>
      </c>
      <c r="N2664" s="1509">
        <f t="shared" si="422"/>
        <v>0</v>
      </c>
    </row>
    <row r="2665" spans="1:14" customFormat="1" ht="29" outlineLevel="1" x14ac:dyDescent="0.25">
      <c r="A2665" s="1511">
        <f t="shared" si="423"/>
        <v>7.2</v>
      </c>
      <c r="B2665" s="1515" t="str">
        <f t="shared" si="423"/>
        <v xml:space="preserve"> Replacement of thermal insulation of boiler, ducts &amp; steam piping along with supply</v>
      </c>
      <c r="C2665" s="1396" t="str">
        <f t="shared" si="423"/>
        <v>Yet to be approved</v>
      </c>
      <c r="D2665" s="1378" t="str">
        <f t="shared" si="423"/>
        <v>-</v>
      </c>
      <c r="E2665" s="1505">
        <f t="shared" si="423"/>
        <v>0</v>
      </c>
      <c r="F2665" s="1509">
        <f t="shared" si="418"/>
        <v>0</v>
      </c>
      <c r="G2665" s="1509">
        <f t="shared" si="419"/>
        <v>0</v>
      </c>
      <c r="H2665" s="1509">
        <f t="shared" si="420"/>
        <v>0</v>
      </c>
      <c r="I2665" s="1509">
        <v>0.8</v>
      </c>
      <c r="J2665" s="1509">
        <v>0.8</v>
      </c>
      <c r="K2665" s="1509"/>
      <c r="L2665" s="1509"/>
      <c r="M2665" s="1509">
        <f t="shared" si="421"/>
        <v>0.8</v>
      </c>
      <c r="N2665" s="1509">
        <f t="shared" si="422"/>
        <v>0</v>
      </c>
    </row>
    <row r="2666" spans="1:14" customFormat="1" outlineLevel="1" x14ac:dyDescent="0.25">
      <c r="A2666" s="1511">
        <f t="shared" si="423"/>
        <v>0</v>
      </c>
      <c r="B2666" s="1515" t="str">
        <f t="shared" si="423"/>
        <v>IDC</v>
      </c>
      <c r="C2666" s="1396" t="str">
        <f t="shared" si="423"/>
        <v>Yet to be approved</v>
      </c>
      <c r="D2666" s="1378" t="str">
        <f t="shared" si="423"/>
        <v>-</v>
      </c>
      <c r="E2666" s="1505">
        <f t="shared" si="423"/>
        <v>0</v>
      </c>
      <c r="F2666" s="1509">
        <f t="shared" si="418"/>
        <v>0</v>
      </c>
      <c r="G2666" s="1509">
        <f t="shared" si="419"/>
        <v>0</v>
      </c>
      <c r="H2666" s="1509">
        <f t="shared" si="420"/>
        <v>0</v>
      </c>
      <c r="I2666" s="1509">
        <v>0</v>
      </c>
      <c r="J2666" s="1509">
        <v>0</v>
      </c>
      <c r="K2666" s="1509"/>
      <c r="L2666" s="1509"/>
      <c r="M2666" s="1509">
        <f t="shared" si="421"/>
        <v>0</v>
      </c>
      <c r="N2666" s="1509">
        <f t="shared" si="422"/>
        <v>0</v>
      </c>
    </row>
    <row r="2667" spans="1:14" customFormat="1" outlineLevel="1" x14ac:dyDescent="0.25">
      <c r="A2667" s="1506">
        <f t="shared" si="423"/>
        <v>8</v>
      </c>
      <c r="B2667" s="1507" t="str">
        <f t="shared" si="423"/>
        <v>Augmentation of Dautpur &amp; Sandawa premises water recovery system</v>
      </c>
      <c r="C2667" s="1506" t="str">
        <f t="shared" si="423"/>
        <v>Yet to be approved</v>
      </c>
      <c r="D2667" s="1507" t="str">
        <f t="shared" si="423"/>
        <v>-</v>
      </c>
      <c r="E2667" s="1506">
        <f t="shared" si="423"/>
        <v>0</v>
      </c>
      <c r="F2667" s="1509">
        <f t="shared" si="418"/>
        <v>0</v>
      </c>
      <c r="G2667" s="1509">
        <f t="shared" si="419"/>
        <v>0</v>
      </c>
      <c r="H2667" s="1509">
        <f t="shared" si="420"/>
        <v>0</v>
      </c>
      <c r="I2667" s="1509">
        <v>0</v>
      </c>
      <c r="J2667" s="1509">
        <v>0</v>
      </c>
      <c r="K2667" s="1509"/>
      <c r="L2667" s="1509"/>
      <c r="M2667" s="1509">
        <f t="shared" si="421"/>
        <v>0</v>
      </c>
      <c r="N2667" s="1509">
        <f t="shared" si="422"/>
        <v>0</v>
      </c>
    </row>
    <row r="2668" spans="1:14" customFormat="1" ht="29" outlineLevel="1" x14ac:dyDescent="0.25">
      <c r="A2668" s="1511">
        <f t="shared" si="423"/>
        <v>8.1</v>
      </c>
      <c r="B2668" s="1515" t="str">
        <f t="shared" si="423"/>
        <v>Supply, erection &amp; commissioning of VT pumps for waste water recovery at TM-NPTPS, Parli-V</v>
      </c>
      <c r="C2668" s="1396" t="str">
        <f t="shared" si="423"/>
        <v>Yet to be approved</v>
      </c>
      <c r="D2668" s="1378" t="str">
        <f t="shared" si="423"/>
        <v>-</v>
      </c>
      <c r="E2668" s="1505">
        <f t="shared" si="423"/>
        <v>0</v>
      </c>
      <c r="F2668" s="1509">
        <f t="shared" si="418"/>
        <v>9.3000000000000007</v>
      </c>
      <c r="G2668" s="1509">
        <f t="shared" si="419"/>
        <v>9.3000000000000007</v>
      </c>
      <c r="H2668" s="1509">
        <f t="shared" si="420"/>
        <v>0</v>
      </c>
      <c r="I2668" s="1509">
        <v>0</v>
      </c>
      <c r="J2668" s="1509">
        <v>0</v>
      </c>
      <c r="K2668" s="1509"/>
      <c r="L2668" s="1509"/>
      <c r="M2668" s="1509">
        <f t="shared" si="421"/>
        <v>0</v>
      </c>
      <c r="N2668" s="1509">
        <f t="shared" si="422"/>
        <v>0</v>
      </c>
    </row>
    <row r="2669" spans="1:14" customFormat="1" ht="43.5" outlineLevel="1" x14ac:dyDescent="0.25">
      <c r="A2669" s="1511">
        <f t="shared" ref="A2669:E2684" si="424">A2312</f>
        <v>8.1999999999999993</v>
      </c>
      <c r="B2669" s="1515" t="str">
        <f t="shared" si="424"/>
        <v>RENOVATION OF ASH WATER RECOVERY SUPPLY SYSTEM INCLUDING ERECTION &amp; COMMISSIONING LT BOARD 11KV/415V SUBSTATION WITH 11KV OH LINE AT SANDWA &amp; DAUTPUR PUMP HOUSE</v>
      </c>
      <c r="C2669" s="1396" t="str">
        <f t="shared" si="424"/>
        <v>Yet to be approved</v>
      </c>
      <c r="D2669" s="1378" t="str">
        <f t="shared" si="424"/>
        <v>-</v>
      </c>
      <c r="E2669" s="1505">
        <f t="shared" si="424"/>
        <v>0</v>
      </c>
      <c r="F2669" s="1509">
        <f t="shared" si="418"/>
        <v>12.42</v>
      </c>
      <c r="G2669" s="1509">
        <f t="shared" si="419"/>
        <v>12.42</v>
      </c>
      <c r="H2669" s="1509">
        <f t="shared" si="420"/>
        <v>0</v>
      </c>
      <c r="I2669" s="1509">
        <v>0</v>
      </c>
      <c r="J2669" s="1509">
        <v>0</v>
      </c>
      <c r="K2669" s="1509"/>
      <c r="L2669" s="1509"/>
      <c r="M2669" s="1509">
        <f t="shared" si="421"/>
        <v>0</v>
      </c>
      <c r="N2669" s="1509">
        <f t="shared" si="422"/>
        <v>0</v>
      </c>
    </row>
    <row r="2670" spans="1:14" customFormat="1" ht="29" outlineLevel="1" x14ac:dyDescent="0.25">
      <c r="A2670" s="1511">
        <f t="shared" si="424"/>
        <v>8.3000000000000007</v>
      </c>
      <c r="B2670" s="1515" t="str">
        <f t="shared" si="424"/>
        <v>Construction of New Sandwa recovery pump house at NPTPS Parli Vaijnath.</v>
      </c>
      <c r="C2670" s="1396" t="str">
        <f t="shared" si="424"/>
        <v>Yet to be approved</v>
      </c>
      <c r="D2670" s="1378" t="str">
        <f t="shared" si="424"/>
        <v>-</v>
      </c>
      <c r="E2670" s="1505">
        <f t="shared" si="424"/>
        <v>0</v>
      </c>
      <c r="F2670" s="1509">
        <f t="shared" si="418"/>
        <v>4.1399999999999997</v>
      </c>
      <c r="G2670" s="1509">
        <f t="shared" si="419"/>
        <v>4.1399999999999997</v>
      </c>
      <c r="H2670" s="1509">
        <f t="shared" si="420"/>
        <v>0</v>
      </c>
      <c r="I2670" s="1509">
        <v>0</v>
      </c>
      <c r="J2670" s="1509">
        <v>0</v>
      </c>
      <c r="K2670" s="1509"/>
      <c r="L2670" s="1509"/>
      <c r="M2670" s="1509">
        <f t="shared" si="421"/>
        <v>0</v>
      </c>
      <c r="N2670" s="1509">
        <f t="shared" si="422"/>
        <v>0</v>
      </c>
    </row>
    <row r="2671" spans="1:14" customFormat="1" outlineLevel="1" x14ac:dyDescent="0.25">
      <c r="A2671" s="1511">
        <f t="shared" si="424"/>
        <v>0</v>
      </c>
      <c r="B2671" s="1515" t="str">
        <f t="shared" si="424"/>
        <v>IDC</v>
      </c>
      <c r="C2671" s="1396" t="str">
        <f t="shared" si="424"/>
        <v>Yet to be approved</v>
      </c>
      <c r="D2671" s="1378" t="str">
        <f t="shared" si="424"/>
        <v>-</v>
      </c>
      <c r="E2671" s="1505">
        <f t="shared" si="424"/>
        <v>0</v>
      </c>
      <c r="F2671" s="1509">
        <f t="shared" si="418"/>
        <v>0</v>
      </c>
      <c r="G2671" s="1509">
        <f t="shared" si="419"/>
        <v>0</v>
      </c>
      <c r="H2671" s="1509">
        <f t="shared" si="420"/>
        <v>0</v>
      </c>
      <c r="I2671" s="1509">
        <v>0</v>
      </c>
      <c r="J2671" s="1509">
        <v>0</v>
      </c>
      <c r="K2671" s="1509"/>
      <c r="L2671" s="1509"/>
      <c r="M2671" s="1509">
        <f t="shared" si="421"/>
        <v>0</v>
      </c>
      <c r="N2671" s="1509">
        <f t="shared" si="422"/>
        <v>0</v>
      </c>
    </row>
    <row r="2672" spans="1:14" customFormat="1" ht="43.5" outlineLevel="1" x14ac:dyDescent="0.25">
      <c r="A2672" s="1506">
        <f t="shared" si="424"/>
        <v>9</v>
      </c>
      <c r="B2672" s="1507" t="str">
        <f t="shared" si="424"/>
        <v>DPR on Modification of governing system from low pressure to high pressure at Unit-06 TPS, PARLI-V and Procurement of  CW pumps at Unit 6,7 Parli Vaijnath.</v>
      </c>
      <c r="C2672" s="1506" t="str">
        <f t="shared" si="424"/>
        <v>Yet to be approved</v>
      </c>
      <c r="D2672" s="1507" t="str">
        <f t="shared" si="424"/>
        <v>-</v>
      </c>
      <c r="E2672" s="1506">
        <f t="shared" si="424"/>
        <v>0</v>
      </c>
      <c r="F2672" s="1509">
        <f t="shared" si="418"/>
        <v>0</v>
      </c>
      <c r="G2672" s="1509">
        <f t="shared" si="419"/>
        <v>0</v>
      </c>
      <c r="H2672" s="1509">
        <f t="shared" si="420"/>
        <v>0</v>
      </c>
      <c r="I2672" s="1509">
        <v>0</v>
      </c>
      <c r="J2672" s="1509">
        <v>0</v>
      </c>
      <c r="K2672" s="1509"/>
      <c r="L2672" s="1509"/>
      <c r="M2672" s="1509">
        <f t="shared" si="421"/>
        <v>0</v>
      </c>
      <c r="N2672" s="1509">
        <f t="shared" si="422"/>
        <v>0</v>
      </c>
    </row>
    <row r="2673" spans="1:14" customFormat="1" ht="29" outlineLevel="1" x14ac:dyDescent="0.25">
      <c r="A2673" s="1511">
        <f t="shared" si="424"/>
        <v>9.1</v>
      </c>
      <c r="B2673" s="1515" t="str">
        <f t="shared" si="424"/>
        <v>Modification of governing system from low pressure to high pressure at Unit-06 TPS, PARLI-V</v>
      </c>
      <c r="C2673" s="1396">
        <f t="shared" si="424"/>
        <v>0</v>
      </c>
      <c r="D2673" s="1378" t="str">
        <f t="shared" si="424"/>
        <v>-</v>
      </c>
      <c r="E2673" s="1505">
        <f t="shared" si="424"/>
        <v>0</v>
      </c>
      <c r="F2673" s="1509">
        <f t="shared" si="418"/>
        <v>15</v>
      </c>
      <c r="G2673" s="1509">
        <f t="shared" si="419"/>
        <v>15</v>
      </c>
      <c r="H2673" s="1509">
        <f t="shared" si="420"/>
        <v>0</v>
      </c>
      <c r="I2673" s="1509">
        <v>0</v>
      </c>
      <c r="J2673" s="1509">
        <v>0</v>
      </c>
      <c r="K2673" s="1509"/>
      <c r="L2673" s="1509"/>
      <c r="M2673" s="1509">
        <f t="shared" si="421"/>
        <v>0</v>
      </c>
      <c r="N2673" s="1509">
        <f t="shared" si="422"/>
        <v>0</v>
      </c>
    </row>
    <row r="2674" spans="1:14" customFormat="1" outlineLevel="1" x14ac:dyDescent="0.25">
      <c r="A2674" s="1511">
        <f t="shared" si="424"/>
        <v>9.1999999999999993</v>
      </c>
      <c r="B2674" s="1515" t="str">
        <f t="shared" si="424"/>
        <v>Procurement of  CW pumps at Unit 6,7 Parli Vaijnath</v>
      </c>
      <c r="C2674" s="1396" t="str">
        <f t="shared" si="424"/>
        <v>Yet to be approved</v>
      </c>
      <c r="D2674" s="1378" t="str">
        <f t="shared" si="424"/>
        <v>-</v>
      </c>
      <c r="E2674" s="1505">
        <f t="shared" si="424"/>
        <v>0</v>
      </c>
      <c r="F2674" s="1509">
        <f t="shared" si="418"/>
        <v>23</v>
      </c>
      <c r="G2674" s="1509">
        <f t="shared" si="419"/>
        <v>23</v>
      </c>
      <c r="H2674" s="1509">
        <f t="shared" si="420"/>
        <v>0</v>
      </c>
      <c r="I2674" s="1509">
        <v>0</v>
      </c>
      <c r="J2674" s="1509">
        <v>0</v>
      </c>
      <c r="K2674" s="1509"/>
      <c r="L2674" s="1509"/>
      <c r="M2674" s="1509">
        <f t="shared" si="421"/>
        <v>0</v>
      </c>
      <c r="N2674" s="1509">
        <f t="shared" si="422"/>
        <v>0</v>
      </c>
    </row>
    <row r="2675" spans="1:14" customFormat="1" outlineLevel="1" x14ac:dyDescent="0.25">
      <c r="A2675" s="1511">
        <f t="shared" si="424"/>
        <v>0</v>
      </c>
      <c r="B2675" s="1515" t="str">
        <f t="shared" si="424"/>
        <v>IDC</v>
      </c>
      <c r="C2675" s="1396" t="str">
        <f t="shared" si="424"/>
        <v>Yet to be approved</v>
      </c>
      <c r="D2675" s="1378" t="str">
        <f t="shared" si="424"/>
        <v>-</v>
      </c>
      <c r="E2675" s="1505">
        <f t="shared" si="424"/>
        <v>0</v>
      </c>
      <c r="F2675" s="1509">
        <f t="shared" si="418"/>
        <v>0</v>
      </c>
      <c r="G2675" s="1509">
        <f t="shared" si="419"/>
        <v>0</v>
      </c>
      <c r="H2675" s="1509">
        <f t="shared" si="420"/>
        <v>0</v>
      </c>
      <c r="I2675" s="1509">
        <v>0</v>
      </c>
      <c r="J2675" s="1509">
        <v>0</v>
      </c>
      <c r="K2675" s="1509"/>
      <c r="L2675" s="1509"/>
      <c r="M2675" s="1509">
        <f t="shared" si="421"/>
        <v>0</v>
      </c>
      <c r="N2675" s="1509">
        <f t="shared" si="422"/>
        <v>0</v>
      </c>
    </row>
    <row r="2676" spans="1:14" customFormat="1" ht="29" outlineLevel="1" x14ac:dyDescent="0.25">
      <c r="A2676" s="1506">
        <f t="shared" si="424"/>
        <v>10</v>
      </c>
      <c r="B2676" s="1507" t="str">
        <f t="shared" si="424"/>
        <v>DPR on Procurement of  HP, IP and LP Turbine  bladesat Unit 6,7 Parli Vaijnath.</v>
      </c>
      <c r="C2676" s="1506" t="str">
        <f t="shared" si="424"/>
        <v>Yet to be approved</v>
      </c>
      <c r="D2676" s="1507" t="str">
        <f t="shared" si="424"/>
        <v>-</v>
      </c>
      <c r="E2676" s="1506">
        <f t="shared" si="424"/>
        <v>0</v>
      </c>
      <c r="F2676" s="1509">
        <f t="shared" si="418"/>
        <v>0</v>
      </c>
      <c r="G2676" s="1509">
        <f t="shared" si="419"/>
        <v>0</v>
      </c>
      <c r="H2676" s="1509">
        <f t="shared" si="420"/>
        <v>0</v>
      </c>
      <c r="I2676" s="1509">
        <v>0</v>
      </c>
      <c r="J2676" s="1509">
        <v>0</v>
      </c>
      <c r="K2676" s="1509"/>
      <c r="L2676" s="1509"/>
      <c r="M2676" s="1509">
        <f t="shared" si="421"/>
        <v>0</v>
      </c>
      <c r="N2676" s="1509">
        <f t="shared" si="422"/>
        <v>0</v>
      </c>
    </row>
    <row r="2677" spans="1:14" customFormat="1" ht="29" outlineLevel="1" x14ac:dyDescent="0.25">
      <c r="A2677" s="1511">
        <f t="shared" si="424"/>
        <v>10.1</v>
      </c>
      <c r="B2677" s="1515" t="str">
        <f t="shared" si="424"/>
        <v>Procurement of  HP, IP and LP Turbine  blade set Unit 6,7 Parli Vaijnath.</v>
      </c>
      <c r="C2677" s="1396" t="str">
        <f t="shared" si="424"/>
        <v>Yet to be approved</v>
      </c>
      <c r="D2677" s="1378" t="str">
        <f t="shared" si="424"/>
        <v>-</v>
      </c>
      <c r="E2677" s="1505">
        <f t="shared" si="424"/>
        <v>0</v>
      </c>
      <c r="F2677" s="1509">
        <f t="shared" si="418"/>
        <v>25</v>
      </c>
      <c r="G2677" s="1509">
        <f t="shared" si="419"/>
        <v>25</v>
      </c>
      <c r="H2677" s="1509">
        <f t="shared" si="420"/>
        <v>0</v>
      </c>
      <c r="I2677" s="1509">
        <v>0</v>
      </c>
      <c r="J2677" s="1509">
        <v>0</v>
      </c>
      <c r="K2677" s="1509"/>
      <c r="L2677" s="1509"/>
      <c r="M2677" s="1509">
        <f t="shared" si="421"/>
        <v>0</v>
      </c>
      <c r="N2677" s="1509">
        <f t="shared" si="422"/>
        <v>0</v>
      </c>
    </row>
    <row r="2678" spans="1:14" customFormat="1" outlineLevel="1" x14ac:dyDescent="0.25">
      <c r="A2678" s="1511">
        <f t="shared" si="424"/>
        <v>0</v>
      </c>
      <c r="B2678" s="1515" t="str">
        <f t="shared" si="424"/>
        <v>IDC</v>
      </c>
      <c r="C2678" s="1396" t="str">
        <f t="shared" si="424"/>
        <v>Yet to be approved</v>
      </c>
      <c r="D2678" s="1378" t="str">
        <f t="shared" si="424"/>
        <v>-</v>
      </c>
      <c r="E2678" s="1505">
        <f t="shared" si="424"/>
        <v>0</v>
      </c>
      <c r="F2678" s="1509">
        <f t="shared" si="418"/>
        <v>0</v>
      </c>
      <c r="G2678" s="1509">
        <f t="shared" si="419"/>
        <v>0</v>
      </c>
      <c r="H2678" s="1509">
        <f t="shared" si="420"/>
        <v>0</v>
      </c>
      <c r="I2678" s="1509">
        <v>0</v>
      </c>
      <c r="J2678" s="1509">
        <v>0</v>
      </c>
      <c r="K2678" s="1509"/>
      <c r="L2678" s="1509"/>
      <c r="M2678" s="1509">
        <f t="shared" si="421"/>
        <v>0</v>
      </c>
      <c r="N2678" s="1509">
        <f t="shared" si="422"/>
        <v>0</v>
      </c>
    </row>
    <row r="2679" spans="1:14" customFormat="1" outlineLevel="1" x14ac:dyDescent="0.25">
      <c r="A2679" s="1506">
        <f t="shared" si="424"/>
        <v>11</v>
      </c>
      <c r="B2679" s="1507" t="str">
        <f t="shared" si="424"/>
        <v>DPR on Procurement of  CEP pumps</v>
      </c>
      <c r="C2679" s="1506" t="str">
        <f t="shared" si="424"/>
        <v>Yet to be approved</v>
      </c>
      <c r="D2679" s="1507" t="str">
        <f t="shared" si="424"/>
        <v>-</v>
      </c>
      <c r="E2679" s="1506">
        <f t="shared" si="424"/>
        <v>0</v>
      </c>
      <c r="F2679" s="1509">
        <f t="shared" si="418"/>
        <v>0</v>
      </c>
      <c r="G2679" s="1509">
        <f t="shared" si="419"/>
        <v>0</v>
      </c>
      <c r="H2679" s="1509">
        <f t="shared" si="420"/>
        <v>0</v>
      </c>
      <c r="I2679" s="1509">
        <v>0</v>
      </c>
      <c r="J2679" s="1509">
        <v>0</v>
      </c>
      <c r="K2679" s="1509"/>
      <c r="L2679" s="1509"/>
      <c r="M2679" s="1509">
        <f t="shared" si="421"/>
        <v>0</v>
      </c>
      <c r="N2679" s="1509">
        <f t="shared" si="422"/>
        <v>0</v>
      </c>
    </row>
    <row r="2680" spans="1:14" customFormat="1" outlineLevel="1" x14ac:dyDescent="0.25">
      <c r="A2680" s="1511">
        <f t="shared" si="424"/>
        <v>11.1</v>
      </c>
      <c r="B2680" s="1515" t="str">
        <f t="shared" si="424"/>
        <v>Procurement of  CEP pumps</v>
      </c>
      <c r="C2680" s="1396" t="str">
        <f t="shared" si="424"/>
        <v>Yet to be approved</v>
      </c>
      <c r="D2680" s="1378" t="str">
        <f t="shared" si="424"/>
        <v>-</v>
      </c>
      <c r="E2680" s="1505">
        <f t="shared" si="424"/>
        <v>0</v>
      </c>
      <c r="F2680" s="1509">
        <f t="shared" si="418"/>
        <v>25</v>
      </c>
      <c r="G2680" s="1509">
        <f t="shared" si="419"/>
        <v>25</v>
      </c>
      <c r="H2680" s="1509">
        <f t="shared" si="420"/>
        <v>0</v>
      </c>
      <c r="I2680" s="1509">
        <v>0</v>
      </c>
      <c r="J2680" s="1509">
        <v>0</v>
      </c>
      <c r="K2680" s="1509"/>
      <c r="L2680" s="1509"/>
      <c r="M2680" s="1509">
        <f t="shared" si="421"/>
        <v>0</v>
      </c>
      <c r="N2680" s="1509">
        <f t="shared" si="422"/>
        <v>0</v>
      </c>
    </row>
    <row r="2681" spans="1:14" customFormat="1" outlineLevel="1" x14ac:dyDescent="0.25">
      <c r="A2681" s="1511">
        <f t="shared" si="424"/>
        <v>0</v>
      </c>
      <c r="B2681" s="1515" t="str">
        <f t="shared" si="424"/>
        <v>IDC</v>
      </c>
      <c r="C2681" s="1396" t="str">
        <f t="shared" si="424"/>
        <v>Yet to be approved</v>
      </c>
      <c r="D2681" s="1378" t="str">
        <f t="shared" si="424"/>
        <v>-</v>
      </c>
      <c r="E2681" s="1505">
        <f t="shared" si="424"/>
        <v>0</v>
      </c>
      <c r="F2681" s="1509">
        <f t="shared" si="418"/>
        <v>0</v>
      </c>
      <c r="G2681" s="1509">
        <f t="shared" si="419"/>
        <v>0</v>
      </c>
      <c r="H2681" s="1509">
        <f t="shared" si="420"/>
        <v>0</v>
      </c>
      <c r="I2681" s="1509">
        <v>0</v>
      </c>
      <c r="J2681" s="1509">
        <v>0</v>
      </c>
      <c r="K2681" s="1509"/>
      <c r="L2681" s="1509"/>
      <c r="M2681" s="1509">
        <f t="shared" si="421"/>
        <v>0</v>
      </c>
      <c r="N2681" s="1509">
        <f t="shared" si="422"/>
        <v>0</v>
      </c>
    </row>
    <row r="2682" spans="1:14" customFormat="1" ht="29" outlineLevel="1" x14ac:dyDescent="0.25">
      <c r="A2682" s="1506">
        <f t="shared" si="424"/>
        <v>12</v>
      </c>
      <c r="B2682" s="1507" t="str">
        <f t="shared" si="424"/>
        <v xml:space="preserve">DPR on Retrofitting of NDCT at Unit 6,7 Parli Vaijnath. and Upgradation of existing chiller AC plant for at Unit 7 Parli Vaijnath. </v>
      </c>
      <c r="C2682" s="1506" t="str">
        <f t="shared" si="424"/>
        <v>Yet to be approved</v>
      </c>
      <c r="D2682" s="1507" t="str">
        <f t="shared" si="424"/>
        <v>-</v>
      </c>
      <c r="E2682" s="1506">
        <f t="shared" si="424"/>
        <v>0</v>
      </c>
      <c r="F2682" s="1509">
        <f t="shared" si="418"/>
        <v>0</v>
      </c>
      <c r="G2682" s="1509">
        <f t="shared" si="419"/>
        <v>0</v>
      </c>
      <c r="H2682" s="1509">
        <f t="shared" si="420"/>
        <v>0</v>
      </c>
      <c r="I2682" s="1509">
        <v>0</v>
      </c>
      <c r="J2682" s="1509">
        <v>0</v>
      </c>
      <c r="K2682" s="1509"/>
      <c r="L2682" s="1509"/>
      <c r="M2682" s="1509">
        <f t="shared" si="421"/>
        <v>0</v>
      </c>
      <c r="N2682" s="1509">
        <f t="shared" si="422"/>
        <v>0</v>
      </c>
    </row>
    <row r="2683" spans="1:14" customFormat="1" outlineLevel="1" x14ac:dyDescent="0.25">
      <c r="A2683" s="1511">
        <f t="shared" si="424"/>
        <v>12.1</v>
      </c>
      <c r="B2683" s="1515" t="str">
        <f t="shared" si="424"/>
        <v>Retrofitting of NDCT at Unit 6,7 Parli Vaijnath.</v>
      </c>
      <c r="C2683" s="1396" t="str">
        <f t="shared" si="424"/>
        <v>Yet to be approved</v>
      </c>
      <c r="D2683" s="1378" t="str">
        <f t="shared" si="424"/>
        <v>-</v>
      </c>
      <c r="E2683" s="1505">
        <f t="shared" si="424"/>
        <v>0</v>
      </c>
      <c r="F2683" s="1509">
        <f t="shared" si="418"/>
        <v>25</v>
      </c>
      <c r="G2683" s="1509">
        <f t="shared" si="419"/>
        <v>25</v>
      </c>
      <c r="H2683" s="1509">
        <f t="shared" si="420"/>
        <v>0</v>
      </c>
      <c r="I2683" s="1509">
        <v>0</v>
      </c>
      <c r="J2683" s="1509">
        <v>0</v>
      </c>
      <c r="K2683" s="1509"/>
      <c r="L2683" s="1509"/>
      <c r="M2683" s="1509">
        <f t="shared" si="421"/>
        <v>0</v>
      </c>
      <c r="N2683" s="1509">
        <f t="shared" si="422"/>
        <v>0</v>
      </c>
    </row>
    <row r="2684" spans="1:14" customFormat="1" outlineLevel="1" x14ac:dyDescent="0.25">
      <c r="A2684" s="1511">
        <f t="shared" si="424"/>
        <v>12.2</v>
      </c>
      <c r="B2684" s="1515" t="str">
        <f t="shared" si="424"/>
        <v>Upgradation of existing chiller AC plant for at Unit 7 Parli Vaijnath.</v>
      </c>
      <c r="C2684" s="1396" t="str">
        <f t="shared" si="424"/>
        <v>Yet to be approved</v>
      </c>
      <c r="D2684" s="1378" t="str">
        <f t="shared" si="424"/>
        <v>-</v>
      </c>
      <c r="E2684" s="1505">
        <f t="shared" si="424"/>
        <v>0</v>
      </c>
      <c r="F2684" s="1509">
        <f t="shared" si="418"/>
        <v>9</v>
      </c>
      <c r="G2684" s="1509">
        <f t="shared" si="419"/>
        <v>9</v>
      </c>
      <c r="H2684" s="1509">
        <f t="shared" si="420"/>
        <v>0</v>
      </c>
      <c r="I2684" s="1509">
        <v>0</v>
      </c>
      <c r="J2684" s="1509">
        <v>0</v>
      </c>
      <c r="K2684" s="1509"/>
      <c r="L2684" s="1509"/>
      <c r="M2684" s="1509">
        <f t="shared" si="421"/>
        <v>0</v>
      </c>
      <c r="N2684" s="1509">
        <f t="shared" si="422"/>
        <v>0</v>
      </c>
    </row>
    <row r="2685" spans="1:14" customFormat="1" outlineLevel="1" x14ac:dyDescent="0.25">
      <c r="A2685" s="1511">
        <f t="shared" ref="A2685:E2700" si="425">A2328</f>
        <v>0</v>
      </c>
      <c r="B2685" s="1515" t="str">
        <f t="shared" si="425"/>
        <v>IDC</v>
      </c>
      <c r="C2685" s="1396" t="str">
        <f t="shared" si="425"/>
        <v>Yet to be approved</v>
      </c>
      <c r="D2685" s="1378" t="str">
        <f t="shared" si="425"/>
        <v>-</v>
      </c>
      <c r="E2685" s="1505">
        <f t="shared" si="425"/>
        <v>0</v>
      </c>
      <c r="F2685" s="1509">
        <f t="shared" si="418"/>
        <v>0</v>
      </c>
      <c r="G2685" s="1509">
        <f t="shared" si="419"/>
        <v>0</v>
      </c>
      <c r="H2685" s="1509">
        <f t="shared" si="420"/>
        <v>0</v>
      </c>
      <c r="I2685" s="1509">
        <v>0</v>
      </c>
      <c r="J2685" s="1509">
        <v>0</v>
      </c>
      <c r="K2685" s="1509"/>
      <c r="L2685" s="1509"/>
      <c r="M2685" s="1509">
        <f t="shared" si="421"/>
        <v>0</v>
      </c>
      <c r="N2685" s="1509">
        <f t="shared" si="422"/>
        <v>0</v>
      </c>
    </row>
    <row r="2686" spans="1:14" customFormat="1" outlineLevel="1" x14ac:dyDescent="0.25">
      <c r="A2686" s="1506">
        <f t="shared" si="425"/>
        <v>13</v>
      </c>
      <c r="B2686" s="1507" t="str">
        <f t="shared" si="425"/>
        <v>DPR on various types of coolers at TPS Parli-Vaijnath</v>
      </c>
      <c r="C2686" s="1506" t="str">
        <f t="shared" si="425"/>
        <v>Yet to be approved</v>
      </c>
      <c r="D2686" s="1507" t="str">
        <f t="shared" si="425"/>
        <v>-</v>
      </c>
      <c r="E2686" s="1506">
        <f t="shared" si="425"/>
        <v>0</v>
      </c>
      <c r="F2686" s="1509">
        <f t="shared" si="418"/>
        <v>0</v>
      </c>
      <c r="G2686" s="1509">
        <f t="shared" si="419"/>
        <v>0</v>
      </c>
      <c r="H2686" s="1509">
        <f t="shared" si="420"/>
        <v>0</v>
      </c>
      <c r="I2686" s="1509">
        <v>0</v>
      </c>
      <c r="J2686" s="1509">
        <v>0</v>
      </c>
      <c r="K2686" s="1509"/>
      <c r="L2686" s="1509"/>
      <c r="M2686" s="1509">
        <f t="shared" si="421"/>
        <v>0</v>
      </c>
      <c r="N2686" s="1509">
        <f t="shared" si="422"/>
        <v>0</v>
      </c>
    </row>
    <row r="2687" spans="1:14" customFormat="1" ht="29" outlineLevel="1" x14ac:dyDescent="0.25">
      <c r="A2687" s="1511">
        <f t="shared" si="425"/>
        <v>13.1</v>
      </c>
      <c r="B2687" s="1515" t="str">
        <f t="shared" si="425"/>
        <v>Procurement of H2 cooler, BFP coolers, generator exciter cooler, seal oil coolers at Unit 6,7 Parli Vaijnath.</v>
      </c>
      <c r="C2687" s="1396" t="str">
        <f t="shared" si="425"/>
        <v>Yet to be approved</v>
      </c>
      <c r="D2687" s="1378" t="str">
        <f t="shared" si="425"/>
        <v>-</v>
      </c>
      <c r="E2687" s="1505">
        <f t="shared" si="425"/>
        <v>0</v>
      </c>
      <c r="F2687" s="1509">
        <f t="shared" si="418"/>
        <v>28</v>
      </c>
      <c r="G2687" s="1509">
        <f t="shared" si="419"/>
        <v>28</v>
      </c>
      <c r="H2687" s="1509">
        <f t="shared" si="420"/>
        <v>0</v>
      </c>
      <c r="I2687" s="1509">
        <v>0</v>
      </c>
      <c r="J2687" s="1509">
        <v>0</v>
      </c>
      <c r="K2687" s="1509"/>
      <c r="L2687" s="1509"/>
      <c r="M2687" s="1509">
        <f t="shared" si="421"/>
        <v>0</v>
      </c>
      <c r="N2687" s="1509">
        <f t="shared" si="422"/>
        <v>0</v>
      </c>
    </row>
    <row r="2688" spans="1:14" customFormat="1" outlineLevel="1" x14ac:dyDescent="0.25">
      <c r="A2688" s="1511">
        <f t="shared" si="425"/>
        <v>0</v>
      </c>
      <c r="B2688" s="1515" t="str">
        <f t="shared" si="425"/>
        <v>IDC</v>
      </c>
      <c r="C2688" s="1396" t="str">
        <f t="shared" si="425"/>
        <v>Yet to be approved</v>
      </c>
      <c r="D2688" s="1378" t="str">
        <f t="shared" si="425"/>
        <v>-</v>
      </c>
      <c r="E2688" s="1505">
        <f t="shared" si="425"/>
        <v>0</v>
      </c>
      <c r="F2688" s="1509">
        <f t="shared" si="418"/>
        <v>0</v>
      </c>
      <c r="G2688" s="1509">
        <f t="shared" si="419"/>
        <v>0</v>
      </c>
      <c r="H2688" s="1509">
        <f t="shared" si="420"/>
        <v>0</v>
      </c>
      <c r="I2688" s="1509">
        <v>0</v>
      </c>
      <c r="J2688" s="1509">
        <v>0</v>
      </c>
      <c r="K2688" s="1509"/>
      <c r="L2688" s="1509"/>
      <c r="M2688" s="1509">
        <f t="shared" si="421"/>
        <v>0</v>
      </c>
      <c r="N2688" s="1509">
        <f t="shared" si="422"/>
        <v>0</v>
      </c>
    </row>
    <row r="2689" spans="1:14" customFormat="1" ht="72.5" outlineLevel="1" x14ac:dyDescent="0.25">
      <c r="A2689" s="1506">
        <f t="shared" si="425"/>
        <v>14</v>
      </c>
      <c r="B2689" s="1507" t="str">
        <f t="shared" si="425"/>
        <v>DPR on Upgradation of screw type compressor at U#7 Parli Vaijnath., Supply, erection &amp; commissioning of Fire Fighting pressure system (pneumatic) at unit 6,7 and 8 at PTPS, Parli-V and Procurement of BFP discharge valve, BFP recirculation valve and gland steam inlet / outlet valves at Unit 6,7 Parli Vaijnath.</v>
      </c>
      <c r="C2689" s="1506" t="str">
        <f t="shared" si="425"/>
        <v>Yet to be approved</v>
      </c>
      <c r="D2689" s="1507" t="str">
        <f t="shared" si="425"/>
        <v>-</v>
      </c>
      <c r="E2689" s="1506">
        <f t="shared" si="425"/>
        <v>0</v>
      </c>
      <c r="F2689" s="1509">
        <f t="shared" si="418"/>
        <v>0</v>
      </c>
      <c r="G2689" s="1509">
        <f t="shared" si="419"/>
        <v>0</v>
      </c>
      <c r="H2689" s="1509">
        <f t="shared" si="420"/>
        <v>0</v>
      </c>
      <c r="I2689" s="1509">
        <v>0</v>
      </c>
      <c r="J2689" s="1509">
        <v>0</v>
      </c>
      <c r="K2689" s="1509"/>
      <c r="L2689" s="1509"/>
      <c r="M2689" s="1509">
        <f t="shared" si="421"/>
        <v>0</v>
      </c>
      <c r="N2689" s="1509">
        <f t="shared" si="422"/>
        <v>0</v>
      </c>
    </row>
    <row r="2690" spans="1:14" customFormat="1" outlineLevel="1" x14ac:dyDescent="0.25">
      <c r="A2690" s="1511">
        <f t="shared" si="425"/>
        <v>14.1</v>
      </c>
      <c r="B2690" s="1515" t="str">
        <f t="shared" si="425"/>
        <v>Upgradation of screw type compressor at U#7 Parli Vaijnath.</v>
      </c>
      <c r="C2690" s="1396" t="str">
        <f t="shared" si="425"/>
        <v>Yet to be approved</v>
      </c>
      <c r="D2690" s="1378" t="str">
        <f t="shared" si="425"/>
        <v>-</v>
      </c>
      <c r="E2690" s="1505">
        <f t="shared" si="425"/>
        <v>0</v>
      </c>
      <c r="F2690" s="1509">
        <f t="shared" si="418"/>
        <v>11</v>
      </c>
      <c r="G2690" s="1509">
        <f t="shared" si="419"/>
        <v>11</v>
      </c>
      <c r="H2690" s="1509">
        <f t="shared" si="420"/>
        <v>0</v>
      </c>
      <c r="I2690" s="1509">
        <v>0</v>
      </c>
      <c r="J2690" s="1509">
        <v>0</v>
      </c>
      <c r="K2690" s="1509"/>
      <c r="L2690" s="1509"/>
      <c r="M2690" s="1509">
        <f t="shared" si="421"/>
        <v>0</v>
      </c>
      <c r="N2690" s="1509">
        <f t="shared" si="422"/>
        <v>0</v>
      </c>
    </row>
    <row r="2691" spans="1:14" customFormat="1" ht="29" outlineLevel="1" x14ac:dyDescent="0.25">
      <c r="A2691" s="1511">
        <f t="shared" si="425"/>
        <v>14.2</v>
      </c>
      <c r="B2691" s="1515" t="str">
        <f t="shared" si="425"/>
        <v>Supply, erection &amp; commissioning of Fire Fighting pressure system (pneumatic) at unit 6,7 and 8 at PTPS, Parli-V</v>
      </c>
      <c r="C2691" s="1396" t="str">
        <f t="shared" si="425"/>
        <v>Yet to be approved</v>
      </c>
      <c r="D2691" s="1378" t="str">
        <f t="shared" si="425"/>
        <v>-</v>
      </c>
      <c r="E2691" s="1505">
        <f t="shared" si="425"/>
        <v>0</v>
      </c>
      <c r="F2691" s="1509">
        <f t="shared" si="418"/>
        <v>12</v>
      </c>
      <c r="G2691" s="1509">
        <f t="shared" si="419"/>
        <v>12</v>
      </c>
      <c r="H2691" s="1509">
        <f t="shared" si="420"/>
        <v>0</v>
      </c>
      <c r="I2691" s="1509">
        <v>0</v>
      </c>
      <c r="J2691" s="1509">
        <v>0</v>
      </c>
      <c r="K2691" s="1509"/>
      <c r="L2691" s="1509"/>
      <c r="M2691" s="1509">
        <f t="shared" si="421"/>
        <v>0</v>
      </c>
      <c r="N2691" s="1509">
        <f t="shared" si="422"/>
        <v>0</v>
      </c>
    </row>
    <row r="2692" spans="1:14" customFormat="1" ht="29" outlineLevel="1" x14ac:dyDescent="0.25">
      <c r="A2692" s="1511">
        <f t="shared" si="425"/>
        <v>14.3</v>
      </c>
      <c r="B2692" s="1515" t="str">
        <f t="shared" si="425"/>
        <v>Procurement of BFP discharge valve, BFP recirculation valve and gland steam inlet / outlet valves at Unit 6,7 Parli Vaijnath.</v>
      </c>
      <c r="C2692" s="1396" t="str">
        <f t="shared" si="425"/>
        <v>Yet to be approved</v>
      </c>
      <c r="D2692" s="1378" t="str">
        <f t="shared" si="425"/>
        <v>-</v>
      </c>
      <c r="E2692" s="1505">
        <f t="shared" si="425"/>
        <v>0</v>
      </c>
      <c r="F2692" s="1509">
        <f t="shared" si="418"/>
        <v>11</v>
      </c>
      <c r="G2692" s="1509">
        <f t="shared" si="419"/>
        <v>11</v>
      </c>
      <c r="H2692" s="1509">
        <f t="shared" si="420"/>
        <v>0</v>
      </c>
      <c r="I2692" s="1509">
        <v>0</v>
      </c>
      <c r="J2692" s="1509">
        <v>0</v>
      </c>
      <c r="K2692" s="1509"/>
      <c r="L2692" s="1509"/>
      <c r="M2692" s="1509">
        <f t="shared" si="421"/>
        <v>0</v>
      </c>
      <c r="N2692" s="1509">
        <f t="shared" si="422"/>
        <v>0</v>
      </c>
    </row>
    <row r="2693" spans="1:14" customFormat="1" outlineLevel="1" x14ac:dyDescent="0.25">
      <c r="A2693" s="1511">
        <f t="shared" si="425"/>
        <v>0</v>
      </c>
      <c r="B2693" s="1515" t="str">
        <f t="shared" si="425"/>
        <v>IDC</v>
      </c>
      <c r="C2693" s="1396" t="str">
        <f t="shared" si="425"/>
        <v>Yet to be approved</v>
      </c>
      <c r="D2693" s="1378" t="str">
        <f t="shared" si="425"/>
        <v>-</v>
      </c>
      <c r="E2693" s="1505">
        <f t="shared" si="425"/>
        <v>0</v>
      </c>
      <c r="F2693" s="1509">
        <f t="shared" si="418"/>
        <v>0</v>
      </c>
      <c r="G2693" s="1509">
        <f t="shared" si="419"/>
        <v>0</v>
      </c>
      <c r="H2693" s="1509">
        <f t="shared" si="420"/>
        <v>0</v>
      </c>
      <c r="I2693" s="1509">
        <v>0</v>
      </c>
      <c r="J2693" s="1509">
        <v>0</v>
      </c>
      <c r="K2693" s="1509"/>
      <c r="L2693" s="1509"/>
      <c r="M2693" s="1509">
        <f t="shared" si="421"/>
        <v>0</v>
      </c>
      <c r="N2693" s="1509">
        <f t="shared" si="422"/>
        <v>0</v>
      </c>
    </row>
    <row r="2694" spans="1:14" customFormat="1" ht="29" outlineLevel="1" x14ac:dyDescent="0.25">
      <c r="A2694" s="1506">
        <f t="shared" si="425"/>
        <v>15</v>
      </c>
      <c r="B2694" s="1507" t="str">
        <f t="shared" si="425"/>
        <v>COAL HANDLING PLANT PERFORMANCE IMPROVEMENT BY SYSTEM UPGRADATION  AT Unit 6 ,7 CHP ( 2X 250MW), Parli TPS.</v>
      </c>
      <c r="C2694" s="1506" t="str">
        <f t="shared" si="425"/>
        <v>Yet to be approved</v>
      </c>
      <c r="D2694" s="1507" t="str">
        <f t="shared" si="425"/>
        <v>-</v>
      </c>
      <c r="E2694" s="1506">
        <f t="shared" si="425"/>
        <v>0</v>
      </c>
      <c r="F2694" s="1509">
        <f t="shared" si="418"/>
        <v>0</v>
      </c>
      <c r="G2694" s="1509">
        <f t="shared" si="419"/>
        <v>0</v>
      </c>
      <c r="H2694" s="1509">
        <f t="shared" si="420"/>
        <v>0</v>
      </c>
      <c r="I2694" s="1509">
        <v>0</v>
      </c>
      <c r="J2694" s="1509">
        <v>0</v>
      </c>
      <c r="K2694" s="1509"/>
      <c r="L2694" s="1509"/>
      <c r="M2694" s="1509">
        <f t="shared" si="421"/>
        <v>0</v>
      </c>
      <c r="N2694" s="1509">
        <f t="shared" si="422"/>
        <v>0</v>
      </c>
    </row>
    <row r="2695" spans="1:14" customFormat="1" ht="43.5" outlineLevel="1" x14ac:dyDescent="0.25">
      <c r="A2695" s="1511">
        <f t="shared" si="425"/>
        <v>15.1</v>
      </c>
      <c r="B2695" s="1515" t="str">
        <f t="shared" si="425"/>
        <v>Refurbishment of single stream conveyor drives : Procurement of Various types of Gearbox for single stream conveyor drives of 2X 250 MW CHP U6&amp;7 Parli TPS.</v>
      </c>
      <c r="C2695" s="1396" t="str">
        <f t="shared" si="425"/>
        <v>Yet to be approved</v>
      </c>
      <c r="D2695" s="1378" t="str">
        <f t="shared" si="425"/>
        <v>-</v>
      </c>
      <c r="E2695" s="1505">
        <f t="shared" si="425"/>
        <v>0</v>
      </c>
      <c r="F2695" s="1509">
        <f t="shared" si="418"/>
        <v>8.3699999999999992</v>
      </c>
      <c r="G2695" s="1509">
        <f t="shared" si="419"/>
        <v>8.3699999999999992</v>
      </c>
      <c r="H2695" s="1509">
        <f t="shared" si="420"/>
        <v>0</v>
      </c>
      <c r="I2695" s="1509">
        <v>0</v>
      </c>
      <c r="J2695" s="1509">
        <v>0</v>
      </c>
      <c r="K2695" s="1509"/>
      <c r="L2695" s="1509"/>
      <c r="M2695" s="1509">
        <f t="shared" si="421"/>
        <v>0</v>
      </c>
      <c r="N2695" s="1509">
        <f t="shared" si="422"/>
        <v>0</v>
      </c>
    </row>
    <row r="2696" spans="1:14" customFormat="1" ht="43.5" outlineLevel="1" x14ac:dyDescent="0.25">
      <c r="A2696" s="1511">
        <f t="shared" si="425"/>
        <v>15.2</v>
      </c>
      <c r="B2696" s="1515" t="str">
        <f t="shared" si="425"/>
        <v>Refurbishment of single stream conveyor drives : Procurement of Various types of fluid couplings for single stream conveyor drives of 2X 250 MW CHP U6&amp;7 Parli TPS.</v>
      </c>
      <c r="C2696" s="1396" t="str">
        <f t="shared" si="425"/>
        <v>Yet to be approved</v>
      </c>
      <c r="D2696" s="1378" t="str">
        <f t="shared" si="425"/>
        <v>-</v>
      </c>
      <c r="E2696" s="1505">
        <f t="shared" si="425"/>
        <v>0</v>
      </c>
      <c r="F2696" s="1509">
        <f t="shared" si="418"/>
        <v>0.46</v>
      </c>
      <c r="G2696" s="1509">
        <f t="shared" si="419"/>
        <v>0.46</v>
      </c>
      <c r="H2696" s="1509">
        <f t="shared" si="420"/>
        <v>0</v>
      </c>
      <c r="I2696" s="1509">
        <v>0</v>
      </c>
      <c r="J2696" s="1509">
        <v>0</v>
      </c>
      <c r="K2696" s="1509"/>
      <c r="L2696" s="1509"/>
      <c r="M2696" s="1509">
        <f t="shared" si="421"/>
        <v>0</v>
      </c>
      <c r="N2696" s="1509">
        <f t="shared" si="422"/>
        <v>0</v>
      </c>
    </row>
    <row r="2697" spans="1:14" customFormat="1" ht="43.5" outlineLevel="1" x14ac:dyDescent="0.25">
      <c r="A2697" s="1511">
        <f t="shared" si="425"/>
        <v>15.3</v>
      </c>
      <c r="B2697" s="1515" t="str">
        <f t="shared" si="425"/>
        <v xml:space="preserve">Refurbishment of single stream conveyor drives : Procurement of ENERGY EFFICIENT HT MOTORS for single stream conveyor drives of 2X 250 MW CHP U6&amp;7 Parli TPS.      </v>
      </c>
      <c r="C2697" s="1396" t="str">
        <f t="shared" si="425"/>
        <v>Yet to be approved</v>
      </c>
      <c r="D2697" s="1378" t="str">
        <f t="shared" si="425"/>
        <v>-</v>
      </c>
      <c r="E2697" s="1505">
        <f t="shared" si="425"/>
        <v>0</v>
      </c>
      <c r="F2697" s="1509">
        <f t="shared" si="418"/>
        <v>2.87</v>
      </c>
      <c r="G2697" s="1509">
        <f t="shared" si="419"/>
        <v>2.87</v>
      </c>
      <c r="H2697" s="1509">
        <f t="shared" si="420"/>
        <v>0</v>
      </c>
      <c r="I2697" s="1509">
        <v>0</v>
      </c>
      <c r="J2697" s="1509">
        <v>0</v>
      </c>
      <c r="K2697" s="1509"/>
      <c r="L2697" s="1509"/>
      <c r="M2697" s="1509">
        <f t="shared" si="421"/>
        <v>0</v>
      </c>
      <c r="N2697" s="1509">
        <f t="shared" si="422"/>
        <v>0</v>
      </c>
    </row>
    <row r="2698" spans="1:14" customFormat="1" ht="43.5" outlineLevel="1" x14ac:dyDescent="0.25">
      <c r="A2698" s="1511">
        <f t="shared" si="425"/>
        <v>15.4</v>
      </c>
      <c r="B2698" s="1515" t="str">
        <f t="shared" si="425"/>
        <v>Refurbishment of single stream conveyor drives :  Procurement of HT vacuum circuit breakers for single stream conveyor drives of 2X 250 MW CHP U6&amp;7 Parli TPS.</v>
      </c>
      <c r="C2698" s="1396" t="str">
        <f t="shared" si="425"/>
        <v>Yet to be approved</v>
      </c>
      <c r="D2698" s="1378" t="str">
        <f t="shared" si="425"/>
        <v>-</v>
      </c>
      <c r="E2698" s="1505">
        <f t="shared" si="425"/>
        <v>0</v>
      </c>
      <c r="F2698" s="1509">
        <f t="shared" si="418"/>
        <v>0.78</v>
      </c>
      <c r="G2698" s="1509">
        <f t="shared" si="419"/>
        <v>0.78</v>
      </c>
      <c r="H2698" s="1509">
        <f t="shared" si="420"/>
        <v>0</v>
      </c>
      <c r="I2698" s="1509">
        <v>0</v>
      </c>
      <c r="J2698" s="1509">
        <v>0</v>
      </c>
      <c r="K2698" s="1509"/>
      <c r="L2698" s="1509"/>
      <c r="M2698" s="1509">
        <f t="shared" si="421"/>
        <v>0</v>
      </c>
      <c r="N2698" s="1509">
        <f t="shared" si="422"/>
        <v>0</v>
      </c>
    </row>
    <row r="2699" spans="1:14" customFormat="1" ht="29" outlineLevel="1" x14ac:dyDescent="0.25">
      <c r="A2699" s="1511">
        <f t="shared" si="425"/>
        <v>15.5</v>
      </c>
      <c r="B2699" s="1515" t="str">
        <f t="shared" si="425"/>
        <v xml:space="preserve">Supply, Erection &amp; Commissioning of street light from U6/7 railway gate to loco shed of CHP U6/7 NPTPS Parli-V </v>
      </c>
      <c r="C2699" s="1396" t="str">
        <f t="shared" si="425"/>
        <v>Yet to be approved</v>
      </c>
      <c r="D2699" s="1378" t="str">
        <f t="shared" si="425"/>
        <v>-</v>
      </c>
      <c r="E2699" s="1505">
        <f t="shared" si="425"/>
        <v>0</v>
      </c>
      <c r="F2699" s="1509">
        <f t="shared" si="418"/>
        <v>1.25</v>
      </c>
      <c r="G2699" s="1509">
        <f t="shared" si="419"/>
        <v>1.25</v>
      </c>
      <c r="H2699" s="1509">
        <f t="shared" si="420"/>
        <v>0</v>
      </c>
      <c r="I2699" s="1509">
        <v>0</v>
      </c>
      <c r="J2699" s="1509">
        <v>0</v>
      </c>
      <c r="K2699" s="1509"/>
      <c r="L2699" s="1509"/>
      <c r="M2699" s="1509">
        <f t="shared" si="421"/>
        <v>0</v>
      </c>
      <c r="N2699" s="1509">
        <f t="shared" si="422"/>
        <v>0</v>
      </c>
    </row>
    <row r="2700" spans="1:14" customFormat="1" outlineLevel="1" x14ac:dyDescent="0.25">
      <c r="A2700" s="1511">
        <f t="shared" si="425"/>
        <v>15.6</v>
      </c>
      <c r="B2700" s="1515" t="str">
        <f t="shared" si="425"/>
        <v>Strengthening of U-6 Bunkers at CHP NPTPS</v>
      </c>
      <c r="C2700" s="1396" t="str">
        <f t="shared" si="425"/>
        <v>Yet to be approved</v>
      </c>
      <c r="D2700" s="1378" t="str">
        <f t="shared" si="425"/>
        <v>-</v>
      </c>
      <c r="E2700" s="1505">
        <f t="shared" si="425"/>
        <v>0</v>
      </c>
      <c r="F2700" s="1509">
        <f t="shared" si="418"/>
        <v>8.7899999999999991</v>
      </c>
      <c r="G2700" s="1509">
        <f t="shared" si="419"/>
        <v>8.7899999999999991</v>
      </c>
      <c r="H2700" s="1509">
        <f t="shared" si="420"/>
        <v>0</v>
      </c>
      <c r="I2700" s="1509">
        <v>0</v>
      </c>
      <c r="J2700" s="1509">
        <v>0</v>
      </c>
      <c r="K2700" s="1509"/>
      <c r="L2700" s="1509"/>
      <c r="M2700" s="1509">
        <f t="shared" si="421"/>
        <v>0</v>
      </c>
      <c r="N2700" s="1509">
        <f t="shared" si="422"/>
        <v>0</v>
      </c>
    </row>
    <row r="2701" spans="1:14" customFormat="1" ht="29" outlineLevel="1" x14ac:dyDescent="0.25">
      <c r="A2701" s="1511">
        <f t="shared" ref="A2701:E2716" si="426">A2344</f>
        <v>15.7</v>
      </c>
      <c r="B2701" s="1515" t="str">
        <f t="shared" si="426"/>
        <v>Supply and commissioning of Suspended Magnets for U-6,7 CHP NPTPS</v>
      </c>
      <c r="C2701" s="1396" t="str">
        <f t="shared" si="426"/>
        <v>Yet to be approved</v>
      </c>
      <c r="D2701" s="1378" t="str">
        <f t="shared" si="426"/>
        <v>-</v>
      </c>
      <c r="E2701" s="1505">
        <f t="shared" si="426"/>
        <v>0</v>
      </c>
      <c r="F2701" s="1509">
        <f t="shared" ref="F2701:F2764" si="427">F2344+I2344</f>
        <v>2.5499999999999998</v>
      </c>
      <c r="G2701" s="1509">
        <f t="shared" ref="G2701:G2764" si="428">G2344+M2344</f>
        <v>2.5499999999999998</v>
      </c>
      <c r="H2701" s="1509">
        <f t="shared" si="420"/>
        <v>0</v>
      </c>
      <c r="I2701" s="1509">
        <v>0</v>
      </c>
      <c r="J2701" s="1509">
        <v>0</v>
      </c>
      <c r="K2701" s="1509"/>
      <c r="L2701" s="1509"/>
      <c r="M2701" s="1509">
        <f t="shared" si="421"/>
        <v>0</v>
      </c>
      <c r="N2701" s="1509">
        <f t="shared" si="422"/>
        <v>0</v>
      </c>
    </row>
    <row r="2702" spans="1:14" customFormat="1" ht="29" outlineLevel="1" x14ac:dyDescent="0.25">
      <c r="A2702" s="1511">
        <f t="shared" si="426"/>
        <v>15.8</v>
      </c>
      <c r="B2702" s="1515" t="str">
        <f t="shared" si="426"/>
        <v>Modification of 60 KG rail track with laying crossover turnout at NMVP sliding CHP NPTPS</v>
      </c>
      <c r="C2702" s="1396" t="str">
        <f t="shared" si="426"/>
        <v>Yet to be approved</v>
      </c>
      <c r="D2702" s="1378" t="str">
        <f t="shared" si="426"/>
        <v>-</v>
      </c>
      <c r="E2702" s="1505">
        <f t="shared" si="426"/>
        <v>0</v>
      </c>
      <c r="F2702" s="1509">
        <f t="shared" si="427"/>
        <v>4.75</v>
      </c>
      <c r="G2702" s="1509">
        <f t="shared" si="428"/>
        <v>4.75</v>
      </c>
      <c r="H2702" s="1509">
        <f t="shared" ref="H2702:H2765" si="429">F2702-G2702</f>
        <v>0</v>
      </c>
      <c r="I2702" s="1509">
        <v>0</v>
      </c>
      <c r="J2702" s="1509">
        <v>0</v>
      </c>
      <c r="K2702" s="1509"/>
      <c r="L2702" s="1509"/>
      <c r="M2702" s="1509">
        <f t="shared" ref="M2702:M2765" si="430">SUM(J2702:L2702)</f>
        <v>0</v>
      </c>
      <c r="N2702" s="1509">
        <f t="shared" ref="N2702:N2765" si="431">H2702+I2702-M2702</f>
        <v>0</v>
      </c>
    </row>
    <row r="2703" spans="1:14" customFormat="1" outlineLevel="1" x14ac:dyDescent="0.25">
      <c r="A2703" s="1511">
        <f t="shared" si="426"/>
        <v>0</v>
      </c>
      <c r="B2703" s="1515" t="str">
        <f t="shared" si="426"/>
        <v>IDC</v>
      </c>
      <c r="C2703" s="1396" t="str">
        <f t="shared" si="426"/>
        <v>Yet to be approved</v>
      </c>
      <c r="D2703" s="1378" t="str">
        <f t="shared" si="426"/>
        <v>-</v>
      </c>
      <c r="E2703" s="1505">
        <f t="shared" si="426"/>
        <v>0</v>
      </c>
      <c r="F2703" s="1509">
        <f t="shared" si="427"/>
        <v>0</v>
      </c>
      <c r="G2703" s="1509">
        <f t="shared" si="428"/>
        <v>0</v>
      </c>
      <c r="H2703" s="1509">
        <f t="shared" si="429"/>
        <v>0</v>
      </c>
      <c r="I2703" s="1509">
        <v>0</v>
      </c>
      <c r="J2703" s="1509">
        <v>0</v>
      </c>
      <c r="K2703" s="1509"/>
      <c r="L2703" s="1509"/>
      <c r="M2703" s="1509">
        <f t="shared" si="430"/>
        <v>0</v>
      </c>
      <c r="N2703" s="1509">
        <f t="shared" si="431"/>
        <v>0</v>
      </c>
    </row>
    <row r="2704" spans="1:14" customFormat="1" ht="29" outlineLevel="1" x14ac:dyDescent="0.25">
      <c r="A2704" s="1506">
        <f t="shared" si="426"/>
        <v>16</v>
      </c>
      <c r="B2704" s="1507" t="str">
        <f t="shared" si="426"/>
        <v>DPR for normalization and stabilization of coal handling plant performance at Parli TPS</v>
      </c>
      <c r="C2704" s="1506">
        <f t="shared" si="426"/>
        <v>0</v>
      </c>
      <c r="D2704" s="1507" t="str">
        <f t="shared" si="426"/>
        <v>-</v>
      </c>
      <c r="E2704" s="1506">
        <f t="shared" si="426"/>
        <v>0</v>
      </c>
      <c r="F2704" s="1509">
        <f t="shared" si="427"/>
        <v>0</v>
      </c>
      <c r="G2704" s="1509">
        <f t="shared" si="428"/>
        <v>0</v>
      </c>
      <c r="H2704" s="1509">
        <f t="shared" si="429"/>
        <v>0</v>
      </c>
      <c r="I2704" s="1509">
        <v>0</v>
      </c>
      <c r="J2704" s="1509">
        <v>0</v>
      </c>
      <c r="K2704" s="1509"/>
      <c r="L2704" s="1509"/>
      <c r="M2704" s="1509">
        <f t="shared" si="430"/>
        <v>0</v>
      </c>
      <c r="N2704" s="1509">
        <f t="shared" si="431"/>
        <v>0</v>
      </c>
    </row>
    <row r="2705" spans="1:14" customFormat="1" outlineLevel="1" x14ac:dyDescent="0.25">
      <c r="A2705" s="1511">
        <f t="shared" si="426"/>
        <v>16.100000000000001</v>
      </c>
      <c r="B2705" s="1515" t="str">
        <f t="shared" si="426"/>
        <v>Procurement of U-6,7 W/T Major spares</v>
      </c>
      <c r="C2705" s="1396" t="str">
        <f t="shared" si="426"/>
        <v>Yet to be approved</v>
      </c>
      <c r="D2705" s="1378" t="str">
        <f t="shared" si="426"/>
        <v>-</v>
      </c>
      <c r="E2705" s="1505">
        <f t="shared" si="426"/>
        <v>0</v>
      </c>
      <c r="F2705" s="1509">
        <f t="shared" si="427"/>
        <v>10</v>
      </c>
      <c r="G2705" s="1509">
        <f t="shared" si="428"/>
        <v>10</v>
      </c>
      <c r="H2705" s="1509">
        <f t="shared" si="429"/>
        <v>0</v>
      </c>
      <c r="I2705" s="1509">
        <v>0</v>
      </c>
      <c r="J2705" s="1509">
        <v>0</v>
      </c>
      <c r="K2705" s="1509"/>
      <c r="L2705" s="1509"/>
      <c r="M2705" s="1509">
        <f t="shared" si="430"/>
        <v>0</v>
      </c>
      <c r="N2705" s="1509">
        <f t="shared" si="431"/>
        <v>0</v>
      </c>
    </row>
    <row r="2706" spans="1:14" customFormat="1" outlineLevel="1" x14ac:dyDescent="0.25">
      <c r="A2706" s="1511">
        <f t="shared" si="426"/>
        <v>16.2</v>
      </c>
      <c r="B2706" s="1515" t="str">
        <f t="shared" si="426"/>
        <v>Supply of impact crusher major spares for CHP U-6/7</v>
      </c>
      <c r="C2706" s="1396" t="str">
        <f t="shared" si="426"/>
        <v>Yet to be approved</v>
      </c>
      <c r="D2706" s="1378" t="str">
        <f t="shared" si="426"/>
        <v>-</v>
      </c>
      <c r="E2706" s="1505">
        <f t="shared" si="426"/>
        <v>0</v>
      </c>
      <c r="F2706" s="1509">
        <f t="shared" si="427"/>
        <v>5</v>
      </c>
      <c r="G2706" s="1509">
        <f t="shared" si="428"/>
        <v>5</v>
      </c>
      <c r="H2706" s="1509">
        <f t="shared" si="429"/>
        <v>0</v>
      </c>
      <c r="I2706" s="1509">
        <v>0</v>
      </c>
      <c r="J2706" s="1509">
        <v>0</v>
      </c>
      <c r="K2706" s="1509"/>
      <c r="L2706" s="1509"/>
      <c r="M2706" s="1509">
        <f t="shared" si="430"/>
        <v>0</v>
      </c>
      <c r="N2706" s="1509">
        <f t="shared" si="431"/>
        <v>0</v>
      </c>
    </row>
    <row r="2707" spans="1:14" customFormat="1" outlineLevel="1" x14ac:dyDescent="0.25">
      <c r="A2707" s="1511">
        <f t="shared" si="426"/>
        <v>16.3</v>
      </c>
      <c r="B2707" s="1515" t="str">
        <f t="shared" si="426"/>
        <v>Provision of Soft starter / VFD for Various conveyor</v>
      </c>
      <c r="C2707" s="1396" t="str">
        <f t="shared" si="426"/>
        <v>Yet to be approved</v>
      </c>
      <c r="D2707" s="1378" t="str">
        <f t="shared" si="426"/>
        <v>-</v>
      </c>
      <c r="E2707" s="1505">
        <f t="shared" si="426"/>
        <v>0</v>
      </c>
      <c r="F2707" s="1509">
        <f t="shared" si="427"/>
        <v>8</v>
      </c>
      <c r="G2707" s="1509">
        <f t="shared" si="428"/>
        <v>8</v>
      </c>
      <c r="H2707" s="1509">
        <f t="shared" si="429"/>
        <v>0</v>
      </c>
      <c r="I2707" s="1509">
        <v>0</v>
      </c>
      <c r="J2707" s="1509">
        <v>0</v>
      </c>
      <c r="K2707" s="1509"/>
      <c r="L2707" s="1509"/>
      <c r="M2707" s="1509">
        <f t="shared" si="430"/>
        <v>0</v>
      </c>
      <c r="N2707" s="1509">
        <f t="shared" si="431"/>
        <v>0</v>
      </c>
    </row>
    <row r="2708" spans="1:14" customFormat="1" outlineLevel="1" x14ac:dyDescent="0.25">
      <c r="A2708" s="1511">
        <f t="shared" si="426"/>
        <v>16.399999999999999</v>
      </c>
      <c r="B2708" s="1515" t="str">
        <f t="shared" si="426"/>
        <v>Upgradation of siemens make PLC at U-6/7.</v>
      </c>
      <c r="C2708" s="1396" t="str">
        <f t="shared" si="426"/>
        <v>Yet to be approved</v>
      </c>
      <c r="D2708" s="1378" t="str">
        <f t="shared" si="426"/>
        <v>-</v>
      </c>
      <c r="E2708" s="1505">
        <f t="shared" si="426"/>
        <v>0</v>
      </c>
      <c r="F2708" s="1509">
        <f t="shared" si="427"/>
        <v>8</v>
      </c>
      <c r="G2708" s="1509">
        <f t="shared" si="428"/>
        <v>8</v>
      </c>
      <c r="H2708" s="1509">
        <f t="shared" si="429"/>
        <v>0</v>
      </c>
      <c r="I2708" s="1509">
        <v>0</v>
      </c>
      <c r="J2708" s="1509">
        <v>0</v>
      </c>
      <c r="K2708" s="1509"/>
      <c r="L2708" s="1509"/>
      <c r="M2708" s="1509">
        <f t="shared" si="430"/>
        <v>0</v>
      </c>
      <c r="N2708" s="1509">
        <f t="shared" si="431"/>
        <v>0</v>
      </c>
    </row>
    <row r="2709" spans="1:14" customFormat="1" outlineLevel="1" x14ac:dyDescent="0.25">
      <c r="A2709" s="1511">
        <f t="shared" si="426"/>
        <v>16.5</v>
      </c>
      <c r="B2709" s="1515" t="str">
        <f t="shared" si="426"/>
        <v>Procurement of U-6/7 Stacker reclaimer major spares</v>
      </c>
      <c r="C2709" s="1396" t="str">
        <f t="shared" si="426"/>
        <v>Yet to be approved</v>
      </c>
      <c r="D2709" s="1378" t="str">
        <f t="shared" si="426"/>
        <v>-</v>
      </c>
      <c r="E2709" s="1505">
        <f t="shared" si="426"/>
        <v>0</v>
      </c>
      <c r="F2709" s="1509">
        <f t="shared" si="427"/>
        <v>12</v>
      </c>
      <c r="G2709" s="1509">
        <f t="shared" si="428"/>
        <v>12</v>
      </c>
      <c r="H2709" s="1509">
        <f t="shared" si="429"/>
        <v>0</v>
      </c>
      <c r="I2709" s="1509">
        <v>0</v>
      </c>
      <c r="J2709" s="1509">
        <v>0</v>
      </c>
      <c r="K2709" s="1509"/>
      <c r="L2709" s="1509"/>
      <c r="M2709" s="1509">
        <f t="shared" si="430"/>
        <v>0</v>
      </c>
      <c r="N2709" s="1509">
        <f t="shared" si="431"/>
        <v>0</v>
      </c>
    </row>
    <row r="2710" spans="1:14" customFormat="1" ht="29" outlineLevel="1" x14ac:dyDescent="0.25">
      <c r="A2710" s="1511">
        <f t="shared" si="426"/>
        <v>16.600000000000001</v>
      </c>
      <c r="B2710" s="1515" t="str">
        <f t="shared" si="426"/>
        <v>Design, supply and commissioning of solar operated lighting system in CHP  U-6,7</v>
      </c>
      <c r="C2710" s="1396" t="str">
        <f t="shared" si="426"/>
        <v>Yet to be approved</v>
      </c>
      <c r="D2710" s="1378" t="str">
        <f t="shared" si="426"/>
        <v>-</v>
      </c>
      <c r="E2710" s="1505">
        <f t="shared" si="426"/>
        <v>0</v>
      </c>
      <c r="F2710" s="1509">
        <f t="shared" si="427"/>
        <v>15</v>
      </c>
      <c r="G2710" s="1509">
        <f t="shared" si="428"/>
        <v>15</v>
      </c>
      <c r="H2710" s="1509">
        <f t="shared" si="429"/>
        <v>0</v>
      </c>
      <c r="I2710" s="1509">
        <v>0</v>
      </c>
      <c r="J2710" s="1509">
        <v>0</v>
      </c>
      <c r="K2710" s="1509"/>
      <c r="L2710" s="1509"/>
      <c r="M2710" s="1509">
        <f t="shared" si="430"/>
        <v>0</v>
      </c>
      <c r="N2710" s="1509">
        <f t="shared" si="431"/>
        <v>0</v>
      </c>
    </row>
    <row r="2711" spans="1:14" customFormat="1" outlineLevel="1" x14ac:dyDescent="0.25">
      <c r="A2711" s="1511">
        <f t="shared" si="426"/>
        <v>16.7</v>
      </c>
      <c r="B2711" s="1515" t="str">
        <f t="shared" si="426"/>
        <v>Installation of CCTV survillance system alongwith all conveyors.</v>
      </c>
      <c r="C2711" s="1396" t="str">
        <f t="shared" si="426"/>
        <v>Yet to be approved</v>
      </c>
      <c r="D2711" s="1378" t="str">
        <f t="shared" si="426"/>
        <v>-</v>
      </c>
      <c r="E2711" s="1505">
        <f t="shared" si="426"/>
        <v>0</v>
      </c>
      <c r="F2711" s="1509">
        <f t="shared" si="427"/>
        <v>4</v>
      </c>
      <c r="G2711" s="1509">
        <f t="shared" si="428"/>
        <v>4</v>
      </c>
      <c r="H2711" s="1509">
        <f t="shared" si="429"/>
        <v>0</v>
      </c>
      <c r="I2711" s="1509">
        <v>0</v>
      </c>
      <c r="J2711" s="1509">
        <v>0</v>
      </c>
      <c r="K2711" s="1509"/>
      <c r="L2711" s="1509"/>
      <c r="M2711" s="1509">
        <f t="shared" si="430"/>
        <v>0</v>
      </c>
      <c r="N2711" s="1509">
        <f t="shared" si="431"/>
        <v>0</v>
      </c>
    </row>
    <row r="2712" spans="1:14" customFormat="1" ht="29" outlineLevel="1" x14ac:dyDescent="0.25">
      <c r="A2712" s="1511">
        <f t="shared" si="426"/>
        <v>16.8</v>
      </c>
      <c r="B2712" s="1515" t="str">
        <f t="shared" si="426"/>
        <v xml:space="preserve"> Upgradation / Retrofication of Bunker Lifts of Unit-6 &amp; Unit-7 at CHP TPS Parli-V.</v>
      </c>
      <c r="C2712" s="1396" t="str">
        <f t="shared" si="426"/>
        <v>Yet to be approved</v>
      </c>
      <c r="D2712" s="1378" t="str">
        <f t="shared" si="426"/>
        <v>-</v>
      </c>
      <c r="E2712" s="1505">
        <f t="shared" si="426"/>
        <v>0</v>
      </c>
      <c r="F2712" s="1509">
        <f t="shared" si="427"/>
        <v>3.25</v>
      </c>
      <c r="G2712" s="1509">
        <f t="shared" si="428"/>
        <v>3.25</v>
      </c>
      <c r="H2712" s="1509">
        <f t="shared" si="429"/>
        <v>0</v>
      </c>
      <c r="I2712" s="1509">
        <v>0</v>
      </c>
      <c r="J2712" s="1509">
        <v>0</v>
      </c>
      <c r="K2712" s="1509"/>
      <c r="L2712" s="1509"/>
      <c r="M2712" s="1509">
        <f t="shared" si="430"/>
        <v>0</v>
      </c>
      <c r="N2712" s="1509">
        <f t="shared" si="431"/>
        <v>0</v>
      </c>
    </row>
    <row r="2713" spans="1:14" customFormat="1" outlineLevel="1" x14ac:dyDescent="0.25">
      <c r="A2713" s="1511">
        <f t="shared" si="426"/>
        <v>0</v>
      </c>
      <c r="B2713" s="1515" t="str">
        <f t="shared" si="426"/>
        <v>IDC</v>
      </c>
      <c r="C2713" s="1396" t="str">
        <f t="shared" si="426"/>
        <v>Yet to be approved</v>
      </c>
      <c r="D2713" s="1378" t="str">
        <f t="shared" si="426"/>
        <v>-</v>
      </c>
      <c r="E2713" s="1505">
        <f t="shared" si="426"/>
        <v>0</v>
      </c>
      <c r="F2713" s="1509">
        <f t="shared" si="427"/>
        <v>0</v>
      </c>
      <c r="G2713" s="1509">
        <f t="shared" si="428"/>
        <v>0</v>
      </c>
      <c r="H2713" s="1509">
        <f t="shared" si="429"/>
        <v>0</v>
      </c>
      <c r="I2713" s="1509">
        <v>0</v>
      </c>
      <c r="J2713" s="1509">
        <v>0</v>
      </c>
      <c r="K2713" s="1509"/>
      <c r="L2713" s="1509"/>
      <c r="M2713" s="1509">
        <f t="shared" si="430"/>
        <v>0</v>
      </c>
      <c r="N2713" s="1509">
        <f t="shared" si="431"/>
        <v>0</v>
      </c>
    </row>
    <row r="2714" spans="1:14" customFormat="1" outlineLevel="1" x14ac:dyDescent="0.25">
      <c r="A2714" s="1506">
        <f t="shared" si="426"/>
        <v>17</v>
      </c>
      <c r="B2714" s="1507" t="str">
        <f t="shared" si="426"/>
        <v>DPR for maximiation of Coal Handling Plant efficiency.</v>
      </c>
      <c r="C2714" s="1506" t="str">
        <f t="shared" si="426"/>
        <v>Yet to be approved</v>
      </c>
      <c r="D2714" s="1507" t="str">
        <f t="shared" si="426"/>
        <v>-</v>
      </c>
      <c r="E2714" s="1506">
        <f t="shared" si="426"/>
        <v>0</v>
      </c>
      <c r="F2714" s="1509">
        <f t="shared" si="427"/>
        <v>0</v>
      </c>
      <c r="G2714" s="1509">
        <f t="shared" si="428"/>
        <v>0</v>
      </c>
      <c r="H2714" s="1509">
        <f t="shared" si="429"/>
        <v>0</v>
      </c>
      <c r="I2714" s="1509">
        <v>0</v>
      </c>
      <c r="J2714" s="1509">
        <v>0</v>
      </c>
      <c r="K2714" s="1509"/>
      <c r="L2714" s="1509"/>
      <c r="M2714" s="1509">
        <f t="shared" si="430"/>
        <v>0</v>
      </c>
      <c r="N2714" s="1509">
        <f t="shared" si="431"/>
        <v>0</v>
      </c>
    </row>
    <row r="2715" spans="1:14" customFormat="1" outlineLevel="1" x14ac:dyDescent="0.25">
      <c r="A2715" s="1511">
        <f t="shared" si="426"/>
        <v>17.100000000000001</v>
      </c>
      <c r="B2715" s="1515" t="str">
        <f t="shared" si="426"/>
        <v>W/T control room &amp; bunker house battery &amp; UPS upgradation</v>
      </c>
      <c r="C2715" s="1396" t="str">
        <f t="shared" si="426"/>
        <v>Yet to be approved</v>
      </c>
      <c r="D2715" s="1378" t="str">
        <f t="shared" si="426"/>
        <v>-</v>
      </c>
      <c r="E2715" s="1505">
        <f t="shared" si="426"/>
        <v>0</v>
      </c>
      <c r="F2715" s="1509">
        <f t="shared" si="427"/>
        <v>3</v>
      </c>
      <c r="G2715" s="1509">
        <f t="shared" si="428"/>
        <v>3</v>
      </c>
      <c r="H2715" s="1509">
        <f t="shared" si="429"/>
        <v>0</v>
      </c>
      <c r="I2715" s="1509">
        <v>0</v>
      </c>
      <c r="J2715" s="1509">
        <v>0</v>
      </c>
      <c r="K2715" s="1509"/>
      <c r="L2715" s="1509"/>
      <c r="M2715" s="1509">
        <f t="shared" si="430"/>
        <v>0</v>
      </c>
      <c r="N2715" s="1509">
        <f t="shared" si="431"/>
        <v>0</v>
      </c>
    </row>
    <row r="2716" spans="1:14" customFormat="1" outlineLevel="1" x14ac:dyDescent="0.25">
      <c r="A2716" s="1511">
        <f t="shared" si="426"/>
        <v>17.2</v>
      </c>
      <c r="B2716" s="1515" t="str">
        <f t="shared" si="426"/>
        <v>Provision of Soft starter / VFD for Various conveyor</v>
      </c>
      <c r="C2716" s="1396" t="str">
        <f t="shared" si="426"/>
        <v>Yet to be approved</v>
      </c>
      <c r="D2716" s="1378" t="str">
        <f t="shared" si="426"/>
        <v>-</v>
      </c>
      <c r="E2716" s="1505">
        <f t="shared" si="426"/>
        <v>0</v>
      </c>
      <c r="F2716" s="1509">
        <f t="shared" si="427"/>
        <v>8</v>
      </c>
      <c r="G2716" s="1509">
        <f t="shared" si="428"/>
        <v>8</v>
      </c>
      <c r="H2716" s="1509">
        <f t="shared" si="429"/>
        <v>0</v>
      </c>
      <c r="I2716" s="1509">
        <v>0</v>
      </c>
      <c r="J2716" s="1509">
        <v>0</v>
      </c>
      <c r="K2716" s="1509"/>
      <c r="L2716" s="1509"/>
      <c r="M2716" s="1509">
        <f t="shared" si="430"/>
        <v>0</v>
      </c>
      <c r="N2716" s="1509">
        <f t="shared" si="431"/>
        <v>0</v>
      </c>
    </row>
    <row r="2717" spans="1:14" customFormat="1" ht="29" outlineLevel="1" x14ac:dyDescent="0.25">
      <c r="A2717" s="1511">
        <f t="shared" ref="A2717:E2732" si="432">A2360</f>
        <v>17.3</v>
      </c>
      <c r="B2717" s="1515" t="str">
        <f t="shared" si="432"/>
        <v>Structure Strengthening of Conveyor NO. 3 and Stacker Reclaimer Rail at U-6/7 CHP</v>
      </c>
      <c r="C2717" s="1396" t="str">
        <f t="shared" si="432"/>
        <v>Yet to be approved</v>
      </c>
      <c r="D2717" s="1378" t="str">
        <f t="shared" si="432"/>
        <v>-</v>
      </c>
      <c r="E2717" s="1505">
        <f t="shared" si="432"/>
        <v>0</v>
      </c>
      <c r="F2717" s="1509">
        <f t="shared" si="427"/>
        <v>3</v>
      </c>
      <c r="G2717" s="1509">
        <f t="shared" si="428"/>
        <v>3</v>
      </c>
      <c r="H2717" s="1509">
        <f t="shared" si="429"/>
        <v>0</v>
      </c>
      <c r="I2717" s="1509">
        <v>0</v>
      </c>
      <c r="J2717" s="1509">
        <v>0</v>
      </c>
      <c r="K2717" s="1509"/>
      <c r="L2717" s="1509"/>
      <c r="M2717" s="1509">
        <f t="shared" si="430"/>
        <v>0</v>
      </c>
      <c r="N2717" s="1509">
        <f t="shared" si="431"/>
        <v>0</v>
      </c>
    </row>
    <row r="2718" spans="1:14" customFormat="1" outlineLevel="1" x14ac:dyDescent="0.25">
      <c r="A2718" s="1511">
        <f t="shared" si="432"/>
        <v>17.399999999999999</v>
      </c>
      <c r="B2718" s="1515" t="str">
        <f t="shared" si="432"/>
        <v>Modernization/modification of Conveyor HT/LT cables at U-6/7 CHP.</v>
      </c>
      <c r="C2718" s="1396" t="str">
        <f t="shared" si="432"/>
        <v>Yet to be approved</v>
      </c>
      <c r="D2718" s="1378" t="str">
        <f t="shared" si="432"/>
        <v>-</v>
      </c>
      <c r="E2718" s="1505">
        <f t="shared" si="432"/>
        <v>0</v>
      </c>
      <c r="F2718" s="1509">
        <f t="shared" si="427"/>
        <v>4</v>
      </c>
      <c r="G2718" s="1509">
        <f t="shared" si="428"/>
        <v>4</v>
      </c>
      <c r="H2718" s="1509">
        <f t="shared" si="429"/>
        <v>0</v>
      </c>
      <c r="I2718" s="1509">
        <v>0</v>
      </c>
      <c r="J2718" s="1509">
        <v>0</v>
      </c>
      <c r="K2718" s="1509"/>
      <c r="L2718" s="1509"/>
      <c r="M2718" s="1509">
        <f t="shared" si="430"/>
        <v>0</v>
      </c>
      <c r="N2718" s="1509">
        <f t="shared" si="431"/>
        <v>0</v>
      </c>
    </row>
    <row r="2719" spans="1:14" customFormat="1" ht="29" outlineLevel="1" x14ac:dyDescent="0.25">
      <c r="A2719" s="1511">
        <f t="shared" si="432"/>
        <v>17.5</v>
      </c>
      <c r="B2719" s="1515" t="str">
        <f t="shared" si="432"/>
        <v>Modernization of EOT cranes and Hoist at various junction tower and various location of CHP U-6/7</v>
      </c>
      <c r="C2719" s="1396" t="str">
        <f t="shared" si="432"/>
        <v>Yet to be approved</v>
      </c>
      <c r="D2719" s="1378" t="str">
        <f t="shared" si="432"/>
        <v>-</v>
      </c>
      <c r="E2719" s="1505">
        <f t="shared" si="432"/>
        <v>0</v>
      </c>
      <c r="F2719" s="1509">
        <f t="shared" si="427"/>
        <v>3</v>
      </c>
      <c r="G2719" s="1509">
        <f t="shared" si="428"/>
        <v>3</v>
      </c>
      <c r="H2719" s="1509">
        <f t="shared" si="429"/>
        <v>0</v>
      </c>
      <c r="I2719" s="1509">
        <v>0</v>
      </c>
      <c r="J2719" s="1509">
        <v>0</v>
      </c>
      <c r="K2719" s="1509"/>
      <c r="L2719" s="1509"/>
      <c r="M2719" s="1509">
        <f t="shared" si="430"/>
        <v>0</v>
      </c>
      <c r="N2719" s="1509">
        <f t="shared" si="431"/>
        <v>0</v>
      </c>
    </row>
    <row r="2720" spans="1:14" customFormat="1" outlineLevel="1" x14ac:dyDescent="0.25">
      <c r="A2720" s="1511">
        <f t="shared" si="432"/>
        <v>17.600000000000001</v>
      </c>
      <c r="B2720" s="1515" t="str">
        <f t="shared" si="432"/>
        <v>Renovation / retrofitting of shuttle conveyor at CHP U-6/7.</v>
      </c>
      <c r="C2720" s="1396" t="str">
        <f t="shared" si="432"/>
        <v>Yet to be approved</v>
      </c>
      <c r="D2720" s="1378" t="str">
        <f t="shared" si="432"/>
        <v>-</v>
      </c>
      <c r="E2720" s="1505">
        <f t="shared" si="432"/>
        <v>0</v>
      </c>
      <c r="F2720" s="1509">
        <f t="shared" si="427"/>
        <v>4</v>
      </c>
      <c r="G2720" s="1509">
        <f t="shared" si="428"/>
        <v>4</v>
      </c>
      <c r="H2720" s="1509">
        <f t="shared" si="429"/>
        <v>0</v>
      </c>
      <c r="I2720" s="1509">
        <v>0</v>
      </c>
      <c r="J2720" s="1509">
        <v>0</v>
      </c>
      <c r="K2720" s="1509"/>
      <c r="L2720" s="1509"/>
      <c r="M2720" s="1509">
        <f t="shared" si="430"/>
        <v>0</v>
      </c>
      <c r="N2720" s="1509">
        <f t="shared" si="431"/>
        <v>0</v>
      </c>
    </row>
    <row r="2721" spans="1:14" customFormat="1" outlineLevel="1" x14ac:dyDescent="0.25">
      <c r="A2721" s="1511">
        <f t="shared" si="432"/>
        <v>17.7</v>
      </c>
      <c r="B2721" s="1515" t="str">
        <f t="shared" si="432"/>
        <v>Upgradation/renovation of bunker lift at RSC-6 &amp; 7 of CHP U-6/7</v>
      </c>
      <c r="C2721" s="1396" t="str">
        <f t="shared" si="432"/>
        <v>Yet to be approved</v>
      </c>
      <c r="D2721" s="1378" t="str">
        <f t="shared" si="432"/>
        <v>-</v>
      </c>
      <c r="E2721" s="1505">
        <f t="shared" si="432"/>
        <v>0</v>
      </c>
      <c r="F2721" s="1509">
        <f t="shared" si="427"/>
        <v>4</v>
      </c>
      <c r="G2721" s="1509">
        <f t="shared" si="428"/>
        <v>4</v>
      </c>
      <c r="H2721" s="1509">
        <f t="shared" si="429"/>
        <v>0</v>
      </c>
      <c r="I2721" s="1509">
        <v>0</v>
      </c>
      <c r="J2721" s="1509">
        <v>0</v>
      </c>
      <c r="K2721" s="1509"/>
      <c r="L2721" s="1509"/>
      <c r="M2721" s="1509">
        <f t="shared" si="430"/>
        <v>0</v>
      </c>
      <c r="N2721" s="1509">
        <f t="shared" si="431"/>
        <v>0</v>
      </c>
    </row>
    <row r="2722" spans="1:14" customFormat="1" outlineLevel="1" x14ac:dyDescent="0.25">
      <c r="A2722" s="1511">
        <f t="shared" si="432"/>
        <v>0</v>
      </c>
      <c r="B2722" s="1515" t="str">
        <f t="shared" si="432"/>
        <v>IDC</v>
      </c>
      <c r="C2722" s="1396" t="str">
        <f t="shared" si="432"/>
        <v>Yet to be approved</v>
      </c>
      <c r="D2722" s="1378" t="str">
        <f t="shared" si="432"/>
        <v>-</v>
      </c>
      <c r="E2722" s="1505">
        <f t="shared" si="432"/>
        <v>0</v>
      </c>
      <c r="F2722" s="1509">
        <f t="shared" si="427"/>
        <v>0</v>
      </c>
      <c r="G2722" s="1509">
        <f t="shared" si="428"/>
        <v>0</v>
      </c>
      <c r="H2722" s="1509">
        <f t="shared" si="429"/>
        <v>0</v>
      </c>
      <c r="I2722" s="1509">
        <v>0</v>
      </c>
      <c r="J2722" s="1509">
        <v>0</v>
      </c>
      <c r="K2722" s="1509"/>
      <c r="L2722" s="1509"/>
      <c r="M2722" s="1509">
        <f t="shared" si="430"/>
        <v>0</v>
      </c>
      <c r="N2722" s="1509">
        <f t="shared" si="431"/>
        <v>0</v>
      </c>
    </row>
    <row r="2723" spans="1:14" customFormat="1" outlineLevel="1" x14ac:dyDescent="0.25">
      <c r="A2723" s="1506">
        <f t="shared" si="432"/>
        <v>18</v>
      </c>
      <c r="B2723" s="1507" t="str">
        <f t="shared" si="432"/>
        <v>DPR on life enhancement of Coal Handling Plant</v>
      </c>
      <c r="C2723" s="1506" t="str">
        <f t="shared" si="432"/>
        <v>Yet to be approved</v>
      </c>
      <c r="D2723" s="1507" t="str">
        <f t="shared" si="432"/>
        <v>-</v>
      </c>
      <c r="E2723" s="1506">
        <f t="shared" si="432"/>
        <v>0</v>
      </c>
      <c r="F2723" s="1509">
        <f t="shared" si="427"/>
        <v>0</v>
      </c>
      <c r="G2723" s="1509">
        <f t="shared" si="428"/>
        <v>0</v>
      </c>
      <c r="H2723" s="1509">
        <f t="shared" si="429"/>
        <v>0</v>
      </c>
      <c r="I2723" s="1509">
        <v>0</v>
      </c>
      <c r="J2723" s="1509">
        <v>0</v>
      </c>
      <c r="K2723" s="1509"/>
      <c r="L2723" s="1509"/>
      <c r="M2723" s="1509">
        <f t="shared" si="430"/>
        <v>0</v>
      </c>
      <c r="N2723" s="1509">
        <f t="shared" si="431"/>
        <v>0</v>
      </c>
    </row>
    <row r="2724" spans="1:14" customFormat="1" ht="29" outlineLevel="1" x14ac:dyDescent="0.25">
      <c r="A2724" s="1511">
        <f t="shared" si="432"/>
        <v>18.100000000000001</v>
      </c>
      <c r="B2724" s="1515" t="str">
        <f t="shared" si="432"/>
        <v>Renovation, upgradation  &amp; capacity enhancement of LT switch gear panels at W/T, S/R and CHP control Switch board at CHP U-6/7.</v>
      </c>
      <c r="C2724" s="1396" t="str">
        <f t="shared" si="432"/>
        <v>Yet to be approved</v>
      </c>
      <c r="D2724" s="1378" t="str">
        <f t="shared" si="432"/>
        <v>-</v>
      </c>
      <c r="E2724" s="1505">
        <f t="shared" si="432"/>
        <v>0</v>
      </c>
      <c r="F2724" s="1509">
        <f t="shared" si="427"/>
        <v>5</v>
      </c>
      <c r="G2724" s="1509">
        <f t="shared" si="428"/>
        <v>5</v>
      </c>
      <c r="H2724" s="1509">
        <f t="shared" si="429"/>
        <v>0</v>
      </c>
      <c r="I2724" s="1509">
        <v>0</v>
      </c>
      <c r="J2724" s="1509">
        <v>0</v>
      </c>
      <c r="K2724" s="1509"/>
      <c r="L2724" s="1509"/>
      <c r="M2724" s="1509">
        <f t="shared" si="430"/>
        <v>0</v>
      </c>
      <c r="N2724" s="1509">
        <f t="shared" si="431"/>
        <v>0</v>
      </c>
    </row>
    <row r="2725" spans="1:14" customFormat="1" outlineLevel="1" x14ac:dyDescent="0.25">
      <c r="A2725" s="1511">
        <f t="shared" si="432"/>
        <v>18.2</v>
      </c>
      <c r="B2725" s="1515" t="str">
        <f t="shared" si="432"/>
        <v>Procurement &amp; installation of Belt tear detection system</v>
      </c>
      <c r="C2725" s="1396" t="str">
        <f t="shared" si="432"/>
        <v>Yet to be approved</v>
      </c>
      <c r="D2725" s="1378" t="str">
        <f t="shared" si="432"/>
        <v>-</v>
      </c>
      <c r="E2725" s="1505">
        <f t="shared" si="432"/>
        <v>0</v>
      </c>
      <c r="F2725" s="1509">
        <f t="shared" si="427"/>
        <v>4.5</v>
      </c>
      <c r="G2725" s="1509">
        <f t="shared" si="428"/>
        <v>4.5</v>
      </c>
      <c r="H2725" s="1509">
        <f t="shared" si="429"/>
        <v>0</v>
      </c>
      <c r="I2725" s="1509">
        <v>0</v>
      </c>
      <c r="J2725" s="1509">
        <v>0</v>
      </c>
      <c r="K2725" s="1509"/>
      <c r="L2725" s="1509"/>
      <c r="M2725" s="1509">
        <f t="shared" si="430"/>
        <v>0</v>
      </c>
      <c r="N2725" s="1509">
        <f t="shared" si="431"/>
        <v>0</v>
      </c>
    </row>
    <row r="2726" spans="1:14" customFormat="1" outlineLevel="1" x14ac:dyDescent="0.25">
      <c r="A2726" s="1511">
        <f t="shared" si="432"/>
        <v>18.3</v>
      </c>
      <c r="B2726" s="1515" t="str">
        <f t="shared" si="432"/>
        <v>Conveyor gravity takeup infrastructure strengthening work</v>
      </c>
      <c r="C2726" s="1396" t="str">
        <f t="shared" si="432"/>
        <v>Yet to be approved</v>
      </c>
      <c r="D2726" s="1378" t="str">
        <f t="shared" si="432"/>
        <v>-</v>
      </c>
      <c r="E2726" s="1505">
        <f t="shared" si="432"/>
        <v>0</v>
      </c>
      <c r="F2726" s="1509">
        <f t="shared" si="427"/>
        <v>3</v>
      </c>
      <c r="G2726" s="1509">
        <f t="shared" si="428"/>
        <v>3</v>
      </c>
      <c r="H2726" s="1509">
        <f t="shared" si="429"/>
        <v>0</v>
      </c>
      <c r="I2726" s="1509">
        <v>0</v>
      </c>
      <c r="J2726" s="1509">
        <v>0</v>
      </c>
      <c r="K2726" s="1509"/>
      <c r="L2726" s="1509"/>
      <c r="M2726" s="1509">
        <f t="shared" si="430"/>
        <v>0</v>
      </c>
      <c r="N2726" s="1509">
        <f t="shared" si="431"/>
        <v>0</v>
      </c>
    </row>
    <row r="2727" spans="1:14" customFormat="1" outlineLevel="1" x14ac:dyDescent="0.25">
      <c r="A2727" s="1511">
        <f t="shared" si="432"/>
        <v>18.399999999999999</v>
      </c>
      <c r="B2727" s="1515" t="str">
        <f t="shared" si="432"/>
        <v>Replacement of vibrating feeder-I with Apron Feeder at CHP U-6/7.</v>
      </c>
      <c r="C2727" s="1396" t="str">
        <f t="shared" si="432"/>
        <v>Yet to be approved</v>
      </c>
      <c r="D2727" s="1378" t="str">
        <f t="shared" si="432"/>
        <v>-</v>
      </c>
      <c r="E2727" s="1505">
        <f t="shared" si="432"/>
        <v>0</v>
      </c>
      <c r="F2727" s="1509">
        <f t="shared" si="427"/>
        <v>8</v>
      </c>
      <c r="G2727" s="1509">
        <f t="shared" si="428"/>
        <v>8</v>
      </c>
      <c r="H2727" s="1509">
        <f t="shared" si="429"/>
        <v>0</v>
      </c>
      <c r="I2727" s="1509">
        <v>0</v>
      </c>
      <c r="J2727" s="1509">
        <v>0</v>
      </c>
      <c r="K2727" s="1509"/>
      <c r="L2727" s="1509"/>
      <c r="M2727" s="1509">
        <f t="shared" si="430"/>
        <v>0</v>
      </c>
      <c r="N2727" s="1509">
        <f t="shared" si="431"/>
        <v>0</v>
      </c>
    </row>
    <row r="2728" spans="1:14" customFormat="1" outlineLevel="1" x14ac:dyDescent="0.25">
      <c r="A2728" s="1511">
        <f t="shared" si="432"/>
        <v>0</v>
      </c>
      <c r="B2728" s="1515" t="str">
        <f t="shared" si="432"/>
        <v>IDC</v>
      </c>
      <c r="C2728" s="1396" t="str">
        <f t="shared" si="432"/>
        <v>Yet to be approved</v>
      </c>
      <c r="D2728" s="1378" t="str">
        <f t="shared" si="432"/>
        <v>-</v>
      </c>
      <c r="E2728" s="1505">
        <f t="shared" si="432"/>
        <v>0</v>
      </c>
      <c r="F2728" s="1509">
        <f t="shared" si="427"/>
        <v>0</v>
      </c>
      <c r="G2728" s="1509">
        <f t="shared" si="428"/>
        <v>0</v>
      </c>
      <c r="H2728" s="1509">
        <f t="shared" si="429"/>
        <v>0</v>
      </c>
      <c r="I2728" s="1509">
        <v>0</v>
      </c>
      <c r="J2728" s="1509">
        <v>0</v>
      </c>
      <c r="K2728" s="1509"/>
      <c r="L2728" s="1509"/>
      <c r="M2728" s="1509">
        <f t="shared" si="430"/>
        <v>0</v>
      </c>
      <c r="N2728" s="1509">
        <f t="shared" si="431"/>
        <v>0</v>
      </c>
    </row>
    <row r="2729" spans="1:14" customFormat="1" outlineLevel="1" x14ac:dyDescent="0.25">
      <c r="A2729" s="1506">
        <f t="shared" si="432"/>
        <v>19</v>
      </c>
      <c r="B2729" s="1507" t="str">
        <f t="shared" si="432"/>
        <v>DPR for stabiliazation of Coal Handling Performance.</v>
      </c>
      <c r="C2729" s="1506" t="str">
        <f t="shared" si="432"/>
        <v>Yet to be approved</v>
      </c>
      <c r="D2729" s="1507" t="str">
        <f t="shared" si="432"/>
        <v>-</v>
      </c>
      <c r="E2729" s="1506">
        <f t="shared" si="432"/>
        <v>0</v>
      </c>
      <c r="F2729" s="1509">
        <f t="shared" si="427"/>
        <v>0</v>
      </c>
      <c r="G2729" s="1509">
        <f t="shared" si="428"/>
        <v>0</v>
      </c>
      <c r="H2729" s="1509">
        <f t="shared" si="429"/>
        <v>0</v>
      </c>
      <c r="I2729" s="1509">
        <v>0</v>
      </c>
      <c r="J2729" s="1509">
        <v>0</v>
      </c>
      <c r="K2729" s="1509"/>
      <c r="L2729" s="1509"/>
      <c r="M2729" s="1509">
        <f t="shared" si="430"/>
        <v>0</v>
      </c>
      <c r="N2729" s="1509">
        <f t="shared" si="431"/>
        <v>0</v>
      </c>
    </row>
    <row r="2730" spans="1:14" customFormat="1" outlineLevel="1" x14ac:dyDescent="0.25">
      <c r="A2730" s="1511">
        <f t="shared" si="432"/>
        <v>19.100000000000001</v>
      </c>
      <c r="B2730" s="1515" t="str">
        <f t="shared" si="432"/>
        <v>Drive modification of Stacker Reclaimer slewing system.</v>
      </c>
      <c r="C2730" s="1396" t="str">
        <f t="shared" si="432"/>
        <v>Yet to be approved</v>
      </c>
      <c r="D2730" s="1378" t="str">
        <f t="shared" si="432"/>
        <v>-</v>
      </c>
      <c r="E2730" s="1505">
        <f t="shared" si="432"/>
        <v>0</v>
      </c>
      <c r="F2730" s="1509">
        <f t="shared" si="427"/>
        <v>0</v>
      </c>
      <c r="G2730" s="1509">
        <f t="shared" si="428"/>
        <v>0</v>
      </c>
      <c r="H2730" s="1509">
        <f t="shared" si="429"/>
        <v>0</v>
      </c>
      <c r="I2730" s="1509">
        <v>5</v>
      </c>
      <c r="J2730" s="1509">
        <v>5</v>
      </c>
      <c r="K2730" s="1509"/>
      <c r="L2730" s="1509"/>
      <c r="M2730" s="1509">
        <f t="shared" si="430"/>
        <v>5</v>
      </c>
      <c r="N2730" s="1509">
        <f t="shared" si="431"/>
        <v>0</v>
      </c>
    </row>
    <row r="2731" spans="1:14" customFormat="1" outlineLevel="1" x14ac:dyDescent="0.25">
      <c r="A2731" s="1511">
        <f t="shared" si="432"/>
        <v>19.2</v>
      </c>
      <c r="B2731" s="1515" t="str">
        <f t="shared" si="432"/>
        <v>Retrofitting of Side Arm Charger-I &amp; II at CHP U-6,7</v>
      </c>
      <c r="C2731" s="1396" t="str">
        <f t="shared" si="432"/>
        <v>Yet to be approved</v>
      </c>
      <c r="D2731" s="1378" t="str">
        <f t="shared" si="432"/>
        <v>-</v>
      </c>
      <c r="E2731" s="1505">
        <f t="shared" si="432"/>
        <v>0</v>
      </c>
      <c r="F2731" s="1509">
        <f t="shared" si="427"/>
        <v>0</v>
      </c>
      <c r="G2731" s="1509">
        <f t="shared" si="428"/>
        <v>0</v>
      </c>
      <c r="H2731" s="1509">
        <f t="shared" si="429"/>
        <v>0</v>
      </c>
      <c r="I2731" s="1509">
        <v>10</v>
      </c>
      <c r="J2731" s="1509">
        <v>10</v>
      </c>
      <c r="K2731" s="1509"/>
      <c r="L2731" s="1509"/>
      <c r="M2731" s="1509">
        <f t="shared" si="430"/>
        <v>10</v>
      </c>
      <c r="N2731" s="1509">
        <f t="shared" si="431"/>
        <v>0</v>
      </c>
    </row>
    <row r="2732" spans="1:14" customFormat="1" outlineLevel="1" x14ac:dyDescent="0.25">
      <c r="A2732" s="1511">
        <f t="shared" si="432"/>
        <v>19.3</v>
      </c>
      <c r="B2732" s="1515" t="str">
        <f t="shared" si="432"/>
        <v>Provision of open Wagon Tippler at CHP U-6/7</v>
      </c>
      <c r="C2732" s="1396" t="str">
        <f t="shared" si="432"/>
        <v>Yet to be approved</v>
      </c>
      <c r="D2732" s="1378" t="str">
        <f t="shared" si="432"/>
        <v>-</v>
      </c>
      <c r="E2732" s="1505">
        <f t="shared" si="432"/>
        <v>0</v>
      </c>
      <c r="F2732" s="1509">
        <f t="shared" si="427"/>
        <v>0</v>
      </c>
      <c r="G2732" s="1509">
        <f t="shared" si="428"/>
        <v>0</v>
      </c>
      <c r="H2732" s="1509">
        <f t="shared" si="429"/>
        <v>0</v>
      </c>
      <c r="I2732" s="1509">
        <v>15</v>
      </c>
      <c r="J2732" s="1509">
        <v>15</v>
      </c>
      <c r="K2732" s="1509"/>
      <c r="L2732" s="1509"/>
      <c r="M2732" s="1509">
        <f t="shared" si="430"/>
        <v>15</v>
      </c>
      <c r="N2732" s="1509">
        <f t="shared" si="431"/>
        <v>0</v>
      </c>
    </row>
    <row r="2733" spans="1:14" customFormat="1" outlineLevel="1" x14ac:dyDescent="0.25">
      <c r="A2733" s="1511">
        <f t="shared" ref="A2733:E2748" si="433">A2376</f>
        <v>19.399999999999999</v>
      </c>
      <c r="B2733" s="1515" t="str">
        <f t="shared" si="433"/>
        <v>Refurbishment of Apron Feeder at CHP U-6,7</v>
      </c>
      <c r="C2733" s="1396" t="str">
        <f t="shared" si="433"/>
        <v>Yet to be approved</v>
      </c>
      <c r="D2733" s="1378" t="str">
        <f t="shared" si="433"/>
        <v>-</v>
      </c>
      <c r="E2733" s="1505">
        <f t="shared" si="433"/>
        <v>0</v>
      </c>
      <c r="F2733" s="1509">
        <f t="shared" si="427"/>
        <v>0</v>
      </c>
      <c r="G2733" s="1509">
        <f t="shared" si="428"/>
        <v>0</v>
      </c>
      <c r="H2733" s="1509">
        <f t="shared" si="429"/>
        <v>0</v>
      </c>
      <c r="I2733" s="1509">
        <v>12</v>
      </c>
      <c r="J2733" s="1509">
        <v>12</v>
      </c>
      <c r="K2733" s="1509"/>
      <c r="L2733" s="1509"/>
      <c r="M2733" s="1509">
        <f t="shared" si="430"/>
        <v>12</v>
      </c>
      <c r="N2733" s="1509">
        <f t="shared" si="431"/>
        <v>0</v>
      </c>
    </row>
    <row r="2734" spans="1:14" customFormat="1" outlineLevel="1" x14ac:dyDescent="0.25">
      <c r="A2734" s="1511">
        <f t="shared" si="433"/>
        <v>0</v>
      </c>
      <c r="B2734" s="1515" t="str">
        <f t="shared" si="433"/>
        <v>IDC</v>
      </c>
      <c r="C2734" s="1396" t="str">
        <f t="shared" si="433"/>
        <v>Yet to be approved</v>
      </c>
      <c r="D2734" s="1378" t="str">
        <f t="shared" si="433"/>
        <v>-</v>
      </c>
      <c r="E2734" s="1505">
        <f t="shared" si="433"/>
        <v>0</v>
      </c>
      <c r="F2734" s="1509">
        <f t="shared" si="427"/>
        <v>0</v>
      </c>
      <c r="G2734" s="1509">
        <f t="shared" si="428"/>
        <v>0</v>
      </c>
      <c r="H2734" s="1509">
        <f t="shared" si="429"/>
        <v>0</v>
      </c>
      <c r="I2734" s="1509">
        <v>0</v>
      </c>
      <c r="J2734" s="1509">
        <v>0</v>
      </c>
      <c r="K2734" s="1509"/>
      <c r="L2734" s="1509"/>
      <c r="M2734" s="1509">
        <f t="shared" si="430"/>
        <v>0</v>
      </c>
      <c r="N2734" s="1509">
        <f t="shared" si="431"/>
        <v>0</v>
      </c>
    </row>
    <row r="2735" spans="1:14" customFormat="1" ht="29" outlineLevel="1" x14ac:dyDescent="0.25">
      <c r="A2735" s="1506">
        <f t="shared" si="433"/>
        <v>20</v>
      </c>
      <c r="B2735" s="1507" t="str">
        <f t="shared" si="433"/>
        <v>Procurement &amp; Replacement of 220V station batteries, 360V UPS batteries, 24V DCS batteries , 360V UPS AHP batteries at U6 &amp; U7 NPTPS</v>
      </c>
      <c r="C2735" s="1506" t="str">
        <f t="shared" si="433"/>
        <v>Yet to be approved</v>
      </c>
      <c r="D2735" s="1507" t="str">
        <f t="shared" si="433"/>
        <v>-</v>
      </c>
      <c r="E2735" s="1506">
        <f t="shared" si="433"/>
        <v>0</v>
      </c>
      <c r="F2735" s="1509">
        <f t="shared" si="427"/>
        <v>0</v>
      </c>
      <c r="G2735" s="1509">
        <f t="shared" si="428"/>
        <v>0</v>
      </c>
      <c r="H2735" s="1509">
        <f t="shared" si="429"/>
        <v>0</v>
      </c>
      <c r="I2735" s="1509">
        <v>0</v>
      </c>
      <c r="J2735" s="1509">
        <v>0</v>
      </c>
      <c r="K2735" s="1509"/>
      <c r="L2735" s="1509"/>
      <c r="M2735" s="1509">
        <f t="shared" si="430"/>
        <v>0</v>
      </c>
      <c r="N2735" s="1509">
        <f t="shared" si="431"/>
        <v>0</v>
      </c>
    </row>
    <row r="2736" spans="1:14" customFormat="1" ht="43.5" outlineLevel="1" x14ac:dyDescent="0.25">
      <c r="A2736" s="1511">
        <f t="shared" si="433"/>
        <v>20.100000000000001</v>
      </c>
      <c r="B2736" s="1515" t="str">
        <f t="shared" si="433"/>
        <v>Procurement &amp; Replacement of 220V station batteries, 360V UPS batteries, 24V DCS batteries , 360V UPS AHP batteries at U6 &amp; U7 NPTPS</v>
      </c>
      <c r="C2736" s="1396" t="str">
        <f t="shared" si="433"/>
        <v>Yet to be approved</v>
      </c>
      <c r="D2736" s="1378" t="str">
        <f t="shared" si="433"/>
        <v>-</v>
      </c>
      <c r="E2736" s="1505">
        <f t="shared" si="433"/>
        <v>0</v>
      </c>
      <c r="F2736" s="1509">
        <f t="shared" si="427"/>
        <v>25</v>
      </c>
      <c r="G2736" s="1509">
        <f t="shared" si="428"/>
        <v>25</v>
      </c>
      <c r="H2736" s="1509">
        <f t="shared" si="429"/>
        <v>0</v>
      </c>
      <c r="I2736" s="1509">
        <v>0</v>
      </c>
      <c r="J2736" s="1509">
        <v>0</v>
      </c>
      <c r="K2736" s="1509"/>
      <c r="L2736" s="1509"/>
      <c r="M2736" s="1509">
        <f t="shared" si="430"/>
        <v>0</v>
      </c>
      <c r="N2736" s="1509">
        <f t="shared" si="431"/>
        <v>0</v>
      </c>
    </row>
    <row r="2737" spans="1:14" customFormat="1" outlineLevel="1" x14ac:dyDescent="0.25">
      <c r="A2737" s="1511">
        <f t="shared" si="433"/>
        <v>0</v>
      </c>
      <c r="B2737" s="1515" t="str">
        <f t="shared" si="433"/>
        <v>IDC</v>
      </c>
      <c r="C2737" s="1396" t="str">
        <f t="shared" si="433"/>
        <v>Yet to be approved</v>
      </c>
      <c r="D2737" s="1378" t="str">
        <f t="shared" si="433"/>
        <v>-</v>
      </c>
      <c r="E2737" s="1505">
        <f t="shared" si="433"/>
        <v>0</v>
      </c>
      <c r="F2737" s="1509">
        <f t="shared" si="427"/>
        <v>0</v>
      </c>
      <c r="G2737" s="1509">
        <f t="shared" si="428"/>
        <v>0</v>
      </c>
      <c r="H2737" s="1509">
        <f t="shared" si="429"/>
        <v>0</v>
      </c>
      <c r="I2737" s="1509">
        <v>0</v>
      </c>
      <c r="J2737" s="1509">
        <v>0</v>
      </c>
      <c r="K2737" s="1509"/>
      <c r="L2737" s="1509"/>
      <c r="M2737" s="1509">
        <f t="shared" si="430"/>
        <v>0</v>
      </c>
      <c r="N2737" s="1509">
        <f t="shared" si="431"/>
        <v>0</v>
      </c>
    </row>
    <row r="2738" spans="1:14" customFormat="1" ht="29" outlineLevel="1" x14ac:dyDescent="0.25">
      <c r="A2738" s="1506">
        <f t="shared" si="433"/>
        <v>21</v>
      </c>
      <c r="B2738" s="1507" t="str">
        <f t="shared" si="433"/>
        <v>DPR on Various electricle maintenance schemes at Unit 6,7 NPTPS Parli-V</v>
      </c>
      <c r="C2738" s="1506" t="str">
        <f t="shared" si="433"/>
        <v>Yet to be approved</v>
      </c>
      <c r="D2738" s="1507" t="str">
        <f t="shared" si="433"/>
        <v>-</v>
      </c>
      <c r="E2738" s="1506">
        <f t="shared" si="433"/>
        <v>0</v>
      </c>
      <c r="F2738" s="1509">
        <f t="shared" si="427"/>
        <v>0</v>
      </c>
      <c r="G2738" s="1509">
        <f t="shared" si="428"/>
        <v>0</v>
      </c>
      <c r="H2738" s="1509">
        <f t="shared" si="429"/>
        <v>0</v>
      </c>
      <c r="I2738" s="1509">
        <v>0</v>
      </c>
      <c r="J2738" s="1509">
        <v>0</v>
      </c>
      <c r="K2738" s="1509"/>
      <c r="L2738" s="1509"/>
      <c r="M2738" s="1509">
        <f t="shared" si="430"/>
        <v>0</v>
      </c>
      <c r="N2738" s="1509">
        <f t="shared" si="431"/>
        <v>0</v>
      </c>
    </row>
    <row r="2739" spans="1:14" customFormat="1" ht="29" outlineLevel="1" x14ac:dyDescent="0.25">
      <c r="A2739" s="1511">
        <f t="shared" si="433"/>
        <v>21.1</v>
      </c>
      <c r="B2739" s="1515" t="str">
        <f t="shared" si="433"/>
        <v>Rennovation of Khadka &amp; Naikota switchyard including replacement of Transformer and 33 KV outdoor type VCBs</v>
      </c>
      <c r="C2739" s="1396" t="str">
        <f t="shared" si="433"/>
        <v>Yet to be approved</v>
      </c>
      <c r="D2739" s="1378" t="str">
        <f t="shared" si="433"/>
        <v>-</v>
      </c>
      <c r="E2739" s="1505">
        <f t="shared" si="433"/>
        <v>0</v>
      </c>
      <c r="F2739" s="1509">
        <f t="shared" si="427"/>
        <v>10</v>
      </c>
      <c r="G2739" s="1509">
        <f t="shared" si="428"/>
        <v>10</v>
      </c>
      <c r="H2739" s="1509">
        <f t="shared" si="429"/>
        <v>0</v>
      </c>
      <c r="I2739" s="1509">
        <v>0</v>
      </c>
      <c r="J2739" s="1509">
        <v>0</v>
      </c>
      <c r="K2739" s="1509"/>
      <c r="L2739" s="1509"/>
      <c r="M2739" s="1509">
        <f t="shared" si="430"/>
        <v>0</v>
      </c>
      <c r="N2739" s="1509">
        <f t="shared" si="431"/>
        <v>0</v>
      </c>
    </row>
    <row r="2740" spans="1:14" customFormat="1" ht="29" outlineLevel="1" x14ac:dyDescent="0.25">
      <c r="A2740" s="1511">
        <f t="shared" si="433"/>
        <v>21.2</v>
      </c>
      <c r="B2740" s="1515" t="str">
        <f t="shared" si="433"/>
        <v>Replacement of Khadka ,naikota 6.6 KV HT Breaker Panel , breaker trolleys and control cabinet</v>
      </c>
      <c r="C2740" s="1396" t="str">
        <f t="shared" si="433"/>
        <v>Yet to be approved</v>
      </c>
      <c r="D2740" s="1378" t="str">
        <f t="shared" si="433"/>
        <v>-</v>
      </c>
      <c r="E2740" s="1505">
        <f t="shared" si="433"/>
        <v>0</v>
      </c>
      <c r="F2740" s="1509">
        <f t="shared" si="427"/>
        <v>5</v>
      </c>
      <c r="G2740" s="1509">
        <f t="shared" si="428"/>
        <v>5</v>
      </c>
      <c r="H2740" s="1509">
        <f t="shared" si="429"/>
        <v>0</v>
      </c>
      <c r="I2740" s="1509">
        <v>0</v>
      </c>
      <c r="J2740" s="1509">
        <v>0</v>
      </c>
      <c r="K2740" s="1509"/>
      <c r="L2740" s="1509"/>
      <c r="M2740" s="1509">
        <f t="shared" si="430"/>
        <v>0</v>
      </c>
      <c r="N2740" s="1509">
        <f t="shared" si="431"/>
        <v>0</v>
      </c>
    </row>
    <row r="2741" spans="1:14" customFormat="1" outlineLevel="1" x14ac:dyDescent="0.25">
      <c r="A2741" s="1511">
        <f t="shared" si="433"/>
        <v>21.3</v>
      </c>
      <c r="B2741" s="1515" t="str">
        <f t="shared" si="433"/>
        <v>Replacement of LT breakers &amp; modules at Unit 7</v>
      </c>
      <c r="C2741" s="1396" t="str">
        <f t="shared" si="433"/>
        <v>Yet to be approved</v>
      </c>
      <c r="D2741" s="1378" t="str">
        <f t="shared" si="433"/>
        <v>-</v>
      </c>
      <c r="E2741" s="1505">
        <f t="shared" si="433"/>
        <v>0</v>
      </c>
      <c r="F2741" s="1509">
        <f t="shared" si="427"/>
        <v>10</v>
      </c>
      <c r="G2741" s="1509">
        <f t="shared" si="428"/>
        <v>10</v>
      </c>
      <c r="H2741" s="1509">
        <f t="shared" si="429"/>
        <v>0</v>
      </c>
      <c r="I2741" s="1509">
        <v>0</v>
      </c>
      <c r="J2741" s="1509">
        <v>0</v>
      </c>
      <c r="K2741" s="1509"/>
      <c r="L2741" s="1509"/>
      <c r="M2741" s="1509">
        <f t="shared" si="430"/>
        <v>0</v>
      </c>
      <c r="N2741" s="1509">
        <f t="shared" si="431"/>
        <v>0</v>
      </c>
    </row>
    <row r="2742" spans="1:14" customFormat="1" ht="29" outlineLevel="1" x14ac:dyDescent="0.25">
      <c r="A2742" s="1511">
        <f t="shared" si="433"/>
        <v>21.4</v>
      </c>
      <c r="B2742" s="1515" t="str">
        <f t="shared" si="433"/>
        <v>Rennovation/Replacement  of Boiler &amp; Turbine side lighting by energy efficient LED lighting at unit 6&amp;7, NPTPS, Parli vaijnath</v>
      </c>
      <c r="C2742" s="1396" t="str">
        <f t="shared" si="433"/>
        <v>Yet to be approved</v>
      </c>
      <c r="D2742" s="1378" t="str">
        <f t="shared" si="433"/>
        <v>-</v>
      </c>
      <c r="E2742" s="1505">
        <f t="shared" si="433"/>
        <v>0</v>
      </c>
      <c r="F2742" s="1509">
        <f t="shared" si="427"/>
        <v>3</v>
      </c>
      <c r="G2742" s="1509">
        <f t="shared" si="428"/>
        <v>3</v>
      </c>
      <c r="H2742" s="1509">
        <f t="shared" si="429"/>
        <v>0</v>
      </c>
      <c r="I2742" s="1509">
        <v>0</v>
      </c>
      <c r="J2742" s="1509">
        <v>0</v>
      </c>
      <c r="K2742" s="1509"/>
      <c r="L2742" s="1509"/>
      <c r="M2742" s="1509">
        <f t="shared" si="430"/>
        <v>0</v>
      </c>
      <c r="N2742" s="1509">
        <f t="shared" si="431"/>
        <v>0</v>
      </c>
    </row>
    <row r="2743" spans="1:14" customFormat="1" ht="29" outlineLevel="1" x14ac:dyDescent="0.25">
      <c r="A2743" s="1511">
        <f t="shared" si="433"/>
        <v>21.5</v>
      </c>
      <c r="B2743" s="1515" t="str">
        <f t="shared" si="433"/>
        <v>nstallation of VFD for CEP, FD Fan, Seal Air Fan &amp; HFO pump motors at unit 6&amp;7, NPTPS, Parli Vaijnath</v>
      </c>
      <c r="C2743" s="1396" t="str">
        <f t="shared" si="433"/>
        <v>Yet to be approved</v>
      </c>
      <c r="D2743" s="1378" t="str">
        <f t="shared" si="433"/>
        <v>-</v>
      </c>
      <c r="E2743" s="1505">
        <f t="shared" si="433"/>
        <v>0</v>
      </c>
      <c r="F2743" s="1509">
        <f t="shared" si="427"/>
        <v>10</v>
      </c>
      <c r="G2743" s="1509">
        <f t="shared" si="428"/>
        <v>10</v>
      </c>
      <c r="H2743" s="1509">
        <f t="shared" si="429"/>
        <v>0</v>
      </c>
      <c r="I2743" s="1509">
        <v>0</v>
      </c>
      <c r="J2743" s="1509">
        <v>0</v>
      </c>
      <c r="K2743" s="1509"/>
      <c r="L2743" s="1509"/>
      <c r="M2743" s="1509">
        <f t="shared" si="430"/>
        <v>0</v>
      </c>
      <c r="N2743" s="1509">
        <f t="shared" si="431"/>
        <v>0</v>
      </c>
    </row>
    <row r="2744" spans="1:14" customFormat="1" outlineLevel="1" x14ac:dyDescent="0.25">
      <c r="A2744" s="1511">
        <f t="shared" si="433"/>
        <v>0</v>
      </c>
      <c r="B2744" s="1515" t="str">
        <f t="shared" si="433"/>
        <v>IDC</v>
      </c>
      <c r="C2744" s="1396" t="str">
        <f t="shared" si="433"/>
        <v>Yet to be approved</v>
      </c>
      <c r="D2744" s="1378" t="str">
        <f t="shared" si="433"/>
        <v>-</v>
      </c>
      <c r="E2744" s="1505">
        <f t="shared" si="433"/>
        <v>0</v>
      </c>
      <c r="F2744" s="1509">
        <f t="shared" si="427"/>
        <v>0</v>
      </c>
      <c r="G2744" s="1509">
        <f t="shared" si="428"/>
        <v>0</v>
      </c>
      <c r="H2744" s="1509">
        <f t="shared" si="429"/>
        <v>0</v>
      </c>
      <c r="I2744" s="1509">
        <v>0</v>
      </c>
      <c r="J2744" s="1509">
        <v>0</v>
      </c>
      <c r="K2744" s="1509"/>
      <c r="L2744" s="1509"/>
      <c r="M2744" s="1509">
        <f t="shared" si="430"/>
        <v>0</v>
      </c>
      <c r="N2744" s="1509">
        <f t="shared" si="431"/>
        <v>0</v>
      </c>
    </row>
    <row r="2745" spans="1:14" customFormat="1" ht="29" outlineLevel="1" x14ac:dyDescent="0.25">
      <c r="A2745" s="1506">
        <f t="shared" si="433"/>
        <v>22</v>
      </c>
      <c r="B2745" s="1507" t="str">
        <f t="shared" si="433"/>
        <v>Renovation of Colony Electrical supply system &amp; also replacement of wiring of all Types of buildings ,street light,highmast etc</v>
      </c>
      <c r="C2745" s="1506" t="str">
        <f t="shared" si="433"/>
        <v>Yet to be approved</v>
      </c>
      <c r="D2745" s="1507" t="str">
        <f t="shared" si="433"/>
        <v>-</v>
      </c>
      <c r="E2745" s="1506">
        <f t="shared" si="433"/>
        <v>0</v>
      </c>
      <c r="F2745" s="1509">
        <f t="shared" si="427"/>
        <v>0</v>
      </c>
      <c r="G2745" s="1509">
        <f t="shared" si="428"/>
        <v>0</v>
      </c>
      <c r="H2745" s="1509">
        <f t="shared" si="429"/>
        <v>0</v>
      </c>
      <c r="I2745" s="1509">
        <v>0</v>
      </c>
      <c r="J2745" s="1509">
        <v>0</v>
      </c>
      <c r="K2745" s="1509"/>
      <c r="L2745" s="1509"/>
      <c r="M2745" s="1509">
        <f t="shared" si="430"/>
        <v>0</v>
      </c>
      <c r="N2745" s="1509">
        <f t="shared" si="431"/>
        <v>0</v>
      </c>
    </row>
    <row r="2746" spans="1:14" customFormat="1" ht="29" outlineLevel="1" x14ac:dyDescent="0.25">
      <c r="A2746" s="1511">
        <f t="shared" si="433"/>
        <v>22.1</v>
      </c>
      <c r="B2746" s="1515" t="str">
        <f t="shared" si="433"/>
        <v>Renovation of Colony Electrical supply system &amp; also replacement of wiring of all Types of buildings ,street light,highmast etc</v>
      </c>
      <c r="C2746" s="1396" t="str">
        <f t="shared" si="433"/>
        <v>Yet to be approved</v>
      </c>
      <c r="D2746" s="1378" t="str">
        <f t="shared" si="433"/>
        <v>-</v>
      </c>
      <c r="E2746" s="1505">
        <f t="shared" si="433"/>
        <v>0</v>
      </c>
      <c r="F2746" s="1509">
        <f t="shared" si="427"/>
        <v>25</v>
      </c>
      <c r="G2746" s="1509">
        <f t="shared" si="428"/>
        <v>25</v>
      </c>
      <c r="H2746" s="1509">
        <f t="shared" si="429"/>
        <v>0</v>
      </c>
      <c r="I2746" s="1509">
        <v>0</v>
      </c>
      <c r="J2746" s="1509">
        <v>0</v>
      </c>
      <c r="K2746" s="1509"/>
      <c r="L2746" s="1509"/>
      <c r="M2746" s="1509">
        <f t="shared" si="430"/>
        <v>0</v>
      </c>
      <c r="N2746" s="1509">
        <f t="shared" si="431"/>
        <v>0</v>
      </c>
    </row>
    <row r="2747" spans="1:14" customFormat="1" outlineLevel="1" x14ac:dyDescent="0.25">
      <c r="A2747" s="1511">
        <f t="shared" si="433"/>
        <v>0</v>
      </c>
      <c r="B2747" s="1515" t="str">
        <f t="shared" si="433"/>
        <v>IDC</v>
      </c>
      <c r="C2747" s="1396" t="str">
        <f t="shared" si="433"/>
        <v>Yet to be approved</v>
      </c>
      <c r="D2747" s="1378" t="str">
        <f t="shared" si="433"/>
        <v>-</v>
      </c>
      <c r="E2747" s="1505">
        <f t="shared" si="433"/>
        <v>0</v>
      </c>
      <c r="F2747" s="1509">
        <f t="shared" si="427"/>
        <v>0</v>
      </c>
      <c r="G2747" s="1509">
        <f t="shared" si="428"/>
        <v>0</v>
      </c>
      <c r="H2747" s="1509">
        <f t="shared" si="429"/>
        <v>0</v>
      </c>
      <c r="I2747" s="1509">
        <v>0</v>
      </c>
      <c r="J2747" s="1509">
        <v>0</v>
      </c>
      <c r="K2747" s="1509"/>
      <c r="L2747" s="1509"/>
      <c r="M2747" s="1509">
        <f t="shared" si="430"/>
        <v>0</v>
      </c>
      <c r="N2747" s="1509">
        <f t="shared" si="431"/>
        <v>0</v>
      </c>
    </row>
    <row r="2748" spans="1:14" customFormat="1" ht="58" outlineLevel="1" x14ac:dyDescent="0.25">
      <c r="A2748" s="1506">
        <f t="shared" si="433"/>
        <v>23</v>
      </c>
      <c r="B2748" s="1507" t="str">
        <f t="shared" si="433"/>
        <v xml:space="preserve"> UPGRADATION OF EXPIRED AND VULNERABLE Scada, operating system and hardware to improve life and communication system of IAC,OHP &amp; PTP plant UNIT 6&amp;7 250MW at NPTPS PARLI V" &amp; Emission Monitoring &amp; Water Quality Analysers system Upgradation Schemes</v>
      </c>
      <c r="C2748" s="1506" t="str">
        <f t="shared" si="433"/>
        <v>Yet to be approved</v>
      </c>
      <c r="D2748" s="1507" t="str">
        <f t="shared" si="433"/>
        <v>-</v>
      </c>
      <c r="E2748" s="1506">
        <f t="shared" si="433"/>
        <v>0</v>
      </c>
      <c r="F2748" s="1509">
        <f t="shared" si="427"/>
        <v>0</v>
      </c>
      <c r="G2748" s="1509">
        <f t="shared" si="428"/>
        <v>0</v>
      </c>
      <c r="H2748" s="1509">
        <f t="shared" si="429"/>
        <v>0</v>
      </c>
      <c r="I2748" s="1509">
        <v>0</v>
      </c>
      <c r="J2748" s="1509">
        <v>0</v>
      </c>
      <c r="K2748" s="1509"/>
      <c r="L2748" s="1509"/>
      <c r="M2748" s="1509">
        <f t="shared" si="430"/>
        <v>0</v>
      </c>
      <c r="N2748" s="1509">
        <f t="shared" si="431"/>
        <v>0</v>
      </c>
    </row>
    <row r="2749" spans="1:14" customFormat="1" ht="43.5" outlineLevel="1" x14ac:dyDescent="0.25">
      <c r="A2749" s="1511">
        <f t="shared" ref="A2749:E2764" si="434">A2392</f>
        <v>23.1</v>
      </c>
      <c r="B2749" s="1515" t="str">
        <f t="shared" si="434"/>
        <v>UPGRADATION OF EXPIRED AND VULNERABLE Scada, operating system and hardware to improve life and communication system of IAC,OHP &amp; PTP plant UNIT 6&amp;7 250MW at NPTPS PARLI V".</v>
      </c>
      <c r="C2749" s="1396" t="str">
        <f t="shared" si="434"/>
        <v>Yet to be approved</v>
      </c>
      <c r="D2749" s="1378" t="str">
        <f t="shared" si="434"/>
        <v>-</v>
      </c>
      <c r="E2749" s="1505">
        <f t="shared" si="434"/>
        <v>0</v>
      </c>
      <c r="F2749" s="1509">
        <f t="shared" si="427"/>
        <v>2</v>
      </c>
      <c r="G2749" s="1509">
        <f t="shared" si="428"/>
        <v>2</v>
      </c>
      <c r="H2749" s="1509">
        <f t="shared" si="429"/>
        <v>0</v>
      </c>
      <c r="I2749" s="1509">
        <v>0</v>
      </c>
      <c r="J2749" s="1509">
        <v>0</v>
      </c>
      <c r="K2749" s="1509"/>
      <c r="L2749" s="1509"/>
      <c r="M2749" s="1509">
        <f t="shared" si="430"/>
        <v>0</v>
      </c>
      <c r="N2749" s="1509">
        <f t="shared" si="431"/>
        <v>0</v>
      </c>
    </row>
    <row r="2750" spans="1:14" customFormat="1" outlineLevel="1" x14ac:dyDescent="0.25">
      <c r="A2750" s="1511">
        <f t="shared" si="434"/>
        <v>23.2</v>
      </c>
      <c r="B2750" s="1515" t="str">
        <f t="shared" si="434"/>
        <v>Up gradation of SWAS system at U 7,NPTPS</v>
      </c>
      <c r="C2750" s="1396" t="str">
        <f t="shared" si="434"/>
        <v>Yet to be approved</v>
      </c>
      <c r="D2750" s="1378" t="str">
        <f t="shared" si="434"/>
        <v>-</v>
      </c>
      <c r="E2750" s="1505">
        <f t="shared" si="434"/>
        <v>0</v>
      </c>
      <c r="F2750" s="1509">
        <f t="shared" si="427"/>
        <v>3</v>
      </c>
      <c r="G2750" s="1509">
        <f t="shared" si="428"/>
        <v>3</v>
      </c>
      <c r="H2750" s="1509">
        <f t="shared" si="429"/>
        <v>0</v>
      </c>
      <c r="I2750" s="1509">
        <v>0</v>
      </c>
      <c r="J2750" s="1509">
        <v>0</v>
      </c>
      <c r="K2750" s="1509"/>
      <c r="L2750" s="1509"/>
      <c r="M2750" s="1509">
        <f t="shared" si="430"/>
        <v>0</v>
      </c>
      <c r="N2750" s="1509">
        <f t="shared" si="431"/>
        <v>0</v>
      </c>
    </row>
    <row r="2751" spans="1:14" customFormat="1" outlineLevel="1" x14ac:dyDescent="0.25">
      <c r="A2751" s="1511">
        <f t="shared" si="434"/>
        <v>23.3</v>
      </c>
      <c r="B2751" s="1515" t="str">
        <f t="shared" si="434"/>
        <v>Oxygen measurement  APH and at ID outlet</v>
      </c>
      <c r="C2751" s="1396" t="str">
        <f t="shared" si="434"/>
        <v>Yet to be approved</v>
      </c>
      <c r="D2751" s="1378" t="str">
        <f t="shared" si="434"/>
        <v>-</v>
      </c>
      <c r="E2751" s="1505">
        <f t="shared" si="434"/>
        <v>0</v>
      </c>
      <c r="F2751" s="1509">
        <f t="shared" si="427"/>
        <v>1</v>
      </c>
      <c r="G2751" s="1509">
        <f t="shared" si="428"/>
        <v>1</v>
      </c>
      <c r="H2751" s="1509">
        <f t="shared" si="429"/>
        <v>0</v>
      </c>
      <c r="I2751" s="1509">
        <v>0</v>
      </c>
      <c r="J2751" s="1509">
        <v>0</v>
      </c>
      <c r="K2751" s="1509"/>
      <c r="L2751" s="1509"/>
      <c r="M2751" s="1509">
        <f t="shared" si="430"/>
        <v>0</v>
      </c>
      <c r="N2751" s="1509">
        <f t="shared" si="431"/>
        <v>0</v>
      </c>
    </row>
    <row r="2752" spans="1:14" customFormat="1" ht="29" outlineLevel="1" x14ac:dyDescent="0.25">
      <c r="A2752" s="1511">
        <f t="shared" si="434"/>
        <v>23.4</v>
      </c>
      <c r="B2752" s="1515" t="str">
        <f t="shared" si="434"/>
        <v>Up gradation of  Drum level measurement system at Unit – 6 &amp;7 New Parli TPS, Parli-V</v>
      </c>
      <c r="C2752" s="1396" t="str">
        <f t="shared" si="434"/>
        <v>Yet to be approved</v>
      </c>
      <c r="D2752" s="1378" t="str">
        <f t="shared" si="434"/>
        <v>-</v>
      </c>
      <c r="E2752" s="1505">
        <f t="shared" si="434"/>
        <v>0</v>
      </c>
      <c r="F2752" s="1509">
        <f t="shared" si="427"/>
        <v>3</v>
      </c>
      <c r="G2752" s="1509">
        <f t="shared" si="428"/>
        <v>3</v>
      </c>
      <c r="H2752" s="1509">
        <f t="shared" si="429"/>
        <v>0</v>
      </c>
      <c r="I2752" s="1509">
        <v>0</v>
      </c>
      <c r="J2752" s="1509">
        <v>0</v>
      </c>
      <c r="K2752" s="1509"/>
      <c r="L2752" s="1509"/>
      <c r="M2752" s="1509">
        <f t="shared" si="430"/>
        <v>0</v>
      </c>
      <c r="N2752" s="1509">
        <f t="shared" si="431"/>
        <v>0</v>
      </c>
    </row>
    <row r="2753" spans="1:14" customFormat="1" outlineLevel="1" x14ac:dyDescent="0.25">
      <c r="A2753" s="1511">
        <f t="shared" si="434"/>
        <v>23.5</v>
      </c>
      <c r="B2753" s="1515" t="str">
        <f t="shared" si="434"/>
        <v>OLCC SYSTEM UPGRADATION U6 &amp; U7</v>
      </c>
      <c r="C2753" s="1396" t="str">
        <f t="shared" si="434"/>
        <v>Yet to be approved</v>
      </c>
      <c r="D2753" s="1378" t="str">
        <f t="shared" si="434"/>
        <v>-</v>
      </c>
      <c r="E2753" s="1505">
        <f t="shared" si="434"/>
        <v>0</v>
      </c>
      <c r="F2753" s="1509">
        <f t="shared" si="427"/>
        <v>2</v>
      </c>
      <c r="G2753" s="1509">
        <f t="shared" si="428"/>
        <v>2</v>
      </c>
      <c r="H2753" s="1509">
        <f t="shared" si="429"/>
        <v>0</v>
      </c>
      <c r="I2753" s="1509">
        <v>0</v>
      </c>
      <c r="J2753" s="1509">
        <v>0</v>
      </c>
      <c r="K2753" s="1509"/>
      <c r="L2753" s="1509"/>
      <c r="M2753" s="1509">
        <f t="shared" si="430"/>
        <v>0</v>
      </c>
      <c r="N2753" s="1509">
        <f t="shared" si="431"/>
        <v>0</v>
      </c>
    </row>
    <row r="2754" spans="1:14" customFormat="1" ht="43.5" outlineLevel="1" x14ac:dyDescent="0.25">
      <c r="A2754" s="1511">
        <f t="shared" si="434"/>
        <v>23.6</v>
      </c>
      <c r="B2754" s="1515" t="str">
        <f t="shared" si="434"/>
        <v>Up gradation of  Boiler tubes leakage detection system &amp; Furnace flame mapping with video camera at Unit – 6 &amp;7 New Parli TPS, Parli-V</v>
      </c>
      <c r="C2754" s="1396" t="str">
        <f t="shared" si="434"/>
        <v>Yet to be approved</v>
      </c>
      <c r="D2754" s="1378" t="str">
        <f t="shared" si="434"/>
        <v>-</v>
      </c>
      <c r="E2754" s="1505">
        <f t="shared" si="434"/>
        <v>0</v>
      </c>
      <c r="F2754" s="1509">
        <f t="shared" si="427"/>
        <v>4</v>
      </c>
      <c r="G2754" s="1509">
        <f t="shared" si="428"/>
        <v>4</v>
      </c>
      <c r="H2754" s="1509">
        <f t="shared" si="429"/>
        <v>0</v>
      </c>
      <c r="I2754" s="1509">
        <v>0</v>
      </c>
      <c r="J2754" s="1509">
        <v>0</v>
      </c>
      <c r="K2754" s="1509"/>
      <c r="L2754" s="1509"/>
      <c r="M2754" s="1509">
        <f t="shared" si="430"/>
        <v>0</v>
      </c>
      <c r="N2754" s="1509">
        <f t="shared" si="431"/>
        <v>0</v>
      </c>
    </row>
    <row r="2755" spans="1:14" customFormat="1" outlineLevel="1" x14ac:dyDescent="0.25">
      <c r="A2755" s="1511">
        <f t="shared" si="434"/>
        <v>23.7</v>
      </c>
      <c r="B2755" s="1515" t="str">
        <f t="shared" si="434"/>
        <v>Unit7 LVS system SCADA/HMI  upgradation</v>
      </c>
      <c r="C2755" s="1396" t="str">
        <f t="shared" si="434"/>
        <v>Yet to be approved</v>
      </c>
      <c r="D2755" s="1378" t="str">
        <f t="shared" si="434"/>
        <v>-</v>
      </c>
      <c r="E2755" s="1505">
        <f t="shared" si="434"/>
        <v>0</v>
      </c>
      <c r="F2755" s="1509">
        <f t="shared" si="427"/>
        <v>1</v>
      </c>
      <c r="G2755" s="1509">
        <f t="shared" si="428"/>
        <v>1</v>
      </c>
      <c r="H2755" s="1509">
        <f t="shared" si="429"/>
        <v>0</v>
      </c>
      <c r="I2755" s="1509">
        <v>0</v>
      </c>
      <c r="J2755" s="1509">
        <v>0</v>
      </c>
      <c r="K2755" s="1509"/>
      <c r="L2755" s="1509"/>
      <c r="M2755" s="1509">
        <f t="shared" si="430"/>
        <v>0</v>
      </c>
      <c r="N2755" s="1509">
        <f t="shared" si="431"/>
        <v>0</v>
      </c>
    </row>
    <row r="2756" spans="1:14" customFormat="1" outlineLevel="1" x14ac:dyDescent="0.25">
      <c r="A2756" s="1511">
        <f t="shared" si="434"/>
        <v>23.8</v>
      </c>
      <c r="B2756" s="1515" t="str">
        <f t="shared" si="434"/>
        <v>Upgradation of Instrumentation &amp; control lab</v>
      </c>
      <c r="C2756" s="1396" t="str">
        <f t="shared" si="434"/>
        <v>Yet to be approved</v>
      </c>
      <c r="D2756" s="1378" t="str">
        <f t="shared" si="434"/>
        <v>-</v>
      </c>
      <c r="E2756" s="1505">
        <f t="shared" si="434"/>
        <v>0</v>
      </c>
      <c r="F2756" s="1509">
        <f t="shared" si="427"/>
        <v>1.5</v>
      </c>
      <c r="G2756" s="1509">
        <f t="shared" si="428"/>
        <v>1.5</v>
      </c>
      <c r="H2756" s="1509">
        <f t="shared" si="429"/>
        <v>0</v>
      </c>
      <c r="I2756" s="1509">
        <v>0</v>
      </c>
      <c r="J2756" s="1509">
        <v>0</v>
      </c>
      <c r="K2756" s="1509"/>
      <c r="L2756" s="1509"/>
      <c r="M2756" s="1509">
        <f t="shared" si="430"/>
        <v>0</v>
      </c>
      <c r="N2756" s="1509">
        <f t="shared" si="431"/>
        <v>0</v>
      </c>
    </row>
    <row r="2757" spans="1:14" customFormat="1" outlineLevel="1" x14ac:dyDescent="0.25">
      <c r="A2757" s="1511">
        <f t="shared" si="434"/>
        <v>0</v>
      </c>
      <c r="B2757" s="1515" t="str">
        <f t="shared" si="434"/>
        <v>IDC</v>
      </c>
      <c r="C2757" s="1396" t="str">
        <f t="shared" si="434"/>
        <v>Yet to be approved</v>
      </c>
      <c r="D2757" s="1378" t="str">
        <f t="shared" si="434"/>
        <v>-</v>
      </c>
      <c r="E2757" s="1505">
        <f t="shared" si="434"/>
        <v>0</v>
      </c>
      <c r="F2757" s="1509">
        <f t="shared" si="427"/>
        <v>0</v>
      </c>
      <c r="G2757" s="1509">
        <f t="shared" si="428"/>
        <v>0</v>
      </c>
      <c r="H2757" s="1509">
        <f t="shared" si="429"/>
        <v>0</v>
      </c>
      <c r="I2757" s="1509">
        <v>0</v>
      </c>
      <c r="J2757" s="1509">
        <v>0</v>
      </c>
      <c r="K2757" s="1509"/>
      <c r="L2757" s="1509"/>
      <c r="M2757" s="1509">
        <f t="shared" si="430"/>
        <v>0</v>
      </c>
      <c r="N2757" s="1509">
        <f t="shared" si="431"/>
        <v>0</v>
      </c>
    </row>
    <row r="2758" spans="1:14" customFormat="1" ht="29" outlineLevel="1" x14ac:dyDescent="0.25">
      <c r="A2758" s="1506">
        <f t="shared" si="434"/>
        <v>24</v>
      </c>
      <c r="B2758" s="1507" t="str">
        <f t="shared" si="434"/>
        <v>Control and monitoring system upgradation at U6&amp;7 NPTPS &amp; Various Instrumentation schemes at Unit 6,7, NPTPS Parli-V</v>
      </c>
      <c r="C2758" s="1506" t="str">
        <f t="shared" si="434"/>
        <v>Yet to be approved</v>
      </c>
      <c r="D2758" s="1507" t="str">
        <f t="shared" si="434"/>
        <v>-</v>
      </c>
      <c r="E2758" s="1506">
        <f t="shared" si="434"/>
        <v>0</v>
      </c>
      <c r="F2758" s="1509">
        <f t="shared" si="427"/>
        <v>0</v>
      </c>
      <c r="G2758" s="1509">
        <f t="shared" si="428"/>
        <v>0</v>
      </c>
      <c r="H2758" s="1509">
        <f t="shared" si="429"/>
        <v>0</v>
      </c>
      <c r="I2758" s="1509">
        <v>0</v>
      </c>
      <c r="J2758" s="1509">
        <v>0</v>
      </c>
      <c r="K2758" s="1509"/>
      <c r="L2758" s="1509"/>
      <c r="M2758" s="1509">
        <f t="shared" si="430"/>
        <v>0</v>
      </c>
      <c r="N2758" s="1509">
        <f t="shared" si="431"/>
        <v>0</v>
      </c>
    </row>
    <row r="2759" spans="1:14" customFormat="1" outlineLevel="1" x14ac:dyDescent="0.25">
      <c r="A2759" s="1511">
        <f t="shared" si="434"/>
        <v>24.1</v>
      </c>
      <c r="B2759" s="1515" t="str">
        <f t="shared" si="434"/>
        <v>Upgradation of level, flow &amp; pressure measurement system</v>
      </c>
      <c r="C2759" s="1396" t="str">
        <f t="shared" si="434"/>
        <v>Yet to be approved</v>
      </c>
      <c r="D2759" s="1378" t="str">
        <f t="shared" si="434"/>
        <v>-</v>
      </c>
      <c r="E2759" s="1505">
        <f t="shared" si="434"/>
        <v>0</v>
      </c>
      <c r="F2759" s="1509">
        <f t="shared" si="427"/>
        <v>1.5</v>
      </c>
      <c r="G2759" s="1509">
        <f t="shared" si="428"/>
        <v>1.5</v>
      </c>
      <c r="H2759" s="1509">
        <f t="shared" si="429"/>
        <v>0</v>
      </c>
      <c r="I2759" s="1509">
        <v>0</v>
      </c>
      <c r="J2759" s="1509">
        <v>0</v>
      </c>
      <c r="K2759" s="1509"/>
      <c r="L2759" s="1509"/>
      <c r="M2759" s="1509">
        <f t="shared" si="430"/>
        <v>0</v>
      </c>
      <c r="N2759" s="1509">
        <f t="shared" si="431"/>
        <v>0</v>
      </c>
    </row>
    <row r="2760" spans="1:14" customFormat="1" ht="29" outlineLevel="1" x14ac:dyDescent="0.25">
      <c r="A2760" s="1511">
        <f t="shared" si="434"/>
        <v>24.2</v>
      </c>
      <c r="B2760" s="1515" t="str">
        <f t="shared" si="434"/>
        <v>Up gradation of  Vibration Monitoring System(VMS) at Unit – 6 &amp;7 Parli TPS, Parli-V</v>
      </c>
      <c r="C2760" s="1396" t="str">
        <f t="shared" si="434"/>
        <v>Yet to be approved</v>
      </c>
      <c r="D2760" s="1378" t="str">
        <f t="shared" si="434"/>
        <v>-</v>
      </c>
      <c r="E2760" s="1505">
        <f t="shared" si="434"/>
        <v>0</v>
      </c>
      <c r="F2760" s="1509">
        <f t="shared" si="427"/>
        <v>5</v>
      </c>
      <c r="G2760" s="1509">
        <f t="shared" si="428"/>
        <v>5</v>
      </c>
      <c r="H2760" s="1509">
        <f t="shared" si="429"/>
        <v>0</v>
      </c>
      <c r="I2760" s="1509">
        <v>0</v>
      </c>
      <c r="J2760" s="1509">
        <v>0</v>
      </c>
      <c r="K2760" s="1509"/>
      <c r="L2760" s="1509"/>
      <c r="M2760" s="1509">
        <f t="shared" si="430"/>
        <v>0</v>
      </c>
      <c r="N2760" s="1509">
        <f t="shared" si="431"/>
        <v>0</v>
      </c>
    </row>
    <row r="2761" spans="1:14" customFormat="1" outlineLevel="1" x14ac:dyDescent="0.25">
      <c r="A2761" s="1511">
        <f t="shared" si="434"/>
        <v>24.3</v>
      </c>
      <c r="B2761" s="1515" t="str">
        <f t="shared" si="434"/>
        <v>Upgradation of feedstation valve contol instruments.</v>
      </c>
      <c r="C2761" s="1396" t="str">
        <f t="shared" si="434"/>
        <v>Yet to be approved</v>
      </c>
      <c r="D2761" s="1378" t="str">
        <f t="shared" si="434"/>
        <v>-</v>
      </c>
      <c r="E2761" s="1505">
        <f t="shared" si="434"/>
        <v>0</v>
      </c>
      <c r="F2761" s="1509">
        <f t="shared" si="427"/>
        <v>2</v>
      </c>
      <c r="G2761" s="1509">
        <f t="shared" si="428"/>
        <v>2</v>
      </c>
      <c r="H2761" s="1509">
        <f t="shared" si="429"/>
        <v>0</v>
      </c>
      <c r="I2761" s="1509">
        <v>0</v>
      </c>
      <c r="J2761" s="1509">
        <v>0</v>
      </c>
      <c r="K2761" s="1509"/>
      <c r="L2761" s="1509"/>
      <c r="M2761" s="1509">
        <f t="shared" si="430"/>
        <v>0</v>
      </c>
      <c r="N2761" s="1509">
        <f t="shared" si="431"/>
        <v>0</v>
      </c>
    </row>
    <row r="2762" spans="1:14" customFormat="1" ht="58" outlineLevel="1" x14ac:dyDescent="0.25">
      <c r="A2762" s="1511">
        <f t="shared" si="434"/>
        <v>24.4</v>
      </c>
      <c r="B2762" s="1515" t="str">
        <f t="shared" si="434"/>
        <v>Supply of various instuments like H2 Dew point measurement system spares, Hydrogen analyzer, H2 leak detection system spares etc.Critical/Non-Critical Spares sub-assembly for performance improvement</v>
      </c>
      <c r="C2762" s="1396" t="str">
        <f t="shared" si="434"/>
        <v>Yet to be approved</v>
      </c>
      <c r="D2762" s="1378" t="str">
        <f t="shared" si="434"/>
        <v>-</v>
      </c>
      <c r="E2762" s="1505">
        <f t="shared" si="434"/>
        <v>0</v>
      </c>
      <c r="F2762" s="1509">
        <f t="shared" si="427"/>
        <v>3</v>
      </c>
      <c r="G2762" s="1509">
        <f t="shared" si="428"/>
        <v>3</v>
      </c>
      <c r="H2762" s="1509">
        <f t="shared" si="429"/>
        <v>0</v>
      </c>
      <c r="I2762" s="1509">
        <v>0</v>
      </c>
      <c r="J2762" s="1509">
        <v>0</v>
      </c>
      <c r="K2762" s="1509"/>
      <c r="L2762" s="1509"/>
      <c r="M2762" s="1509">
        <f t="shared" si="430"/>
        <v>0</v>
      </c>
      <c r="N2762" s="1509">
        <f t="shared" si="431"/>
        <v>0</v>
      </c>
    </row>
    <row r="2763" spans="1:14" customFormat="1" outlineLevel="1" x14ac:dyDescent="0.25">
      <c r="A2763" s="1511">
        <f t="shared" si="434"/>
        <v>24.5</v>
      </c>
      <c r="B2763" s="1515" t="str">
        <f t="shared" si="434"/>
        <v>Online Water flow Monitoring System at Khadka</v>
      </c>
      <c r="C2763" s="1396" t="str">
        <f t="shared" si="434"/>
        <v>Yet to be approved</v>
      </c>
      <c r="D2763" s="1378" t="str">
        <f t="shared" si="434"/>
        <v>-</v>
      </c>
      <c r="E2763" s="1505">
        <f t="shared" si="434"/>
        <v>0</v>
      </c>
      <c r="F2763" s="1509">
        <f t="shared" si="427"/>
        <v>2</v>
      </c>
      <c r="G2763" s="1509">
        <f t="shared" si="428"/>
        <v>2</v>
      </c>
      <c r="H2763" s="1509">
        <f t="shared" si="429"/>
        <v>0</v>
      </c>
      <c r="I2763" s="1509">
        <v>0</v>
      </c>
      <c r="J2763" s="1509">
        <v>0</v>
      </c>
      <c r="K2763" s="1509"/>
      <c r="L2763" s="1509"/>
      <c r="M2763" s="1509">
        <f t="shared" si="430"/>
        <v>0</v>
      </c>
      <c r="N2763" s="1509">
        <f t="shared" si="431"/>
        <v>0</v>
      </c>
    </row>
    <row r="2764" spans="1:14" customFormat="1" ht="43.5" outlineLevel="1" x14ac:dyDescent="0.25">
      <c r="A2764" s="1511">
        <f t="shared" si="434"/>
        <v>24.6</v>
      </c>
      <c r="B2764" s="1515" t="str">
        <f t="shared" si="434"/>
        <v xml:space="preserve"> Upgradation of CO analyser at APH  inlete and SOX NOX gas analyser installed at ID discharge along with remote calibration facility and connectivity to CPCB and MPCB as per latest CPCB Guidelines </v>
      </c>
      <c r="C2764" s="1396" t="str">
        <f t="shared" si="434"/>
        <v>Yet to be approved</v>
      </c>
      <c r="D2764" s="1378" t="str">
        <f t="shared" si="434"/>
        <v>-</v>
      </c>
      <c r="E2764" s="1505">
        <f t="shared" si="434"/>
        <v>0</v>
      </c>
      <c r="F2764" s="1509">
        <f t="shared" si="427"/>
        <v>0</v>
      </c>
      <c r="G2764" s="1509">
        <f t="shared" si="428"/>
        <v>0</v>
      </c>
      <c r="H2764" s="1509">
        <f t="shared" si="429"/>
        <v>0</v>
      </c>
      <c r="I2764" s="1509">
        <v>2</v>
      </c>
      <c r="J2764" s="1509">
        <v>2</v>
      </c>
      <c r="K2764" s="1509"/>
      <c r="L2764" s="1509"/>
      <c r="M2764" s="1509">
        <f t="shared" si="430"/>
        <v>2</v>
      </c>
      <c r="N2764" s="1509">
        <f t="shared" si="431"/>
        <v>0</v>
      </c>
    </row>
    <row r="2765" spans="1:14" customFormat="1" ht="43.5" outlineLevel="1" x14ac:dyDescent="0.25">
      <c r="A2765" s="1511">
        <f t="shared" ref="A2765:E2780" si="435">A2408</f>
        <v>24.7</v>
      </c>
      <c r="B2765" s="1515" t="str">
        <f t="shared" si="435"/>
        <v>Supply, Erection and Commissioning of Effluent Analyser for the parameters like COD, BOD, TSS &amp; PH installed at ETP &amp; STP outlet of the NPTPS, Parli.       complying CPCB / MPCB Guidelines.</v>
      </c>
      <c r="C2765" s="1396" t="str">
        <f t="shared" si="435"/>
        <v>Yet to be approved</v>
      </c>
      <c r="D2765" s="1378" t="str">
        <f t="shared" si="435"/>
        <v>-</v>
      </c>
      <c r="E2765" s="1505">
        <f t="shared" si="435"/>
        <v>0</v>
      </c>
      <c r="F2765" s="1509">
        <f t="shared" ref="F2765:F2828" si="436">F2408+I2408</f>
        <v>0</v>
      </c>
      <c r="G2765" s="1509">
        <f t="shared" ref="G2765:G2828" si="437">G2408+M2408</f>
        <v>0</v>
      </c>
      <c r="H2765" s="1509">
        <f t="shared" si="429"/>
        <v>0</v>
      </c>
      <c r="I2765" s="1509">
        <v>2</v>
      </c>
      <c r="J2765" s="1509">
        <v>2</v>
      </c>
      <c r="K2765" s="1509"/>
      <c r="L2765" s="1509"/>
      <c r="M2765" s="1509">
        <f t="shared" si="430"/>
        <v>2</v>
      </c>
      <c r="N2765" s="1509">
        <f t="shared" si="431"/>
        <v>0</v>
      </c>
    </row>
    <row r="2766" spans="1:14" customFormat="1" outlineLevel="1" x14ac:dyDescent="0.25">
      <c r="A2766" s="1511">
        <f t="shared" si="435"/>
        <v>0</v>
      </c>
      <c r="B2766" s="1515" t="str">
        <f t="shared" si="435"/>
        <v>IDC</v>
      </c>
      <c r="C2766" s="1396" t="str">
        <f t="shared" si="435"/>
        <v>Yet to be approved</v>
      </c>
      <c r="D2766" s="1378" t="str">
        <f t="shared" si="435"/>
        <v>-</v>
      </c>
      <c r="E2766" s="1505">
        <f t="shared" si="435"/>
        <v>0</v>
      </c>
      <c r="F2766" s="1509">
        <f t="shared" si="436"/>
        <v>0</v>
      </c>
      <c r="G2766" s="1509">
        <f t="shared" si="437"/>
        <v>0</v>
      </c>
      <c r="H2766" s="1509">
        <f t="shared" ref="H2766:H2829" si="438">F2766-G2766</f>
        <v>0</v>
      </c>
      <c r="I2766" s="1509">
        <v>0</v>
      </c>
      <c r="J2766" s="1509">
        <v>0</v>
      </c>
      <c r="K2766" s="1509"/>
      <c r="L2766" s="1509"/>
      <c r="M2766" s="1509">
        <f t="shared" ref="M2766:M2829" si="439">SUM(J2766:L2766)</f>
        <v>0</v>
      </c>
      <c r="N2766" s="1509">
        <f t="shared" ref="N2766:N2829" si="440">H2766+I2766-M2766</f>
        <v>0</v>
      </c>
    </row>
    <row r="2767" spans="1:14" customFormat="1" ht="87" outlineLevel="1" x14ac:dyDescent="0.25">
      <c r="A2767" s="1506">
        <f t="shared" si="435"/>
        <v>25</v>
      </c>
      <c r="B2767" s="1507" t="str">
        <f t="shared" si="435"/>
        <v>Detailed Project Report on
‘Supply, installation, restoration, up-gradation and revamping of Fire Protection Systems viz. Under ground Fire Pipe Lines, Static Fire Water Pumps, Fire Hydrant System, Passive Fire Protection System, DV House Construction &amp; Fire Water/Foam Spray System at plant &amp; ODP area of Unit-6, 7 &amp; 8 of Parli TPS, Parli Vaijnath’.</v>
      </c>
      <c r="C2767" s="1506" t="str">
        <f t="shared" si="435"/>
        <v>Yet to be approved</v>
      </c>
      <c r="D2767" s="1507" t="str">
        <f t="shared" si="435"/>
        <v>-</v>
      </c>
      <c r="E2767" s="1506">
        <f t="shared" si="435"/>
        <v>0</v>
      </c>
      <c r="F2767" s="1509">
        <f t="shared" si="436"/>
        <v>0</v>
      </c>
      <c r="G2767" s="1509">
        <f t="shared" si="437"/>
        <v>0</v>
      </c>
      <c r="H2767" s="1509">
        <f t="shared" si="438"/>
        <v>0</v>
      </c>
      <c r="I2767" s="1509">
        <v>0</v>
      </c>
      <c r="J2767" s="1509">
        <v>0</v>
      </c>
      <c r="K2767" s="1509"/>
      <c r="L2767" s="1509"/>
      <c r="M2767" s="1509">
        <f t="shared" si="439"/>
        <v>0</v>
      </c>
      <c r="N2767" s="1509">
        <f t="shared" si="440"/>
        <v>0</v>
      </c>
    </row>
    <row r="2768" spans="1:14" customFormat="1" ht="58" outlineLevel="1" x14ac:dyDescent="0.25">
      <c r="A2768" s="1511">
        <f t="shared" si="435"/>
        <v>25.1</v>
      </c>
      <c r="B2768" s="1515" t="str">
        <f t="shared" si="435"/>
        <v>Work of replacement of damaged/leaky underground Fire Water Pipelines and Static Fire water Pumps at Plant (Unit-6, 7 &amp; 8) and ODP area of Parli TPS including required material viz. MSERW Pipes/Steel, etc.</v>
      </c>
      <c r="C2768" s="1396" t="str">
        <f t="shared" si="435"/>
        <v>Yet to be approved</v>
      </c>
      <c r="D2768" s="1378" t="str">
        <f t="shared" si="435"/>
        <v>-</v>
      </c>
      <c r="E2768" s="1505">
        <f t="shared" si="435"/>
        <v>0</v>
      </c>
      <c r="F2768" s="1509">
        <f t="shared" si="436"/>
        <v>17</v>
      </c>
      <c r="G2768" s="1509">
        <f t="shared" si="437"/>
        <v>17</v>
      </c>
      <c r="H2768" s="1509">
        <f t="shared" si="438"/>
        <v>0</v>
      </c>
      <c r="I2768" s="1509">
        <v>0</v>
      </c>
      <c r="J2768" s="1509">
        <v>0</v>
      </c>
      <c r="K2768" s="1509"/>
      <c r="L2768" s="1509"/>
      <c r="M2768" s="1509">
        <f t="shared" si="439"/>
        <v>0</v>
      </c>
      <c r="N2768" s="1509">
        <f t="shared" si="440"/>
        <v>0</v>
      </c>
    </row>
    <row r="2769" spans="1:14" customFormat="1" ht="58" outlineLevel="1" x14ac:dyDescent="0.25">
      <c r="A2769" s="1511">
        <f t="shared" si="435"/>
        <v>25.2</v>
      </c>
      <c r="B2769" s="1515" t="str">
        <f t="shared" si="435"/>
        <v>Restoration of Deluge Valve system along with work of repairing/reconstruction (with relocation for safe operation) of damaged Deluge Valve Houses at Plant &amp; ODP area of Parli TPS Unit#6, 7 &amp; 8.</v>
      </c>
      <c r="C2769" s="1396" t="str">
        <f t="shared" si="435"/>
        <v>Yet to be approved</v>
      </c>
      <c r="D2769" s="1378" t="str">
        <f t="shared" si="435"/>
        <v>-</v>
      </c>
      <c r="E2769" s="1505">
        <f t="shared" si="435"/>
        <v>0</v>
      </c>
      <c r="F2769" s="1509">
        <f t="shared" si="436"/>
        <v>10</v>
      </c>
      <c r="G2769" s="1509">
        <f t="shared" si="437"/>
        <v>10</v>
      </c>
      <c r="H2769" s="1509">
        <f t="shared" si="438"/>
        <v>0</v>
      </c>
      <c r="I2769" s="1509">
        <v>0</v>
      </c>
      <c r="J2769" s="1509">
        <v>0</v>
      </c>
      <c r="K2769" s="1509"/>
      <c r="L2769" s="1509"/>
      <c r="M2769" s="1509">
        <f t="shared" si="439"/>
        <v>0</v>
      </c>
      <c r="N2769" s="1509">
        <f t="shared" si="440"/>
        <v>0</v>
      </c>
    </row>
    <row r="2770" spans="1:14" customFormat="1" ht="29" outlineLevel="1" x14ac:dyDescent="0.25">
      <c r="A2770" s="1511">
        <f t="shared" si="435"/>
        <v>25.3</v>
      </c>
      <c r="B2770" s="1515" t="str">
        <f t="shared" si="435"/>
        <v>Supply, Rectification and Installation of addressable fire alarm system and Fire suppression system at unit 6 &amp; 7,Parli TPS.</v>
      </c>
      <c r="C2770" s="1396" t="str">
        <f t="shared" si="435"/>
        <v>Yet to be approved</v>
      </c>
      <c r="D2770" s="1378" t="str">
        <f t="shared" si="435"/>
        <v>-</v>
      </c>
      <c r="E2770" s="1505">
        <f t="shared" si="435"/>
        <v>0</v>
      </c>
      <c r="F2770" s="1509">
        <f t="shared" si="436"/>
        <v>7</v>
      </c>
      <c r="G2770" s="1509">
        <f t="shared" si="437"/>
        <v>7</v>
      </c>
      <c r="H2770" s="1509">
        <f t="shared" si="438"/>
        <v>0</v>
      </c>
      <c r="I2770" s="1509">
        <v>0</v>
      </c>
      <c r="J2770" s="1509">
        <v>0</v>
      </c>
      <c r="K2770" s="1509"/>
      <c r="L2770" s="1509"/>
      <c r="M2770" s="1509">
        <f t="shared" si="439"/>
        <v>0</v>
      </c>
      <c r="N2770" s="1509">
        <f t="shared" si="440"/>
        <v>0</v>
      </c>
    </row>
    <row r="2771" spans="1:14" customFormat="1" outlineLevel="1" x14ac:dyDescent="0.25">
      <c r="A2771" s="1511">
        <f t="shared" si="435"/>
        <v>0</v>
      </c>
      <c r="B2771" s="1515" t="str">
        <f t="shared" si="435"/>
        <v>IDC</v>
      </c>
      <c r="C2771" s="1396" t="str">
        <f t="shared" si="435"/>
        <v>Yet to be approved</v>
      </c>
      <c r="D2771" s="1378" t="str">
        <f t="shared" si="435"/>
        <v>-</v>
      </c>
      <c r="E2771" s="1505">
        <f t="shared" si="435"/>
        <v>0</v>
      </c>
      <c r="F2771" s="1509">
        <f t="shared" si="436"/>
        <v>0</v>
      </c>
      <c r="G2771" s="1509">
        <f t="shared" si="437"/>
        <v>0</v>
      </c>
      <c r="H2771" s="1509">
        <f t="shared" si="438"/>
        <v>0</v>
      </c>
      <c r="I2771" s="1509">
        <v>0</v>
      </c>
      <c r="J2771" s="1509">
        <v>0</v>
      </c>
      <c r="K2771" s="1509"/>
      <c r="L2771" s="1509"/>
      <c r="M2771" s="1509">
        <f t="shared" si="439"/>
        <v>0</v>
      </c>
      <c r="N2771" s="1509">
        <f t="shared" si="440"/>
        <v>0</v>
      </c>
    </row>
    <row r="2772" spans="1:14" customFormat="1" ht="29" outlineLevel="1" x14ac:dyDescent="0.25">
      <c r="A2772" s="1506">
        <f t="shared" si="435"/>
        <v>26</v>
      </c>
      <c r="B2772" s="1507" t="str">
        <f t="shared" si="435"/>
        <v>ASH  EVACUATION  IMPROVEMENT  AND  PERFORMANCE &amp; EFFICIENCY OF ASH HANDLING SYSTEM At NPTPS Parli-V AT TPS PARLI-V.</v>
      </c>
      <c r="C2772" s="1506" t="str">
        <f t="shared" si="435"/>
        <v>Yet to be approved</v>
      </c>
      <c r="D2772" s="1507" t="str">
        <f t="shared" si="435"/>
        <v>-</v>
      </c>
      <c r="E2772" s="1506">
        <f t="shared" si="435"/>
        <v>0</v>
      </c>
      <c r="F2772" s="1509">
        <f t="shared" si="436"/>
        <v>0</v>
      </c>
      <c r="G2772" s="1509">
        <f t="shared" si="437"/>
        <v>0</v>
      </c>
      <c r="H2772" s="1509">
        <f t="shared" si="438"/>
        <v>0</v>
      </c>
      <c r="I2772" s="1509">
        <v>0</v>
      </c>
      <c r="J2772" s="1509">
        <v>0</v>
      </c>
      <c r="K2772" s="1509"/>
      <c r="L2772" s="1509"/>
      <c r="M2772" s="1509">
        <f t="shared" si="439"/>
        <v>0</v>
      </c>
      <c r="N2772" s="1509">
        <f t="shared" si="440"/>
        <v>0</v>
      </c>
    </row>
    <row r="2773" spans="1:14" customFormat="1" ht="29" outlineLevel="1" x14ac:dyDescent="0.25">
      <c r="A2773" s="1511">
        <f t="shared" si="435"/>
        <v>26.1</v>
      </c>
      <c r="B2773" s="1515" t="str">
        <f t="shared" si="435"/>
        <v>DESIGN , SUPPLY &amp; REPLCEMENT OF  ASH DISPOSAL SLURRY PUMP  COMPLTE ASSEMBLY ALONG WITH GEAR BOX, MOTORS U-6</v>
      </c>
      <c r="C2773" s="1396" t="str">
        <f t="shared" si="435"/>
        <v>Yet to be approved</v>
      </c>
      <c r="D2773" s="1378" t="str">
        <f t="shared" si="435"/>
        <v>-</v>
      </c>
      <c r="E2773" s="1505">
        <f t="shared" si="435"/>
        <v>0</v>
      </c>
      <c r="F2773" s="1509">
        <f t="shared" si="436"/>
        <v>1.24</v>
      </c>
      <c r="G2773" s="1509">
        <f t="shared" si="437"/>
        <v>1.24</v>
      </c>
      <c r="H2773" s="1509">
        <f t="shared" si="438"/>
        <v>0</v>
      </c>
      <c r="I2773" s="1509">
        <v>0</v>
      </c>
      <c r="J2773" s="1509">
        <v>0</v>
      </c>
      <c r="K2773" s="1509"/>
      <c r="L2773" s="1509"/>
      <c r="M2773" s="1509">
        <f t="shared" si="439"/>
        <v>0</v>
      </c>
      <c r="N2773" s="1509">
        <f t="shared" si="440"/>
        <v>0</v>
      </c>
    </row>
    <row r="2774" spans="1:14" customFormat="1" ht="29" outlineLevel="1" x14ac:dyDescent="0.25">
      <c r="A2774" s="1511">
        <f t="shared" si="435"/>
        <v>26.2</v>
      </c>
      <c r="B2774" s="1515" t="str">
        <f t="shared" si="435"/>
        <v>DESIGN , SUPPLY &amp; REPLCEMENT OF  HP WATER PUMP COMPLTE ASSEMBLY ALONG WITH GEAR BOX, MOTORS U-6</v>
      </c>
      <c r="C2774" s="1396" t="str">
        <f t="shared" si="435"/>
        <v>Yet to be approved</v>
      </c>
      <c r="D2774" s="1378" t="str">
        <f t="shared" si="435"/>
        <v>-</v>
      </c>
      <c r="E2774" s="1505">
        <f t="shared" si="435"/>
        <v>0</v>
      </c>
      <c r="F2774" s="1509">
        <f t="shared" si="436"/>
        <v>1.17</v>
      </c>
      <c r="G2774" s="1509">
        <f t="shared" si="437"/>
        <v>1.17</v>
      </c>
      <c r="H2774" s="1509">
        <f t="shared" si="438"/>
        <v>0</v>
      </c>
      <c r="I2774" s="1509">
        <v>0</v>
      </c>
      <c r="J2774" s="1509">
        <v>0</v>
      </c>
      <c r="K2774" s="1509"/>
      <c r="L2774" s="1509"/>
      <c r="M2774" s="1509">
        <f t="shared" si="439"/>
        <v>0</v>
      </c>
      <c r="N2774" s="1509">
        <f t="shared" si="440"/>
        <v>0</v>
      </c>
    </row>
    <row r="2775" spans="1:14" customFormat="1" ht="29" outlineLevel="1" x14ac:dyDescent="0.25">
      <c r="A2775" s="1511">
        <f t="shared" si="435"/>
        <v>26.3</v>
      </c>
      <c r="B2775" s="1515" t="str">
        <f t="shared" si="435"/>
        <v>Upgradation of reciprocating  Conveying Air compressor into screw compressor  at U#6</v>
      </c>
      <c r="C2775" s="1396" t="str">
        <f t="shared" si="435"/>
        <v>Yet to be approved</v>
      </c>
      <c r="D2775" s="1378" t="str">
        <f t="shared" si="435"/>
        <v>-</v>
      </c>
      <c r="E2775" s="1505">
        <f t="shared" si="435"/>
        <v>0</v>
      </c>
      <c r="F2775" s="1509">
        <f t="shared" si="436"/>
        <v>5.98</v>
      </c>
      <c r="G2775" s="1509">
        <f t="shared" si="437"/>
        <v>5.98</v>
      </c>
      <c r="H2775" s="1509">
        <f t="shared" si="438"/>
        <v>0</v>
      </c>
      <c r="I2775" s="1509">
        <v>0</v>
      </c>
      <c r="J2775" s="1509">
        <v>0</v>
      </c>
      <c r="K2775" s="1509"/>
      <c r="L2775" s="1509"/>
      <c r="M2775" s="1509">
        <f t="shared" si="439"/>
        <v>0</v>
      </c>
      <c r="N2775" s="1509">
        <f t="shared" si="440"/>
        <v>0</v>
      </c>
    </row>
    <row r="2776" spans="1:14" customFormat="1" ht="29" outlineLevel="1" x14ac:dyDescent="0.25">
      <c r="A2776" s="1511">
        <f t="shared" si="435"/>
        <v>26.4</v>
      </c>
      <c r="B2776" s="1515" t="str">
        <f t="shared" si="435"/>
        <v>Upgradation of reciprocating  Instrument  Air compressor into screw compressor  at U#6</v>
      </c>
      <c r="C2776" s="1396" t="str">
        <f t="shared" si="435"/>
        <v>Yet to be approved</v>
      </c>
      <c r="D2776" s="1378" t="str">
        <f t="shared" si="435"/>
        <v>-</v>
      </c>
      <c r="E2776" s="1505">
        <f t="shared" si="435"/>
        <v>0</v>
      </c>
      <c r="F2776" s="1509">
        <f t="shared" si="436"/>
        <v>3.98</v>
      </c>
      <c r="G2776" s="1509">
        <f t="shared" si="437"/>
        <v>3.98</v>
      </c>
      <c r="H2776" s="1509">
        <f t="shared" si="438"/>
        <v>0</v>
      </c>
      <c r="I2776" s="1509">
        <v>0</v>
      </c>
      <c r="J2776" s="1509">
        <v>0</v>
      </c>
      <c r="K2776" s="1509"/>
      <c r="L2776" s="1509"/>
      <c r="M2776" s="1509">
        <f t="shared" si="439"/>
        <v>0</v>
      </c>
      <c r="N2776" s="1509">
        <f t="shared" si="440"/>
        <v>0</v>
      </c>
    </row>
    <row r="2777" spans="1:14" customFormat="1" ht="43.5" outlineLevel="1" x14ac:dyDescent="0.25">
      <c r="A2777" s="1511">
        <f t="shared" si="435"/>
        <v>26.5</v>
      </c>
      <c r="B2777" s="1515" t="str">
        <f t="shared" si="435"/>
        <v>Procurement &amp; replacement of 300 NB,200NB Cash Basalt Pipelines with the existing MSERW pipe of ash disposal system of Unit #6&amp;  7 at Parli TPS, Parli V .</v>
      </c>
      <c r="C2777" s="1396" t="str">
        <f t="shared" si="435"/>
        <v>Yet to be approved</v>
      </c>
      <c r="D2777" s="1378" t="str">
        <f t="shared" si="435"/>
        <v>-</v>
      </c>
      <c r="E2777" s="1505">
        <f t="shared" si="435"/>
        <v>0</v>
      </c>
      <c r="F2777" s="1509">
        <f t="shared" si="436"/>
        <v>6.61</v>
      </c>
      <c r="G2777" s="1509">
        <f t="shared" si="437"/>
        <v>6.61</v>
      </c>
      <c r="H2777" s="1509">
        <f t="shared" si="438"/>
        <v>0</v>
      </c>
      <c r="I2777" s="1509">
        <v>0</v>
      </c>
      <c r="J2777" s="1509">
        <v>0</v>
      </c>
      <c r="K2777" s="1509"/>
      <c r="L2777" s="1509"/>
      <c r="M2777" s="1509">
        <f t="shared" si="439"/>
        <v>0</v>
      </c>
      <c r="N2777" s="1509">
        <f t="shared" si="440"/>
        <v>0</v>
      </c>
    </row>
    <row r="2778" spans="1:14" customFormat="1" outlineLevel="1" x14ac:dyDescent="0.25">
      <c r="A2778" s="1511">
        <f t="shared" si="435"/>
        <v>26.6</v>
      </c>
      <c r="B2778" s="1515" t="str">
        <f t="shared" si="435"/>
        <v>DESIGN , SUPPLY &amp; REPLCEMENT  VACUUM PUMP U6</v>
      </c>
      <c r="C2778" s="1396" t="str">
        <f t="shared" si="435"/>
        <v>Yet to be approved</v>
      </c>
      <c r="D2778" s="1378" t="str">
        <f t="shared" si="435"/>
        <v>-</v>
      </c>
      <c r="E2778" s="1505">
        <f t="shared" si="435"/>
        <v>0</v>
      </c>
      <c r="F2778" s="1509">
        <f t="shared" si="436"/>
        <v>1.41</v>
      </c>
      <c r="G2778" s="1509">
        <f t="shared" si="437"/>
        <v>1.41</v>
      </c>
      <c r="H2778" s="1509">
        <f t="shared" si="438"/>
        <v>0</v>
      </c>
      <c r="I2778" s="1509">
        <v>0</v>
      </c>
      <c r="J2778" s="1509">
        <v>0</v>
      </c>
      <c r="K2778" s="1509"/>
      <c r="L2778" s="1509"/>
      <c r="M2778" s="1509">
        <f t="shared" si="439"/>
        <v>0</v>
      </c>
      <c r="N2778" s="1509">
        <f t="shared" si="440"/>
        <v>0</v>
      </c>
    </row>
    <row r="2779" spans="1:14" customFormat="1" ht="43.5" outlineLevel="1" x14ac:dyDescent="0.25">
      <c r="A2779" s="1511">
        <f t="shared" si="435"/>
        <v>26.7</v>
      </c>
      <c r="B2779" s="1515" t="str">
        <f t="shared" si="435"/>
        <v>Work of Repairing &amp; Reconditioning of Single Roll Clinker Grinder assembly from OEM on as and when required basis at AHP(2X250),Unit-6&amp;7 Parli TPS,Parli-V.</v>
      </c>
      <c r="C2779" s="1396" t="str">
        <f t="shared" si="435"/>
        <v>Yet to be approved</v>
      </c>
      <c r="D2779" s="1378" t="str">
        <f t="shared" si="435"/>
        <v>-</v>
      </c>
      <c r="E2779" s="1505">
        <f t="shared" si="435"/>
        <v>0</v>
      </c>
      <c r="F2779" s="1509">
        <f t="shared" si="436"/>
        <v>0.65</v>
      </c>
      <c r="G2779" s="1509">
        <f t="shared" si="437"/>
        <v>0.65</v>
      </c>
      <c r="H2779" s="1509">
        <f t="shared" si="438"/>
        <v>0</v>
      </c>
      <c r="I2779" s="1509">
        <v>0</v>
      </c>
      <c r="J2779" s="1509">
        <v>0</v>
      </c>
      <c r="K2779" s="1509"/>
      <c r="L2779" s="1509"/>
      <c r="M2779" s="1509">
        <f t="shared" si="439"/>
        <v>0</v>
      </c>
      <c r="N2779" s="1509">
        <f t="shared" si="440"/>
        <v>0</v>
      </c>
    </row>
    <row r="2780" spans="1:14" customFormat="1" ht="29" outlineLevel="1" x14ac:dyDescent="0.25">
      <c r="A2780" s="1511">
        <f t="shared" si="435"/>
        <v>26.8</v>
      </c>
      <c r="B2780" s="1515" t="str">
        <f t="shared" si="435"/>
        <v>Work of complete Reconditioning and refurbishment of various spares in Unit 6&amp;7, Parli TPS, Parli-V</v>
      </c>
      <c r="C2780" s="1396" t="str">
        <f t="shared" si="435"/>
        <v>Yet to be approved</v>
      </c>
      <c r="D2780" s="1378" t="str">
        <f t="shared" si="435"/>
        <v>-</v>
      </c>
      <c r="E2780" s="1505">
        <f t="shared" si="435"/>
        <v>0</v>
      </c>
      <c r="F2780" s="1509">
        <f t="shared" si="436"/>
        <v>0.73</v>
      </c>
      <c r="G2780" s="1509">
        <f t="shared" si="437"/>
        <v>0.73</v>
      </c>
      <c r="H2780" s="1509">
        <f t="shared" si="438"/>
        <v>0</v>
      </c>
      <c r="I2780" s="1509">
        <v>0</v>
      </c>
      <c r="J2780" s="1509">
        <v>0</v>
      </c>
      <c r="K2780" s="1509"/>
      <c r="L2780" s="1509"/>
      <c r="M2780" s="1509">
        <f t="shared" si="439"/>
        <v>0</v>
      </c>
      <c r="N2780" s="1509">
        <f t="shared" si="440"/>
        <v>0</v>
      </c>
    </row>
    <row r="2781" spans="1:14" customFormat="1" outlineLevel="1" x14ac:dyDescent="0.25">
      <c r="A2781" s="1511">
        <f t="shared" ref="A2781:E2796" si="441">A2424</f>
        <v>26.9</v>
      </c>
      <c r="B2781" s="1515" t="str">
        <f t="shared" si="441"/>
        <v>Transmission drive system &amp; Fluid coupling replacements.</v>
      </c>
      <c r="C2781" s="1396" t="str">
        <f t="shared" si="441"/>
        <v>Yet to be approved</v>
      </c>
      <c r="D2781" s="1378" t="str">
        <f t="shared" si="441"/>
        <v>-</v>
      </c>
      <c r="E2781" s="1505">
        <f t="shared" si="441"/>
        <v>0</v>
      </c>
      <c r="F2781" s="1509">
        <f t="shared" si="436"/>
        <v>2.92</v>
      </c>
      <c r="G2781" s="1509">
        <f t="shared" si="437"/>
        <v>2.92</v>
      </c>
      <c r="H2781" s="1509">
        <f t="shared" si="438"/>
        <v>0</v>
      </c>
      <c r="I2781" s="1509">
        <v>0</v>
      </c>
      <c r="J2781" s="1509">
        <v>0</v>
      </c>
      <c r="K2781" s="1509"/>
      <c r="L2781" s="1509"/>
      <c r="M2781" s="1509">
        <f t="shared" si="439"/>
        <v>0</v>
      </c>
      <c r="N2781" s="1509">
        <f t="shared" si="440"/>
        <v>0</v>
      </c>
    </row>
    <row r="2782" spans="1:14" customFormat="1" ht="29" outlineLevel="1" x14ac:dyDescent="0.25">
      <c r="A2782" s="1511">
        <f t="shared" si="441"/>
        <v>26.1</v>
      </c>
      <c r="B2782" s="1515" t="str">
        <f t="shared" si="441"/>
        <v>DESIGN , SUPPLY &amp; REPLCEMENT OF ASH INLET VALVE COMPLETE ASSEBLY U6</v>
      </c>
      <c r="C2782" s="1396" t="str">
        <f t="shared" si="441"/>
        <v>Yet to be approved</v>
      </c>
      <c r="D2782" s="1378" t="str">
        <f t="shared" si="441"/>
        <v>-</v>
      </c>
      <c r="E2782" s="1505">
        <f t="shared" si="441"/>
        <v>0</v>
      </c>
      <c r="F2782" s="1509">
        <f t="shared" si="436"/>
        <v>2.6</v>
      </c>
      <c r="G2782" s="1509">
        <f t="shared" si="437"/>
        <v>2.6</v>
      </c>
      <c r="H2782" s="1509">
        <f t="shared" si="438"/>
        <v>0</v>
      </c>
      <c r="I2782" s="1509">
        <v>0</v>
      </c>
      <c r="J2782" s="1509">
        <v>0</v>
      </c>
      <c r="K2782" s="1509"/>
      <c r="L2782" s="1509"/>
      <c r="M2782" s="1509">
        <f t="shared" si="439"/>
        <v>0</v>
      </c>
      <c r="N2782" s="1509">
        <f t="shared" si="440"/>
        <v>0</v>
      </c>
    </row>
    <row r="2783" spans="1:14" customFormat="1" ht="43.5" outlineLevel="1" x14ac:dyDescent="0.25">
      <c r="A2783" s="1511">
        <f t="shared" si="441"/>
        <v>26.11</v>
      </c>
      <c r="B2783" s="1515" t="str">
        <f t="shared" si="441"/>
        <v>UPGRADATION OF EXPIRED AND VULNERABLE Scada, operating system and hardware to improve life and communication system of Ash handling plant UNIT 6&amp;7 250MW at NPTPS PARLI V".</v>
      </c>
      <c r="C2783" s="1396" t="str">
        <f t="shared" si="441"/>
        <v>Yet to be approved</v>
      </c>
      <c r="D2783" s="1378" t="str">
        <f t="shared" si="441"/>
        <v>-</v>
      </c>
      <c r="E2783" s="1505">
        <f t="shared" si="441"/>
        <v>0</v>
      </c>
      <c r="F2783" s="1509">
        <f t="shared" si="436"/>
        <v>3</v>
      </c>
      <c r="G2783" s="1509">
        <f t="shared" si="437"/>
        <v>3</v>
      </c>
      <c r="H2783" s="1509">
        <f t="shared" si="438"/>
        <v>0</v>
      </c>
      <c r="I2783" s="1509">
        <v>0</v>
      </c>
      <c r="J2783" s="1509">
        <v>0</v>
      </c>
      <c r="K2783" s="1509"/>
      <c r="L2783" s="1509"/>
      <c r="M2783" s="1509">
        <f t="shared" si="439"/>
        <v>0</v>
      </c>
      <c r="N2783" s="1509">
        <f t="shared" si="440"/>
        <v>0</v>
      </c>
    </row>
    <row r="2784" spans="1:14" customFormat="1" outlineLevel="1" x14ac:dyDescent="0.25">
      <c r="A2784" s="1511">
        <f t="shared" si="441"/>
        <v>0</v>
      </c>
      <c r="B2784" s="1515" t="str">
        <f t="shared" si="441"/>
        <v>IDC</v>
      </c>
      <c r="C2784" s="1396" t="str">
        <f t="shared" si="441"/>
        <v>Yet to be approved</v>
      </c>
      <c r="D2784" s="1378" t="str">
        <f t="shared" si="441"/>
        <v>-</v>
      </c>
      <c r="E2784" s="1505">
        <f t="shared" si="441"/>
        <v>0</v>
      </c>
      <c r="F2784" s="1509">
        <f t="shared" si="436"/>
        <v>0</v>
      </c>
      <c r="G2784" s="1509">
        <f t="shared" si="437"/>
        <v>0</v>
      </c>
      <c r="H2784" s="1509">
        <f t="shared" si="438"/>
        <v>0</v>
      </c>
      <c r="I2784" s="1509">
        <v>0</v>
      </c>
      <c r="J2784" s="1509">
        <v>0</v>
      </c>
      <c r="K2784" s="1509"/>
      <c r="L2784" s="1509"/>
      <c r="M2784" s="1509">
        <f t="shared" si="439"/>
        <v>0</v>
      </c>
      <c r="N2784" s="1509">
        <f t="shared" si="440"/>
        <v>0</v>
      </c>
    </row>
    <row r="2785" spans="1:14" customFormat="1" ht="29" outlineLevel="1" x14ac:dyDescent="0.25">
      <c r="A2785" s="1506">
        <f t="shared" si="441"/>
        <v>27</v>
      </c>
      <c r="B2785" s="1507" t="str">
        <f t="shared" si="441"/>
        <v>ASH  EVACUATION  IMPROVEMENT  AND  PERFORMANCE &amp; EFFICIENCY OF ASH HANDLING SYSTEM At NPTPS Parli-V AT TPS PARLI-V.</v>
      </c>
      <c r="C2785" s="1506" t="str">
        <f t="shared" si="441"/>
        <v>Yet to be approved</v>
      </c>
      <c r="D2785" s="1507" t="str">
        <f t="shared" si="441"/>
        <v>-</v>
      </c>
      <c r="E2785" s="1506">
        <f t="shared" si="441"/>
        <v>0</v>
      </c>
      <c r="F2785" s="1509">
        <f t="shared" si="436"/>
        <v>0</v>
      </c>
      <c r="G2785" s="1509">
        <f t="shared" si="437"/>
        <v>0</v>
      </c>
      <c r="H2785" s="1509">
        <f t="shared" si="438"/>
        <v>0</v>
      </c>
      <c r="I2785" s="1509">
        <v>0</v>
      </c>
      <c r="J2785" s="1509">
        <v>0</v>
      </c>
      <c r="K2785" s="1509"/>
      <c r="L2785" s="1509"/>
      <c r="M2785" s="1509">
        <f t="shared" si="439"/>
        <v>0</v>
      </c>
      <c r="N2785" s="1509">
        <f t="shared" si="440"/>
        <v>0</v>
      </c>
    </row>
    <row r="2786" spans="1:14" customFormat="1" ht="29" outlineLevel="1" x14ac:dyDescent="0.25">
      <c r="A2786" s="1511">
        <f t="shared" si="441"/>
        <v>27.1</v>
      </c>
      <c r="B2786" s="1515" t="str">
        <f t="shared" si="441"/>
        <v>Upgradation of reciprocating  Conveying Air compressor into screw compressor  at U#7</v>
      </c>
      <c r="C2786" s="1396" t="str">
        <f t="shared" si="441"/>
        <v>Yet to be approved</v>
      </c>
      <c r="D2786" s="1378" t="str">
        <f t="shared" si="441"/>
        <v>-</v>
      </c>
      <c r="E2786" s="1505">
        <f t="shared" si="441"/>
        <v>0</v>
      </c>
      <c r="F2786" s="1509">
        <f t="shared" si="436"/>
        <v>5.98</v>
      </c>
      <c r="G2786" s="1509">
        <f t="shared" si="437"/>
        <v>5.98</v>
      </c>
      <c r="H2786" s="1509">
        <f t="shared" si="438"/>
        <v>0</v>
      </c>
      <c r="I2786" s="1509">
        <v>0</v>
      </c>
      <c r="J2786" s="1509">
        <v>0</v>
      </c>
      <c r="K2786" s="1509"/>
      <c r="L2786" s="1509"/>
      <c r="M2786" s="1509">
        <f t="shared" si="439"/>
        <v>0</v>
      </c>
      <c r="N2786" s="1509">
        <f t="shared" si="440"/>
        <v>0</v>
      </c>
    </row>
    <row r="2787" spans="1:14" customFormat="1" ht="29" outlineLevel="1" x14ac:dyDescent="0.25">
      <c r="A2787" s="1511">
        <f t="shared" si="441"/>
        <v>27.2</v>
      </c>
      <c r="B2787" s="1515" t="str">
        <f t="shared" si="441"/>
        <v>Upgradation of reciprocating  Instrument  Air compressor into screw compressor  at U#7</v>
      </c>
      <c r="C2787" s="1396" t="str">
        <f t="shared" si="441"/>
        <v>Yet to be approved</v>
      </c>
      <c r="D2787" s="1378" t="str">
        <f t="shared" si="441"/>
        <v>-</v>
      </c>
      <c r="E2787" s="1505">
        <f t="shared" si="441"/>
        <v>0</v>
      </c>
      <c r="F2787" s="1509">
        <f t="shared" si="436"/>
        <v>3.98</v>
      </c>
      <c r="G2787" s="1509">
        <f t="shared" si="437"/>
        <v>3.98</v>
      </c>
      <c r="H2787" s="1509">
        <f t="shared" si="438"/>
        <v>0</v>
      </c>
      <c r="I2787" s="1509">
        <v>0</v>
      </c>
      <c r="J2787" s="1509">
        <v>0</v>
      </c>
      <c r="K2787" s="1509"/>
      <c r="L2787" s="1509"/>
      <c r="M2787" s="1509">
        <f t="shared" si="439"/>
        <v>0</v>
      </c>
      <c r="N2787" s="1509">
        <f t="shared" si="440"/>
        <v>0</v>
      </c>
    </row>
    <row r="2788" spans="1:14" customFormat="1" ht="29" outlineLevel="1" x14ac:dyDescent="0.25">
      <c r="A2788" s="1511">
        <f t="shared" si="441"/>
        <v>27.3</v>
      </c>
      <c r="B2788" s="1515" t="str">
        <f t="shared" si="441"/>
        <v>DESIGN , SUPPLY &amp; REPLCEMENT OF  ASH DISPOSAL SLURRY PUMP  COMPLTE ASSEMBLY ALONG WITH GEAR BOX, MOTORS U-7</v>
      </c>
      <c r="C2788" s="1396" t="str">
        <f t="shared" si="441"/>
        <v>Yet to be approved</v>
      </c>
      <c r="D2788" s="1378" t="str">
        <f t="shared" si="441"/>
        <v>-</v>
      </c>
      <c r="E2788" s="1505">
        <f t="shared" si="441"/>
        <v>0</v>
      </c>
      <c r="F2788" s="1509">
        <f t="shared" si="436"/>
        <v>1.24</v>
      </c>
      <c r="G2788" s="1509">
        <f t="shared" si="437"/>
        <v>1.24</v>
      </c>
      <c r="H2788" s="1509">
        <f t="shared" si="438"/>
        <v>0</v>
      </c>
      <c r="I2788" s="1509">
        <v>0</v>
      </c>
      <c r="J2788" s="1509">
        <v>0</v>
      </c>
      <c r="K2788" s="1509"/>
      <c r="L2788" s="1509"/>
      <c r="M2788" s="1509">
        <f t="shared" si="439"/>
        <v>0</v>
      </c>
      <c r="N2788" s="1509">
        <f t="shared" si="440"/>
        <v>0</v>
      </c>
    </row>
    <row r="2789" spans="1:14" customFormat="1" ht="29" outlineLevel="1" x14ac:dyDescent="0.25">
      <c r="A2789" s="1511">
        <f t="shared" si="441"/>
        <v>27.4</v>
      </c>
      <c r="B2789" s="1515" t="str">
        <f t="shared" si="441"/>
        <v>DESIGN , SUPPLY &amp; REPLCEMENT OF  HP WATER PUMP COMPLTE ASSEMBLY ALONG WITH GEAR BOX, MOTORS U-7</v>
      </c>
      <c r="C2789" s="1396" t="str">
        <f t="shared" si="441"/>
        <v>Yet to be approved</v>
      </c>
      <c r="D2789" s="1378" t="str">
        <f t="shared" si="441"/>
        <v>-</v>
      </c>
      <c r="E2789" s="1505">
        <f t="shared" si="441"/>
        <v>0</v>
      </c>
      <c r="F2789" s="1509">
        <f t="shared" si="436"/>
        <v>1.17</v>
      </c>
      <c r="G2789" s="1509">
        <f t="shared" si="437"/>
        <v>1.17</v>
      </c>
      <c r="H2789" s="1509">
        <f t="shared" si="438"/>
        <v>0</v>
      </c>
      <c r="I2789" s="1509">
        <v>0</v>
      </c>
      <c r="J2789" s="1509">
        <v>0</v>
      </c>
      <c r="K2789" s="1509"/>
      <c r="L2789" s="1509"/>
      <c r="M2789" s="1509">
        <f t="shared" si="439"/>
        <v>0</v>
      </c>
      <c r="N2789" s="1509">
        <f t="shared" si="440"/>
        <v>0</v>
      </c>
    </row>
    <row r="2790" spans="1:14" customFormat="1" outlineLevel="1" x14ac:dyDescent="0.25">
      <c r="A2790" s="1511">
        <f t="shared" si="441"/>
        <v>27.5</v>
      </c>
      <c r="B2790" s="1515" t="str">
        <f t="shared" si="441"/>
        <v>DESIGN , SUPPLY &amp; REPLCEMENT  VACUUM PUMP U7.</v>
      </c>
      <c r="C2790" s="1396" t="str">
        <f t="shared" si="441"/>
        <v>Yet to be approved</v>
      </c>
      <c r="D2790" s="1378" t="str">
        <f t="shared" si="441"/>
        <v>-</v>
      </c>
      <c r="E2790" s="1505">
        <f t="shared" si="441"/>
        <v>0</v>
      </c>
      <c r="F2790" s="1509">
        <f t="shared" si="436"/>
        <v>1.41</v>
      </c>
      <c r="G2790" s="1509">
        <f t="shared" si="437"/>
        <v>1.41</v>
      </c>
      <c r="H2790" s="1509">
        <f t="shared" si="438"/>
        <v>0</v>
      </c>
      <c r="I2790" s="1509">
        <v>0</v>
      </c>
      <c r="J2790" s="1509">
        <v>0</v>
      </c>
      <c r="K2790" s="1509"/>
      <c r="L2790" s="1509"/>
      <c r="M2790" s="1509">
        <f t="shared" si="439"/>
        <v>0</v>
      </c>
      <c r="N2790" s="1509">
        <f t="shared" si="440"/>
        <v>0</v>
      </c>
    </row>
    <row r="2791" spans="1:14" customFormat="1" ht="29" outlineLevel="1" x14ac:dyDescent="0.25">
      <c r="A2791" s="1511">
        <f t="shared" si="441"/>
        <v>27.6</v>
      </c>
      <c r="B2791" s="1515" t="str">
        <f t="shared" si="441"/>
        <v>DESIGN , SUPPLY &amp; REPLCEMENT BRANCH SEGEGATION COMPLETE VALVE ASSEBLY U7</v>
      </c>
      <c r="C2791" s="1396" t="str">
        <f t="shared" si="441"/>
        <v>Yet to be approved</v>
      </c>
      <c r="D2791" s="1378" t="str">
        <f t="shared" si="441"/>
        <v>-</v>
      </c>
      <c r="E2791" s="1505">
        <f t="shared" si="441"/>
        <v>0</v>
      </c>
      <c r="F2791" s="1509">
        <f t="shared" si="436"/>
        <v>1</v>
      </c>
      <c r="G2791" s="1509">
        <f t="shared" si="437"/>
        <v>1</v>
      </c>
      <c r="H2791" s="1509">
        <f t="shared" si="438"/>
        <v>0</v>
      </c>
      <c r="I2791" s="1509">
        <v>0</v>
      </c>
      <c r="J2791" s="1509">
        <v>0</v>
      </c>
      <c r="K2791" s="1509"/>
      <c r="L2791" s="1509"/>
      <c r="M2791" s="1509">
        <f t="shared" si="439"/>
        <v>0</v>
      </c>
      <c r="N2791" s="1509">
        <f t="shared" si="440"/>
        <v>0</v>
      </c>
    </row>
    <row r="2792" spans="1:14" customFormat="1" ht="29" outlineLevel="1" x14ac:dyDescent="0.25">
      <c r="A2792" s="1511">
        <f t="shared" si="441"/>
        <v>27.7</v>
      </c>
      <c r="B2792" s="1515" t="str">
        <f t="shared" si="441"/>
        <v>DESIGN , SUPPLY &amp; REPLCEMENT BRANCH VALVE &amp; ASH INLET VALVE U7</v>
      </c>
      <c r="C2792" s="1396" t="str">
        <f t="shared" si="441"/>
        <v>Yet to be approved</v>
      </c>
      <c r="D2792" s="1378" t="str">
        <f t="shared" si="441"/>
        <v>-</v>
      </c>
      <c r="E2792" s="1505">
        <f t="shared" si="441"/>
        <v>0</v>
      </c>
      <c r="F2792" s="1509">
        <f t="shared" si="436"/>
        <v>2.6</v>
      </c>
      <c r="G2792" s="1509">
        <f t="shared" si="437"/>
        <v>2.6</v>
      </c>
      <c r="H2792" s="1509">
        <f t="shared" si="438"/>
        <v>0</v>
      </c>
      <c r="I2792" s="1509">
        <v>0</v>
      </c>
      <c r="J2792" s="1509">
        <v>0</v>
      </c>
      <c r="K2792" s="1509"/>
      <c r="L2792" s="1509"/>
      <c r="M2792" s="1509">
        <f t="shared" si="439"/>
        <v>0</v>
      </c>
      <c r="N2792" s="1509">
        <f t="shared" si="440"/>
        <v>0</v>
      </c>
    </row>
    <row r="2793" spans="1:14" customFormat="1" ht="43.5" outlineLevel="1" x14ac:dyDescent="0.25">
      <c r="A2793" s="1511">
        <f t="shared" si="441"/>
        <v>27.8</v>
      </c>
      <c r="B2793" s="1515" t="str">
        <f t="shared" si="441"/>
        <v>Procurement of MOTORS, RELAY ,BREAKERS &amp; RETROFITTING   for pumps , IAC/CAC to improve availability &amp; performance of Bottom ash,  Coarse Ash &amp;  fly ash system of AHP, unit -7</v>
      </c>
      <c r="C2793" s="1396" t="str">
        <f t="shared" si="441"/>
        <v>Yet to be approved</v>
      </c>
      <c r="D2793" s="1378" t="str">
        <f t="shared" si="441"/>
        <v>-</v>
      </c>
      <c r="E2793" s="1505">
        <f t="shared" si="441"/>
        <v>0</v>
      </c>
      <c r="F2793" s="1509">
        <f t="shared" si="436"/>
        <v>3.5</v>
      </c>
      <c r="G2793" s="1509">
        <f t="shared" si="437"/>
        <v>3.5</v>
      </c>
      <c r="H2793" s="1509">
        <f t="shared" si="438"/>
        <v>0</v>
      </c>
      <c r="I2793" s="1509">
        <v>0</v>
      </c>
      <c r="J2793" s="1509">
        <v>0</v>
      </c>
      <c r="K2793" s="1509"/>
      <c r="L2793" s="1509"/>
      <c r="M2793" s="1509">
        <f t="shared" si="439"/>
        <v>0</v>
      </c>
      <c r="N2793" s="1509">
        <f t="shared" si="440"/>
        <v>0</v>
      </c>
    </row>
    <row r="2794" spans="1:14" customFormat="1" outlineLevel="1" x14ac:dyDescent="0.25">
      <c r="A2794" s="1511">
        <f t="shared" si="441"/>
        <v>27.9</v>
      </c>
      <c r="B2794" s="1515" t="str">
        <f t="shared" si="441"/>
        <v>Procurement of Replcement Water valve, AUDCO valve</v>
      </c>
      <c r="C2794" s="1396" t="str">
        <f t="shared" si="441"/>
        <v>Yet to be approved</v>
      </c>
      <c r="D2794" s="1378" t="str">
        <f t="shared" si="441"/>
        <v>-</v>
      </c>
      <c r="E2794" s="1505">
        <f t="shared" si="441"/>
        <v>0</v>
      </c>
      <c r="F2794" s="1509">
        <f t="shared" si="436"/>
        <v>0.5</v>
      </c>
      <c r="G2794" s="1509">
        <f t="shared" si="437"/>
        <v>0.5</v>
      </c>
      <c r="H2794" s="1509">
        <f t="shared" si="438"/>
        <v>0</v>
      </c>
      <c r="I2794" s="1509">
        <v>0</v>
      </c>
      <c r="J2794" s="1509">
        <v>0</v>
      </c>
      <c r="K2794" s="1509"/>
      <c r="L2794" s="1509"/>
      <c r="M2794" s="1509">
        <f t="shared" si="439"/>
        <v>0</v>
      </c>
      <c r="N2794" s="1509">
        <f t="shared" si="440"/>
        <v>0</v>
      </c>
    </row>
    <row r="2795" spans="1:14" customFormat="1" outlineLevel="1" x14ac:dyDescent="0.25">
      <c r="A2795" s="1511">
        <f t="shared" si="441"/>
        <v>27.1</v>
      </c>
      <c r="B2795" s="1515" t="str">
        <f t="shared" si="441"/>
        <v>Procurement &amp; replacement of Bottom ash clinker grinder</v>
      </c>
      <c r="C2795" s="1396" t="str">
        <f t="shared" si="441"/>
        <v>Yet to be approved</v>
      </c>
      <c r="D2795" s="1378" t="str">
        <f t="shared" si="441"/>
        <v>-</v>
      </c>
      <c r="E2795" s="1505">
        <f t="shared" si="441"/>
        <v>0</v>
      </c>
      <c r="F2795" s="1509">
        <f t="shared" si="436"/>
        <v>1.89</v>
      </c>
      <c r="G2795" s="1509">
        <f t="shared" si="437"/>
        <v>1.89</v>
      </c>
      <c r="H2795" s="1509">
        <f t="shared" si="438"/>
        <v>0</v>
      </c>
      <c r="I2795" s="1509">
        <v>0</v>
      </c>
      <c r="J2795" s="1509">
        <v>0</v>
      </c>
      <c r="K2795" s="1509"/>
      <c r="L2795" s="1509"/>
      <c r="M2795" s="1509">
        <f t="shared" si="439"/>
        <v>0</v>
      </c>
      <c r="N2795" s="1509">
        <f t="shared" si="440"/>
        <v>0</v>
      </c>
    </row>
    <row r="2796" spans="1:14" customFormat="1" ht="43.5" outlineLevel="1" x14ac:dyDescent="0.25">
      <c r="A2796" s="1511">
        <f t="shared" si="441"/>
        <v>27.11</v>
      </c>
      <c r="B2796" s="1515" t="str">
        <f t="shared" si="441"/>
        <v>UPGRADATION OF EXPIRED AND VULNERABLE Scada, operating system and hardware to improve life and communication system of HCSD Ash handling plant UNIT 6&amp;7 250MW at NPTPS PARLI V"</v>
      </c>
      <c r="C2796" s="1396" t="str">
        <f t="shared" si="441"/>
        <v>Yet to be approved</v>
      </c>
      <c r="D2796" s="1378" t="str">
        <f t="shared" si="441"/>
        <v>-</v>
      </c>
      <c r="E2796" s="1505">
        <f t="shared" si="441"/>
        <v>0</v>
      </c>
      <c r="F2796" s="1509">
        <f t="shared" si="436"/>
        <v>2.5</v>
      </c>
      <c r="G2796" s="1509">
        <f t="shared" si="437"/>
        <v>2.5</v>
      </c>
      <c r="H2796" s="1509">
        <f t="shared" si="438"/>
        <v>0</v>
      </c>
      <c r="I2796" s="1509">
        <v>0</v>
      </c>
      <c r="J2796" s="1509">
        <v>0</v>
      </c>
      <c r="K2796" s="1509"/>
      <c r="L2796" s="1509"/>
      <c r="M2796" s="1509">
        <f t="shared" si="439"/>
        <v>0</v>
      </c>
      <c r="N2796" s="1509">
        <f t="shared" si="440"/>
        <v>0</v>
      </c>
    </row>
    <row r="2797" spans="1:14" customFormat="1" outlineLevel="1" x14ac:dyDescent="0.25">
      <c r="A2797" s="1511">
        <f t="shared" ref="A2797:E2812" si="442">A2440</f>
        <v>0</v>
      </c>
      <c r="B2797" s="1515" t="str">
        <f t="shared" si="442"/>
        <v>IDC</v>
      </c>
      <c r="C2797" s="1396" t="str">
        <f t="shared" si="442"/>
        <v>Yet to be approved</v>
      </c>
      <c r="D2797" s="1378" t="str">
        <f t="shared" si="442"/>
        <v>-</v>
      </c>
      <c r="E2797" s="1505">
        <f t="shared" si="442"/>
        <v>0</v>
      </c>
      <c r="F2797" s="1509">
        <f t="shared" si="436"/>
        <v>0</v>
      </c>
      <c r="G2797" s="1509">
        <f t="shared" si="437"/>
        <v>0</v>
      </c>
      <c r="H2797" s="1509">
        <f t="shared" si="438"/>
        <v>0</v>
      </c>
      <c r="I2797" s="1509">
        <v>0</v>
      </c>
      <c r="J2797" s="1509">
        <v>0</v>
      </c>
      <c r="K2797" s="1509"/>
      <c r="L2797" s="1509"/>
      <c r="M2797" s="1509">
        <f t="shared" si="439"/>
        <v>0</v>
      </c>
      <c r="N2797" s="1509">
        <f t="shared" si="440"/>
        <v>0</v>
      </c>
    </row>
    <row r="2798" spans="1:14" customFormat="1" ht="29" outlineLevel="1" x14ac:dyDescent="0.25">
      <c r="A2798" s="1506">
        <f t="shared" si="442"/>
        <v>28</v>
      </c>
      <c r="B2798" s="1507" t="str">
        <f t="shared" si="442"/>
        <v>ASH  EVACUATION  IMPROVEMENT  AND  PERFORMANCE &amp; EFFICIENCY OF ASH HANDLING SYSTEM At NPTPS Parli-V AT TPS PARLI-V.</v>
      </c>
      <c r="C2798" s="1506" t="str">
        <f t="shared" si="442"/>
        <v>Yet to be approved</v>
      </c>
      <c r="D2798" s="1507" t="str">
        <f t="shared" si="442"/>
        <v>-</v>
      </c>
      <c r="E2798" s="1506">
        <f t="shared" si="442"/>
        <v>0</v>
      </c>
      <c r="F2798" s="1509">
        <f t="shared" si="436"/>
        <v>0</v>
      </c>
      <c r="G2798" s="1509">
        <f t="shared" si="437"/>
        <v>0</v>
      </c>
      <c r="H2798" s="1509">
        <f t="shared" si="438"/>
        <v>0</v>
      </c>
      <c r="I2798" s="1509">
        <v>0</v>
      </c>
      <c r="J2798" s="1509">
        <v>0</v>
      </c>
      <c r="K2798" s="1509"/>
      <c r="L2798" s="1509"/>
      <c r="M2798" s="1509">
        <f t="shared" si="439"/>
        <v>0</v>
      </c>
      <c r="N2798" s="1509">
        <f t="shared" si="440"/>
        <v>0</v>
      </c>
    </row>
    <row r="2799" spans="1:14" customFormat="1" outlineLevel="1" x14ac:dyDescent="0.25">
      <c r="A2799" s="1511">
        <f t="shared" si="442"/>
        <v>28.1</v>
      </c>
      <c r="B2799" s="1515" t="str">
        <f t="shared" si="442"/>
        <v>GEHO pump critical assemblies replacement.</v>
      </c>
      <c r="C2799" s="1396" t="str">
        <f t="shared" si="442"/>
        <v>Yet to be approved</v>
      </c>
      <c r="D2799" s="1378" t="str">
        <f t="shared" si="442"/>
        <v>-</v>
      </c>
      <c r="E2799" s="1505">
        <f t="shared" si="442"/>
        <v>0</v>
      </c>
      <c r="F2799" s="1509">
        <f t="shared" si="436"/>
        <v>13.32</v>
      </c>
      <c r="G2799" s="1509">
        <f t="shared" si="437"/>
        <v>13.32</v>
      </c>
      <c r="H2799" s="1509">
        <f t="shared" si="438"/>
        <v>0</v>
      </c>
      <c r="I2799" s="1509">
        <v>0</v>
      </c>
      <c r="J2799" s="1509">
        <v>0</v>
      </c>
      <c r="K2799" s="1509"/>
      <c r="L2799" s="1509"/>
      <c r="M2799" s="1509">
        <f t="shared" si="439"/>
        <v>0</v>
      </c>
      <c r="N2799" s="1509">
        <f t="shared" si="440"/>
        <v>0</v>
      </c>
    </row>
    <row r="2800" spans="1:14" customFormat="1" ht="29" outlineLevel="1" x14ac:dyDescent="0.25">
      <c r="A2800" s="1511">
        <f t="shared" si="442"/>
        <v>28.2</v>
      </c>
      <c r="B2800" s="1515" t="str">
        <f t="shared" si="442"/>
        <v xml:space="preserve">DESIGN , SUPPLY &amp; REPLCEMENT OF  HP WATER PUMP COMPLTE ASSEMBLY ALONG WITH GEAR BOX, MOTORS </v>
      </c>
      <c r="C2800" s="1396" t="str">
        <f t="shared" si="442"/>
        <v>Yet to be approved</v>
      </c>
      <c r="D2800" s="1378" t="str">
        <f t="shared" si="442"/>
        <v>-</v>
      </c>
      <c r="E2800" s="1505">
        <f t="shared" si="442"/>
        <v>0</v>
      </c>
      <c r="F2800" s="1509">
        <f t="shared" si="436"/>
        <v>1.17</v>
      </c>
      <c r="G2800" s="1509">
        <f t="shared" si="437"/>
        <v>1.17</v>
      </c>
      <c r="H2800" s="1509">
        <f t="shared" si="438"/>
        <v>0</v>
      </c>
      <c r="I2800" s="1509">
        <v>0</v>
      </c>
      <c r="J2800" s="1509">
        <v>0</v>
      </c>
      <c r="K2800" s="1509"/>
      <c r="L2800" s="1509"/>
      <c r="M2800" s="1509">
        <f t="shared" si="439"/>
        <v>0</v>
      </c>
      <c r="N2800" s="1509">
        <f t="shared" si="440"/>
        <v>0</v>
      </c>
    </row>
    <row r="2801" spans="1:14" customFormat="1" outlineLevel="1" x14ac:dyDescent="0.25">
      <c r="A2801" s="1511">
        <f t="shared" si="442"/>
        <v>28.3</v>
      </c>
      <c r="B2801" s="1515" t="str">
        <f t="shared" si="442"/>
        <v>Upgradation of BA clinker grinder  at U#6/7</v>
      </c>
      <c r="C2801" s="1396" t="str">
        <f t="shared" si="442"/>
        <v>Yet to be approved</v>
      </c>
      <c r="D2801" s="1378" t="str">
        <f t="shared" si="442"/>
        <v>-</v>
      </c>
      <c r="E2801" s="1505">
        <f t="shared" si="442"/>
        <v>0</v>
      </c>
      <c r="F2801" s="1509">
        <f t="shared" si="436"/>
        <v>2.08</v>
      </c>
      <c r="G2801" s="1509">
        <f t="shared" si="437"/>
        <v>2.08</v>
      </c>
      <c r="H2801" s="1509">
        <f t="shared" si="438"/>
        <v>0</v>
      </c>
      <c r="I2801" s="1509">
        <v>0</v>
      </c>
      <c r="J2801" s="1509">
        <v>0</v>
      </c>
      <c r="K2801" s="1509"/>
      <c r="L2801" s="1509"/>
      <c r="M2801" s="1509">
        <f t="shared" si="439"/>
        <v>0</v>
      </c>
      <c r="N2801" s="1509">
        <f t="shared" si="440"/>
        <v>0</v>
      </c>
    </row>
    <row r="2802" spans="1:14" customFormat="1" ht="29" outlineLevel="1" x14ac:dyDescent="0.25">
      <c r="A2802" s="1511">
        <f t="shared" si="442"/>
        <v>28.4</v>
      </c>
      <c r="B2802" s="1515" t="str">
        <f t="shared" si="442"/>
        <v>Scheme 4: Spares for premium make ash mixer gear box H1-160 5.06/1, P2 O No.160106, Sr No.2RF 12629 &amp; H1-180 1.35/1</v>
      </c>
      <c r="C2802" s="1396" t="str">
        <f t="shared" si="442"/>
        <v>Yet to be approved</v>
      </c>
      <c r="D2802" s="1378" t="str">
        <f t="shared" si="442"/>
        <v>-</v>
      </c>
      <c r="E2802" s="1505">
        <f t="shared" si="442"/>
        <v>0</v>
      </c>
      <c r="F2802" s="1509">
        <f t="shared" si="436"/>
        <v>0.42</v>
      </c>
      <c r="G2802" s="1509">
        <f t="shared" si="437"/>
        <v>0.42</v>
      </c>
      <c r="H2802" s="1509">
        <f t="shared" si="438"/>
        <v>0</v>
      </c>
      <c r="I2802" s="1509">
        <v>0</v>
      </c>
      <c r="J2802" s="1509">
        <v>0</v>
      </c>
      <c r="K2802" s="1509"/>
      <c r="L2802" s="1509"/>
      <c r="M2802" s="1509">
        <f t="shared" si="439"/>
        <v>0</v>
      </c>
      <c r="N2802" s="1509">
        <f t="shared" si="440"/>
        <v>0</v>
      </c>
    </row>
    <row r="2803" spans="1:14" customFormat="1" outlineLevel="1" x14ac:dyDescent="0.25">
      <c r="A2803" s="1511">
        <f t="shared" si="442"/>
        <v>28.5</v>
      </c>
      <c r="B2803" s="1515" t="str">
        <f t="shared" si="442"/>
        <v>Spares for premium make ash mixer gear box  VB2SA-225 17.1/1p1</v>
      </c>
      <c r="C2803" s="1396" t="str">
        <f t="shared" si="442"/>
        <v>Yet to be approved</v>
      </c>
      <c r="D2803" s="1378" t="str">
        <f t="shared" si="442"/>
        <v>-</v>
      </c>
      <c r="E2803" s="1505">
        <f t="shared" si="442"/>
        <v>0</v>
      </c>
      <c r="F2803" s="1509">
        <f t="shared" si="436"/>
        <v>0.34</v>
      </c>
      <c r="G2803" s="1509">
        <f t="shared" si="437"/>
        <v>0.34</v>
      </c>
      <c r="H2803" s="1509">
        <f t="shared" si="438"/>
        <v>0</v>
      </c>
      <c r="I2803" s="1509">
        <v>0</v>
      </c>
      <c r="J2803" s="1509">
        <v>0</v>
      </c>
      <c r="K2803" s="1509"/>
      <c r="L2803" s="1509"/>
      <c r="M2803" s="1509">
        <f t="shared" si="439"/>
        <v>0</v>
      </c>
      <c r="N2803" s="1509">
        <f t="shared" si="440"/>
        <v>0</v>
      </c>
    </row>
    <row r="2804" spans="1:14" customFormat="1" outlineLevel="1" x14ac:dyDescent="0.25">
      <c r="A2804" s="1511">
        <f t="shared" si="442"/>
        <v>28.6</v>
      </c>
      <c r="B2804" s="1515" t="str">
        <f t="shared" si="442"/>
        <v xml:space="preserve">DESIGN , SUPPLY &amp; REPLCEMENT  VACUUM PUMP  </v>
      </c>
      <c r="C2804" s="1396" t="str">
        <f t="shared" si="442"/>
        <v>Yet to be approved</v>
      </c>
      <c r="D2804" s="1378" t="str">
        <f t="shared" si="442"/>
        <v>-</v>
      </c>
      <c r="E2804" s="1505">
        <f t="shared" si="442"/>
        <v>0</v>
      </c>
      <c r="F2804" s="1509">
        <f t="shared" si="436"/>
        <v>1.41</v>
      </c>
      <c r="G2804" s="1509">
        <f t="shared" si="437"/>
        <v>1.41</v>
      </c>
      <c r="H2804" s="1509">
        <f t="shared" si="438"/>
        <v>0</v>
      </c>
      <c r="I2804" s="1509">
        <v>0</v>
      </c>
      <c r="J2804" s="1509">
        <v>0</v>
      </c>
      <c r="K2804" s="1509"/>
      <c r="L2804" s="1509"/>
      <c r="M2804" s="1509">
        <f t="shared" si="439"/>
        <v>0</v>
      </c>
      <c r="N2804" s="1509">
        <f t="shared" si="440"/>
        <v>0</v>
      </c>
    </row>
    <row r="2805" spans="1:14" customFormat="1" outlineLevel="1" x14ac:dyDescent="0.25">
      <c r="A2805" s="1511">
        <f t="shared" si="442"/>
        <v>0</v>
      </c>
      <c r="B2805" s="1515" t="str">
        <f t="shared" si="442"/>
        <v>IDC</v>
      </c>
      <c r="C2805" s="1396" t="str">
        <f t="shared" si="442"/>
        <v>Yet to be approved</v>
      </c>
      <c r="D2805" s="1378" t="str">
        <f t="shared" si="442"/>
        <v>-</v>
      </c>
      <c r="E2805" s="1505">
        <f t="shared" si="442"/>
        <v>0</v>
      </c>
      <c r="F2805" s="1509">
        <f t="shared" si="436"/>
        <v>0</v>
      </c>
      <c r="G2805" s="1509">
        <f t="shared" si="437"/>
        <v>0</v>
      </c>
      <c r="H2805" s="1509">
        <f t="shared" si="438"/>
        <v>0</v>
      </c>
      <c r="I2805" s="1509">
        <v>0</v>
      </c>
      <c r="J2805" s="1509">
        <v>0</v>
      </c>
      <c r="K2805" s="1509"/>
      <c r="L2805" s="1509"/>
      <c r="M2805" s="1509">
        <f t="shared" si="439"/>
        <v>0</v>
      </c>
      <c r="N2805" s="1509">
        <f t="shared" si="440"/>
        <v>0</v>
      </c>
    </row>
    <row r="2806" spans="1:14" customFormat="1" ht="29" outlineLevel="1" x14ac:dyDescent="0.25">
      <c r="A2806" s="1506">
        <f t="shared" si="442"/>
        <v>29</v>
      </c>
      <c r="B2806" s="1507" t="str">
        <f t="shared" si="442"/>
        <v>ASH  EVACUATION  IMPROVEMENT  AND  PERFORMANCE &amp; EFFICIENCY OF ASH HANDLING SYSTEM At NPTPS Parli-V AT TPS PARLI-V.</v>
      </c>
      <c r="C2806" s="1506" t="str">
        <f t="shared" si="442"/>
        <v>Yet to be approved</v>
      </c>
      <c r="D2806" s="1507" t="str">
        <f t="shared" si="442"/>
        <v>-</v>
      </c>
      <c r="E2806" s="1506">
        <f t="shared" si="442"/>
        <v>0</v>
      </c>
      <c r="F2806" s="1509">
        <f t="shared" si="436"/>
        <v>0</v>
      </c>
      <c r="G2806" s="1509">
        <f t="shared" si="437"/>
        <v>0</v>
      </c>
      <c r="H2806" s="1509">
        <f t="shared" si="438"/>
        <v>0</v>
      </c>
      <c r="I2806" s="1509">
        <v>0</v>
      </c>
      <c r="J2806" s="1509">
        <v>0</v>
      </c>
      <c r="K2806" s="1509"/>
      <c r="L2806" s="1509"/>
      <c r="M2806" s="1509">
        <f t="shared" si="439"/>
        <v>0</v>
      </c>
      <c r="N2806" s="1509">
        <f t="shared" si="440"/>
        <v>0</v>
      </c>
    </row>
    <row r="2807" spans="1:14" customFormat="1" ht="43.5" outlineLevel="1" x14ac:dyDescent="0.25">
      <c r="A2807" s="1511">
        <f t="shared" si="442"/>
        <v>29.1</v>
      </c>
      <c r="B2807" s="1515" t="str">
        <f t="shared" si="442"/>
        <v>Procurement &amp; replacement of 300 NB,200NB Cash Basalt Pipelines with the existing MSERW pipe of ash disposal system of Unit #6&amp;  7 at Parli TPS, Parli V .</v>
      </c>
      <c r="C2807" s="1396" t="str">
        <f t="shared" si="442"/>
        <v>Yet to be approved</v>
      </c>
      <c r="D2807" s="1378" t="str">
        <f t="shared" si="442"/>
        <v>-</v>
      </c>
      <c r="E2807" s="1505">
        <f t="shared" si="442"/>
        <v>0</v>
      </c>
      <c r="F2807" s="1509">
        <f t="shared" si="436"/>
        <v>6.61</v>
      </c>
      <c r="G2807" s="1509">
        <f t="shared" si="437"/>
        <v>6.61</v>
      </c>
      <c r="H2807" s="1509">
        <f t="shared" si="438"/>
        <v>0</v>
      </c>
      <c r="I2807" s="1509">
        <v>0</v>
      </c>
      <c r="J2807" s="1509">
        <v>0</v>
      </c>
      <c r="K2807" s="1509"/>
      <c r="L2807" s="1509"/>
      <c r="M2807" s="1509">
        <f t="shared" si="439"/>
        <v>0</v>
      </c>
      <c r="N2807" s="1509">
        <f t="shared" si="440"/>
        <v>0</v>
      </c>
    </row>
    <row r="2808" spans="1:14" customFormat="1" ht="43.5" outlineLevel="1" x14ac:dyDescent="0.25">
      <c r="A2808" s="1511">
        <f t="shared" si="442"/>
        <v>29.2</v>
      </c>
      <c r="B2808" s="1515" t="str">
        <f t="shared" si="442"/>
        <v>Procurement of MOTORS, RELAY ,BREAKERS &amp; RETROFITTING   for pumps , IAC/CAC to improve availability &amp; performance of Bottom ash,  Coarse Ash &amp;  fly ash system of AHP, unit 6</v>
      </c>
      <c r="C2808" s="1396" t="str">
        <f t="shared" si="442"/>
        <v>Yet to be approved</v>
      </c>
      <c r="D2808" s="1378" t="str">
        <f t="shared" si="442"/>
        <v>-</v>
      </c>
      <c r="E2808" s="1505">
        <f t="shared" si="442"/>
        <v>0</v>
      </c>
      <c r="F2808" s="1509">
        <f t="shared" si="436"/>
        <v>3.5</v>
      </c>
      <c r="G2808" s="1509">
        <f t="shared" si="437"/>
        <v>3.5</v>
      </c>
      <c r="H2808" s="1509">
        <f t="shared" si="438"/>
        <v>0</v>
      </c>
      <c r="I2808" s="1509">
        <v>0</v>
      </c>
      <c r="J2808" s="1509">
        <v>0</v>
      </c>
      <c r="K2808" s="1509"/>
      <c r="L2808" s="1509"/>
      <c r="M2808" s="1509">
        <f t="shared" si="439"/>
        <v>0</v>
      </c>
      <c r="N2808" s="1509">
        <f t="shared" si="440"/>
        <v>0</v>
      </c>
    </row>
    <row r="2809" spans="1:14" customFormat="1" outlineLevel="1" x14ac:dyDescent="0.25">
      <c r="A2809" s="1511">
        <f t="shared" si="442"/>
        <v>29.3</v>
      </c>
      <c r="B2809" s="1515" t="str">
        <f t="shared" si="442"/>
        <v>DESIGN , SUPPLY &amp; REPLCEMENT  VACUUM PUMP U#6</v>
      </c>
      <c r="C2809" s="1396" t="str">
        <f t="shared" si="442"/>
        <v>Yet to be approved</v>
      </c>
      <c r="D2809" s="1378" t="str">
        <f t="shared" si="442"/>
        <v>-</v>
      </c>
      <c r="E2809" s="1505">
        <f t="shared" si="442"/>
        <v>0</v>
      </c>
      <c r="F2809" s="1509">
        <f t="shared" si="436"/>
        <v>1.41</v>
      </c>
      <c r="G2809" s="1509">
        <f t="shared" si="437"/>
        <v>1.41</v>
      </c>
      <c r="H2809" s="1509">
        <f t="shared" si="438"/>
        <v>0</v>
      </c>
      <c r="I2809" s="1509">
        <v>0</v>
      </c>
      <c r="J2809" s="1509">
        <v>0</v>
      </c>
      <c r="K2809" s="1509"/>
      <c r="L2809" s="1509"/>
      <c r="M2809" s="1509">
        <f t="shared" si="439"/>
        <v>0</v>
      </c>
      <c r="N2809" s="1509">
        <f t="shared" si="440"/>
        <v>0</v>
      </c>
    </row>
    <row r="2810" spans="1:14" customFormat="1" outlineLevel="1" x14ac:dyDescent="0.25">
      <c r="A2810" s="1511">
        <f t="shared" si="442"/>
        <v>0</v>
      </c>
      <c r="B2810" s="1515" t="str">
        <f t="shared" si="442"/>
        <v>IDC</v>
      </c>
      <c r="C2810" s="1396" t="str">
        <f t="shared" si="442"/>
        <v>Yet to be approved</v>
      </c>
      <c r="D2810" s="1378" t="str">
        <f t="shared" si="442"/>
        <v>-</v>
      </c>
      <c r="E2810" s="1505">
        <f t="shared" si="442"/>
        <v>0</v>
      </c>
      <c r="F2810" s="1509">
        <f t="shared" si="436"/>
        <v>0</v>
      </c>
      <c r="G2810" s="1509">
        <f t="shared" si="437"/>
        <v>0</v>
      </c>
      <c r="H2810" s="1509">
        <f t="shared" si="438"/>
        <v>0</v>
      </c>
      <c r="I2810" s="1509">
        <v>0</v>
      </c>
      <c r="J2810" s="1509">
        <v>0</v>
      </c>
      <c r="K2810" s="1509"/>
      <c r="L2810" s="1509"/>
      <c r="M2810" s="1509">
        <f t="shared" si="439"/>
        <v>0</v>
      </c>
      <c r="N2810" s="1509">
        <f t="shared" si="440"/>
        <v>0</v>
      </c>
    </row>
    <row r="2811" spans="1:14" customFormat="1" ht="29" outlineLevel="1" x14ac:dyDescent="0.25">
      <c r="A2811" s="1506">
        <f t="shared" si="442"/>
        <v>30</v>
      </c>
      <c r="B2811" s="1507" t="str">
        <f t="shared" si="442"/>
        <v>ASH  EVACUATION  IMPROVEMENT  AND  PERFORMANCE &amp; EFFICIENCY OF ASH HANDLING SYSTEM At NPTPS Parli-V AT TPS PARLI-V.</v>
      </c>
      <c r="C2811" s="1506" t="str">
        <f t="shared" si="442"/>
        <v>Yet to be approved</v>
      </c>
      <c r="D2811" s="1507" t="str">
        <f t="shared" si="442"/>
        <v>-</v>
      </c>
      <c r="E2811" s="1506">
        <f t="shared" si="442"/>
        <v>0</v>
      </c>
      <c r="F2811" s="1509">
        <f t="shared" si="436"/>
        <v>0</v>
      </c>
      <c r="G2811" s="1509">
        <f t="shared" si="437"/>
        <v>0</v>
      </c>
      <c r="H2811" s="1509">
        <f t="shared" si="438"/>
        <v>0</v>
      </c>
      <c r="I2811" s="1509">
        <v>0</v>
      </c>
      <c r="J2811" s="1509">
        <v>0</v>
      </c>
      <c r="K2811" s="1509"/>
      <c r="L2811" s="1509"/>
      <c r="M2811" s="1509">
        <f t="shared" si="439"/>
        <v>0</v>
      </c>
      <c r="N2811" s="1509">
        <f t="shared" si="440"/>
        <v>0</v>
      </c>
    </row>
    <row r="2812" spans="1:14" customFormat="1" outlineLevel="1" x14ac:dyDescent="0.25">
      <c r="A2812" s="1511">
        <f t="shared" si="442"/>
        <v>30.1</v>
      </c>
      <c r="B2812" s="1515" t="str">
        <f t="shared" si="442"/>
        <v>DESIGN , SUPPLY &amp; REPLCEMENT  VACUUM PUMP</v>
      </c>
      <c r="C2812" s="1396" t="str">
        <f t="shared" si="442"/>
        <v>Yet to be approved</v>
      </c>
      <c r="D2812" s="1378" t="str">
        <f t="shared" si="442"/>
        <v>-</v>
      </c>
      <c r="E2812" s="1505">
        <f t="shared" si="442"/>
        <v>0</v>
      </c>
      <c r="F2812" s="1509">
        <f t="shared" si="436"/>
        <v>0</v>
      </c>
      <c r="G2812" s="1509">
        <f t="shared" si="437"/>
        <v>0</v>
      </c>
      <c r="H2812" s="1509">
        <f t="shared" si="438"/>
        <v>0</v>
      </c>
      <c r="I2812" s="1509">
        <v>1.41</v>
      </c>
      <c r="J2812" s="1509">
        <v>1.41</v>
      </c>
      <c r="K2812" s="1509"/>
      <c r="L2812" s="1509"/>
      <c r="M2812" s="1509">
        <f t="shared" si="439"/>
        <v>1.41</v>
      </c>
      <c r="N2812" s="1509">
        <f t="shared" si="440"/>
        <v>0</v>
      </c>
    </row>
    <row r="2813" spans="1:14" customFormat="1" ht="29" outlineLevel="1" x14ac:dyDescent="0.25">
      <c r="A2813" s="1511">
        <f t="shared" ref="A2813:E2828" si="443">A2456</f>
        <v>30.2</v>
      </c>
      <c r="B2813" s="1515" t="str">
        <f t="shared" si="443"/>
        <v>DESIGN , SUPPLY &amp; REPLCEMENT OF  ASH DISPOSAL SLURRY PUMP  COMPLTE ASSEMBLY ALONG WITH GEAR BOX, MOTORS U-6&amp; 7</v>
      </c>
      <c r="C2813" s="1396" t="str">
        <f t="shared" si="443"/>
        <v>Yet to be approved</v>
      </c>
      <c r="D2813" s="1378" t="str">
        <f t="shared" si="443"/>
        <v>-</v>
      </c>
      <c r="E2813" s="1505">
        <f t="shared" si="443"/>
        <v>0</v>
      </c>
      <c r="F2813" s="1509">
        <f t="shared" si="436"/>
        <v>0</v>
      </c>
      <c r="G2813" s="1509">
        <f t="shared" si="437"/>
        <v>0</v>
      </c>
      <c r="H2813" s="1509">
        <f t="shared" si="438"/>
        <v>0</v>
      </c>
      <c r="I2813" s="1509">
        <v>1.17</v>
      </c>
      <c r="J2813" s="1509">
        <v>1.17</v>
      </c>
      <c r="K2813" s="1509"/>
      <c r="L2813" s="1509"/>
      <c r="M2813" s="1509">
        <f t="shared" si="439"/>
        <v>1.17</v>
      </c>
      <c r="N2813" s="1509">
        <f t="shared" si="440"/>
        <v>0</v>
      </c>
    </row>
    <row r="2814" spans="1:14" customFormat="1" ht="29" outlineLevel="1" x14ac:dyDescent="0.25">
      <c r="A2814" s="1511">
        <f t="shared" si="443"/>
        <v>30.3</v>
      </c>
      <c r="B2814" s="1515" t="str">
        <f t="shared" si="443"/>
        <v>DESIGN , SUPPLY &amp; REPLCEMENT OF  HP WATER PUMP COMPLTE ASSEMBLY ALONG WITH GEAR BOX, MOTORS U-6&amp; 7</v>
      </c>
      <c r="C2814" s="1396" t="str">
        <f t="shared" si="443"/>
        <v>Yet to be approved</v>
      </c>
      <c r="D2814" s="1378" t="str">
        <f t="shared" si="443"/>
        <v>-</v>
      </c>
      <c r="E2814" s="1505">
        <f t="shared" si="443"/>
        <v>0</v>
      </c>
      <c r="F2814" s="1509">
        <f t="shared" si="436"/>
        <v>0</v>
      </c>
      <c r="G2814" s="1509">
        <f t="shared" si="437"/>
        <v>0</v>
      </c>
      <c r="H2814" s="1509">
        <f t="shared" si="438"/>
        <v>0</v>
      </c>
      <c r="I2814" s="1509">
        <v>2.08</v>
      </c>
      <c r="J2814" s="1509">
        <v>2.08</v>
      </c>
      <c r="K2814" s="1509"/>
      <c r="L2814" s="1509"/>
      <c r="M2814" s="1509">
        <f t="shared" si="439"/>
        <v>2.08</v>
      </c>
      <c r="N2814" s="1509">
        <f t="shared" si="440"/>
        <v>0</v>
      </c>
    </row>
    <row r="2815" spans="1:14" customFormat="1" ht="43.5" outlineLevel="1" x14ac:dyDescent="0.25">
      <c r="A2815" s="1511">
        <f t="shared" si="443"/>
        <v>30.4</v>
      </c>
      <c r="B2815" s="1515" t="str">
        <f t="shared" si="443"/>
        <v xml:space="preserve"> Procurement of MOTORS, RELAY ,BREAKERS &amp; RETROFITTING   for HCSD  to improve availability &amp; performance of Bottom ash,  Coarse Ash &amp;  fly ash system of AHP, unit 6</v>
      </c>
      <c r="C2815" s="1396" t="str">
        <f t="shared" si="443"/>
        <v>Yet to be approved</v>
      </c>
      <c r="D2815" s="1378" t="str">
        <f t="shared" si="443"/>
        <v>-</v>
      </c>
      <c r="E2815" s="1505">
        <f t="shared" si="443"/>
        <v>0</v>
      </c>
      <c r="F2815" s="1509">
        <f t="shared" si="436"/>
        <v>0</v>
      </c>
      <c r="G2815" s="1509">
        <f t="shared" si="437"/>
        <v>0</v>
      </c>
      <c r="H2815" s="1509">
        <f t="shared" si="438"/>
        <v>0</v>
      </c>
      <c r="I2815" s="1509">
        <v>4.5</v>
      </c>
      <c r="J2815" s="1509">
        <v>4.5</v>
      </c>
      <c r="K2815" s="1509"/>
      <c r="L2815" s="1509"/>
      <c r="M2815" s="1509">
        <f t="shared" si="439"/>
        <v>4.5</v>
      </c>
      <c r="N2815" s="1509">
        <f t="shared" si="440"/>
        <v>0</v>
      </c>
    </row>
    <row r="2816" spans="1:14" customFormat="1" ht="29" outlineLevel="1" x14ac:dyDescent="0.25">
      <c r="A2816" s="1511">
        <f t="shared" si="443"/>
        <v>30.5</v>
      </c>
      <c r="B2816" s="1515" t="str">
        <f t="shared" si="443"/>
        <v>Upgradation of reciprocating  Conveying Air compressor into screw compressor  at U#6</v>
      </c>
      <c r="C2816" s="1396" t="str">
        <f t="shared" si="443"/>
        <v>Yet to be approved</v>
      </c>
      <c r="D2816" s="1378" t="str">
        <f t="shared" si="443"/>
        <v>-</v>
      </c>
      <c r="E2816" s="1505">
        <f t="shared" si="443"/>
        <v>0</v>
      </c>
      <c r="F2816" s="1509">
        <f t="shared" si="436"/>
        <v>0</v>
      </c>
      <c r="G2816" s="1509">
        <f t="shared" si="437"/>
        <v>0</v>
      </c>
      <c r="H2816" s="1509">
        <f t="shared" si="438"/>
        <v>0</v>
      </c>
      <c r="I2816" s="1509">
        <v>5.98</v>
      </c>
      <c r="J2816" s="1509">
        <v>5.98</v>
      </c>
      <c r="K2816" s="1509"/>
      <c r="L2816" s="1509"/>
      <c r="M2816" s="1509">
        <f t="shared" si="439"/>
        <v>5.98</v>
      </c>
      <c r="N2816" s="1509">
        <f t="shared" si="440"/>
        <v>0</v>
      </c>
    </row>
    <row r="2817" spans="1:14" customFormat="1" ht="29" outlineLevel="1" x14ac:dyDescent="0.25">
      <c r="A2817" s="1511">
        <f t="shared" si="443"/>
        <v>30.6</v>
      </c>
      <c r="B2817" s="1515" t="str">
        <f t="shared" si="443"/>
        <v xml:space="preserve">Upgradation of reciprocating  Instrument  Air compressor into screw compressor  at U#6  </v>
      </c>
      <c r="C2817" s="1396" t="str">
        <f t="shared" si="443"/>
        <v>Yet to be approved</v>
      </c>
      <c r="D2817" s="1378" t="str">
        <f t="shared" si="443"/>
        <v>-</v>
      </c>
      <c r="E2817" s="1505">
        <f t="shared" si="443"/>
        <v>0</v>
      </c>
      <c r="F2817" s="1509">
        <f t="shared" si="436"/>
        <v>0</v>
      </c>
      <c r="G2817" s="1509">
        <f t="shared" si="437"/>
        <v>0</v>
      </c>
      <c r="H2817" s="1509">
        <f t="shared" si="438"/>
        <v>0</v>
      </c>
      <c r="I2817" s="1509">
        <v>3.98</v>
      </c>
      <c r="J2817" s="1509">
        <v>3.98</v>
      </c>
      <c r="K2817" s="1509"/>
      <c r="L2817" s="1509"/>
      <c r="M2817" s="1509">
        <f t="shared" si="439"/>
        <v>3.98</v>
      </c>
      <c r="N2817" s="1509">
        <f t="shared" si="440"/>
        <v>0</v>
      </c>
    </row>
    <row r="2818" spans="1:14" customFormat="1" outlineLevel="1" x14ac:dyDescent="0.25">
      <c r="A2818" s="1511">
        <f t="shared" si="443"/>
        <v>0</v>
      </c>
      <c r="B2818" s="1515" t="str">
        <f t="shared" si="443"/>
        <v>IDC</v>
      </c>
      <c r="C2818" s="1396" t="str">
        <f t="shared" si="443"/>
        <v>Yet to be approved</v>
      </c>
      <c r="D2818" s="1378" t="str">
        <f t="shared" si="443"/>
        <v>-</v>
      </c>
      <c r="E2818" s="1505">
        <f t="shared" si="443"/>
        <v>0</v>
      </c>
      <c r="F2818" s="1509">
        <f t="shared" si="436"/>
        <v>0</v>
      </c>
      <c r="G2818" s="1509">
        <f t="shared" si="437"/>
        <v>0</v>
      </c>
      <c r="H2818" s="1509">
        <f t="shared" si="438"/>
        <v>0</v>
      </c>
      <c r="I2818" s="1509">
        <v>0</v>
      </c>
      <c r="J2818" s="1509">
        <v>0</v>
      </c>
      <c r="K2818" s="1509"/>
      <c r="L2818" s="1509"/>
      <c r="M2818" s="1509">
        <f t="shared" si="439"/>
        <v>0</v>
      </c>
      <c r="N2818" s="1509">
        <f t="shared" si="440"/>
        <v>0</v>
      </c>
    </row>
    <row r="2819" spans="1:14" customFormat="1" outlineLevel="1" x14ac:dyDescent="0.25">
      <c r="A2819" s="1506">
        <f t="shared" si="443"/>
        <v>31</v>
      </c>
      <c r="B2819" s="1507" t="str">
        <f t="shared" si="443"/>
        <v xml:space="preserve">Construction of VIP guest house building at TPS Parli Vaijnath  </v>
      </c>
      <c r="C2819" s="1506" t="str">
        <f t="shared" si="443"/>
        <v>Yet to be approved</v>
      </c>
      <c r="D2819" s="1507" t="str">
        <f t="shared" si="443"/>
        <v>-</v>
      </c>
      <c r="E2819" s="1506">
        <f t="shared" si="443"/>
        <v>0</v>
      </c>
      <c r="F2819" s="1509">
        <f t="shared" si="436"/>
        <v>0</v>
      </c>
      <c r="G2819" s="1509">
        <f t="shared" si="437"/>
        <v>0</v>
      </c>
      <c r="H2819" s="1509">
        <f t="shared" si="438"/>
        <v>0</v>
      </c>
      <c r="I2819" s="1509">
        <v>0</v>
      </c>
      <c r="J2819" s="1509">
        <v>0</v>
      </c>
      <c r="K2819" s="1509"/>
      <c r="L2819" s="1509"/>
      <c r="M2819" s="1509">
        <f t="shared" si="439"/>
        <v>0</v>
      </c>
      <c r="N2819" s="1509">
        <f t="shared" si="440"/>
        <v>0</v>
      </c>
    </row>
    <row r="2820" spans="1:14" customFormat="1" outlineLevel="1" x14ac:dyDescent="0.25">
      <c r="A2820" s="1511">
        <f t="shared" si="443"/>
        <v>31.1</v>
      </c>
      <c r="B2820" s="1515" t="str">
        <f t="shared" si="443"/>
        <v xml:space="preserve">Construction of VIP guest house building at TPS Parli Vaijnath  </v>
      </c>
      <c r="C2820" s="1396" t="str">
        <f t="shared" si="443"/>
        <v>Yet to be approved</v>
      </c>
      <c r="D2820" s="1378" t="str">
        <f t="shared" si="443"/>
        <v>-</v>
      </c>
      <c r="E2820" s="1505">
        <f t="shared" si="443"/>
        <v>0</v>
      </c>
      <c r="F2820" s="1509">
        <f t="shared" si="436"/>
        <v>26.98</v>
      </c>
      <c r="G2820" s="1509">
        <f t="shared" si="437"/>
        <v>26.98</v>
      </c>
      <c r="H2820" s="1509">
        <f t="shared" si="438"/>
        <v>0</v>
      </c>
      <c r="I2820" s="1509">
        <v>0</v>
      </c>
      <c r="J2820" s="1509">
        <v>0</v>
      </c>
      <c r="K2820" s="1509"/>
      <c r="L2820" s="1509"/>
      <c r="M2820" s="1509">
        <f t="shared" si="439"/>
        <v>0</v>
      </c>
      <c r="N2820" s="1509">
        <f t="shared" si="440"/>
        <v>0</v>
      </c>
    </row>
    <row r="2821" spans="1:14" customFormat="1" ht="43.5" outlineLevel="1" x14ac:dyDescent="0.25">
      <c r="A2821" s="1506">
        <f t="shared" si="443"/>
        <v>32</v>
      </c>
      <c r="B2821" s="1507" t="str">
        <f t="shared" si="443"/>
        <v xml:space="preserve"> Permanent water supply scheme for parli TPS by lifting water from Dead storage of Majalgaon dam and supplying through enclosed pipe line at New TPS Parli Vaijnath.</v>
      </c>
      <c r="C2821" s="1506" t="str">
        <f t="shared" si="443"/>
        <v>Yet to be approved</v>
      </c>
      <c r="D2821" s="1507" t="str">
        <f t="shared" si="443"/>
        <v>-</v>
      </c>
      <c r="E2821" s="1506">
        <f t="shared" si="443"/>
        <v>0</v>
      </c>
      <c r="F2821" s="1509">
        <f t="shared" si="436"/>
        <v>0</v>
      </c>
      <c r="G2821" s="1509">
        <f t="shared" si="437"/>
        <v>0</v>
      </c>
      <c r="H2821" s="1509">
        <f t="shared" si="438"/>
        <v>0</v>
      </c>
      <c r="I2821" s="1509">
        <v>0</v>
      </c>
      <c r="J2821" s="1509">
        <v>0</v>
      </c>
      <c r="K2821" s="1509"/>
      <c r="L2821" s="1509"/>
      <c r="M2821" s="1509">
        <f t="shared" si="439"/>
        <v>0</v>
      </c>
      <c r="N2821" s="1509">
        <f t="shared" si="440"/>
        <v>0</v>
      </c>
    </row>
    <row r="2822" spans="1:14" customFormat="1" ht="43.5" outlineLevel="1" x14ac:dyDescent="0.25">
      <c r="A2822" s="1511">
        <f t="shared" si="443"/>
        <v>32.1</v>
      </c>
      <c r="B2822" s="1515" t="str">
        <f t="shared" si="443"/>
        <v xml:space="preserve"> Permanent water supply scheme for parli TPS by lifting water from Dead storage of Majalgaon dam and supplying through enclosed pipe line at New TPS Parli Vaijnath.</v>
      </c>
      <c r="C2822" s="1396" t="str">
        <f t="shared" si="443"/>
        <v>Yet to be approved</v>
      </c>
      <c r="D2822" s="1378" t="str">
        <f t="shared" si="443"/>
        <v>-</v>
      </c>
      <c r="E2822" s="1505">
        <f t="shared" si="443"/>
        <v>0</v>
      </c>
      <c r="F2822" s="1509">
        <f t="shared" si="436"/>
        <v>414.18</v>
      </c>
      <c r="G2822" s="1509">
        <f t="shared" si="437"/>
        <v>414.18</v>
      </c>
      <c r="H2822" s="1509">
        <f t="shared" si="438"/>
        <v>0</v>
      </c>
      <c r="I2822" s="1509">
        <v>0</v>
      </c>
      <c r="J2822" s="1509">
        <v>0</v>
      </c>
      <c r="K2822" s="1509"/>
      <c r="L2822" s="1509"/>
      <c r="M2822" s="1509">
        <f t="shared" si="439"/>
        <v>0</v>
      </c>
      <c r="N2822" s="1509">
        <f t="shared" si="440"/>
        <v>0</v>
      </c>
    </row>
    <row r="2823" spans="1:14" customFormat="1" ht="29" outlineLevel="1" x14ac:dyDescent="0.25">
      <c r="A2823" s="1511">
        <f t="shared" si="443"/>
        <v>32.200000000000003</v>
      </c>
      <c r="B2823" s="1515" t="str">
        <f t="shared" si="443"/>
        <v>Providing drinking water supply to GSR Tank of Shaktikunj Vasahat from Unit 6,7 and 8 premises new TPS Parli Vaijnath</v>
      </c>
      <c r="C2823" s="1396" t="str">
        <f t="shared" si="443"/>
        <v>Yet to be approved</v>
      </c>
      <c r="D2823" s="1378" t="str">
        <f t="shared" si="443"/>
        <v>-</v>
      </c>
      <c r="E2823" s="1505">
        <f t="shared" si="443"/>
        <v>0</v>
      </c>
      <c r="F2823" s="1509">
        <f t="shared" si="436"/>
        <v>17</v>
      </c>
      <c r="G2823" s="1509">
        <f t="shared" si="437"/>
        <v>17</v>
      </c>
      <c r="H2823" s="1509">
        <f t="shared" si="438"/>
        <v>0</v>
      </c>
      <c r="I2823" s="1509">
        <v>0</v>
      </c>
      <c r="J2823" s="1509">
        <v>0</v>
      </c>
      <c r="K2823" s="1509"/>
      <c r="L2823" s="1509"/>
      <c r="M2823" s="1509">
        <f t="shared" si="439"/>
        <v>0</v>
      </c>
      <c r="N2823" s="1509">
        <f t="shared" si="440"/>
        <v>0</v>
      </c>
    </row>
    <row r="2824" spans="1:14" customFormat="1" outlineLevel="1" x14ac:dyDescent="0.25">
      <c r="A2824" s="1506">
        <f t="shared" si="443"/>
        <v>33</v>
      </c>
      <c r="B2824" s="1507" t="str">
        <f t="shared" si="443"/>
        <v>DPR on Raw water leackage arresting</v>
      </c>
      <c r="C2824" s="1506" t="str">
        <f t="shared" si="443"/>
        <v>Yet to be approved</v>
      </c>
      <c r="D2824" s="1507" t="str">
        <f t="shared" si="443"/>
        <v>-</v>
      </c>
      <c r="E2824" s="1506">
        <f t="shared" si="443"/>
        <v>0</v>
      </c>
      <c r="F2824" s="1509">
        <f t="shared" si="436"/>
        <v>0</v>
      </c>
      <c r="G2824" s="1509">
        <f t="shared" si="437"/>
        <v>0</v>
      </c>
      <c r="H2824" s="1509">
        <f t="shared" si="438"/>
        <v>0</v>
      </c>
      <c r="I2824" s="1509">
        <v>0</v>
      </c>
      <c r="J2824" s="1509">
        <v>0</v>
      </c>
      <c r="K2824" s="1509"/>
      <c r="L2824" s="1509"/>
      <c r="M2824" s="1509">
        <f t="shared" si="439"/>
        <v>0</v>
      </c>
      <c r="N2824" s="1509">
        <f t="shared" si="440"/>
        <v>0</v>
      </c>
    </row>
    <row r="2825" spans="1:14" customFormat="1" outlineLevel="1" x14ac:dyDescent="0.25">
      <c r="A2825" s="1511">
        <f t="shared" si="443"/>
        <v>33.1</v>
      </c>
      <c r="B2825" s="1515" t="str">
        <f t="shared" si="443"/>
        <v xml:space="preserve">Raw water leackage arresting </v>
      </c>
      <c r="C2825" s="1396" t="str">
        <f t="shared" si="443"/>
        <v>Yet to be approved</v>
      </c>
      <c r="D2825" s="1378" t="str">
        <f t="shared" si="443"/>
        <v>-</v>
      </c>
      <c r="E2825" s="1505">
        <f t="shared" si="443"/>
        <v>0</v>
      </c>
      <c r="F2825" s="1509">
        <f t="shared" si="436"/>
        <v>36</v>
      </c>
      <c r="G2825" s="1509">
        <f t="shared" si="437"/>
        <v>36</v>
      </c>
      <c r="H2825" s="1509">
        <f t="shared" si="438"/>
        <v>0</v>
      </c>
      <c r="I2825" s="1509">
        <v>0</v>
      </c>
      <c r="J2825" s="1509">
        <v>0</v>
      </c>
      <c r="K2825" s="1509"/>
      <c r="L2825" s="1509"/>
      <c r="M2825" s="1509">
        <f t="shared" si="439"/>
        <v>0</v>
      </c>
      <c r="N2825" s="1509">
        <f t="shared" si="440"/>
        <v>0</v>
      </c>
    </row>
    <row r="2826" spans="1:14" customFormat="1" ht="29" outlineLevel="1" x14ac:dyDescent="0.25">
      <c r="A2826" s="1506">
        <f t="shared" si="443"/>
        <v>34</v>
      </c>
      <c r="B2826" s="1507" t="str">
        <f t="shared" si="443"/>
        <v>NDCT structural strenthing and leackage arresting througth  basin and CW channel of Unit 6,7</v>
      </c>
      <c r="C2826" s="1506" t="str">
        <f t="shared" si="443"/>
        <v>Yet to be approved</v>
      </c>
      <c r="D2826" s="1507" t="str">
        <f t="shared" si="443"/>
        <v>-</v>
      </c>
      <c r="E2826" s="1506">
        <f t="shared" si="443"/>
        <v>0</v>
      </c>
      <c r="F2826" s="1509">
        <f t="shared" si="436"/>
        <v>0</v>
      </c>
      <c r="G2826" s="1509">
        <f t="shared" si="437"/>
        <v>0</v>
      </c>
      <c r="H2826" s="1509">
        <f t="shared" si="438"/>
        <v>0</v>
      </c>
      <c r="I2826" s="1509">
        <v>0</v>
      </c>
      <c r="J2826" s="1509">
        <v>0</v>
      </c>
      <c r="K2826" s="1509"/>
      <c r="L2826" s="1509"/>
      <c r="M2826" s="1509">
        <f t="shared" si="439"/>
        <v>0</v>
      </c>
      <c r="N2826" s="1509">
        <f t="shared" si="440"/>
        <v>0</v>
      </c>
    </row>
    <row r="2827" spans="1:14" customFormat="1" outlineLevel="1" x14ac:dyDescent="0.25">
      <c r="A2827" s="1511">
        <f t="shared" si="443"/>
        <v>34.1</v>
      </c>
      <c r="B2827" s="1515" t="str">
        <f t="shared" si="443"/>
        <v xml:space="preserve">NDCT basin of unit 6&amp; 7 leackage arresing work </v>
      </c>
      <c r="C2827" s="1396" t="str">
        <f t="shared" si="443"/>
        <v>Yet to be approved</v>
      </c>
      <c r="D2827" s="1378" t="str">
        <f t="shared" si="443"/>
        <v>-</v>
      </c>
      <c r="E2827" s="1505">
        <f t="shared" si="443"/>
        <v>0</v>
      </c>
      <c r="F2827" s="1509">
        <f t="shared" si="436"/>
        <v>10</v>
      </c>
      <c r="G2827" s="1509">
        <f t="shared" si="437"/>
        <v>10</v>
      </c>
      <c r="H2827" s="1509">
        <f t="shared" si="438"/>
        <v>0</v>
      </c>
      <c r="I2827" s="1509">
        <v>0</v>
      </c>
      <c r="J2827" s="1509">
        <v>0</v>
      </c>
      <c r="K2827" s="1509"/>
      <c r="L2827" s="1509"/>
      <c r="M2827" s="1509">
        <f t="shared" si="439"/>
        <v>0</v>
      </c>
      <c r="N2827" s="1509">
        <f t="shared" si="440"/>
        <v>0</v>
      </c>
    </row>
    <row r="2828" spans="1:14" customFormat="1" outlineLevel="1" x14ac:dyDescent="0.25">
      <c r="A2828" s="1511">
        <f t="shared" si="443"/>
        <v>34.200000000000003</v>
      </c>
      <c r="B2828" s="1515" t="str">
        <f t="shared" si="443"/>
        <v>CW channel leackage arresting of  Unit 6 &amp;7</v>
      </c>
      <c r="C2828" s="1396" t="str">
        <f t="shared" si="443"/>
        <v>Yet to be approved</v>
      </c>
      <c r="D2828" s="1378" t="str">
        <f t="shared" si="443"/>
        <v>-</v>
      </c>
      <c r="E2828" s="1505">
        <f t="shared" si="443"/>
        <v>0</v>
      </c>
      <c r="F2828" s="1509">
        <f t="shared" si="436"/>
        <v>10</v>
      </c>
      <c r="G2828" s="1509">
        <f t="shared" si="437"/>
        <v>10</v>
      </c>
      <c r="H2828" s="1509">
        <f t="shared" si="438"/>
        <v>0</v>
      </c>
      <c r="I2828" s="1509">
        <v>0</v>
      </c>
      <c r="J2828" s="1509">
        <v>0</v>
      </c>
      <c r="K2828" s="1509"/>
      <c r="L2828" s="1509"/>
      <c r="M2828" s="1509">
        <f t="shared" si="439"/>
        <v>0</v>
      </c>
      <c r="N2828" s="1509">
        <f t="shared" si="440"/>
        <v>0</v>
      </c>
    </row>
    <row r="2829" spans="1:14" customFormat="1" ht="29" outlineLevel="1" x14ac:dyDescent="0.25">
      <c r="A2829" s="1511">
        <f t="shared" ref="A2829:E2844" si="444">A2472</f>
        <v>34.299999999999997</v>
      </c>
      <c r="B2829" s="1515" t="str">
        <f t="shared" si="444"/>
        <v>NDCT structural strenthing of intermadiate racker coloumn of Unit 6&amp;7</v>
      </c>
      <c r="C2829" s="1396" t="str">
        <f t="shared" si="444"/>
        <v>Yet to be approved</v>
      </c>
      <c r="D2829" s="1378" t="str">
        <f t="shared" si="444"/>
        <v>-</v>
      </c>
      <c r="E2829" s="1505">
        <f t="shared" si="444"/>
        <v>0</v>
      </c>
      <c r="F2829" s="1509">
        <f t="shared" ref="F2829:F2860" si="445">F2472+I2472</f>
        <v>15</v>
      </c>
      <c r="G2829" s="1509">
        <f t="shared" ref="G2829:G2860" si="446">G2472+M2472</f>
        <v>15</v>
      </c>
      <c r="H2829" s="1509">
        <f t="shared" si="438"/>
        <v>0</v>
      </c>
      <c r="I2829" s="1509">
        <v>0</v>
      </c>
      <c r="J2829" s="1509">
        <v>0</v>
      </c>
      <c r="K2829" s="1509"/>
      <c r="L2829" s="1509"/>
      <c r="M2829" s="1509">
        <f t="shared" si="439"/>
        <v>0</v>
      </c>
      <c r="N2829" s="1509">
        <f t="shared" si="440"/>
        <v>0</v>
      </c>
    </row>
    <row r="2830" spans="1:14" customFormat="1" ht="29" outlineLevel="1" x14ac:dyDescent="0.25">
      <c r="A2830" s="1511">
        <f t="shared" si="444"/>
        <v>34.4</v>
      </c>
      <c r="B2830" s="1515" t="str">
        <f t="shared" si="444"/>
        <v>Construction of Store shed's at Major store in Unit No.6,7 NPTPS Parli V</v>
      </c>
      <c r="C2830" s="1396" t="str">
        <f t="shared" si="444"/>
        <v>Yet to be approved</v>
      </c>
      <c r="D2830" s="1378" t="str">
        <f t="shared" si="444"/>
        <v>-</v>
      </c>
      <c r="E2830" s="1505">
        <f t="shared" si="444"/>
        <v>0</v>
      </c>
      <c r="F2830" s="1509">
        <f t="shared" si="445"/>
        <v>1.35</v>
      </c>
      <c r="G2830" s="1509">
        <f t="shared" si="446"/>
        <v>1.35</v>
      </c>
      <c r="H2830" s="1509">
        <f t="shared" ref="H2830:H2860" si="447">F2830-G2830</f>
        <v>0</v>
      </c>
      <c r="I2830" s="1509">
        <v>0</v>
      </c>
      <c r="J2830" s="1509">
        <v>0</v>
      </c>
      <c r="K2830" s="1509"/>
      <c r="L2830" s="1509"/>
      <c r="M2830" s="1509">
        <f t="shared" ref="M2830:M2860" si="448">SUM(J2830:L2830)</f>
        <v>0</v>
      </c>
      <c r="N2830" s="1509">
        <f t="shared" ref="N2830:N2860" si="449">H2830+I2830-M2830</f>
        <v>0</v>
      </c>
    </row>
    <row r="2831" spans="1:14" customFormat="1" ht="29" outlineLevel="1" x14ac:dyDescent="0.25">
      <c r="A2831" s="1506">
        <f t="shared" si="444"/>
        <v>35</v>
      </c>
      <c r="B2831" s="1507" t="str">
        <f t="shared" si="444"/>
        <v>DPR on road work &amp;   rennovation work of colony buildings Parli -V at TPS Parli -V</v>
      </c>
      <c r="C2831" s="1506" t="str">
        <f t="shared" si="444"/>
        <v>Yet to be approved</v>
      </c>
      <c r="D2831" s="1507" t="str">
        <f t="shared" si="444"/>
        <v>-</v>
      </c>
      <c r="E2831" s="1506">
        <f t="shared" si="444"/>
        <v>0</v>
      </c>
      <c r="F2831" s="1509">
        <f t="shared" si="445"/>
        <v>0</v>
      </c>
      <c r="G2831" s="1509">
        <f t="shared" si="446"/>
        <v>0</v>
      </c>
      <c r="H2831" s="1509">
        <f t="shared" si="447"/>
        <v>0</v>
      </c>
      <c r="I2831" s="1509">
        <v>0</v>
      </c>
      <c r="J2831" s="1509">
        <v>0</v>
      </c>
      <c r="K2831" s="1509"/>
      <c r="L2831" s="1509"/>
      <c r="M2831" s="1509">
        <f t="shared" si="448"/>
        <v>0</v>
      </c>
      <c r="N2831" s="1509">
        <f t="shared" si="449"/>
        <v>0</v>
      </c>
    </row>
    <row r="2832" spans="1:14" customFormat="1" ht="43.5" outlineLevel="1" x14ac:dyDescent="0.25">
      <c r="A2832" s="1511">
        <f t="shared" si="444"/>
        <v>35.1</v>
      </c>
      <c r="B2832" s="1515" t="str">
        <f t="shared" si="444"/>
        <v xml:space="preserve">contruction of roads of few roads in clusters and main road repairs ,carpet laying,seal coats, strips on road &amp; indicators on roads with rumbble strips at TPS colony Parli V </v>
      </c>
      <c r="C2832" s="1396" t="str">
        <f t="shared" si="444"/>
        <v>Yet to be approved</v>
      </c>
      <c r="D2832" s="1378" t="str">
        <f t="shared" si="444"/>
        <v>-</v>
      </c>
      <c r="E2832" s="1505">
        <f t="shared" si="444"/>
        <v>0</v>
      </c>
      <c r="F2832" s="1509">
        <f t="shared" si="445"/>
        <v>10</v>
      </c>
      <c r="G2832" s="1509">
        <f t="shared" si="446"/>
        <v>10</v>
      </c>
      <c r="H2832" s="1509">
        <f t="shared" si="447"/>
        <v>0</v>
      </c>
      <c r="I2832" s="1509">
        <v>0</v>
      </c>
      <c r="J2832" s="1509">
        <v>0</v>
      </c>
      <c r="K2832" s="1509"/>
      <c r="L2832" s="1509"/>
      <c r="M2832" s="1509">
        <f t="shared" si="448"/>
        <v>0</v>
      </c>
      <c r="N2832" s="1509">
        <f t="shared" si="449"/>
        <v>0</v>
      </c>
    </row>
    <row r="2833" spans="1:14" customFormat="1" ht="43.5" outlineLevel="1" x14ac:dyDescent="0.25">
      <c r="A2833" s="1511">
        <f t="shared" si="444"/>
        <v>35.200000000000003</v>
      </c>
      <c r="B2833" s="1515" t="str">
        <f t="shared" si="444"/>
        <v xml:space="preserve"> In ABC colony ( Putty work,plastic emulsion paint,oil paint plaster etc) ,In DEF &amp; New colony ( internal &amp; external paint  ,oil paint etc) at TPS colony Parli-V.</v>
      </c>
      <c r="C2833" s="1396" t="str">
        <f t="shared" si="444"/>
        <v>Yet to be approved</v>
      </c>
      <c r="D2833" s="1378" t="str">
        <f t="shared" si="444"/>
        <v>-</v>
      </c>
      <c r="E2833" s="1505">
        <f t="shared" si="444"/>
        <v>0</v>
      </c>
      <c r="F2833" s="1509">
        <f t="shared" si="445"/>
        <v>5</v>
      </c>
      <c r="G2833" s="1509">
        <f t="shared" si="446"/>
        <v>5</v>
      </c>
      <c r="H2833" s="1509">
        <f t="shared" si="447"/>
        <v>0</v>
      </c>
      <c r="I2833" s="1509">
        <v>0</v>
      </c>
      <c r="J2833" s="1509">
        <v>0</v>
      </c>
      <c r="K2833" s="1509"/>
      <c r="L2833" s="1509"/>
      <c r="M2833" s="1509">
        <f t="shared" si="448"/>
        <v>0</v>
      </c>
      <c r="N2833" s="1509">
        <f t="shared" si="449"/>
        <v>0</v>
      </c>
    </row>
    <row r="2834" spans="1:14" customFormat="1" ht="29" outlineLevel="1" x14ac:dyDescent="0.25">
      <c r="A2834" s="1511">
        <f t="shared" si="444"/>
        <v>35.299999999999997</v>
      </c>
      <c r="B2834" s="1515" t="str">
        <f t="shared" si="444"/>
        <v xml:space="preserve"> In ABC,DEF &amp; New colony ( chember ,300 m dia rcc pipe,150mm  rcc pipe etc)at tps colony Parli V </v>
      </c>
      <c r="C2834" s="1396" t="str">
        <f t="shared" si="444"/>
        <v>Yet to be approved</v>
      </c>
      <c r="D2834" s="1378" t="str">
        <f t="shared" si="444"/>
        <v>-</v>
      </c>
      <c r="E2834" s="1505">
        <f t="shared" si="444"/>
        <v>0</v>
      </c>
      <c r="F2834" s="1509">
        <f t="shared" si="445"/>
        <v>5</v>
      </c>
      <c r="G2834" s="1509">
        <f t="shared" si="446"/>
        <v>5</v>
      </c>
      <c r="H2834" s="1509">
        <f t="shared" si="447"/>
        <v>0</v>
      </c>
      <c r="I2834" s="1509">
        <v>0</v>
      </c>
      <c r="J2834" s="1509">
        <v>0</v>
      </c>
      <c r="K2834" s="1509"/>
      <c r="L2834" s="1509"/>
      <c r="M2834" s="1509">
        <f t="shared" si="448"/>
        <v>0</v>
      </c>
      <c r="N2834" s="1509">
        <f t="shared" si="449"/>
        <v>0</v>
      </c>
    </row>
    <row r="2835" spans="1:14" customFormat="1" ht="29" outlineLevel="1" x14ac:dyDescent="0.25">
      <c r="A2835" s="1511">
        <f t="shared" si="444"/>
        <v>35.4</v>
      </c>
      <c r="B2835" s="1515" t="str">
        <f t="shared" si="444"/>
        <v>Plinth protection along the building and providing and placing rcc bench infront of all buildings etc at tps colony Parli v</v>
      </c>
      <c r="C2835" s="1396" t="str">
        <f t="shared" si="444"/>
        <v>Yet to be approved</v>
      </c>
      <c r="D2835" s="1378" t="str">
        <f t="shared" si="444"/>
        <v>-</v>
      </c>
      <c r="E2835" s="1505">
        <f t="shared" si="444"/>
        <v>0</v>
      </c>
      <c r="F2835" s="1509">
        <f t="shared" si="445"/>
        <v>2</v>
      </c>
      <c r="G2835" s="1509">
        <f t="shared" si="446"/>
        <v>2</v>
      </c>
      <c r="H2835" s="1509">
        <f t="shared" si="447"/>
        <v>0</v>
      </c>
      <c r="I2835" s="1509">
        <v>0</v>
      </c>
      <c r="J2835" s="1509">
        <v>0</v>
      </c>
      <c r="K2835" s="1509"/>
      <c r="L2835" s="1509"/>
      <c r="M2835" s="1509">
        <f t="shared" si="448"/>
        <v>0</v>
      </c>
      <c r="N2835" s="1509">
        <f t="shared" si="449"/>
        <v>0</v>
      </c>
    </row>
    <row r="2836" spans="1:14" customFormat="1" ht="58" outlineLevel="1" x14ac:dyDescent="0.25">
      <c r="A2836" s="1511">
        <f t="shared" si="444"/>
        <v>35.5</v>
      </c>
      <c r="B2836" s="1515" t="str">
        <f t="shared" si="444"/>
        <v xml:space="preserve">changing all internal qtrs pipeline from gi pipeline to Upvc pipeline and replacing existing damaged gi pipe by new one and also providing water tank  over single qtrs and buildings at ABC, DEF, &amp; New colony TPS Parli v </v>
      </c>
      <c r="C2836" s="1396" t="str">
        <f t="shared" si="444"/>
        <v>Yet to be approved</v>
      </c>
      <c r="D2836" s="1378" t="str">
        <f t="shared" si="444"/>
        <v>-</v>
      </c>
      <c r="E2836" s="1505">
        <f t="shared" si="444"/>
        <v>0</v>
      </c>
      <c r="F2836" s="1509">
        <f t="shared" si="445"/>
        <v>5</v>
      </c>
      <c r="G2836" s="1509">
        <f t="shared" si="446"/>
        <v>5</v>
      </c>
      <c r="H2836" s="1509">
        <f t="shared" si="447"/>
        <v>0</v>
      </c>
      <c r="I2836" s="1509">
        <v>0</v>
      </c>
      <c r="J2836" s="1509">
        <v>0</v>
      </c>
      <c r="K2836" s="1509"/>
      <c r="L2836" s="1509"/>
      <c r="M2836" s="1509">
        <f t="shared" si="448"/>
        <v>0</v>
      </c>
      <c r="N2836" s="1509">
        <f t="shared" si="449"/>
        <v>0</v>
      </c>
    </row>
    <row r="2837" spans="1:14" customFormat="1" outlineLevel="1" x14ac:dyDescent="0.25">
      <c r="A2837" s="1511">
        <f t="shared" si="444"/>
        <v>35.6</v>
      </c>
      <c r="B2837" s="1515" t="str">
        <f t="shared" si="444"/>
        <v>Carpentary works  at ABC,DEF &amp; New colony TPS  , Parli -V</v>
      </c>
      <c r="C2837" s="1396" t="str">
        <f t="shared" si="444"/>
        <v>Yet to be approved</v>
      </c>
      <c r="D2837" s="1378" t="str">
        <f t="shared" si="444"/>
        <v>-</v>
      </c>
      <c r="E2837" s="1505">
        <f t="shared" si="444"/>
        <v>0</v>
      </c>
      <c r="F2837" s="1509">
        <f t="shared" si="445"/>
        <v>4</v>
      </c>
      <c r="G2837" s="1509">
        <f t="shared" si="446"/>
        <v>4</v>
      </c>
      <c r="H2837" s="1509">
        <f t="shared" si="447"/>
        <v>0</v>
      </c>
      <c r="I2837" s="1509">
        <v>0</v>
      </c>
      <c r="J2837" s="1509">
        <v>0</v>
      </c>
      <c r="K2837" s="1509"/>
      <c r="L2837" s="1509"/>
      <c r="M2837" s="1509">
        <f t="shared" si="448"/>
        <v>0</v>
      </c>
      <c r="N2837" s="1509">
        <f t="shared" si="449"/>
        <v>0</v>
      </c>
    </row>
    <row r="2838" spans="1:14" customFormat="1" outlineLevel="1" x14ac:dyDescent="0.25">
      <c r="A2838" s="1511">
        <f t="shared" si="444"/>
        <v>35.700000000000003</v>
      </c>
      <c r="B2838" s="1515" t="str">
        <f t="shared" si="444"/>
        <v>Flooring work  at ABC,DEF &amp; New colony TPS  , Parli -V</v>
      </c>
      <c r="C2838" s="1396" t="str">
        <f t="shared" si="444"/>
        <v>Yet to be approved</v>
      </c>
      <c r="D2838" s="1378" t="str">
        <f t="shared" si="444"/>
        <v>-</v>
      </c>
      <c r="E2838" s="1505">
        <f t="shared" si="444"/>
        <v>0</v>
      </c>
      <c r="F2838" s="1509">
        <f t="shared" si="445"/>
        <v>5</v>
      </c>
      <c r="G2838" s="1509">
        <f t="shared" si="446"/>
        <v>5</v>
      </c>
      <c r="H2838" s="1509">
        <f t="shared" si="447"/>
        <v>0</v>
      </c>
      <c r="I2838" s="1509">
        <v>0</v>
      </c>
      <c r="J2838" s="1509">
        <v>0</v>
      </c>
      <c r="K2838" s="1509"/>
      <c r="L2838" s="1509"/>
      <c r="M2838" s="1509">
        <f t="shared" si="448"/>
        <v>0</v>
      </c>
      <c r="N2838" s="1509">
        <f t="shared" si="449"/>
        <v>0</v>
      </c>
    </row>
    <row r="2839" spans="1:14" customFormat="1" ht="29" outlineLevel="1" x14ac:dyDescent="0.25">
      <c r="A2839" s="1511">
        <f t="shared" si="444"/>
        <v>35.799999999999997</v>
      </c>
      <c r="B2839" s="1515" t="str">
        <f t="shared" si="444"/>
        <v>construction of new ESR and GSR  at ABC,DEF &amp; New colony TPS  , Parli -V</v>
      </c>
      <c r="C2839" s="1396" t="str">
        <f t="shared" si="444"/>
        <v>Yet to be approved</v>
      </c>
      <c r="D2839" s="1378" t="str">
        <f t="shared" si="444"/>
        <v>-</v>
      </c>
      <c r="E2839" s="1505">
        <f t="shared" si="444"/>
        <v>0</v>
      </c>
      <c r="F2839" s="1509">
        <f t="shared" si="445"/>
        <v>4</v>
      </c>
      <c r="G2839" s="1509">
        <f t="shared" si="446"/>
        <v>4</v>
      </c>
      <c r="H2839" s="1509">
        <f t="shared" si="447"/>
        <v>0</v>
      </c>
      <c r="I2839" s="1509">
        <v>0</v>
      </c>
      <c r="J2839" s="1509">
        <v>0</v>
      </c>
      <c r="K2839" s="1509"/>
      <c r="L2839" s="1509"/>
      <c r="M2839" s="1509">
        <f t="shared" si="448"/>
        <v>0</v>
      </c>
      <c r="N2839" s="1509">
        <f t="shared" si="449"/>
        <v>0</v>
      </c>
    </row>
    <row r="2840" spans="1:14" customFormat="1" ht="29" outlineLevel="1" x14ac:dyDescent="0.25">
      <c r="A2840" s="1511">
        <f t="shared" si="444"/>
        <v>35.9</v>
      </c>
      <c r="B2840" s="1515" t="str">
        <f t="shared" si="444"/>
        <v>refurbishment of qtrs by strenthening structurein ABC ,DEF &amp; New colony tps parli v</v>
      </c>
      <c r="C2840" s="1396" t="str">
        <f t="shared" si="444"/>
        <v>Yet to be approved</v>
      </c>
      <c r="D2840" s="1378" t="str">
        <f t="shared" si="444"/>
        <v>-</v>
      </c>
      <c r="E2840" s="1505">
        <f t="shared" si="444"/>
        <v>0</v>
      </c>
      <c r="F2840" s="1509">
        <f t="shared" si="445"/>
        <v>10</v>
      </c>
      <c r="G2840" s="1509">
        <f t="shared" si="446"/>
        <v>10</v>
      </c>
      <c r="H2840" s="1509">
        <f t="shared" si="447"/>
        <v>0</v>
      </c>
      <c r="I2840" s="1509">
        <v>0</v>
      </c>
      <c r="J2840" s="1509">
        <v>0</v>
      </c>
      <c r="K2840" s="1509"/>
      <c r="L2840" s="1509"/>
      <c r="M2840" s="1509">
        <f t="shared" si="448"/>
        <v>0</v>
      </c>
      <c r="N2840" s="1509">
        <f t="shared" si="449"/>
        <v>0</v>
      </c>
    </row>
    <row r="2841" spans="1:14" customFormat="1" ht="29" outlineLevel="1" x14ac:dyDescent="0.25">
      <c r="A2841" s="1511">
        <f t="shared" si="444"/>
        <v>35.1</v>
      </c>
      <c r="B2841" s="1515" t="str">
        <f t="shared" si="444"/>
        <v>Devolpment of garden and providing child friendly equiment in ABC ,DEF &amp; New colony tps parli v</v>
      </c>
      <c r="C2841" s="1396" t="str">
        <f t="shared" si="444"/>
        <v>Yet to be approved</v>
      </c>
      <c r="D2841" s="1378" t="str">
        <f t="shared" si="444"/>
        <v>-</v>
      </c>
      <c r="E2841" s="1505">
        <f t="shared" si="444"/>
        <v>0</v>
      </c>
      <c r="F2841" s="1509">
        <f t="shared" si="445"/>
        <v>4</v>
      </c>
      <c r="G2841" s="1509">
        <f t="shared" si="446"/>
        <v>4</v>
      </c>
      <c r="H2841" s="1509">
        <f t="shared" si="447"/>
        <v>0</v>
      </c>
      <c r="I2841" s="1509">
        <v>0</v>
      </c>
      <c r="J2841" s="1509">
        <v>0</v>
      </c>
      <c r="K2841" s="1509"/>
      <c r="L2841" s="1509"/>
      <c r="M2841" s="1509">
        <f t="shared" si="448"/>
        <v>0</v>
      </c>
      <c r="N2841" s="1509">
        <f t="shared" si="449"/>
        <v>0</v>
      </c>
    </row>
    <row r="2842" spans="1:14" customFormat="1" outlineLevel="1" x14ac:dyDescent="0.25">
      <c r="A2842" s="1506">
        <f t="shared" si="444"/>
        <v>36</v>
      </c>
      <c r="B2842" s="1507" t="str">
        <f t="shared" si="444"/>
        <v xml:space="preserve">CHP improvement schemes at 2 x 250 MW Unit </v>
      </c>
      <c r="C2842" s="1506">
        <f t="shared" si="444"/>
        <v>0</v>
      </c>
      <c r="D2842" s="1507" t="str">
        <f t="shared" si="444"/>
        <v>-</v>
      </c>
      <c r="E2842" s="1506">
        <f t="shared" si="444"/>
        <v>0</v>
      </c>
      <c r="F2842" s="1509">
        <f t="shared" si="445"/>
        <v>0</v>
      </c>
      <c r="G2842" s="1509">
        <f t="shared" si="446"/>
        <v>0</v>
      </c>
      <c r="H2842" s="1509">
        <f t="shared" si="447"/>
        <v>0</v>
      </c>
      <c r="I2842" s="1509">
        <v>0</v>
      </c>
      <c r="J2842" s="1509">
        <v>0</v>
      </c>
      <c r="K2842" s="1509"/>
      <c r="L2842" s="1509"/>
      <c r="M2842" s="1509">
        <f t="shared" si="448"/>
        <v>0</v>
      </c>
      <c r="N2842" s="1509">
        <f t="shared" si="449"/>
        <v>0</v>
      </c>
    </row>
    <row r="2843" spans="1:14" customFormat="1" outlineLevel="1" x14ac:dyDescent="0.25">
      <c r="A2843" s="1511">
        <f t="shared" si="444"/>
        <v>36.1</v>
      </c>
      <c r="B2843" s="1515" t="str">
        <f t="shared" si="444"/>
        <v xml:space="preserve">CHP improvement schemes at 2 x 250 MW Unit </v>
      </c>
      <c r="C2843" s="1396">
        <f t="shared" si="444"/>
        <v>0</v>
      </c>
      <c r="D2843" s="1378" t="str">
        <f t="shared" si="444"/>
        <v>-</v>
      </c>
      <c r="E2843" s="1505">
        <f t="shared" si="444"/>
        <v>0</v>
      </c>
      <c r="F2843" s="1509">
        <f t="shared" si="445"/>
        <v>25</v>
      </c>
      <c r="G2843" s="1509">
        <f t="shared" si="446"/>
        <v>25</v>
      </c>
      <c r="H2843" s="1509">
        <f t="shared" si="447"/>
        <v>0</v>
      </c>
      <c r="I2843" s="1509">
        <v>0</v>
      </c>
      <c r="J2843" s="1509">
        <v>0</v>
      </c>
      <c r="K2843" s="1509"/>
      <c r="L2843" s="1509"/>
      <c r="M2843" s="1509">
        <f t="shared" si="448"/>
        <v>0</v>
      </c>
      <c r="N2843" s="1509">
        <f t="shared" si="449"/>
        <v>0</v>
      </c>
    </row>
    <row r="2844" spans="1:14" customFormat="1" outlineLevel="1" x14ac:dyDescent="0.25">
      <c r="A2844" s="1506">
        <f t="shared" si="444"/>
        <v>37</v>
      </c>
      <c r="B2844" s="1507" t="str">
        <f t="shared" si="444"/>
        <v>Flexible Operation work at U#6,7</v>
      </c>
      <c r="C2844" s="1506" t="str">
        <f t="shared" si="444"/>
        <v>Yet to be approved</v>
      </c>
      <c r="D2844" s="1507" t="str">
        <f t="shared" si="444"/>
        <v>-</v>
      </c>
      <c r="E2844" s="1506">
        <f t="shared" si="444"/>
        <v>0</v>
      </c>
      <c r="F2844" s="1509">
        <f t="shared" si="445"/>
        <v>0</v>
      </c>
      <c r="G2844" s="1509">
        <f t="shared" si="446"/>
        <v>0</v>
      </c>
      <c r="H2844" s="1509">
        <f t="shared" si="447"/>
        <v>0</v>
      </c>
      <c r="I2844" s="1509">
        <v>0</v>
      </c>
      <c r="J2844" s="1509">
        <v>0</v>
      </c>
      <c r="K2844" s="1509"/>
      <c r="L2844" s="1509"/>
      <c r="M2844" s="1509">
        <f t="shared" si="448"/>
        <v>0</v>
      </c>
      <c r="N2844" s="1509">
        <f t="shared" si="449"/>
        <v>0</v>
      </c>
    </row>
    <row r="2845" spans="1:14" customFormat="1" outlineLevel="1" x14ac:dyDescent="0.25">
      <c r="A2845" s="1511">
        <f t="shared" ref="A2845:E2860" si="450">A2488</f>
        <v>37.1</v>
      </c>
      <c r="B2845" s="1515" t="str">
        <f t="shared" si="450"/>
        <v>Flexible Operation work at U#6,7</v>
      </c>
      <c r="C2845" s="1396" t="str">
        <f t="shared" si="450"/>
        <v>Yet to be approved</v>
      </c>
      <c r="D2845" s="1378" t="str">
        <f t="shared" si="450"/>
        <v>-</v>
      </c>
      <c r="E2845" s="1505">
        <f t="shared" si="450"/>
        <v>0</v>
      </c>
      <c r="F2845" s="1509">
        <f t="shared" si="445"/>
        <v>28</v>
      </c>
      <c r="G2845" s="1509">
        <f t="shared" si="446"/>
        <v>28</v>
      </c>
      <c r="H2845" s="1509">
        <f t="shared" si="447"/>
        <v>0</v>
      </c>
      <c r="I2845" s="1509">
        <v>0</v>
      </c>
      <c r="J2845" s="1509">
        <v>0</v>
      </c>
      <c r="K2845" s="1509"/>
      <c r="L2845" s="1509"/>
      <c r="M2845" s="1509">
        <f t="shared" si="448"/>
        <v>0</v>
      </c>
      <c r="N2845" s="1509">
        <f t="shared" si="449"/>
        <v>0</v>
      </c>
    </row>
    <row r="2846" spans="1:14" customFormat="1" outlineLevel="1" x14ac:dyDescent="0.25">
      <c r="A2846" s="1511">
        <f t="shared" si="450"/>
        <v>0</v>
      </c>
      <c r="B2846" s="1515">
        <f t="shared" si="450"/>
        <v>0</v>
      </c>
      <c r="C2846" s="1396">
        <f t="shared" si="450"/>
        <v>0</v>
      </c>
      <c r="D2846" s="1378" t="str">
        <f t="shared" si="450"/>
        <v>-</v>
      </c>
      <c r="E2846" s="1505">
        <f t="shared" si="450"/>
        <v>0</v>
      </c>
      <c r="F2846" s="1509">
        <f t="shared" si="445"/>
        <v>0</v>
      </c>
      <c r="G2846" s="1509">
        <f t="shared" si="446"/>
        <v>0</v>
      </c>
      <c r="H2846" s="1509">
        <f t="shared" si="447"/>
        <v>0</v>
      </c>
      <c r="I2846" s="1509">
        <v>0</v>
      </c>
      <c r="J2846" s="1509">
        <v>0</v>
      </c>
      <c r="K2846" s="1509"/>
      <c r="L2846" s="1509"/>
      <c r="M2846" s="1509">
        <f t="shared" si="448"/>
        <v>0</v>
      </c>
      <c r="N2846" s="1509">
        <f t="shared" si="449"/>
        <v>0</v>
      </c>
    </row>
    <row r="2847" spans="1:14" customFormat="1" outlineLevel="1" x14ac:dyDescent="0.25">
      <c r="A2847" s="1511">
        <f t="shared" si="450"/>
        <v>0</v>
      </c>
      <c r="B2847" s="1515">
        <f t="shared" si="450"/>
        <v>0</v>
      </c>
      <c r="C2847" s="1396">
        <f t="shared" si="450"/>
        <v>0</v>
      </c>
      <c r="D2847" s="1378" t="str">
        <f t="shared" si="450"/>
        <v>-</v>
      </c>
      <c r="E2847" s="1505">
        <f t="shared" si="450"/>
        <v>0</v>
      </c>
      <c r="F2847" s="1509">
        <f t="shared" si="445"/>
        <v>0</v>
      </c>
      <c r="G2847" s="1509">
        <f t="shared" si="446"/>
        <v>0</v>
      </c>
      <c r="H2847" s="1509">
        <f t="shared" si="447"/>
        <v>0</v>
      </c>
      <c r="I2847" s="1509">
        <v>0</v>
      </c>
      <c r="J2847" s="1509">
        <v>0</v>
      </c>
      <c r="K2847" s="1509"/>
      <c r="L2847" s="1509"/>
      <c r="M2847" s="1509">
        <f t="shared" si="448"/>
        <v>0</v>
      </c>
      <c r="N2847" s="1509">
        <f t="shared" si="449"/>
        <v>0</v>
      </c>
    </row>
    <row r="2848" spans="1:14" customFormat="1" ht="18.5" outlineLevel="1" x14ac:dyDescent="0.25">
      <c r="A2848" s="1339" t="str">
        <f t="shared" si="450"/>
        <v>D</v>
      </c>
      <c r="B2848" s="1339" t="str">
        <f t="shared" si="450"/>
        <v>Non-DPR Schemes</v>
      </c>
      <c r="C2848" s="1396">
        <f t="shared" si="450"/>
        <v>0</v>
      </c>
      <c r="D2848" s="1378" t="str">
        <f t="shared" si="450"/>
        <v>-</v>
      </c>
      <c r="E2848" s="1505">
        <f t="shared" si="450"/>
        <v>0</v>
      </c>
      <c r="F2848" s="1509">
        <f t="shared" si="445"/>
        <v>0</v>
      </c>
      <c r="G2848" s="1509">
        <f t="shared" si="446"/>
        <v>0</v>
      </c>
      <c r="H2848" s="1509">
        <f t="shared" si="447"/>
        <v>0</v>
      </c>
      <c r="I2848" s="1509">
        <v>0</v>
      </c>
      <c r="J2848" s="1509">
        <v>0</v>
      </c>
      <c r="K2848" s="1509"/>
      <c r="L2848" s="1509"/>
      <c r="M2848" s="1509">
        <f t="shared" si="448"/>
        <v>0</v>
      </c>
      <c r="N2848" s="1509">
        <f t="shared" si="449"/>
        <v>0</v>
      </c>
    </row>
    <row r="2849" spans="1:14" customFormat="1" outlineLevel="1" x14ac:dyDescent="0.25">
      <c r="A2849" s="1511">
        <f t="shared" si="450"/>
        <v>1</v>
      </c>
      <c r="B2849" s="1515" t="str">
        <f t="shared" si="450"/>
        <v>SWAS Upgradation at U#6 NPTPS Parli-V</v>
      </c>
      <c r="C2849" s="1396" t="str">
        <f t="shared" si="450"/>
        <v>N.A.</v>
      </c>
      <c r="D2849" s="1378" t="str">
        <f t="shared" si="450"/>
        <v>-</v>
      </c>
      <c r="E2849" s="1505">
        <f t="shared" si="450"/>
        <v>0</v>
      </c>
      <c r="F2849" s="1509">
        <f t="shared" si="445"/>
        <v>2.2390500000000002</v>
      </c>
      <c r="G2849" s="1509">
        <f t="shared" si="446"/>
        <v>2.2390500000000002</v>
      </c>
      <c r="H2849" s="1509">
        <f t="shared" si="447"/>
        <v>0</v>
      </c>
      <c r="I2849" s="1509">
        <v>0</v>
      </c>
      <c r="J2849" s="1509">
        <v>0</v>
      </c>
      <c r="K2849" s="1509"/>
      <c r="L2849" s="1509"/>
      <c r="M2849" s="1509">
        <f t="shared" si="448"/>
        <v>0</v>
      </c>
      <c r="N2849" s="1509">
        <f t="shared" si="449"/>
        <v>0</v>
      </c>
    </row>
    <row r="2850" spans="1:14" customFormat="1" ht="30.75" customHeight="1" outlineLevel="1" x14ac:dyDescent="0.25">
      <c r="A2850" s="1511">
        <f t="shared" si="450"/>
        <v>2</v>
      </c>
      <c r="B2850" s="1515" t="str">
        <f t="shared" si="450"/>
        <v xml:space="preserve">Procurement of electro-machanical vibrating feeder at CHP NPTPS 6,7
</v>
      </c>
      <c r="C2850" s="1396" t="str">
        <f t="shared" si="450"/>
        <v>N.A.</v>
      </c>
      <c r="D2850" s="1378" t="str">
        <f t="shared" si="450"/>
        <v>-</v>
      </c>
      <c r="E2850" s="1505">
        <f t="shared" si="450"/>
        <v>0</v>
      </c>
      <c r="F2850" s="1509">
        <f t="shared" si="445"/>
        <v>0.89292959999999999</v>
      </c>
      <c r="G2850" s="1509">
        <f t="shared" si="446"/>
        <v>0.89292959999999999</v>
      </c>
      <c r="H2850" s="1509">
        <f t="shared" si="447"/>
        <v>0</v>
      </c>
      <c r="I2850" s="1509">
        <v>0</v>
      </c>
      <c r="J2850" s="1509">
        <v>0</v>
      </c>
      <c r="K2850" s="1509"/>
      <c r="L2850" s="1509"/>
      <c r="M2850" s="1509">
        <f t="shared" si="448"/>
        <v>0</v>
      </c>
      <c r="N2850" s="1509">
        <f t="shared" si="449"/>
        <v>0</v>
      </c>
    </row>
    <row r="2851" spans="1:14" customFormat="1" ht="43.5" outlineLevel="1" x14ac:dyDescent="0.25">
      <c r="A2851" s="1511">
        <f t="shared" si="450"/>
        <v>3</v>
      </c>
      <c r="B2851" s="1515" t="str">
        <f t="shared" si="450"/>
        <v xml:space="preserve">erection, commissioning of 6.6kv/33kv switch yard &amp; shifting of 2x7.5 MVA 6.6/33KV transformer from 210 MW to proposed switch yard for 33KV supply feeder to Khadka naikota at NPTPS Parli-V. </v>
      </c>
      <c r="C2851" s="1396" t="str">
        <f t="shared" si="450"/>
        <v>N.A.</v>
      </c>
      <c r="D2851" s="1378" t="str">
        <f t="shared" si="450"/>
        <v>-</v>
      </c>
      <c r="E2851" s="1505">
        <f t="shared" si="450"/>
        <v>0</v>
      </c>
      <c r="F2851" s="1509">
        <f t="shared" si="445"/>
        <v>2.1992632800000003</v>
      </c>
      <c r="G2851" s="1509">
        <f t="shared" si="446"/>
        <v>2.1992632800000003</v>
      </c>
      <c r="H2851" s="1509">
        <f t="shared" si="447"/>
        <v>0</v>
      </c>
      <c r="I2851" s="1509">
        <v>0</v>
      </c>
      <c r="J2851" s="1509">
        <v>0</v>
      </c>
      <c r="K2851" s="1509"/>
      <c r="L2851" s="1509"/>
      <c r="M2851" s="1509">
        <f t="shared" si="448"/>
        <v>0</v>
      </c>
      <c r="N2851" s="1509">
        <f t="shared" si="449"/>
        <v>0</v>
      </c>
    </row>
    <row r="2852" spans="1:14" customFormat="1" outlineLevel="1" x14ac:dyDescent="0.25">
      <c r="A2852" s="1511">
        <f t="shared" si="450"/>
        <v>4</v>
      </c>
      <c r="B2852" s="1515" t="str">
        <f t="shared" si="450"/>
        <v>IDC</v>
      </c>
      <c r="C2852" s="1396">
        <f t="shared" si="450"/>
        <v>0</v>
      </c>
      <c r="D2852" s="1378" t="str">
        <f t="shared" si="450"/>
        <v>-</v>
      </c>
      <c r="E2852" s="1505">
        <f t="shared" si="450"/>
        <v>0</v>
      </c>
      <c r="F2852" s="1509">
        <f t="shared" si="445"/>
        <v>7.2220000000000001E-3</v>
      </c>
      <c r="G2852" s="1509">
        <f t="shared" si="446"/>
        <v>7.2220000000000001E-3</v>
      </c>
      <c r="H2852" s="1509">
        <f t="shared" si="447"/>
        <v>0</v>
      </c>
      <c r="I2852" s="1509">
        <v>0</v>
      </c>
      <c r="J2852" s="1509">
        <v>0</v>
      </c>
      <c r="K2852" s="1509"/>
      <c r="L2852" s="1509"/>
      <c r="M2852" s="1509">
        <f t="shared" si="448"/>
        <v>0</v>
      </c>
      <c r="N2852" s="1509">
        <f t="shared" si="449"/>
        <v>0</v>
      </c>
    </row>
    <row r="2853" spans="1:14" customFormat="1" ht="43.5" outlineLevel="1" x14ac:dyDescent="0.25">
      <c r="A2853" s="1511">
        <f t="shared" si="450"/>
        <v>5</v>
      </c>
      <c r="B2853" s="1515" t="str">
        <f t="shared" si="450"/>
        <v xml:space="preserve"> Non-DPR scheme "Design, Supply, Installation &amp; Commissioning of High performance Energy Chain System for Stacker reclaimer, Shuttle Conveyors at U-6/7 CHP NPTPS – PARLI-Vaijnath.”</v>
      </c>
      <c r="C2853" s="1396" t="str">
        <f t="shared" si="450"/>
        <v>N.A.</v>
      </c>
      <c r="D2853" s="1378" t="str">
        <f t="shared" si="450"/>
        <v>-</v>
      </c>
      <c r="E2853" s="1505">
        <f t="shared" si="450"/>
        <v>0</v>
      </c>
      <c r="F2853" s="1509">
        <f t="shared" si="445"/>
        <v>2.8638599999999999</v>
      </c>
      <c r="G2853" s="1509">
        <f t="shared" si="446"/>
        <v>2.8638599999999999</v>
      </c>
      <c r="H2853" s="1509">
        <f t="shared" si="447"/>
        <v>0</v>
      </c>
      <c r="I2853" s="1509">
        <v>0</v>
      </c>
      <c r="J2853" s="1509">
        <v>0</v>
      </c>
      <c r="K2853" s="1509"/>
      <c r="L2853" s="1509"/>
      <c r="M2853" s="1509">
        <f t="shared" si="448"/>
        <v>0</v>
      </c>
      <c r="N2853" s="1509">
        <f t="shared" si="449"/>
        <v>0</v>
      </c>
    </row>
    <row r="2854" spans="1:14" customFormat="1" ht="29" outlineLevel="1" x14ac:dyDescent="0.25">
      <c r="A2854" s="1511">
        <f t="shared" si="450"/>
        <v>6</v>
      </c>
      <c r="B2854" s="1515" t="str">
        <f t="shared" si="450"/>
        <v>Refurbishment of Existing M/s Atlas Copco Make Air Compressors at Unit 7 Parli TPS</v>
      </c>
      <c r="C2854" s="1396" t="str">
        <f t="shared" si="450"/>
        <v>N.A.</v>
      </c>
      <c r="D2854" s="1378" t="str">
        <f t="shared" si="450"/>
        <v>-</v>
      </c>
      <c r="E2854" s="1505">
        <f t="shared" si="450"/>
        <v>0</v>
      </c>
      <c r="F2854" s="1509">
        <f t="shared" si="445"/>
        <v>2.9532406999999998</v>
      </c>
      <c r="G2854" s="1509">
        <f t="shared" si="446"/>
        <v>2.9532406999999998</v>
      </c>
      <c r="H2854" s="1509">
        <f t="shared" si="447"/>
        <v>0</v>
      </c>
      <c r="I2854" s="1509">
        <v>0</v>
      </c>
      <c r="J2854" s="1509">
        <v>0</v>
      </c>
      <c r="K2854" s="1509"/>
      <c r="L2854" s="1509"/>
      <c r="M2854" s="1509">
        <f t="shared" si="448"/>
        <v>0</v>
      </c>
      <c r="N2854" s="1509">
        <f t="shared" si="449"/>
        <v>0</v>
      </c>
    </row>
    <row r="2855" spans="1:14" customFormat="1" outlineLevel="1" x14ac:dyDescent="0.25">
      <c r="A2855" s="1511">
        <f t="shared" si="450"/>
        <v>7</v>
      </c>
      <c r="B2855" s="1515" t="str">
        <f t="shared" si="450"/>
        <v>Procurement of Fire Extinguisher</v>
      </c>
      <c r="C2855" s="1396" t="str">
        <f t="shared" si="450"/>
        <v>N.A.</v>
      </c>
      <c r="D2855" s="1378" t="str">
        <f t="shared" si="450"/>
        <v>-</v>
      </c>
      <c r="E2855" s="1505">
        <f t="shared" si="450"/>
        <v>0</v>
      </c>
      <c r="F2855" s="1509">
        <f t="shared" si="445"/>
        <v>0.68</v>
      </c>
      <c r="G2855" s="1509">
        <f t="shared" si="446"/>
        <v>0.67830000000000001</v>
      </c>
      <c r="H2855" s="1509">
        <f t="shared" si="447"/>
        <v>1.7000000000000348E-3</v>
      </c>
      <c r="I2855" s="1509">
        <v>0</v>
      </c>
      <c r="J2855" s="1509">
        <v>0</v>
      </c>
      <c r="K2855" s="1509"/>
      <c r="L2855" s="1509"/>
      <c r="M2855" s="1509">
        <f t="shared" si="448"/>
        <v>0</v>
      </c>
      <c r="N2855" s="1509">
        <f t="shared" si="449"/>
        <v>1.7000000000000348E-3</v>
      </c>
    </row>
    <row r="2856" spans="1:14" customFormat="1" ht="29" outlineLevel="1" x14ac:dyDescent="0.25">
      <c r="A2856" s="1511">
        <f t="shared" si="450"/>
        <v>8</v>
      </c>
      <c r="B2856" s="1515" t="str">
        <f t="shared" si="450"/>
        <v>Non DPR For Supply, Erection &amp; Commissioning, Testing of Coal Flow Management system for Coal Bunker at CHP NPTPS U-6.</v>
      </c>
      <c r="C2856" s="1396" t="str">
        <f t="shared" si="450"/>
        <v>N.A.</v>
      </c>
      <c r="D2856" s="1378" t="str">
        <f t="shared" si="450"/>
        <v>-</v>
      </c>
      <c r="E2856" s="1505">
        <f t="shared" si="450"/>
        <v>0</v>
      </c>
      <c r="F2856" s="1509">
        <f t="shared" si="445"/>
        <v>2.972</v>
      </c>
      <c r="G2856" s="1509">
        <f t="shared" si="446"/>
        <v>2.972</v>
      </c>
      <c r="H2856" s="1509">
        <f t="shared" si="447"/>
        <v>0</v>
      </c>
      <c r="I2856" s="1509">
        <v>0</v>
      </c>
      <c r="J2856" s="1509">
        <v>0</v>
      </c>
      <c r="K2856" s="1509"/>
      <c r="L2856" s="1509"/>
      <c r="M2856" s="1509">
        <f t="shared" si="448"/>
        <v>0</v>
      </c>
      <c r="N2856" s="1509">
        <f t="shared" si="449"/>
        <v>0</v>
      </c>
    </row>
    <row r="2857" spans="1:14" customFormat="1" ht="43.5" outlineLevel="1" x14ac:dyDescent="0.25">
      <c r="A2857" s="1511">
        <f t="shared" si="450"/>
        <v>9</v>
      </c>
      <c r="B2857" s="1515" t="str">
        <f t="shared" si="450"/>
        <v xml:space="preserve">Non DPR for Supply &amp; Installation of Coal Handling Plant critical equipment Major Spares like Wagon Tippler and Conveyors at CHP U6/7 ,T.P.S.Parli. </v>
      </c>
      <c r="C2857" s="1396" t="str">
        <f t="shared" si="450"/>
        <v>N.A.</v>
      </c>
      <c r="D2857" s="1378" t="str">
        <f t="shared" si="450"/>
        <v>-</v>
      </c>
      <c r="E2857" s="1505">
        <f t="shared" si="450"/>
        <v>0</v>
      </c>
      <c r="F2857" s="1509">
        <f t="shared" si="445"/>
        <v>2.79</v>
      </c>
      <c r="G2857" s="1509">
        <f t="shared" si="446"/>
        <v>2.79</v>
      </c>
      <c r="H2857" s="1509">
        <f t="shared" si="447"/>
        <v>0</v>
      </c>
      <c r="I2857" s="1509">
        <v>0</v>
      </c>
      <c r="J2857" s="1509">
        <v>0</v>
      </c>
      <c r="K2857" s="1509"/>
      <c r="L2857" s="1509"/>
      <c r="M2857" s="1509">
        <f t="shared" si="448"/>
        <v>0</v>
      </c>
      <c r="N2857" s="1509">
        <f t="shared" si="449"/>
        <v>0</v>
      </c>
    </row>
    <row r="2858" spans="1:14" customFormat="1" ht="43.5" outlineLevel="1" x14ac:dyDescent="0.25">
      <c r="A2858" s="1511">
        <f t="shared" si="450"/>
        <v>10</v>
      </c>
      <c r="B2858" s="1515" t="str">
        <f t="shared" si="450"/>
        <v>Design,Manufacture ,Supply &amp; Installation of Banana pattern and Modular chutes for various Conveyor discharge areas at CHP U 6/7,TPS Parli.</v>
      </c>
      <c r="C2858" s="1396" t="str">
        <f t="shared" si="450"/>
        <v>N.A.</v>
      </c>
      <c r="D2858" s="1378" t="str">
        <f t="shared" si="450"/>
        <v>-</v>
      </c>
      <c r="E2858" s="1505">
        <f t="shared" si="450"/>
        <v>0</v>
      </c>
      <c r="F2858" s="1509">
        <f t="shared" si="445"/>
        <v>2.94</v>
      </c>
      <c r="G2858" s="1509">
        <f t="shared" si="446"/>
        <v>2.94</v>
      </c>
      <c r="H2858" s="1509">
        <f t="shared" si="447"/>
        <v>0</v>
      </c>
      <c r="I2858" s="1509">
        <v>0</v>
      </c>
      <c r="J2858" s="1509">
        <v>0</v>
      </c>
      <c r="K2858" s="1509"/>
      <c r="L2858" s="1509"/>
      <c r="M2858" s="1509">
        <f t="shared" si="448"/>
        <v>0</v>
      </c>
      <c r="N2858" s="1509">
        <f t="shared" si="449"/>
        <v>0</v>
      </c>
    </row>
    <row r="2859" spans="1:14" customFormat="1" outlineLevel="1" x14ac:dyDescent="0.25">
      <c r="A2859" s="1511">
        <f t="shared" si="450"/>
        <v>11</v>
      </c>
      <c r="B2859" s="1515" t="str">
        <f t="shared" si="450"/>
        <v>Refrigeration Compressed Air Dryer at TM &amp; AHP, U#6,7 Parli TPS</v>
      </c>
      <c r="C2859" s="1396">
        <f t="shared" si="450"/>
        <v>0</v>
      </c>
      <c r="D2859" s="1378" t="str">
        <f t="shared" si="450"/>
        <v>-</v>
      </c>
      <c r="E2859" s="1505">
        <f t="shared" si="450"/>
        <v>0</v>
      </c>
      <c r="F2859" s="1509">
        <f t="shared" si="445"/>
        <v>1.57</v>
      </c>
      <c r="G2859" s="1509">
        <f t="shared" si="446"/>
        <v>1.57</v>
      </c>
      <c r="H2859" s="1509">
        <f t="shared" si="447"/>
        <v>0</v>
      </c>
      <c r="I2859" s="1509">
        <v>0</v>
      </c>
      <c r="J2859" s="1509">
        <v>0</v>
      </c>
      <c r="K2859" s="1509"/>
      <c r="L2859" s="1509"/>
      <c r="M2859" s="1509">
        <f t="shared" si="448"/>
        <v>0</v>
      </c>
      <c r="N2859" s="1509">
        <f t="shared" si="449"/>
        <v>0</v>
      </c>
    </row>
    <row r="2860" spans="1:14" customFormat="1" ht="15" outlineLevel="1" thickBot="1" x14ac:dyDescent="0.3">
      <c r="A2860" s="1511">
        <f t="shared" si="450"/>
        <v>12</v>
      </c>
      <c r="B2860" s="1515" t="str">
        <f t="shared" si="450"/>
        <v>General Asset</v>
      </c>
      <c r="C2860" s="1396">
        <f t="shared" si="450"/>
        <v>0</v>
      </c>
      <c r="D2860" s="1378" t="str">
        <f t="shared" si="450"/>
        <v>-</v>
      </c>
      <c r="E2860" s="1505">
        <f t="shared" si="450"/>
        <v>0</v>
      </c>
      <c r="F2860" s="1509">
        <f t="shared" si="445"/>
        <v>4.6993938489999989</v>
      </c>
      <c r="G2860" s="1509">
        <f t="shared" si="446"/>
        <v>4.5354596689999997</v>
      </c>
      <c r="H2860" s="1509">
        <f t="shared" si="447"/>
        <v>0.16393417999999915</v>
      </c>
      <c r="I2860" s="1509">
        <v>0.31</v>
      </c>
      <c r="J2860" s="1509">
        <v>0.31</v>
      </c>
      <c r="K2860" s="1509"/>
      <c r="L2860" s="1509"/>
      <c r="M2860" s="1509">
        <f t="shared" si="448"/>
        <v>0.31</v>
      </c>
      <c r="N2860" s="1509">
        <f t="shared" si="449"/>
        <v>0.16393417999999915</v>
      </c>
    </row>
    <row r="2861" spans="1:14" ht="15" thickBot="1" x14ac:dyDescent="0.3">
      <c r="A2861" s="1454"/>
      <c r="B2861" s="1455" t="str">
        <f>B2504</f>
        <v>Total</v>
      </c>
      <c r="C2861" s="1456"/>
      <c r="D2861" s="1457"/>
      <c r="E2861" s="1517"/>
      <c r="F2861" s="1517">
        <f>SUM(F2509:F2860)</f>
        <v>2228.7439577490013</v>
      </c>
      <c r="G2861" s="1517">
        <f t="shared" ref="G2861:N2861" si="451">SUM(G2509:G2860)</f>
        <v>2090.5941626890012</v>
      </c>
      <c r="H2861" s="1517">
        <f t="shared" si="451"/>
        <v>138.14979506</v>
      </c>
      <c r="I2861" s="1517">
        <f t="shared" si="451"/>
        <v>73.08</v>
      </c>
      <c r="J2861" s="1517">
        <f t="shared" si="451"/>
        <v>73.08</v>
      </c>
      <c r="K2861" s="1517">
        <f t="shared" si="451"/>
        <v>0</v>
      </c>
      <c r="L2861" s="1517">
        <f t="shared" si="451"/>
        <v>0</v>
      </c>
      <c r="M2861" s="1517">
        <f t="shared" si="451"/>
        <v>73.08</v>
      </c>
      <c r="N2861" s="1517">
        <f t="shared" si="451"/>
        <v>138.14979506</v>
      </c>
    </row>
  </sheetData>
  <mergeCells count="11">
    <mergeCell ref="G4:G6"/>
    <mergeCell ref="H4:H6"/>
    <mergeCell ref="I4:I6"/>
    <mergeCell ref="J4:M5"/>
    <mergeCell ref="N4:N6"/>
    <mergeCell ref="F4:F6"/>
    <mergeCell ref="A4:A6"/>
    <mergeCell ref="B4:B6"/>
    <mergeCell ref="C4:C6"/>
    <mergeCell ref="D4:D6"/>
    <mergeCell ref="E4:E6"/>
  </mergeCells>
  <conditionalFormatting sqref="C10:C95">
    <cfRule type="containsText" dxfId="85" priority="81" operator="containsText" text="DPR not submitted">
      <formula>NOT(ISERROR(SEARCH("DPR not submitted",C10)))</formula>
    </cfRule>
    <cfRule type="containsText" dxfId="84" priority="82" operator="containsText" text="Yet to be approved">
      <formula>NOT(ISERROR(SEARCH("Yet to be approved",C10)))</formula>
    </cfRule>
  </conditionalFormatting>
  <conditionalFormatting sqref="C97">
    <cfRule type="containsText" dxfId="83" priority="69" operator="containsText" text="DPR not submitted">
      <formula>NOT(ISERROR(SEARCH("DPR not submitted",C97)))</formula>
    </cfRule>
    <cfRule type="containsText" dxfId="82" priority="70" operator="containsText" text="Yet to be approved">
      <formula>NOT(ISERROR(SEARCH("Yet to be approved",C97)))</formula>
    </cfRule>
  </conditionalFormatting>
  <conditionalFormatting sqref="C104">
    <cfRule type="containsText" dxfId="81" priority="67" operator="containsText" text="DPR not submitted">
      <formula>NOT(ISERROR(SEARCH("DPR not submitted",C104)))</formula>
    </cfRule>
    <cfRule type="containsText" dxfId="80" priority="68" operator="containsText" text="Yet to be approved">
      <formula>NOT(ISERROR(SEARCH("Yet to be approved",C104)))</formula>
    </cfRule>
  </conditionalFormatting>
  <conditionalFormatting sqref="C112">
    <cfRule type="containsText" dxfId="79" priority="65" operator="containsText" text="DPR not submitted">
      <formula>NOT(ISERROR(SEARCH("DPR not submitted",C112)))</formula>
    </cfRule>
    <cfRule type="containsText" dxfId="78" priority="66" operator="containsText" text="Yet to be approved">
      <formula>NOT(ISERROR(SEARCH("Yet to be approved",C112)))</formula>
    </cfRule>
  </conditionalFormatting>
  <conditionalFormatting sqref="C362 C719 C1076 C1433 C1790 C2147">
    <cfRule type="containsText" dxfId="77" priority="85" operator="containsText" text="DPR not submitted">
      <formula>NOT(ISERROR(SEARCH("DPR not submitted",C362)))</formula>
    </cfRule>
    <cfRule type="containsText" dxfId="76" priority="86" operator="containsText" text="Yet to be approved">
      <formula>NOT(ISERROR(SEARCH("Yet to be approved",C362)))</formula>
    </cfRule>
  </conditionalFormatting>
  <conditionalFormatting sqref="C362">
    <cfRule type="containsText" dxfId="75" priority="83" operator="containsText" text="DPR not submitted">
      <formula>NOT(ISERROR(SEARCH("DPR not submitted",C362)))</formula>
    </cfRule>
    <cfRule type="containsText" dxfId="74" priority="84" operator="containsText" text="Yet to be approved">
      <formula>NOT(ISERROR(SEARCH("Yet to be approved",C362)))</formula>
    </cfRule>
  </conditionalFormatting>
  <conditionalFormatting sqref="C367:C452">
    <cfRule type="containsText" dxfId="73" priority="63" operator="containsText" text="DPR not submitted">
      <formula>NOT(ISERROR(SEARCH("DPR not submitted",C367)))</formula>
    </cfRule>
    <cfRule type="containsText" dxfId="72" priority="64" operator="containsText" text="Yet to be approved">
      <formula>NOT(ISERROR(SEARCH("Yet to be approved",C367)))</formula>
    </cfRule>
  </conditionalFormatting>
  <conditionalFormatting sqref="C454">
    <cfRule type="containsText" dxfId="71" priority="61" operator="containsText" text="DPR not submitted">
      <formula>NOT(ISERROR(SEARCH("DPR not submitted",C454)))</formula>
    </cfRule>
    <cfRule type="containsText" dxfId="70" priority="62" operator="containsText" text="Yet to be approved">
      <formula>NOT(ISERROR(SEARCH("Yet to be approved",C454)))</formula>
    </cfRule>
  </conditionalFormatting>
  <conditionalFormatting sqref="C461">
    <cfRule type="containsText" dxfId="69" priority="59" operator="containsText" text="DPR not submitted">
      <formula>NOT(ISERROR(SEARCH("DPR not submitted",C461)))</formula>
    </cfRule>
    <cfRule type="containsText" dxfId="68" priority="60" operator="containsText" text="Yet to be approved">
      <formula>NOT(ISERROR(SEARCH("Yet to be approved",C461)))</formula>
    </cfRule>
  </conditionalFormatting>
  <conditionalFormatting sqref="C469">
    <cfRule type="containsText" dxfId="67" priority="57" operator="containsText" text="DPR not submitted">
      <formula>NOT(ISERROR(SEARCH("DPR not submitted",C469)))</formula>
    </cfRule>
    <cfRule type="containsText" dxfId="66" priority="58" operator="containsText" text="Yet to be approved">
      <formula>NOT(ISERROR(SEARCH("Yet to be approved",C469)))</formula>
    </cfRule>
  </conditionalFormatting>
  <conditionalFormatting sqref="C719">
    <cfRule type="containsText" dxfId="65" priority="79" operator="containsText" text="DPR not submitted">
      <formula>NOT(ISERROR(SEARCH("DPR not submitted",C719)))</formula>
    </cfRule>
    <cfRule type="containsText" dxfId="64" priority="80" operator="containsText" text="Yet to be approved">
      <formula>NOT(ISERROR(SEARCH("Yet to be approved",C719)))</formula>
    </cfRule>
  </conditionalFormatting>
  <conditionalFormatting sqref="C724:C809">
    <cfRule type="containsText" dxfId="63" priority="55" operator="containsText" text="DPR not submitted">
      <formula>NOT(ISERROR(SEARCH("DPR not submitted",C724)))</formula>
    </cfRule>
    <cfRule type="containsText" dxfId="62" priority="56" operator="containsText" text="Yet to be approved">
      <formula>NOT(ISERROR(SEARCH("Yet to be approved",C724)))</formula>
    </cfRule>
  </conditionalFormatting>
  <conditionalFormatting sqref="C811">
    <cfRule type="containsText" dxfId="61" priority="53" operator="containsText" text="DPR not submitted">
      <formula>NOT(ISERROR(SEARCH("DPR not submitted",C811)))</formula>
    </cfRule>
    <cfRule type="containsText" dxfId="60" priority="54" operator="containsText" text="Yet to be approved">
      <formula>NOT(ISERROR(SEARCH("Yet to be approved",C811)))</formula>
    </cfRule>
  </conditionalFormatting>
  <conditionalFormatting sqref="C818">
    <cfRule type="containsText" dxfId="59" priority="51" operator="containsText" text="DPR not submitted">
      <formula>NOT(ISERROR(SEARCH("DPR not submitted",C818)))</formula>
    </cfRule>
    <cfRule type="containsText" dxfId="58" priority="52" operator="containsText" text="Yet to be approved">
      <formula>NOT(ISERROR(SEARCH("Yet to be approved",C818)))</formula>
    </cfRule>
  </conditionalFormatting>
  <conditionalFormatting sqref="C826">
    <cfRule type="containsText" dxfId="57" priority="49" operator="containsText" text="DPR not submitted">
      <formula>NOT(ISERROR(SEARCH("DPR not submitted",C826)))</formula>
    </cfRule>
    <cfRule type="containsText" dxfId="56" priority="50" operator="containsText" text="Yet to be approved">
      <formula>NOT(ISERROR(SEARCH("Yet to be approved",C826)))</formula>
    </cfRule>
  </conditionalFormatting>
  <conditionalFormatting sqref="C1076">
    <cfRule type="containsText" dxfId="55" priority="77" operator="containsText" text="DPR not submitted">
      <formula>NOT(ISERROR(SEARCH("DPR not submitted",C1076)))</formula>
    </cfRule>
    <cfRule type="containsText" dxfId="54" priority="78" operator="containsText" text="Yet to be approved">
      <formula>NOT(ISERROR(SEARCH("Yet to be approved",C1076)))</formula>
    </cfRule>
  </conditionalFormatting>
  <conditionalFormatting sqref="C1081:C1166">
    <cfRule type="containsText" dxfId="53" priority="47" operator="containsText" text="DPR not submitted">
      <formula>NOT(ISERROR(SEARCH("DPR not submitted",C1081)))</formula>
    </cfRule>
    <cfRule type="containsText" dxfId="52" priority="48" operator="containsText" text="Yet to be approved">
      <formula>NOT(ISERROR(SEARCH("Yet to be approved",C1081)))</formula>
    </cfRule>
  </conditionalFormatting>
  <conditionalFormatting sqref="C1168">
    <cfRule type="containsText" dxfId="51" priority="45" operator="containsText" text="DPR not submitted">
      <formula>NOT(ISERROR(SEARCH("DPR not submitted",C1168)))</formula>
    </cfRule>
    <cfRule type="containsText" dxfId="50" priority="46" operator="containsText" text="Yet to be approved">
      <formula>NOT(ISERROR(SEARCH("Yet to be approved",C1168)))</formula>
    </cfRule>
  </conditionalFormatting>
  <conditionalFormatting sqref="C1175">
    <cfRule type="containsText" dxfId="49" priority="43" operator="containsText" text="DPR not submitted">
      <formula>NOT(ISERROR(SEARCH("DPR not submitted",C1175)))</formula>
    </cfRule>
    <cfRule type="containsText" dxfId="48" priority="44" operator="containsText" text="Yet to be approved">
      <formula>NOT(ISERROR(SEARCH("Yet to be approved",C1175)))</formula>
    </cfRule>
  </conditionalFormatting>
  <conditionalFormatting sqref="C1183">
    <cfRule type="containsText" dxfId="47" priority="41" operator="containsText" text="DPR not submitted">
      <formula>NOT(ISERROR(SEARCH("DPR not submitted",C1183)))</formula>
    </cfRule>
    <cfRule type="containsText" dxfId="46" priority="42" operator="containsText" text="Yet to be approved">
      <formula>NOT(ISERROR(SEARCH("Yet to be approved",C1183)))</formula>
    </cfRule>
  </conditionalFormatting>
  <conditionalFormatting sqref="C1433">
    <cfRule type="containsText" dxfId="45" priority="75" operator="containsText" text="DPR not submitted">
      <formula>NOT(ISERROR(SEARCH("DPR not submitted",C1433)))</formula>
    </cfRule>
    <cfRule type="containsText" dxfId="44" priority="76" operator="containsText" text="Yet to be approved">
      <formula>NOT(ISERROR(SEARCH("Yet to be approved",C1433)))</formula>
    </cfRule>
  </conditionalFormatting>
  <conditionalFormatting sqref="C1438:C1523">
    <cfRule type="containsText" dxfId="43" priority="39" operator="containsText" text="DPR not submitted">
      <formula>NOT(ISERROR(SEARCH("DPR not submitted",C1438)))</formula>
    </cfRule>
    <cfRule type="containsText" dxfId="42" priority="40" operator="containsText" text="Yet to be approved">
      <formula>NOT(ISERROR(SEARCH("Yet to be approved",C1438)))</formula>
    </cfRule>
  </conditionalFormatting>
  <conditionalFormatting sqref="C1525">
    <cfRule type="containsText" dxfId="41" priority="37" operator="containsText" text="DPR not submitted">
      <formula>NOT(ISERROR(SEARCH("DPR not submitted",C1525)))</formula>
    </cfRule>
    <cfRule type="containsText" dxfId="40" priority="38" operator="containsText" text="Yet to be approved">
      <formula>NOT(ISERROR(SEARCH("Yet to be approved",C1525)))</formula>
    </cfRule>
  </conditionalFormatting>
  <conditionalFormatting sqref="C1532">
    <cfRule type="containsText" dxfId="39" priority="35" operator="containsText" text="DPR not submitted">
      <formula>NOT(ISERROR(SEARCH("DPR not submitted",C1532)))</formula>
    </cfRule>
    <cfRule type="containsText" dxfId="38" priority="36" operator="containsText" text="Yet to be approved">
      <formula>NOT(ISERROR(SEARCH("Yet to be approved",C1532)))</formula>
    </cfRule>
  </conditionalFormatting>
  <conditionalFormatting sqref="C1540">
    <cfRule type="containsText" dxfId="37" priority="33" operator="containsText" text="DPR not submitted">
      <formula>NOT(ISERROR(SEARCH("DPR not submitted",C1540)))</formula>
    </cfRule>
    <cfRule type="containsText" dxfId="36" priority="34" operator="containsText" text="Yet to be approved">
      <formula>NOT(ISERROR(SEARCH("Yet to be approved",C1540)))</formula>
    </cfRule>
  </conditionalFormatting>
  <conditionalFormatting sqref="C1790">
    <cfRule type="containsText" dxfId="35" priority="73" operator="containsText" text="DPR not submitted">
      <formula>NOT(ISERROR(SEARCH("DPR not submitted",C1790)))</formula>
    </cfRule>
    <cfRule type="containsText" dxfId="34" priority="74" operator="containsText" text="Yet to be approved">
      <formula>NOT(ISERROR(SEARCH("Yet to be approved",C1790)))</formula>
    </cfRule>
  </conditionalFormatting>
  <conditionalFormatting sqref="C1795:C1880">
    <cfRule type="containsText" dxfId="33" priority="31" operator="containsText" text="DPR not submitted">
      <formula>NOT(ISERROR(SEARCH("DPR not submitted",C1795)))</formula>
    </cfRule>
    <cfRule type="containsText" dxfId="32" priority="32" operator="containsText" text="Yet to be approved">
      <formula>NOT(ISERROR(SEARCH("Yet to be approved",C1795)))</formula>
    </cfRule>
  </conditionalFormatting>
  <conditionalFormatting sqref="C1882">
    <cfRule type="containsText" dxfId="31" priority="29" operator="containsText" text="DPR not submitted">
      <formula>NOT(ISERROR(SEARCH("DPR not submitted",C1882)))</formula>
    </cfRule>
    <cfRule type="containsText" dxfId="30" priority="30" operator="containsText" text="Yet to be approved">
      <formula>NOT(ISERROR(SEARCH("Yet to be approved",C1882)))</formula>
    </cfRule>
  </conditionalFormatting>
  <conditionalFormatting sqref="C1889">
    <cfRule type="containsText" dxfId="29" priority="27" operator="containsText" text="DPR not submitted">
      <formula>NOT(ISERROR(SEARCH("DPR not submitted",C1889)))</formula>
    </cfRule>
    <cfRule type="containsText" dxfId="28" priority="28" operator="containsText" text="Yet to be approved">
      <formula>NOT(ISERROR(SEARCH("Yet to be approved",C1889)))</formula>
    </cfRule>
  </conditionalFormatting>
  <conditionalFormatting sqref="C1897">
    <cfRule type="containsText" dxfId="27" priority="25" operator="containsText" text="DPR not submitted">
      <formula>NOT(ISERROR(SEARCH("DPR not submitted",C1897)))</formula>
    </cfRule>
    <cfRule type="containsText" dxfId="26" priority="26" operator="containsText" text="Yet to be approved">
      <formula>NOT(ISERROR(SEARCH("Yet to be approved",C1897)))</formula>
    </cfRule>
  </conditionalFormatting>
  <conditionalFormatting sqref="C2147">
    <cfRule type="containsText" dxfId="25" priority="71" operator="containsText" text="DPR not submitted">
      <formula>NOT(ISERROR(SEARCH("DPR not submitted",C2147)))</formula>
    </cfRule>
    <cfRule type="containsText" dxfId="24" priority="72" operator="containsText" text="Yet to be approved">
      <formula>NOT(ISERROR(SEARCH("Yet to be approved",C2147)))</formula>
    </cfRule>
  </conditionalFormatting>
  <conditionalFormatting sqref="C2152:C2237">
    <cfRule type="containsText" dxfId="23" priority="19" operator="containsText" text="DPR not submitted">
      <formula>NOT(ISERROR(SEARCH("DPR not submitted",C2152)))</formula>
    </cfRule>
    <cfRule type="containsText" dxfId="22" priority="20" operator="containsText" text="Yet to be approved">
      <formula>NOT(ISERROR(SEARCH("Yet to be approved",C2152)))</formula>
    </cfRule>
  </conditionalFormatting>
  <conditionalFormatting sqref="C2239">
    <cfRule type="containsText" dxfId="21" priority="17" operator="containsText" text="DPR not submitted">
      <formula>NOT(ISERROR(SEARCH("DPR not submitted",C2239)))</formula>
    </cfRule>
    <cfRule type="containsText" dxfId="20" priority="18" operator="containsText" text="Yet to be approved">
      <formula>NOT(ISERROR(SEARCH("Yet to be approved",C2239)))</formula>
    </cfRule>
  </conditionalFormatting>
  <conditionalFormatting sqref="C2246">
    <cfRule type="containsText" dxfId="19" priority="15" operator="containsText" text="DPR not submitted">
      <formula>NOT(ISERROR(SEARCH("DPR not submitted",C2246)))</formula>
    </cfRule>
    <cfRule type="containsText" dxfId="18" priority="16" operator="containsText" text="Yet to be approved">
      <formula>NOT(ISERROR(SEARCH("Yet to be approved",C2246)))</formula>
    </cfRule>
  </conditionalFormatting>
  <conditionalFormatting sqref="C2254">
    <cfRule type="containsText" dxfId="17" priority="13" operator="containsText" text="DPR not submitted">
      <formula>NOT(ISERROR(SEARCH("DPR not submitted",C2254)))</formula>
    </cfRule>
    <cfRule type="containsText" dxfId="16" priority="14" operator="containsText" text="Yet to be approved">
      <formula>NOT(ISERROR(SEARCH("Yet to be approved",C2254)))</formula>
    </cfRule>
  </conditionalFormatting>
  <conditionalFormatting sqref="C2504">
    <cfRule type="containsText" dxfId="15" priority="21" operator="containsText" text="DPR not submitted">
      <formula>NOT(ISERROR(SEARCH("DPR not submitted",C2504)))</formula>
    </cfRule>
    <cfRule type="containsText" dxfId="14" priority="22" operator="containsText" text="Yet to be approved">
      <formula>NOT(ISERROR(SEARCH("Yet to be approved",C2504)))</formula>
    </cfRule>
    <cfRule type="containsText" dxfId="13" priority="23" operator="containsText" text="DPR not submitted">
      <formula>NOT(ISERROR(SEARCH("DPR not submitted",C2504)))</formula>
    </cfRule>
    <cfRule type="containsText" dxfId="12" priority="24" operator="containsText" text="Yet to be approved">
      <formula>NOT(ISERROR(SEARCH("Yet to be approved",C2504)))</formula>
    </cfRule>
  </conditionalFormatting>
  <conditionalFormatting sqref="C2509:C2594">
    <cfRule type="containsText" dxfId="11" priority="7" operator="containsText" text="DPR not submitted">
      <formula>NOT(ISERROR(SEARCH("DPR not submitted",C2509)))</formula>
    </cfRule>
    <cfRule type="containsText" dxfId="10" priority="8" operator="containsText" text="Yet to be approved">
      <formula>NOT(ISERROR(SEARCH("Yet to be approved",C2509)))</formula>
    </cfRule>
  </conditionalFormatting>
  <conditionalFormatting sqref="C2596">
    <cfRule type="containsText" dxfId="9" priority="5" operator="containsText" text="DPR not submitted">
      <formula>NOT(ISERROR(SEARCH("DPR not submitted",C2596)))</formula>
    </cfRule>
    <cfRule type="containsText" dxfId="8" priority="6" operator="containsText" text="Yet to be approved">
      <formula>NOT(ISERROR(SEARCH("Yet to be approved",C2596)))</formula>
    </cfRule>
  </conditionalFormatting>
  <conditionalFormatting sqref="C2603">
    <cfRule type="containsText" dxfId="7" priority="3" operator="containsText" text="DPR not submitted">
      <formula>NOT(ISERROR(SEARCH("DPR not submitted",C2603)))</formula>
    </cfRule>
    <cfRule type="containsText" dxfId="6" priority="4" operator="containsText" text="Yet to be approved">
      <formula>NOT(ISERROR(SEARCH("Yet to be approved",C2603)))</formula>
    </cfRule>
  </conditionalFormatting>
  <conditionalFormatting sqref="C2611">
    <cfRule type="containsText" dxfId="5" priority="1" operator="containsText" text="DPR not submitted">
      <formula>NOT(ISERROR(SEARCH("DPR not submitted",C2611)))</formula>
    </cfRule>
    <cfRule type="containsText" dxfId="4" priority="2" operator="containsText" text="Yet to be approved">
      <formula>NOT(ISERROR(SEARCH("Yet to be approved",C2611)))</formula>
    </cfRule>
  </conditionalFormatting>
  <conditionalFormatting sqref="C2861">
    <cfRule type="containsText" dxfId="3" priority="9" operator="containsText" text="DPR not submitted">
      <formula>NOT(ISERROR(SEARCH("DPR not submitted",C2861)))</formula>
    </cfRule>
    <cfRule type="containsText" dxfId="2" priority="10" operator="containsText" text="Yet to be approved">
      <formula>NOT(ISERROR(SEARCH("Yet to be approved",C2861)))</formula>
    </cfRule>
    <cfRule type="containsText" dxfId="1" priority="11" operator="containsText" text="DPR not submitted">
      <formula>NOT(ISERROR(SEARCH("DPR not submitted",C2861)))</formula>
    </cfRule>
    <cfRule type="containsText" dxfId="0" priority="12" operator="containsText" text="Yet to be approved">
      <formula>NOT(ISERROR(SEARCH("Yet to be approved",C2861)))</formula>
    </cfRule>
  </conditionalFormatting>
  <printOptions verticalCentered="1"/>
  <pageMargins left="0.39370078740157483" right="0.39370078740157483" top="0.39370078740157483" bottom="0.39370078740157483" header="0.23622047244094491" footer="0.23622047244094491"/>
  <pageSetup paperSize="9" scale="62" fitToHeight="100" pageOrder="overThenDown" orientation="landscape" blackAndWhite="1" r:id="rId1"/>
  <headerFooter alignWithMargins="0">
    <oddHeader>&amp;C&amp;F</oddHeader>
  </headerFooter>
  <rowBreaks count="5" manualBreakCount="5">
    <brk id="361" max="13" man="1"/>
    <brk id="717" max="13" man="1"/>
    <brk id="1073" max="13" man="1"/>
    <brk id="1429" max="13" man="1"/>
    <brk id="1785"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J64" zoomScale="70" zoomScaleNormal="70" workbookViewId="0">
      <selection activeCell="O88" sqref="O88"/>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1081" t="str">
        <f>Index!B2</f>
        <v xml:space="preserve">      Maharashtra State Power Generation Company Ltd.</v>
      </c>
      <c r="L4" s="1081"/>
      <c r="M4" s="18"/>
      <c r="N4" s="18"/>
      <c r="O4" s="18"/>
      <c r="P4" s="18"/>
      <c r="Q4" s="18"/>
      <c r="R4" s="18"/>
    </row>
    <row r="5" spans="1:23" x14ac:dyDescent="0.3">
      <c r="B5" s="19"/>
      <c r="I5" s="65"/>
      <c r="J5" s="65"/>
      <c r="K5" s="1081" t="str">
        <f>Index!B3</f>
        <v>MYT Petition Formats for Parli Units 6 &amp; 7</v>
      </c>
      <c r="L5" s="1081"/>
      <c r="M5" s="65"/>
      <c r="N5" s="65"/>
      <c r="O5" s="65"/>
      <c r="P5" s="65"/>
      <c r="Q5" s="65"/>
      <c r="R5" s="65"/>
    </row>
    <row r="6" spans="1:23" x14ac:dyDescent="0.3">
      <c r="B6" s="18"/>
      <c r="I6" s="66"/>
      <c r="J6" s="67"/>
      <c r="K6" s="130" t="s">
        <v>1464</v>
      </c>
      <c r="L6" s="72"/>
      <c r="M6" s="67"/>
      <c r="N6" s="19"/>
      <c r="O6" s="18"/>
      <c r="P6" s="18"/>
      <c r="Q6" s="18"/>
      <c r="R6" s="18"/>
    </row>
    <row r="7" spans="1:23" x14ac:dyDescent="0.3">
      <c r="C7" s="19"/>
      <c r="D7" s="19"/>
      <c r="E7" s="19"/>
      <c r="F7" s="19"/>
      <c r="G7" s="19"/>
      <c r="H7" s="19"/>
      <c r="J7" s="6"/>
      <c r="M7" s="6"/>
      <c r="N7" s="6"/>
    </row>
    <row r="8" spans="1:23" x14ac:dyDescent="0.3">
      <c r="A8" s="5" t="s">
        <v>264</v>
      </c>
      <c r="B8" s="1086" t="s">
        <v>265</v>
      </c>
      <c r="C8" s="1086"/>
      <c r="D8" s="1086"/>
      <c r="E8" s="1086"/>
      <c r="F8" s="1086"/>
      <c r="G8" s="1086"/>
      <c r="H8" s="1086"/>
      <c r="I8" s="1"/>
      <c r="J8" s="44"/>
      <c r="K8" s="1"/>
      <c r="L8" s="1"/>
      <c r="M8" s="44"/>
      <c r="N8" s="44"/>
      <c r="O8" s="1"/>
      <c r="P8" s="1"/>
      <c r="Q8" s="1"/>
      <c r="R8" s="250"/>
    </row>
    <row r="9" spans="1:23" x14ac:dyDescent="0.3">
      <c r="B9" s="257"/>
      <c r="C9" s="8"/>
      <c r="D9" s="8"/>
      <c r="E9" s="8"/>
      <c r="F9" s="8"/>
      <c r="G9" s="8"/>
      <c r="H9" s="8"/>
      <c r="I9" s="1"/>
      <c r="J9" s="44"/>
      <c r="K9" s="1"/>
      <c r="L9" s="1"/>
      <c r="M9" s="258" t="s">
        <v>10</v>
      </c>
      <c r="N9" s="44"/>
      <c r="O9" s="1"/>
      <c r="P9" s="1"/>
      <c r="Q9" s="1"/>
    </row>
    <row r="10" spans="1:23" ht="15.75" customHeight="1" x14ac:dyDescent="0.3">
      <c r="B10" s="1792" t="s">
        <v>339</v>
      </c>
      <c r="C10" s="1792" t="s">
        <v>36</v>
      </c>
      <c r="D10" s="1939" t="s">
        <v>506</v>
      </c>
      <c r="E10" s="1939"/>
      <c r="F10" s="1939"/>
      <c r="G10" s="1939"/>
      <c r="H10" s="1939"/>
      <c r="I10" s="1939" t="s">
        <v>507</v>
      </c>
      <c r="J10" s="1939"/>
      <c r="K10" s="1939"/>
      <c r="L10" s="1939"/>
      <c r="M10" s="1939"/>
      <c r="N10" s="1935" t="s">
        <v>508</v>
      </c>
      <c r="O10" s="1935"/>
      <c r="P10" s="1935"/>
      <c r="Q10" s="1935"/>
      <c r="R10" s="1935"/>
      <c r="S10" s="1935" t="s">
        <v>968</v>
      </c>
      <c r="T10" s="1935"/>
      <c r="U10" s="1935"/>
      <c r="V10" s="1935"/>
      <c r="W10" s="1935"/>
    </row>
    <row r="11" spans="1:23" ht="15.75" customHeight="1" x14ac:dyDescent="0.3">
      <c r="B11" s="1792"/>
      <c r="C11" s="1792"/>
      <c r="D11" s="1941" t="s">
        <v>7</v>
      </c>
      <c r="E11" s="1942"/>
      <c r="F11" s="1942"/>
      <c r="G11" s="1942"/>
      <c r="H11" s="1942"/>
      <c r="I11" s="1941" t="s">
        <v>7</v>
      </c>
      <c r="J11" s="1942"/>
      <c r="K11" s="1942"/>
      <c r="L11" s="1942"/>
      <c r="M11" s="1942"/>
      <c r="N11" s="1941" t="s">
        <v>12</v>
      </c>
      <c r="O11" s="1942"/>
      <c r="P11" s="1942"/>
      <c r="Q11" s="1942"/>
      <c r="R11" s="1942"/>
      <c r="S11" s="1939" t="s">
        <v>21</v>
      </c>
      <c r="T11" s="1940"/>
      <c r="U11" s="1940"/>
      <c r="V11" s="1940"/>
      <c r="W11" s="1940"/>
    </row>
    <row r="12" spans="1:23" s="35" customFormat="1" ht="42" x14ac:dyDescent="0.3">
      <c r="B12" s="1792"/>
      <c r="C12" s="1792"/>
      <c r="D12" s="1084" t="s">
        <v>266</v>
      </c>
      <c r="E12" s="1084" t="s">
        <v>267</v>
      </c>
      <c r="F12" s="1084" t="s">
        <v>268</v>
      </c>
      <c r="G12" s="1084" t="s">
        <v>587</v>
      </c>
      <c r="H12" s="1084" t="s">
        <v>269</v>
      </c>
      <c r="I12" s="1084" t="s">
        <v>266</v>
      </c>
      <c r="J12" s="1084" t="s">
        <v>267</v>
      </c>
      <c r="K12" s="1084" t="s">
        <v>268</v>
      </c>
      <c r="L12" s="1084" t="s">
        <v>587</v>
      </c>
      <c r="M12" s="1084" t="s">
        <v>269</v>
      </c>
      <c r="N12" s="1090" t="s">
        <v>266</v>
      </c>
      <c r="O12" s="1090" t="s">
        <v>267</v>
      </c>
      <c r="P12" s="1090" t="s">
        <v>268</v>
      </c>
      <c r="Q12" s="1084" t="s">
        <v>587</v>
      </c>
      <c r="R12" s="1090" t="s">
        <v>269</v>
      </c>
      <c r="S12" s="1090" t="s">
        <v>266</v>
      </c>
      <c r="T12" s="1090" t="s">
        <v>267</v>
      </c>
      <c r="U12" s="1090" t="s">
        <v>268</v>
      </c>
      <c r="V12" s="1084" t="s">
        <v>587</v>
      </c>
      <c r="W12" s="1090" t="s">
        <v>269</v>
      </c>
    </row>
    <row r="13" spans="1:23" s="36" customFormat="1" ht="28" x14ac:dyDescent="0.25">
      <c r="B13" s="259"/>
      <c r="C13" s="259"/>
      <c r="D13" s="259" t="s">
        <v>80</v>
      </c>
      <c r="E13" s="259" t="s">
        <v>81</v>
      </c>
      <c r="F13" s="259" t="s">
        <v>459</v>
      </c>
      <c r="G13" s="259" t="s">
        <v>390</v>
      </c>
      <c r="H13" s="259" t="s">
        <v>588</v>
      </c>
      <c r="I13" s="259" t="s">
        <v>408</v>
      </c>
      <c r="J13" s="259" t="s">
        <v>509</v>
      </c>
      <c r="K13" s="259" t="s">
        <v>409</v>
      </c>
      <c r="L13" s="259" t="s">
        <v>410</v>
      </c>
      <c r="M13" s="259" t="s">
        <v>653</v>
      </c>
      <c r="N13" s="259" t="s">
        <v>589</v>
      </c>
      <c r="O13" s="259" t="s">
        <v>654</v>
      </c>
      <c r="P13" s="259" t="s">
        <v>590</v>
      </c>
      <c r="Q13" s="259" t="s">
        <v>591</v>
      </c>
      <c r="R13" s="259" t="s">
        <v>1462</v>
      </c>
      <c r="S13" s="259" t="s">
        <v>592</v>
      </c>
      <c r="T13" s="259" t="s">
        <v>593</v>
      </c>
      <c r="U13" s="259" t="s">
        <v>655</v>
      </c>
      <c r="V13" s="259" t="s">
        <v>594</v>
      </c>
      <c r="W13" s="259" t="s">
        <v>1461</v>
      </c>
    </row>
    <row r="14" spans="1:23" s="419" customFormat="1" x14ac:dyDescent="0.3">
      <c r="B14" s="465">
        <v>1</v>
      </c>
      <c r="C14" s="467" t="s">
        <v>844</v>
      </c>
      <c r="D14" s="1074">
        <f>'F5'!D14</f>
        <v>3.7073555520774324</v>
      </c>
      <c r="E14" s="1074">
        <f>'F5'!E14</f>
        <v>0</v>
      </c>
      <c r="F14" s="1074">
        <f>'F5'!F14</f>
        <v>0</v>
      </c>
      <c r="G14" s="1074">
        <f>'F5'!G14</f>
        <v>0</v>
      </c>
      <c r="H14" s="1074">
        <f>D14+E14-F14-G14</f>
        <v>3.7073555520774324</v>
      </c>
      <c r="I14" s="823">
        <f>H14</f>
        <v>3.7073555520774324</v>
      </c>
      <c r="J14" s="1074">
        <f>'F5'!J14</f>
        <v>0.88590860000000005</v>
      </c>
      <c r="K14" s="1074">
        <f>'F5'!K14</f>
        <v>0</v>
      </c>
      <c r="L14" s="1074">
        <f>'F5'!L14</f>
        <v>0</v>
      </c>
      <c r="M14" s="823">
        <f>I14+J14-K14-L14</f>
        <v>4.5932641520774329</v>
      </c>
      <c r="N14" s="1074">
        <f>M14</f>
        <v>4.5932641520774329</v>
      </c>
      <c r="O14" s="1074">
        <f>'F5'!O14</f>
        <v>0</v>
      </c>
      <c r="P14" s="1074">
        <f>'F5'!P14</f>
        <v>0</v>
      </c>
      <c r="Q14" s="1074">
        <f>'F5'!Q14</f>
        <v>0</v>
      </c>
      <c r="R14" s="1074">
        <f>N14+O14-P14-Q14</f>
        <v>4.5932641520774329</v>
      </c>
      <c r="S14" s="823">
        <f>'F5'!S14+'F5.1 (N)'!D16</f>
        <v>4.5932641520774329</v>
      </c>
      <c r="T14" s="823">
        <f>'F5'!T14+'F5.1 (N)'!E16</f>
        <v>0</v>
      </c>
      <c r="U14" s="823">
        <f>'F5'!U14+'F5.1 (N)'!F16</f>
        <v>0</v>
      </c>
      <c r="V14" s="823">
        <f>'F5'!V14+'F5.1 (N)'!G16</f>
        <v>0</v>
      </c>
      <c r="W14" s="823">
        <f>S14+T14-U14-V14</f>
        <v>4.5932641520774329</v>
      </c>
    </row>
    <row r="15" spans="1:23" s="419" customFormat="1" x14ac:dyDescent="0.3">
      <c r="B15" s="465">
        <f>B14+1</f>
        <v>2</v>
      </c>
      <c r="C15" s="467" t="s">
        <v>845</v>
      </c>
      <c r="D15" s="1074">
        <f>'F5'!D15</f>
        <v>162.92964288233262</v>
      </c>
      <c r="E15" s="1074">
        <f>'F5'!E15</f>
        <v>2.9588409999999998E-3</v>
      </c>
      <c r="F15" s="1074">
        <f>'F5'!F15</f>
        <v>0</v>
      </c>
      <c r="G15" s="1074">
        <f>'F5'!G15</f>
        <v>0</v>
      </c>
      <c r="H15" s="1074">
        <f t="shared" ref="H15:H30" si="0">D15+E15-F15-G15</f>
        <v>162.93260172333262</v>
      </c>
      <c r="I15" s="823">
        <f t="shared" ref="I15:I30" si="1">H15</f>
        <v>162.93260172333262</v>
      </c>
      <c r="J15" s="1074">
        <f>'F5'!J15</f>
        <v>0</v>
      </c>
      <c r="K15" s="1074">
        <f>'F5'!K15</f>
        <v>0</v>
      </c>
      <c r="L15" s="1074">
        <f>'F5'!L15</f>
        <v>0</v>
      </c>
      <c r="M15" s="823">
        <f t="shared" ref="M15:M30" si="2">I15+J15-K15-L15</f>
        <v>162.93260172333262</v>
      </c>
      <c r="N15" s="1074">
        <f t="shared" ref="N15:N30" si="3">M15</f>
        <v>162.93260172333262</v>
      </c>
      <c r="O15" s="1074">
        <f>'F5'!O15</f>
        <v>0</v>
      </c>
      <c r="P15" s="1074">
        <f>'F5'!P15</f>
        <v>0</v>
      </c>
      <c r="Q15" s="1074">
        <f>'F5'!Q15</f>
        <v>0</v>
      </c>
      <c r="R15" s="1074">
        <f t="shared" ref="R15:R30" si="4">N15+O15-P15-Q15</f>
        <v>162.93260172333262</v>
      </c>
      <c r="S15" s="823">
        <f>'F5'!S15+'F5.1 (N)'!D17</f>
        <v>162.93260172333262</v>
      </c>
      <c r="T15" s="823">
        <f>'F5'!T15+'F5.1 (N)'!E17</f>
        <v>0</v>
      </c>
      <c r="U15" s="823">
        <f>'F5'!U15+'F5.1 (N)'!F17</f>
        <v>0</v>
      </c>
      <c r="V15" s="823">
        <f>'F5'!V15+'F5.1 (N)'!G17</f>
        <v>0</v>
      </c>
      <c r="W15" s="823">
        <f t="shared" ref="W15:W30" si="5">S15+T15-U15-V15</f>
        <v>162.93260172333262</v>
      </c>
    </row>
    <row r="16" spans="1:23" s="419" customFormat="1" x14ac:dyDescent="0.3">
      <c r="B16" s="465">
        <f t="shared" ref="B16:B30" si="6">B15+1</f>
        <v>3</v>
      </c>
      <c r="C16" s="467" t="s">
        <v>846</v>
      </c>
      <c r="D16" s="1074">
        <f>'F5'!D16</f>
        <v>73.849999999999994</v>
      </c>
      <c r="E16" s="1074">
        <f>'F5'!E16</f>
        <v>0</v>
      </c>
      <c r="F16" s="1074">
        <f>'F5'!F16</f>
        <v>0</v>
      </c>
      <c r="G16" s="1074">
        <f>'F5'!G16</f>
        <v>0</v>
      </c>
      <c r="H16" s="1074">
        <f t="shared" si="0"/>
        <v>73.849999999999994</v>
      </c>
      <c r="I16" s="823">
        <f t="shared" si="1"/>
        <v>73.849999999999994</v>
      </c>
      <c r="J16" s="1074">
        <f>'F5'!J16</f>
        <v>0</v>
      </c>
      <c r="K16" s="1074">
        <f>'F5'!K16</f>
        <v>0</v>
      </c>
      <c r="L16" s="1074">
        <f>'F5'!L16</f>
        <v>0</v>
      </c>
      <c r="M16" s="823">
        <f t="shared" si="2"/>
        <v>73.849999999999994</v>
      </c>
      <c r="N16" s="1074">
        <f t="shared" si="3"/>
        <v>73.849999999999994</v>
      </c>
      <c r="O16" s="1074">
        <f>'F5'!O16</f>
        <v>0</v>
      </c>
      <c r="P16" s="1074">
        <f>'F5'!P16</f>
        <v>0</v>
      </c>
      <c r="Q16" s="1074">
        <f>'F5'!Q16</f>
        <v>0</v>
      </c>
      <c r="R16" s="1074">
        <f t="shared" si="4"/>
        <v>73.849999999999994</v>
      </c>
      <c r="S16" s="823">
        <f>'F5'!S16+'F5.1 (N)'!D18</f>
        <v>73.849999999999994</v>
      </c>
      <c r="T16" s="823">
        <f>'F5'!T16+'F5.1 (N)'!E18</f>
        <v>0</v>
      </c>
      <c r="U16" s="823">
        <f>'F5'!U16+'F5.1 (N)'!F18</f>
        <v>0</v>
      </c>
      <c r="V16" s="823">
        <f>'F5'!V16+'F5.1 (N)'!G18</f>
        <v>0</v>
      </c>
      <c r="W16" s="823">
        <f t="shared" si="5"/>
        <v>73.849999999999994</v>
      </c>
    </row>
    <row r="17" spans="2:23" s="419" customFormat="1" x14ac:dyDescent="0.3">
      <c r="B17" s="465">
        <f t="shared" si="6"/>
        <v>4</v>
      </c>
      <c r="C17" s="467" t="s">
        <v>847</v>
      </c>
      <c r="D17" s="1074">
        <f>'F5'!D17</f>
        <v>161.62690396140925</v>
      </c>
      <c r="E17" s="1074">
        <f>'F5'!E17</f>
        <v>0</v>
      </c>
      <c r="F17" s="1074">
        <f>'F5'!F17</f>
        <v>0</v>
      </c>
      <c r="G17" s="1074">
        <f>'F5'!G17</f>
        <v>0</v>
      </c>
      <c r="H17" s="1074">
        <f t="shared" si="0"/>
        <v>161.62690396140925</v>
      </c>
      <c r="I17" s="823">
        <f t="shared" si="1"/>
        <v>161.62690396140925</v>
      </c>
      <c r="J17" s="1074">
        <f>'F5'!J17</f>
        <v>0</v>
      </c>
      <c r="K17" s="1074">
        <f>'F5'!K17</f>
        <v>0</v>
      </c>
      <c r="L17" s="1074">
        <f>'F5'!L17</f>
        <v>0</v>
      </c>
      <c r="M17" s="823">
        <f t="shared" si="2"/>
        <v>161.62690396140925</v>
      </c>
      <c r="N17" s="1074">
        <f t="shared" si="3"/>
        <v>161.62690396140925</v>
      </c>
      <c r="O17" s="1074">
        <f>'F5'!O17</f>
        <v>0</v>
      </c>
      <c r="P17" s="1074">
        <f>'F5'!P17</f>
        <v>0</v>
      </c>
      <c r="Q17" s="1074">
        <f>'F5'!Q17</f>
        <v>0</v>
      </c>
      <c r="R17" s="1074">
        <f t="shared" si="4"/>
        <v>161.62690396140925</v>
      </c>
      <c r="S17" s="823">
        <f>'F5'!S17+'F5.1 (N)'!D19</f>
        <v>161.62690396140925</v>
      </c>
      <c r="T17" s="823">
        <f>'F5'!T17+'F5.1 (N)'!E19</f>
        <v>0</v>
      </c>
      <c r="U17" s="823">
        <f>'F5'!U17+'F5.1 (N)'!F19</f>
        <v>0</v>
      </c>
      <c r="V17" s="823">
        <f>'F5'!V17+'F5.1 (N)'!G19</f>
        <v>0</v>
      </c>
      <c r="W17" s="823">
        <f t="shared" si="5"/>
        <v>161.62690396140925</v>
      </c>
    </row>
    <row r="18" spans="2:23" s="419" customFormat="1" x14ac:dyDescent="0.3">
      <c r="B18" s="465">
        <f t="shared" si="6"/>
        <v>5</v>
      </c>
      <c r="C18" s="467" t="s">
        <v>848</v>
      </c>
      <c r="D18" s="1074">
        <f>'F5'!D18</f>
        <v>103.01609423411412</v>
      </c>
      <c r="E18" s="1074">
        <f>'F5'!E18</f>
        <v>0.35765140699999998</v>
      </c>
      <c r="F18" s="1074">
        <f>'F5'!F18</f>
        <v>0</v>
      </c>
      <c r="G18" s="1074">
        <f>'F5'!G18</f>
        <v>0</v>
      </c>
      <c r="H18" s="1074">
        <f t="shared" si="0"/>
        <v>103.37374564111413</v>
      </c>
      <c r="I18" s="823">
        <f t="shared" si="1"/>
        <v>103.37374564111413</v>
      </c>
      <c r="J18" s="1074">
        <f>'F5'!J18</f>
        <v>0</v>
      </c>
      <c r="K18" s="1074">
        <f>'F5'!K18</f>
        <v>0</v>
      </c>
      <c r="L18" s="1074">
        <f>'F5'!L18</f>
        <v>0</v>
      </c>
      <c r="M18" s="823">
        <f t="shared" si="2"/>
        <v>103.37374564111413</v>
      </c>
      <c r="N18" s="1074">
        <f t="shared" si="3"/>
        <v>103.37374564111413</v>
      </c>
      <c r="O18" s="1074">
        <f>'F5'!O18</f>
        <v>3.8863699999999999</v>
      </c>
      <c r="P18" s="1074">
        <f>'F5'!P18</f>
        <v>0</v>
      </c>
      <c r="Q18" s="1074">
        <f>'F5'!Q18</f>
        <v>0</v>
      </c>
      <c r="R18" s="1074">
        <f t="shared" si="4"/>
        <v>107.26011564111413</v>
      </c>
      <c r="S18" s="823">
        <f>'F5'!S18+'F5.1 (N)'!D20</f>
        <v>107.26011564111413</v>
      </c>
      <c r="T18" s="823">
        <f>'F5'!T18+'F5.1 (N)'!E20</f>
        <v>12.57</v>
      </c>
      <c r="U18" s="823">
        <f>'F5'!U18+'F5.1 (N)'!F20</f>
        <v>0</v>
      </c>
      <c r="V18" s="823">
        <f>'F5'!V18+'F5.1 (N)'!G20</f>
        <v>0</v>
      </c>
      <c r="W18" s="823">
        <f t="shared" si="5"/>
        <v>119.83011564111413</v>
      </c>
    </row>
    <row r="19" spans="2:23" s="11" customFormat="1" x14ac:dyDescent="0.3">
      <c r="B19" s="465">
        <f t="shared" si="6"/>
        <v>6</v>
      </c>
      <c r="C19" s="467" t="s">
        <v>255</v>
      </c>
      <c r="D19" s="1074">
        <f>'F5'!D19</f>
        <v>2515.8707559328059</v>
      </c>
      <c r="E19" s="1074">
        <f>'F5'!E19</f>
        <v>33.466184237999997</v>
      </c>
      <c r="F19" s="1074">
        <f>'F5'!F19</f>
        <v>0</v>
      </c>
      <c r="G19" s="1074">
        <f>'F5'!G19</f>
        <v>0</v>
      </c>
      <c r="H19" s="1074">
        <f t="shared" si="0"/>
        <v>2549.336940170806</v>
      </c>
      <c r="I19" s="823">
        <f t="shared" si="1"/>
        <v>2549.336940170806</v>
      </c>
      <c r="J19" s="1074">
        <f>'F5'!J19</f>
        <v>6.9788741320000005</v>
      </c>
      <c r="K19" s="1074">
        <f>'F5'!K19</f>
        <v>0</v>
      </c>
      <c r="L19" s="1074">
        <f>'F5'!L19</f>
        <v>0</v>
      </c>
      <c r="M19" s="823">
        <f t="shared" si="2"/>
        <v>2556.3158143028058</v>
      </c>
      <c r="N19" s="1074">
        <f t="shared" si="3"/>
        <v>2556.3158143028058</v>
      </c>
      <c r="O19" s="1074">
        <f>'F5'!O19</f>
        <v>62.002000000000002</v>
      </c>
      <c r="P19" s="1074">
        <f>'F5'!P19</f>
        <v>0</v>
      </c>
      <c r="Q19" s="1074">
        <f>'F5'!Q19</f>
        <v>0</v>
      </c>
      <c r="R19" s="1074">
        <f t="shared" si="4"/>
        <v>2618.3178143028058</v>
      </c>
      <c r="S19" s="823">
        <f>'F5'!S19+'F5.1 (N)'!D21</f>
        <v>2618.3178143028058</v>
      </c>
      <c r="T19" s="823">
        <f>'F5'!T19+'F5.1 (N)'!E21</f>
        <v>176.98666666666668</v>
      </c>
      <c r="U19" s="823">
        <f>'F5'!U19+'F5.1 (N)'!F21</f>
        <v>0</v>
      </c>
      <c r="V19" s="823">
        <f>'F5'!V19+'F5.1 (N)'!G21</f>
        <v>0</v>
      </c>
      <c r="W19" s="823">
        <f t="shared" si="5"/>
        <v>2795.3044809694725</v>
      </c>
    </row>
    <row r="20" spans="2:23" s="11" customFormat="1" x14ac:dyDescent="0.3">
      <c r="B20" s="465">
        <f t="shared" si="6"/>
        <v>7</v>
      </c>
      <c r="C20" s="467" t="s">
        <v>849</v>
      </c>
      <c r="D20" s="1074">
        <f>'F5'!D20</f>
        <v>5.0409049482966299</v>
      </c>
      <c r="E20" s="1074">
        <f>'F5'!E20</f>
        <v>0</v>
      </c>
      <c r="F20" s="1074">
        <f>'F5'!F20</f>
        <v>0</v>
      </c>
      <c r="G20" s="1074">
        <f>'F5'!G20</f>
        <v>0</v>
      </c>
      <c r="H20" s="1074">
        <f t="shared" si="0"/>
        <v>5.0409049482966299</v>
      </c>
      <c r="I20" s="823">
        <f t="shared" si="1"/>
        <v>5.0409049482966299</v>
      </c>
      <c r="J20" s="1074">
        <f>'F5'!J20</f>
        <v>0</v>
      </c>
      <c r="K20" s="1074">
        <f>'F5'!K20</f>
        <v>0</v>
      </c>
      <c r="L20" s="1074">
        <f>'F5'!L20</f>
        <v>0</v>
      </c>
      <c r="M20" s="823">
        <f t="shared" si="2"/>
        <v>5.0409049482966299</v>
      </c>
      <c r="N20" s="1074">
        <f t="shared" si="3"/>
        <v>5.0409049482966299</v>
      </c>
      <c r="O20" s="1074">
        <f>'F5'!O20</f>
        <v>0</v>
      </c>
      <c r="P20" s="1074">
        <f>'F5'!P20</f>
        <v>0</v>
      </c>
      <c r="Q20" s="1074">
        <f>'F5'!Q20</f>
        <v>0</v>
      </c>
      <c r="R20" s="1074">
        <f t="shared" si="4"/>
        <v>5.0409049482966299</v>
      </c>
      <c r="S20" s="823">
        <f>'F5'!S20+'F5.1 (N)'!D22</f>
        <v>5.0409049482966299</v>
      </c>
      <c r="T20" s="823">
        <f>'F5'!T20+'F5.1 (N)'!E22</f>
        <v>0</v>
      </c>
      <c r="U20" s="823">
        <f>'F5'!U20+'F5.1 (N)'!F22</f>
        <v>0</v>
      </c>
      <c r="V20" s="823">
        <f>'F5'!V20+'F5.1 (N)'!G22</f>
        <v>0</v>
      </c>
      <c r="W20" s="823">
        <f t="shared" si="5"/>
        <v>5.0409049482966299</v>
      </c>
    </row>
    <row r="21" spans="2:23" s="11" customFormat="1" x14ac:dyDescent="0.3">
      <c r="B21" s="465">
        <f t="shared" si="6"/>
        <v>8</v>
      </c>
      <c r="C21" s="467" t="s">
        <v>850</v>
      </c>
      <c r="D21" s="1074">
        <f>'F5'!D21</f>
        <v>0</v>
      </c>
      <c r="E21" s="1074">
        <f>'F5'!E21</f>
        <v>0</v>
      </c>
      <c r="F21" s="1074">
        <f>'F5'!F21</f>
        <v>0</v>
      </c>
      <c r="G21" s="1074">
        <f>'F5'!G21</f>
        <v>0</v>
      </c>
      <c r="H21" s="1074">
        <f t="shared" si="0"/>
        <v>0</v>
      </c>
      <c r="I21" s="823">
        <f t="shared" si="1"/>
        <v>0</v>
      </c>
      <c r="J21" s="1074">
        <f>'F5'!J21</f>
        <v>0</v>
      </c>
      <c r="K21" s="1074">
        <f>'F5'!K21</f>
        <v>0</v>
      </c>
      <c r="L21" s="1074">
        <f>'F5'!L21</f>
        <v>0</v>
      </c>
      <c r="M21" s="823">
        <f t="shared" si="2"/>
        <v>0</v>
      </c>
      <c r="N21" s="1074">
        <f t="shared" si="3"/>
        <v>0</v>
      </c>
      <c r="O21" s="1074">
        <f>'F5'!O21</f>
        <v>0.28170000000000001</v>
      </c>
      <c r="P21" s="1074">
        <f>'F5'!P21</f>
        <v>0</v>
      </c>
      <c r="Q21" s="1074">
        <f>'F5'!Q21</f>
        <v>0</v>
      </c>
      <c r="R21" s="1074">
        <f t="shared" si="4"/>
        <v>0.28170000000000001</v>
      </c>
      <c r="S21" s="823">
        <f>'F5'!S21+'F5.1 (N)'!D23</f>
        <v>0.28170000000000001</v>
      </c>
      <c r="T21" s="823">
        <f>'F5'!T21+'F5.1 (N)'!E23</f>
        <v>2.6666666666666665E-2</v>
      </c>
      <c r="U21" s="823">
        <f>'F5'!U21+'F5.1 (N)'!F23</f>
        <v>0</v>
      </c>
      <c r="V21" s="823">
        <f>'F5'!V21+'F5.1 (N)'!G23</f>
        <v>0</v>
      </c>
      <c r="W21" s="823">
        <f t="shared" si="5"/>
        <v>0.30836666666666668</v>
      </c>
    </row>
    <row r="22" spans="2:23" s="11" customFormat="1" x14ac:dyDescent="0.3">
      <c r="B22" s="465">
        <f t="shared" si="6"/>
        <v>9</v>
      </c>
      <c r="C22" s="467" t="s">
        <v>851</v>
      </c>
      <c r="D22" s="1074">
        <f>'F5'!D22</f>
        <v>32.510099787069834</v>
      </c>
      <c r="E22" s="1074">
        <f>'F5'!E22</f>
        <v>0</v>
      </c>
      <c r="F22" s="1074">
        <f>'F5'!F22</f>
        <v>0</v>
      </c>
      <c r="G22" s="1074">
        <f>'F5'!G22</f>
        <v>0</v>
      </c>
      <c r="H22" s="1074">
        <f t="shared" si="0"/>
        <v>32.510099787069834</v>
      </c>
      <c r="I22" s="823">
        <f t="shared" si="1"/>
        <v>32.510099787069834</v>
      </c>
      <c r="J22" s="1074">
        <f>'F5'!J22</f>
        <v>0</v>
      </c>
      <c r="K22" s="1074">
        <f>'F5'!K22</f>
        <v>0</v>
      </c>
      <c r="L22" s="1074">
        <f>'F5'!L22</f>
        <v>0</v>
      </c>
      <c r="M22" s="823">
        <f t="shared" si="2"/>
        <v>32.510099787069834</v>
      </c>
      <c r="N22" s="1074">
        <f t="shared" si="3"/>
        <v>32.510099787069834</v>
      </c>
      <c r="O22" s="1074">
        <f>'F5'!O22</f>
        <v>0</v>
      </c>
      <c r="P22" s="1074">
        <f>'F5'!P22</f>
        <v>0</v>
      </c>
      <c r="Q22" s="1074">
        <f>'F5'!Q22</f>
        <v>0</v>
      </c>
      <c r="R22" s="1074">
        <f t="shared" si="4"/>
        <v>32.510099787069834</v>
      </c>
      <c r="S22" s="823">
        <f>'F5'!S22+'F5.1 (N)'!D24</f>
        <v>32.510099787069834</v>
      </c>
      <c r="T22" s="823">
        <f>'F5'!T22+'F5.1 (N)'!E24</f>
        <v>0</v>
      </c>
      <c r="U22" s="823">
        <f>'F5'!U22+'F5.1 (N)'!F24</f>
        <v>0</v>
      </c>
      <c r="V22" s="823">
        <f>'F5'!V22+'F5.1 (N)'!G24</f>
        <v>0</v>
      </c>
      <c r="W22" s="823">
        <f t="shared" si="5"/>
        <v>32.510099787069834</v>
      </c>
    </row>
    <row r="23" spans="2:23" s="11" customFormat="1" x14ac:dyDescent="0.3">
      <c r="B23" s="465">
        <f t="shared" si="6"/>
        <v>10</v>
      </c>
      <c r="C23" s="467" t="s">
        <v>258</v>
      </c>
      <c r="D23" s="1074">
        <f>'F5'!D23</f>
        <v>2.4029243675165093</v>
      </c>
      <c r="E23" s="1074">
        <f>'F5'!E23</f>
        <v>0</v>
      </c>
      <c r="F23" s="1074">
        <f>'F5'!F23</f>
        <v>0</v>
      </c>
      <c r="G23" s="1074">
        <f>'F5'!G23</f>
        <v>0</v>
      </c>
      <c r="H23" s="1074">
        <f t="shared" si="0"/>
        <v>2.4029243675165093</v>
      </c>
      <c r="I23" s="823">
        <f t="shared" si="1"/>
        <v>2.4029243675165093</v>
      </c>
      <c r="J23" s="1074">
        <f>'F5'!J23</f>
        <v>0</v>
      </c>
      <c r="K23" s="1074">
        <f>'F5'!K23</f>
        <v>0</v>
      </c>
      <c r="L23" s="1074">
        <f>'F5'!L23</f>
        <v>0</v>
      </c>
      <c r="M23" s="823">
        <f t="shared" si="2"/>
        <v>2.4029243675165093</v>
      </c>
      <c r="N23" s="1074">
        <f t="shared" si="3"/>
        <v>2.4029243675165093</v>
      </c>
      <c r="O23" s="1074">
        <f>'F5'!O23</f>
        <v>0.28999999999999998</v>
      </c>
      <c r="P23" s="1074">
        <f>'F5'!P23</f>
        <v>0</v>
      </c>
      <c r="Q23" s="1074">
        <f>'F5'!Q23</f>
        <v>0</v>
      </c>
      <c r="R23" s="1074">
        <f t="shared" si="4"/>
        <v>2.6929243675165093</v>
      </c>
      <c r="S23" s="823">
        <f>'F5'!S23+'F5.1 (N)'!D25</f>
        <v>2.6929243675165093</v>
      </c>
      <c r="T23" s="823">
        <f>'F5'!T23+'F5.1 (N)'!E25</f>
        <v>0</v>
      </c>
      <c r="U23" s="823">
        <f>'F5'!U23+'F5.1 (N)'!F25</f>
        <v>0</v>
      </c>
      <c r="V23" s="823">
        <f>'F5'!V23+'F5.1 (N)'!G25</f>
        <v>0</v>
      </c>
      <c r="W23" s="823">
        <f t="shared" si="5"/>
        <v>2.6929243675165093</v>
      </c>
    </row>
    <row r="24" spans="2:23" s="11" customFormat="1" x14ac:dyDescent="0.3">
      <c r="B24" s="465">
        <f t="shared" si="6"/>
        <v>11</v>
      </c>
      <c r="C24" s="467" t="s">
        <v>259</v>
      </c>
      <c r="D24" s="1074">
        <f>'F5'!D24</f>
        <v>1.8655546968833641</v>
      </c>
      <c r="E24" s="1074">
        <f>'F5'!E24</f>
        <v>1.9859399999999999E-2</v>
      </c>
      <c r="F24" s="1074">
        <f>'F5'!F24</f>
        <v>0</v>
      </c>
      <c r="G24" s="1074">
        <f>'F5'!G24</f>
        <v>0</v>
      </c>
      <c r="H24" s="1074">
        <f t="shared" si="0"/>
        <v>1.8854140968833641</v>
      </c>
      <c r="I24" s="823">
        <f t="shared" si="1"/>
        <v>1.8854140968833641</v>
      </c>
      <c r="J24" s="1074">
        <f>'F5'!J24</f>
        <v>0</v>
      </c>
      <c r="K24" s="1074">
        <f>'F5'!K24</f>
        <v>0</v>
      </c>
      <c r="L24" s="1074">
        <f>'F5'!L24</f>
        <v>0</v>
      </c>
      <c r="M24" s="823">
        <f t="shared" si="2"/>
        <v>1.8854140968833641</v>
      </c>
      <c r="N24" s="1074">
        <f t="shared" si="3"/>
        <v>1.8854140968833641</v>
      </c>
      <c r="O24" s="1074">
        <f>'F5'!O24</f>
        <v>0.18060000000000001</v>
      </c>
      <c r="P24" s="1074">
        <f>'F5'!P24</f>
        <v>0</v>
      </c>
      <c r="Q24" s="1074">
        <f>'F5'!Q24</f>
        <v>0</v>
      </c>
      <c r="R24" s="1074">
        <f t="shared" si="4"/>
        <v>2.066014096883364</v>
      </c>
      <c r="S24" s="823">
        <f>'F5'!S24+'F5.1 (N)'!D26</f>
        <v>2.066014096883364</v>
      </c>
      <c r="T24" s="823">
        <f>'F5'!T24+'F5.1 (N)'!E26</f>
        <v>9.9999999999999985E-3</v>
      </c>
      <c r="U24" s="823">
        <f>'F5'!U24+'F5.1 (N)'!F26</f>
        <v>0</v>
      </c>
      <c r="V24" s="823">
        <f>'F5'!V24+'F5.1 (N)'!G26</f>
        <v>0</v>
      </c>
      <c r="W24" s="823">
        <f t="shared" si="5"/>
        <v>2.0760140968833638</v>
      </c>
    </row>
    <row r="25" spans="2:23" s="11" customFormat="1" x14ac:dyDescent="0.3">
      <c r="B25" s="465">
        <f t="shared" si="6"/>
        <v>12</v>
      </c>
      <c r="C25" s="467" t="s">
        <v>260</v>
      </c>
      <c r="D25" s="1074">
        <f>'F5'!D25</f>
        <v>3.3340780897067512</v>
      </c>
      <c r="E25" s="1074">
        <f>'F5'!E25</f>
        <v>0.47401199999999999</v>
      </c>
      <c r="F25" s="1074">
        <f>'F5'!F25</f>
        <v>0</v>
      </c>
      <c r="G25" s="1074">
        <f>'F5'!G25</f>
        <v>0</v>
      </c>
      <c r="H25" s="1074">
        <f t="shared" si="0"/>
        <v>3.8080900897067513</v>
      </c>
      <c r="I25" s="823">
        <f t="shared" si="1"/>
        <v>3.8080900897067513</v>
      </c>
      <c r="J25" s="1074">
        <f>'F5'!J25</f>
        <v>0</v>
      </c>
      <c r="K25" s="1074">
        <f>'F5'!K25</f>
        <v>0</v>
      </c>
      <c r="L25" s="1074">
        <f>'F5'!L25</f>
        <v>0</v>
      </c>
      <c r="M25" s="823">
        <f t="shared" si="2"/>
        <v>3.8080900897067513</v>
      </c>
      <c r="N25" s="1074">
        <f t="shared" si="3"/>
        <v>3.8080900897067513</v>
      </c>
      <c r="O25" s="1074">
        <f>'F5'!O25</f>
        <v>0</v>
      </c>
      <c r="P25" s="1074">
        <f>'F5'!P25</f>
        <v>0</v>
      </c>
      <c r="Q25" s="1074">
        <f>'F5'!Q25</f>
        <v>0</v>
      </c>
      <c r="R25" s="1074">
        <f t="shared" si="4"/>
        <v>3.8080900897067513</v>
      </c>
      <c r="S25" s="823">
        <f>'F5'!S25+'F5.1 (N)'!D27</f>
        <v>3.8080900897067513</v>
      </c>
      <c r="T25" s="823">
        <f>'F5'!T25+'F5.1 (N)'!E27</f>
        <v>0</v>
      </c>
      <c r="U25" s="823">
        <f>'F5'!U25+'F5.1 (N)'!F27</f>
        <v>0</v>
      </c>
      <c r="V25" s="823">
        <f>'F5'!V25+'F5.1 (N)'!G27</f>
        <v>0</v>
      </c>
      <c r="W25" s="823">
        <f t="shared" si="5"/>
        <v>3.8080900897067513</v>
      </c>
    </row>
    <row r="26" spans="2:23" s="11" customFormat="1" x14ac:dyDescent="0.3">
      <c r="B26" s="465">
        <f t="shared" si="6"/>
        <v>13</v>
      </c>
      <c r="C26" s="467" t="s">
        <v>899</v>
      </c>
      <c r="D26" s="1074">
        <f>'F5'!D26</f>
        <v>0</v>
      </c>
      <c r="E26" s="1074">
        <f>'F5'!E26</f>
        <v>0</v>
      </c>
      <c r="F26" s="1074">
        <f>'F5'!F26</f>
        <v>0</v>
      </c>
      <c r="G26" s="1074">
        <f>'F5'!G26</f>
        <v>0</v>
      </c>
      <c r="H26" s="1074">
        <f t="shared" si="0"/>
        <v>0</v>
      </c>
      <c r="I26" s="823">
        <f t="shared" si="1"/>
        <v>0</v>
      </c>
      <c r="J26" s="1074">
        <f>'F5'!J26</f>
        <v>0</v>
      </c>
      <c r="K26" s="1074">
        <f>'F5'!K26</f>
        <v>0</v>
      </c>
      <c r="L26" s="1074">
        <f>'F5'!L26</f>
        <v>0</v>
      </c>
      <c r="M26" s="823">
        <f t="shared" si="2"/>
        <v>0</v>
      </c>
      <c r="N26" s="1074">
        <f t="shared" si="3"/>
        <v>0</v>
      </c>
      <c r="O26" s="1074">
        <f>'F5'!O26</f>
        <v>0</v>
      </c>
      <c r="P26" s="1074">
        <f>'F5'!P26</f>
        <v>0</v>
      </c>
      <c r="Q26" s="1074">
        <f>'F5'!Q26</f>
        <v>0</v>
      </c>
      <c r="R26" s="1074">
        <f t="shared" si="4"/>
        <v>0</v>
      </c>
      <c r="S26" s="823">
        <f>'F5'!S26+'F5.1 (N)'!D28</f>
        <v>0</v>
      </c>
      <c r="T26" s="823">
        <f>'F5'!T26+'F5.1 (N)'!E28</f>
        <v>0</v>
      </c>
      <c r="U26" s="823">
        <f>'F5'!U26+'F5.1 (N)'!F28</f>
        <v>0</v>
      </c>
      <c r="V26" s="823">
        <f>'F5'!V26+'F5.1 (N)'!G28</f>
        <v>0</v>
      </c>
      <c r="W26" s="823">
        <f t="shared" si="5"/>
        <v>0</v>
      </c>
    </row>
    <row r="27" spans="2:23" s="11" customFormat="1" x14ac:dyDescent="0.3">
      <c r="B27" s="465">
        <f t="shared" si="6"/>
        <v>14</v>
      </c>
      <c r="C27" s="467" t="s">
        <v>900</v>
      </c>
      <c r="D27" s="1074">
        <f>'F5'!D27</f>
        <v>0.41847307432466763</v>
      </c>
      <c r="E27" s="1074">
        <f>'F5'!E27</f>
        <v>0</v>
      </c>
      <c r="F27" s="1074">
        <f>'F5'!F27</f>
        <v>0</v>
      </c>
      <c r="G27" s="1074">
        <f>'F5'!G27</f>
        <v>0</v>
      </c>
      <c r="H27" s="1074">
        <f t="shared" si="0"/>
        <v>0.41847307432466763</v>
      </c>
      <c r="I27" s="823">
        <f t="shared" si="1"/>
        <v>0.41847307432466763</v>
      </c>
      <c r="J27" s="1074">
        <f>'F5'!J27</f>
        <v>0</v>
      </c>
      <c r="K27" s="1074">
        <f>'F5'!K27</f>
        <v>0</v>
      </c>
      <c r="L27" s="1074">
        <f>'F5'!L27</f>
        <v>0</v>
      </c>
      <c r="M27" s="823">
        <f t="shared" si="2"/>
        <v>0.41847307432466763</v>
      </c>
      <c r="N27" s="1074">
        <f t="shared" si="3"/>
        <v>0.41847307432466763</v>
      </c>
      <c r="O27" s="1074">
        <f>'F5'!O27</f>
        <v>7.2800000000000004E-2</v>
      </c>
      <c r="P27" s="1074">
        <f>'F5'!P27</f>
        <v>0</v>
      </c>
      <c r="Q27" s="1074">
        <f>'F5'!Q27</f>
        <v>0</v>
      </c>
      <c r="R27" s="1074">
        <f t="shared" si="4"/>
        <v>0.4912730743246676</v>
      </c>
      <c r="S27" s="823">
        <f>'F5'!S27+'F5.1 (N)'!D29</f>
        <v>0.4912730743246676</v>
      </c>
      <c r="T27" s="823">
        <f>'F5'!T27+'F5.1 (N)'!E29</f>
        <v>6.6666666666666666E-2</v>
      </c>
      <c r="U27" s="823">
        <f>'F5'!U27+'F5.1 (N)'!F29</f>
        <v>0</v>
      </c>
      <c r="V27" s="823">
        <f>'F5'!V27+'F5.1 (N)'!G29</f>
        <v>0</v>
      </c>
      <c r="W27" s="823">
        <f t="shared" si="5"/>
        <v>0.55793974099133425</v>
      </c>
    </row>
    <row r="28" spans="2:23" s="11" customFormat="1" x14ac:dyDescent="0.3">
      <c r="B28" s="465">
        <f t="shared" si="6"/>
        <v>15</v>
      </c>
      <c r="C28" s="467" t="s">
        <v>901</v>
      </c>
      <c r="D28" s="1074">
        <f>'F5'!D28</f>
        <v>1.2302536663739264E-2</v>
      </c>
      <c r="E28" s="1074">
        <f>'F5'!E28</f>
        <v>0</v>
      </c>
      <c r="F28" s="1074">
        <f>'F5'!F28</f>
        <v>0</v>
      </c>
      <c r="G28" s="1074">
        <f>'F5'!G28</f>
        <v>0</v>
      </c>
      <c r="H28" s="1074">
        <f t="shared" si="0"/>
        <v>1.2302536663739264E-2</v>
      </c>
      <c r="I28" s="823">
        <f t="shared" si="1"/>
        <v>1.2302536663739264E-2</v>
      </c>
      <c r="J28" s="1074">
        <f>'F5'!J28</f>
        <v>0</v>
      </c>
      <c r="K28" s="1074">
        <f>'F5'!K28</f>
        <v>0</v>
      </c>
      <c r="L28" s="1074">
        <f>'F5'!L28</f>
        <v>0</v>
      </c>
      <c r="M28" s="823">
        <f t="shared" si="2"/>
        <v>1.2302536663739264E-2</v>
      </c>
      <c r="N28" s="1074">
        <f t="shared" si="3"/>
        <v>1.2302536663739264E-2</v>
      </c>
      <c r="O28" s="1074">
        <f>'F5'!O28</f>
        <v>0</v>
      </c>
      <c r="P28" s="1074">
        <f>'F5'!P28</f>
        <v>0</v>
      </c>
      <c r="Q28" s="1074">
        <f>'F5'!Q28</f>
        <v>0</v>
      </c>
      <c r="R28" s="1074">
        <f t="shared" si="4"/>
        <v>1.2302536663739264E-2</v>
      </c>
      <c r="S28" s="823">
        <f>'F5'!S28+'F5.1 (N)'!D30</f>
        <v>1.2302536663739264E-2</v>
      </c>
      <c r="T28" s="823">
        <f>'F5'!T28+'F5.1 (N)'!E30</f>
        <v>0</v>
      </c>
      <c r="U28" s="823">
        <f>'F5'!U28+'F5.1 (N)'!F30</f>
        <v>0</v>
      </c>
      <c r="V28" s="823">
        <f>'F5'!V28+'F5.1 (N)'!G30</f>
        <v>0</v>
      </c>
      <c r="W28" s="823">
        <f t="shared" si="5"/>
        <v>1.2302536663739264E-2</v>
      </c>
    </row>
    <row r="29" spans="2:23" s="11" customFormat="1" x14ac:dyDescent="0.3">
      <c r="B29" s="465">
        <f t="shared" si="6"/>
        <v>16</v>
      </c>
      <c r="C29" s="467" t="s">
        <v>852</v>
      </c>
      <c r="D29" s="1074">
        <f>'F5'!D29</f>
        <v>0</v>
      </c>
      <c r="E29" s="1074">
        <f>'F5'!E29</f>
        <v>0</v>
      </c>
      <c r="F29" s="1074">
        <f>'F5'!F29</f>
        <v>0</v>
      </c>
      <c r="G29" s="1074">
        <f>'F5'!G29</f>
        <v>0</v>
      </c>
      <c r="H29" s="1074">
        <f t="shared" si="0"/>
        <v>0</v>
      </c>
      <c r="I29" s="823">
        <f t="shared" si="1"/>
        <v>0</v>
      </c>
      <c r="J29" s="1074">
        <f>'F5'!J29</f>
        <v>0</v>
      </c>
      <c r="K29" s="1074">
        <f>'F5'!K29</f>
        <v>0</v>
      </c>
      <c r="L29" s="1074">
        <f>'F5'!L29</f>
        <v>0</v>
      </c>
      <c r="M29" s="823">
        <f t="shared" si="2"/>
        <v>0</v>
      </c>
      <c r="N29" s="1074">
        <f t="shared" si="3"/>
        <v>0</v>
      </c>
      <c r="O29" s="1074">
        <f>'F5'!O29</f>
        <v>0</v>
      </c>
      <c r="P29" s="1074">
        <f>'F5'!P29</f>
        <v>0</v>
      </c>
      <c r="Q29" s="1074">
        <f>'F5'!Q29</f>
        <v>0</v>
      </c>
      <c r="R29" s="1074">
        <f t="shared" si="4"/>
        <v>0</v>
      </c>
      <c r="S29" s="823">
        <f>'F5'!S29+'F5.1 (N)'!D31</f>
        <v>0</v>
      </c>
      <c r="T29" s="823">
        <f>'F5'!T29+'F5.1 (N)'!E31</f>
        <v>0</v>
      </c>
      <c r="U29" s="823">
        <f>'F5'!U29+'F5.1 (N)'!F31</f>
        <v>0</v>
      </c>
      <c r="V29" s="823">
        <f>'F5'!V29+'F5.1 (N)'!G31</f>
        <v>0</v>
      </c>
      <c r="W29" s="823">
        <f t="shared" si="5"/>
        <v>0</v>
      </c>
    </row>
    <row r="30" spans="2:23" s="11" customFormat="1" x14ac:dyDescent="0.3">
      <c r="B30" s="465">
        <f t="shared" si="6"/>
        <v>17</v>
      </c>
      <c r="C30" s="467" t="s">
        <v>902</v>
      </c>
      <c r="D30" s="1074">
        <f>'F5'!D30</f>
        <v>0</v>
      </c>
      <c r="E30" s="1074">
        <f>'F5'!E30</f>
        <v>0</v>
      </c>
      <c r="F30" s="1074">
        <f>'F5'!F30</f>
        <v>0</v>
      </c>
      <c r="G30" s="1074">
        <f>'F5'!G30</f>
        <v>0</v>
      </c>
      <c r="H30" s="1074">
        <f t="shared" si="0"/>
        <v>0</v>
      </c>
      <c r="I30" s="823">
        <f t="shared" si="1"/>
        <v>0</v>
      </c>
      <c r="J30" s="1074">
        <f>'F5'!J30</f>
        <v>0</v>
      </c>
      <c r="K30" s="1074">
        <f>'F5'!K30</f>
        <v>0</v>
      </c>
      <c r="L30" s="1074">
        <f>'F5'!L30</f>
        <v>0</v>
      </c>
      <c r="M30" s="823">
        <f t="shared" si="2"/>
        <v>0</v>
      </c>
      <c r="N30" s="1074">
        <f t="shared" si="3"/>
        <v>0</v>
      </c>
      <c r="O30" s="1074">
        <f>'F5'!O30</f>
        <v>0</v>
      </c>
      <c r="P30" s="1074">
        <f>'F5'!P30</f>
        <v>0</v>
      </c>
      <c r="Q30" s="1074">
        <f>'F5'!Q30</f>
        <v>0</v>
      </c>
      <c r="R30" s="1074">
        <f t="shared" si="4"/>
        <v>0</v>
      </c>
      <c r="S30" s="823">
        <f>'F5'!S30+'F5.1 (N)'!D32</f>
        <v>0</v>
      </c>
      <c r="T30" s="823">
        <f>'F5'!T30+'F5.1 (N)'!E32</f>
        <v>0</v>
      </c>
      <c r="U30" s="823">
        <f>'F5'!U30+'F5.1 (N)'!F32</f>
        <v>0</v>
      </c>
      <c r="V30" s="823">
        <f>'F5'!V30+'F5.1 (N)'!G32</f>
        <v>0</v>
      </c>
      <c r="W30" s="823">
        <f t="shared" si="5"/>
        <v>0</v>
      </c>
    </row>
    <row r="31" spans="2:23" s="1" customFormat="1" ht="16" x14ac:dyDescent="0.3">
      <c r="B31" s="83"/>
      <c r="C31" s="97" t="s">
        <v>270</v>
      </c>
      <c r="D31" s="1063">
        <f>SUM(D14:D30)</f>
        <v>3066.5850900632008</v>
      </c>
      <c r="E31" s="1063">
        <f>SUM(E14:E30)</f>
        <v>34.320665886</v>
      </c>
      <c r="F31" s="1063">
        <f t="shared" ref="F31:W31" si="7">SUM(F14:F30)</f>
        <v>0</v>
      </c>
      <c r="G31" s="1063">
        <f t="shared" si="7"/>
        <v>0</v>
      </c>
      <c r="H31" s="1063">
        <f t="shared" si="7"/>
        <v>3100.9057559492003</v>
      </c>
      <c r="I31" s="1063">
        <f t="shared" si="7"/>
        <v>3100.9057559492003</v>
      </c>
      <c r="J31" s="1063">
        <f t="shared" si="7"/>
        <v>7.8647827320000001</v>
      </c>
      <c r="K31" s="1063">
        <f t="shared" si="7"/>
        <v>0</v>
      </c>
      <c r="L31" s="1063">
        <f t="shared" si="7"/>
        <v>0</v>
      </c>
      <c r="M31" s="1063">
        <f t="shared" si="7"/>
        <v>3108.7705386812004</v>
      </c>
      <c r="N31" s="1063">
        <f t="shared" si="7"/>
        <v>3108.7705386812004</v>
      </c>
      <c r="O31" s="1063">
        <f t="shared" si="7"/>
        <v>66.713470000000015</v>
      </c>
      <c r="P31" s="1063">
        <f t="shared" si="7"/>
        <v>0</v>
      </c>
      <c r="Q31" s="1063">
        <f t="shared" si="7"/>
        <v>0</v>
      </c>
      <c r="R31" s="1063">
        <f t="shared" si="7"/>
        <v>3175.4840086812005</v>
      </c>
      <c r="S31" s="1063">
        <f t="shared" si="7"/>
        <v>3175.4840086812005</v>
      </c>
      <c r="T31" s="1063">
        <f t="shared" si="7"/>
        <v>189.66</v>
      </c>
      <c r="U31" s="1063">
        <f t="shared" si="7"/>
        <v>0</v>
      </c>
      <c r="V31" s="1063">
        <f t="shared" si="7"/>
        <v>0</v>
      </c>
      <c r="W31" s="1063">
        <f t="shared" si="7"/>
        <v>3365.1440086812004</v>
      </c>
    </row>
    <row r="32" spans="2:23" s="1" customFormat="1" x14ac:dyDescent="0.3">
      <c r="B32" s="1086"/>
      <c r="C32" s="8"/>
      <c r="D32" s="8"/>
      <c r="E32" s="8"/>
      <c r="F32" s="8"/>
      <c r="G32" s="8"/>
      <c r="H32" s="8"/>
      <c r="J32" s="44"/>
      <c r="M32" s="44"/>
      <c r="N32" s="44"/>
    </row>
    <row r="33" spans="1:33" x14ac:dyDescent="0.3">
      <c r="B33" s="1946" t="s">
        <v>598</v>
      </c>
      <c r="C33" s="1946"/>
      <c r="D33" s="1946"/>
      <c r="E33" s="1946"/>
      <c r="F33" s="1946"/>
      <c r="G33" s="1946"/>
      <c r="H33" s="8"/>
      <c r="I33" s="1"/>
      <c r="J33" s="44"/>
      <c r="K33" s="1"/>
      <c r="L33" s="1"/>
      <c r="M33" s="44"/>
      <c r="N33" s="44"/>
      <c r="O33" s="1"/>
      <c r="P33" s="1"/>
      <c r="Q33" s="1"/>
      <c r="R33" s="1"/>
    </row>
    <row r="34" spans="1:33" x14ac:dyDescent="0.3">
      <c r="B34" s="1086"/>
      <c r="C34" s="8"/>
      <c r="D34" s="8"/>
      <c r="E34" s="8"/>
      <c r="F34" s="8"/>
      <c r="G34" s="8"/>
      <c r="H34" s="8"/>
      <c r="I34" s="1"/>
      <c r="J34" s="44"/>
      <c r="K34" s="1"/>
      <c r="L34" s="1"/>
      <c r="M34" s="44"/>
      <c r="N34" s="44"/>
      <c r="O34" s="1"/>
      <c r="P34" s="1"/>
      <c r="Q34" s="1"/>
      <c r="R34" s="1"/>
    </row>
    <row r="35" spans="1:33" ht="15.75" customHeight="1" x14ac:dyDescent="0.3">
      <c r="B35" s="1086"/>
      <c r="C35" s="8"/>
      <c r="D35" s="8"/>
      <c r="E35" s="8"/>
      <c r="F35" s="8"/>
      <c r="G35" s="8"/>
      <c r="H35" s="8"/>
      <c r="I35" s="1"/>
      <c r="J35" s="44"/>
      <c r="K35" s="1"/>
      <c r="L35" s="1"/>
      <c r="M35" s="44"/>
      <c r="N35" s="44"/>
      <c r="O35" s="1"/>
      <c r="P35" s="1"/>
      <c r="Q35" s="1"/>
      <c r="AG35" s="258" t="s">
        <v>10</v>
      </c>
    </row>
    <row r="36" spans="1:33" ht="15.75" customHeight="1" x14ac:dyDescent="0.3">
      <c r="B36" s="1792" t="s">
        <v>339</v>
      </c>
      <c r="C36" s="1792" t="s">
        <v>36</v>
      </c>
      <c r="D36" s="1943" t="s">
        <v>969</v>
      </c>
      <c r="E36" s="1944"/>
      <c r="F36" s="1944"/>
      <c r="G36" s="1944"/>
      <c r="H36" s="1945"/>
      <c r="I36" s="1943" t="s">
        <v>970</v>
      </c>
      <c r="J36" s="1944"/>
      <c r="K36" s="1944"/>
      <c r="L36" s="1944"/>
      <c r="M36" s="1945"/>
      <c r="N36" s="1935" t="s">
        <v>971</v>
      </c>
      <c r="O36" s="1935"/>
      <c r="P36" s="1935"/>
      <c r="Q36" s="1935"/>
      <c r="R36" s="1935"/>
      <c r="S36" s="1935" t="s">
        <v>972</v>
      </c>
      <c r="T36" s="1935"/>
      <c r="U36" s="1935"/>
      <c r="V36" s="1935"/>
      <c r="W36" s="1935"/>
    </row>
    <row r="37" spans="1:33" s="35" customFormat="1" x14ac:dyDescent="0.3">
      <c r="B37" s="1792"/>
      <c r="C37" s="1792"/>
      <c r="D37" s="1936" t="s">
        <v>21</v>
      </c>
      <c r="E37" s="1937"/>
      <c r="F37" s="1937"/>
      <c r="G37" s="1937"/>
      <c r="H37" s="1938"/>
      <c r="I37" s="1936" t="s">
        <v>21</v>
      </c>
      <c r="J37" s="1937"/>
      <c r="K37" s="1937"/>
      <c r="L37" s="1937"/>
      <c r="M37" s="1938"/>
      <c r="N37" s="1939" t="s">
        <v>21</v>
      </c>
      <c r="O37" s="1940"/>
      <c r="P37" s="1940"/>
      <c r="Q37" s="1940"/>
      <c r="R37" s="1940"/>
      <c r="S37" s="1939" t="s">
        <v>21</v>
      </c>
      <c r="T37" s="1940"/>
      <c r="U37" s="1940"/>
      <c r="V37" s="1940"/>
      <c r="W37" s="1940"/>
    </row>
    <row r="38" spans="1:33" s="36" customFormat="1" ht="42" x14ac:dyDescent="0.25">
      <c r="B38" s="1792"/>
      <c r="C38" s="1792"/>
      <c r="D38" s="1090" t="s">
        <v>266</v>
      </c>
      <c r="E38" s="1090" t="s">
        <v>267</v>
      </c>
      <c r="F38" s="1090" t="s">
        <v>268</v>
      </c>
      <c r="G38" s="1084" t="s">
        <v>587</v>
      </c>
      <c r="H38" s="1090" t="s">
        <v>269</v>
      </c>
      <c r="I38" s="1090" t="s">
        <v>266</v>
      </c>
      <c r="J38" s="1090" t="s">
        <v>267</v>
      </c>
      <c r="K38" s="1090" t="s">
        <v>268</v>
      </c>
      <c r="L38" s="1084" t="s">
        <v>587</v>
      </c>
      <c r="M38" s="1090" t="s">
        <v>269</v>
      </c>
      <c r="N38" s="1090" t="s">
        <v>266</v>
      </c>
      <c r="O38" s="1090" t="s">
        <v>267</v>
      </c>
      <c r="P38" s="1090" t="s">
        <v>268</v>
      </c>
      <c r="Q38" s="1084" t="s">
        <v>587</v>
      </c>
      <c r="R38" s="1090" t="s">
        <v>269</v>
      </c>
      <c r="S38" s="1090" t="s">
        <v>266</v>
      </c>
      <c r="T38" s="1090" t="s">
        <v>267</v>
      </c>
      <c r="U38" s="1090" t="s">
        <v>268</v>
      </c>
      <c r="V38" s="1084" t="s">
        <v>587</v>
      </c>
      <c r="W38" s="1090" t="s">
        <v>269</v>
      </c>
    </row>
    <row r="39" spans="1:33" s="6" customFormat="1" ht="28" x14ac:dyDescent="0.3">
      <c r="B39" s="259"/>
      <c r="C39" s="259"/>
      <c r="D39" s="259" t="s">
        <v>595</v>
      </c>
      <c r="E39" s="259" t="s">
        <v>596</v>
      </c>
      <c r="F39" s="259" t="s">
        <v>597</v>
      </c>
      <c r="G39" s="259" t="s">
        <v>656</v>
      </c>
      <c r="H39" s="259" t="s">
        <v>657</v>
      </c>
      <c r="I39" s="259" t="s">
        <v>658</v>
      </c>
      <c r="J39" s="259" t="s">
        <v>659</v>
      </c>
      <c r="K39" s="259" t="s">
        <v>660</v>
      </c>
      <c r="L39" s="259" t="s">
        <v>661</v>
      </c>
      <c r="M39" s="259" t="s">
        <v>662</v>
      </c>
      <c r="N39" s="259" t="s">
        <v>663</v>
      </c>
      <c r="O39" s="259" t="s">
        <v>664</v>
      </c>
      <c r="P39" s="259" t="s">
        <v>665</v>
      </c>
      <c r="Q39" s="259" t="s">
        <v>666</v>
      </c>
      <c r="R39" s="259" t="s">
        <v>667</v>
      </c>
      <c r="S39" s="259" t="s">
        <v>1465</v>
      </c>
      <c r="T39" s="259" t="s">
        <v>1466</v>
      </c>
      <c r="U39" s="259" t="s">
        <v>1467</v>
      </c>
      <c r="V39" s="259" t="s">
        <v>1468</v>
      </c>
      <c r="W39" s="259" t="s">
        <v>1469</v>
      </c>
    </row>
    <row r="40" spans="1:33" s="419" customFormat="1" x14ac:dyDescent="0.3">
      <c r="B40" s="465">
        <v>1</v>
      </c>
      <c r="C40" s="467" t="s">
        <v>844</v>
      </c>
      <c r="D40" s="823">
        <f>W14</f>
        <v>4.5932641520774329</v>
      </c>
      <c r="E40" s="1074">
        <f>'F5'!E40+'F5.1 (N)'!J16</f>
        <v>0</v>
      </c>
      <c r="F40" s="1074">
        <f>'F5'!F40+'F5.1 (N)'!K16</f>
        <v>0</v>
      </c>
      <c r="G40" s="1074">
        <f>'F5'!G40+'F5.1 (N)'!L16</f>
        <v>0</v>
      </c>
      <c r="H40" s="823">
        <f>D40+E40-F40-G40</f>
        <v>4.5932641520774329</v>
      </c>
      <c r="I40" s="823">
        <f>H40</f>
        <v>4.5932641520774329</v>
      </c>
      <c r="J40" s="1074">
        <f>'F5'!J40+'F5.1 (N)'!O16</f>
        <v>0</v>
      </c>
      <c r="K40" s="1074">
        <f>'F5'!K40+'F5.1 (N)'!P16</f>
        <v>0</v>
      </c>
      <c r="L40" s="1074">
        <f>'F5'!L40+'F5.1 (N)'!Q16</f>
        <v>0</v>
      </c>
      <c r="M40" s="823">
        <f>I40+J40-K40-L40</f>
        <v>4.5932641520774329</v>
      </c>
      <c r="N40" s="823">
        <f>M40</f>
        <v>4.5932641520774329</v>
      </c>
      <c r="O40" s="1074">
        <f>'F5'!O40+'F5.1 (N)'!T16</f>
        <v>0</v>
      </c>
      <c r="P40" s="1074">
        <f>'F5'!P40+'F5.1 (N)'!U16</f>
        <v>0</v>
      </c>
      <c r="Q40" s="1074">
        <f>'F5'!Q40+'F5.1 (N)'!V16</f>
        <v>0</v>
      </c>
      <c r="R40" s="823">
        <f>N40+O40-P40-Q40</f>
        <v>4.5932641520774329</v>
      </c>
      <c r="S40" s="823">
        <f>R40</f>
        <v>4.5932641520774329</v>
      </c>
      <c r="T40" s="1074">
        <f>'F5'!T40+'F5.1 (N)'!Y16</f>
        <v>0</v>
      </c>
      <c r="U40" s="1074">
        <f>'F5'!U40+'F5.1 (N)'!Z16</f>
        <v>0</v>
      </c>
      <c r="V40" s="1074">
        <f>'F5'!V40+'F5.1 (N)'!AA16</f>
        <v>0</v>
      </c>
      <c r="W40" s="823">
        <f>S40+T40-U40-V40</f>
        <v>4.5932641520774329</v>
      </c>
    </row>
    <row r="41" spans="1:33" s="419" customFormat="1" x14ac:dyDescent="0.3">
      <c r="B41" s="465">
        <f>B40+1</f>
        <v>2</v>
      </c>
      <c r="C41" s="467" t="s">
        <v>845</v>
      </c>
      <c r="D41" s="823">
        <f t="shared" ref="D41:D56" si="8">W15</f>
        <v>162.93260172333262</v>
      </c>
      <c r="E41" s="1074">
        <f>'F5'!E41+'F5.1 (N)'!J17</f>
        <v>6.7450000000000001</v>
      </c>
      <c r="F41" s="1074">
        <f>'F5'!F41+'F5.1 (N)'!K17</f>
        <v>0</v>
      </c>
      <c r="G41" s="1074">
        <f>'F5'!G41+'F5.1 (N)'!L17</f>
        <v>0</v>
      </c>
      <c r="H41" s="823">
        <f t="shared" ref="H41:H56" si="9">D41+E41-F41-G41</f>
        <v>169.67760172333263</v>
      </c>
      <c r="I41" s="823">
        <f t="shared" ref="I41:I56" si="10">H41</f>
        <v>169.67760172333263</v>
      </c>
      <c r="J41" s="1074">
        <f>'F5'!J41+'F5.1 (N)'!O17</f>
        <v>12.5</v>
      </c>
      <c r="K41" s="1074">
        <f>'F5'!K41+'F5.1 (N)'!P17</f>
        <v>0</v>
      </c>
      <c r="L41" s="1074">
        <f>'F5'!L41+'F5.1 (N)'!Q17</f>
        <v>0</v>
      </c>
      <c r="M41" s="823">
        <f t="shared" ref="M41:M56" si="11">I41+J41-K41-L41</f>
        <v>182.17760172333263</v>
      </c>
      <c r="N41" s="823">
        <f t="shared" ref="N41:N56" si="12">M41</f>
        <v>182.17760172333263</v>
      </c>
      <c r="O41" s="1074">
        <f>'F5'!O41+'F5.1 (N)'!T17</f>
        <v>0</v>
      </c>
      <c r="P41" s="1074">
        <f>'F5'!P41+'F5.1 (N)'!U17</f>
        <v>0</v>
      </c>
      <c r="Q41" s="1074">
        <f>'F5'!Q41+'F5.1 (N)'!V17</f>
        <v>0</v>
      </c>
      <c r="R41" s="823">
        <f t="shared" ref="R41:R56" si="13">N41+O41-P41-Q41</f>
        <v>182.17760172333263</v>
      </c>
      <c r="S41" s="823">
        <f t="shared" ref="S41:S56" si="14">R41</f>
        <v>182.17760172333263</v>
      </c>
      <c r="T41" s="1074">
        <f>'F5'!T41+'F5.1 (N)'!Y17</f>
        <v>0</v>
      </c>
      <c r="U41" s="1074">
        <f>'F5'!U41+'F5.1 (N)'!Z17</f>
        <v>0</v>
      </c>
      <c r="V41" s="1074">
        <f>'F5'!V41+'F5.1 (N)'!AA17</f>
        <v>0</v>
      </c>
      <c r="W41" s="823">
        <f t="shared" ref="W41:W56" si="15">S41+T41-U41-V41</f>
        <v>182.17760172333263</v>
      </c>
    </row>
    <row r="42" spans="1:33" s="11" customFormat="1" x14ac:dyDescent="0.3">
      <c r="A42" s="419"/>
      <c r="B42" s="465">
        <f t="shared" ref="B42:B56" si="16">B41+1</f>
        <v>3</v>
      </c>
      <c r="C42" s="467" t="s">
        <v>846</v>
      </c>
      <c r="D42" s="823">
        <f t="shared" si="8"/>
        <v>73.849999999999994</v>
      </c>
      <c r="E42" s="1074">
        <f>'F5'!E42+'F5.1 (N)'!J18</f>
        <v>0</v>
      </c>
      <c r="F42" s="1074">
        <f>'F5'!F42+'F5.1 (N)'!K18</f>
        <v>0</v>
      </c>
      <c r="G42" s="1074">
        <f>'F5'!G42+'F5.1 (N)'!L18</f>
        <v>0</v>
      </c>
      <c r="H42" s="823">
        <f t="shared" si="9"/>
        <v>73.849999999999994</v>
      </c>
      <c r="I42" s="823">
        <f t="shared" si="10"/>
        <v>73.849999999999994</v>
      </c>
      <c r="J42" s="1074">
        <f>'F5'!J42+'F5.1 (N)'!O18</f>
        <v>0</v>
      </c>
      <c r="K42" s="1074">
        <f>'F5'!K42+'F5.1 (N)'!P18</f>
        <v>0</v>
      </c>
      <c r="L42" s="1074">
        <f>'F5'!L42+'F5.1 (N)'!Q18</f>
        <v>0</v>
      </c>
      <c r="M42" s="823">
        <f t="shared" si="11"/>
        <v>73.849999999999994</v>
      </c>
      <c r="N42" s="823">
        <f t="shared" si="12"/>
        <v>73.849999999999994</v>
      </c>
      <c r="O42" s="1074">
        <f>'F5'!O42+'F5.1 (N)'!T18</f>
        <v>0</v>
      </c>
      <c r="P42" s="1074">
        <f>'F5'!P42+'F5.1 (N)'!U18</f>
        <v>0</v>
      </c>
      <c r="Q42" s="1074">
        <f>'F5'!Q42+'F5.1 (N)'!V18</f>
        <v>0</v>
      </c>
      <c r="R42" s="823">
        <f t="shared" si="13"/>
        <v>73.849999999999994</v>
      </c>
      <c r="S42" s="823">
        <f t="shared" si="14"/>
        <v>73.849999999999994</v>
      </c>
      <c r="T42" s="1074">
        <f>'F5'!T42+'F5.1 (N)'!Y18</f>
        <v>0</v>
      </c>
      <c r="U42" s="1074">
        <f>'F5'!U42+'F5.1 (N)'!Z18</f>
        <v>0</v>
      </c>
      <c r="V42" s="1074">
        <f>'F5'!V42+'F5.1 (N)'!AA18</f>
        <v>0</v>
      </c>
      <c r="W42" s="823">
        <f t="shared" si="15"/>
        <v>73.849999999999994</v>
      </c>
    </row>
    <row r="43" spans="1:33" s="11" customFormat="1" x14ac:dyDescent="0.3">
      <c r="A43" s="419"/>
      <c r="B43" s="465">
        <f t="shared" si="16"/>
        <v>4</v>
      </c>
      <c r="C43" s="467" t="s">
        <v>847</v>
      </c>
      <c r="D43" s="823">
        <f t="shared" si="8"/>
        <v>161.62690396140925</v>
      </c>
      <c r="E43" s="1074">
        <f>'F5'!E43+'F5.1 (N)'!J19</f>
        <v>0</v>
      </c>
      <c r="F43" s="1074">
        <f>'F5'!F43+'F5.1 (N)'!K19</f>
        <v>0</v>
      </c>
      <c r="G43" s="1074">
        <f>'F5'!G43+'F5.1 (N)'!L19</f>
        <v>0</v>
      </c>
      <c r="H43" s="823">
        <f t="shared" si="9"/>
        <v>161.62690396140925</v>
      </c>
      <c r="I43" s="823">
        <f t="shared" si="10"/>
        <v>161.62690396140925</v>
      </c>
      <c r="J43" s="1074">
        <f>'F5'!J43+'F5.1 (N)'!O19</f>
        <v>0</v>
      </c>
      <c r="K43" s="1074">
        <f>'F5'!K43+'F5.1 (N)'!P19</f>
        <v>0</v>
      </c>
      <c r="L43" s="1074">
        <f>'F5'!L43+'F5.1 (N)'!Q19</f>
        <v>0</v>
      </c>
      <c r="M43" s="823">
        <f t="shared" si="11"/>
        <v>161.62690396140925</v>
      </c>
      <c r="N43" s="823">
        <f t="shared" si="12"/>
        <v>161.62690396140925</v>
      </c>
      <c r="O43" s="1074">
        <f>'F5'!O43+'F5.1 (N)'!T19</f>
        <v>0</v>
      </c>
      <c r="P43" s="1074">
        <f>'F5'!P43+'F5.1 (N)'!U19</f>
        <v>0</v>
      </c>
      <c r="Q43" s="1074">
        <f>'F5'!Q43+'F5.1 (N)'!V19</f>
        <v>0</v>
      </c>
      <c r="R43" s="823">
        <f t="shared" si="13"/>
        <v>161.62690396140925</v>
      </c>
      <c r="S43" s="823">
        <f t="shared" si="14"/>
        <v>161.62690396140925</v>
      </c>
      <c r="T43" s="1074">
        <f>'F5'!T43+'F5.1 (N)'!Y19</f>
        <v>0</v>
      </c>
      <c r="U43" s="1074">
        <f>'F5'!U43+'F5.1 (N)'!Z19</f>
        <v>0</v>
      </c>
      <c r="V43" s="1074">
        <f>'F5'!V43+'F5.1 (N)'!AA19</f>
        <v>0</v>
      </c>
      <c r="W43" s="823">
        <f t="shared" si="15"/>
        <v>161.62690396140925</v>
      </c>
    </row>
    <row r="44" spans="1:33" s="11" customFormat="1" x14ac:dyDescent="0.3">
      <c r="A44" s="419"/>
      <c r="B44" s="465">
        <f t="shared" si="16"/>
        <v>5</v>
      </c>
      <c r="C44" s="467" t="s">
        <v>848</v>
      </c>
      <c r="D44" s="823">
        <f t="shared" si="8"/>
        <v>119.83011564111413</v>
      </c>
      <c r="E44" s="1074">
        <f>'F5'!E44+'F5.1 (N)'!J20</f>
        <v>13</v>
      </c>
      <c r="F44" s="1074">
        <f>'F5'!F44+'F5.1 (N)'!K20</f>
        <v>0</v>
      </c>
      <c r="G44" s="1074">
        <f>'F5'!G44+'F5.1 (N)'!L20</f>
        <v>0</v>
      </c>
      <c r="H44" s="823">
        <f t="shared" si="9"/>
        <v>132.83011564111413</v>
      </c>
      <c r="I44" s="823">
        <f t="shared" si="10"/>
        <v>132.83011564111413</v>
      </c>
      <c r="J44" s="1074">
        <f>'F5'!J44+'F5.1 (N)'!O20</f>
        <v>26.5</v>
      </c>
      <c r="K44" s="1074">
        <f>'F5'!K44+'F5.1 (N)'!P20</f>
        <v>0</v>
      </c>
      <c r="L44" s="1074">
        <f>'F5'!L44+'F5.1 (N)'!Q20</f>
        <v>0</v>
      </c>
      <c r="M44" s="823">
        <f t="shared" si="11"/>
        <v>159.33011564111413</v>
      </c>
      <c r="N44" s="823">
        <f t="shared" si="12"/>
        <v>159.33011564111413</v>
      </c>
      <c r="O44" s="1074">
        <f>'F5'!O44+'F5.1 (N)'!T20</f>
        <v>276.12</v>
      </c>
      <c r="P44" s="1074">
        <f>'F5'!P44+'F5.1 (N)'!U20</f>
        <v>0</v>
      </c>
      <c r="Q44" s="1074">
        <f>'F5'!Q44+'F5.1 (N)'!V20</f>
        <v>0</v>
      </c>
      <c r="R44" s="823">
        <f t="shared" si="13"/>
        <v>435.45011564111417</v>
      </c>
      <c r="S44" s="823">
        <f t="shared" si="14"/>
        <v>435.45011564111417</v>
      </c>
      <c r="T44" s="1074">
        <f>'F5'!T44+'F5.1 (N)'!Y20</f>
        <v>0</v>
      </c>
      <c r="U44" s="1074">
        <f>'F5'!U44+'F5.1 (N)'!Z20</f>
        <v>0</v>
      </c>
      <c r="V44" s="1074">
        <f>'F5'!V44+'F5.1 (N)'!AA20</f>
        <v>0</v>
      </c>
      <c r="W44" s="823">
        <f t="shared" si="15"/>
        <v>435.45011564111417</v>
      </c>
    </row>
    <row r="45" spans="1:33" s="11" customFormat="1" x14ac:dyDescent="0.3">
      <c r="A45" s="419"/>
      <c r="B45" s="465">
        <f t="shared" si="16"/>
        <v>6</v>
      </c>
      <c r="C45" s="467" t="s">
        <v>255</v>
      </c>
      <c r="D45" s="823">
        <f t="shared" si="8"/>
        <v>2795.3044809694725</v>
      </c>
      <c r="E45" s="1074">
        <f>'F5'!E45+'F5.1 (N)'!J21</f>
        <v>99.927499999999995</v>
      </c>
      <c r="F45" s="1074">
        <f>'F5'!F45+'F5.1 (N)'!K21</f>
        <v>0</v>
      </c>
      <c r="G45" s="1074">
        <f>'F5'!G45+'F5.1 (N)'!L21</f>
        <v>0</v>
      </c>
      <c r="H45" s="823">
        <f t="shared" si="9"/>
        <v>2895.2319809694723</v>
      </c>
      <c r="I45" s="823">
        <f t="shared" si="10"/>
        <v>2895.2319809694723</v>
      </c>
      <c r="J45" s="1074">
        <f>'F5'!J45+'F5.1 (N)'!O21</f>
        <v>43.795000000000002</v>
      </c>
      <c r="K45" s="1074">
        <f>'F5'!K45+'F5.1 (N)'!P21</f>
        <v>0</v>
      </c>
      <c r="L45" s="1074">
        <f>'F5'!L45+'F5.1 (N)'!Q21</f>
        <v>0</v>
      </c>
      <c r="M45" s="823">
        <f t="shared" si="11"/>
        <v>2939.0269809694723</v>
      </c>
      <c r="N45" s="823">
        <f t="shared" si="12"/>
        <v>2939.0269809694723</v>
      </c>
      <c r="O45" s="1074">
        <f>'F5'!O45+'F5.1 (N)'!T21</f>
        <v>65.413333333333327</v>
      </c>
      <c r="P45" s="1074">
        <f>'F5'!P45+'F5.1 (N)'!U21</f>
        <v>0</v>
      </c>
      <c r="Q45" s="1074">
        <f>'F5'!Q45+'F5.1 (N)'!V21</f>
        <v>0</v>
      </c>
      <c r="R45" s="823">
        <f t="shared" si="13"/>
        <v>3004.4403143028057</v>
      </c>
      <c r="S45" s="823">
        <f t="shared" si="14"/>
        <v>3004.4403143028057</v>
      </c>
      <c r="T45" s="1074">
        <f>'F5'!T45+'F5.1 (N)'!Y21</f>
        <v>72.77</v>
      </c>
      <c r="U45" s="1074">
        <f>'F5'!U45+'F5.1 (N)'!Z21</f>
        <v>0</v>
      </c>
      <c r="V45" s="1074">
        <f>'F5'!V45+'F5.1 (N)'!AA21</f>
        <v>0</v>
      </c>
      <c r="W45" s="823">
        <f t="shared" si="15"/>
        <v>3077.2103143028057</v>
      </c>
    </row>
    <row r="46" spans="1:33" s="11" customFormat="1" x14ac:dyDescent="0.3">
      <c r="A46" s="419"/>
      <c r="B46" s="465">
        <f t="shared" si="16"/>
        <v>7</v>
      </c>
      <c r="C46" s="467" t="s">
        <v>849</v>
      </c>
      <c r="D46" s="823">
        <f t="shared" si="8"/>
        <v>5.0409049482966299</v>
      </c>
      <c r="E46" s="1074">
        <f>'F5'!E46+'F5.1 (N)'!J22</f>
        <v>0</v>
      </c>
      <c r="F46" s="1074">
        <f>'F5'!F46+'F5.1 (N)'!K22</f>
        <v>0</v>
      </c>
      <c r="G46" s="1074">
        <f>'F5'!G46+'F5.1 (N)'!L22</f>
        <v>0</v>
      </c>
      <c r="H46" s="823">
        <f t="shared" si="9"/>
        <v>5.0409049482966299</v>
      </c>
      <c r="I46" s="823">
        <f t="shared" si="10"/>
        <v>5.0409049482966299</v>
      </c>
      <c r="J46" s="1074">
        <f>'F5'!J46+'F5.1 (N)'!O22</f>
        <v>0</v>
      </c>
      <c r="K46" s="1074">
        <f>'F5'!K46+'F5.1 (N)'!P22</f>
        <v>0</v>
      </c>
      <c r="L46" s="1074">
        <f>'F5'!L46+'F5.1 (N)'!Q22</f>
        <v>0</v>
      </c>
      <c r="M46" s="823">
        <f t="shared" si="11"/>
        <v>5.0409049482966299</v>
      </c>
      <c r="N46" s="823">
        <f t="shared" si="12"/>
        <v>5.0409049482966299</v>
      </c>
      <c r="O46" s="1074">
        <f>'F5'!O46+'F5.1 (N)'!T22</f>
        <v>0</v>
      </c>
      <c r="P46" s="1074">
        <f>'F5'!P46+'F5.1 (N)'!U22</f>
        <v>0</v>
      </c>
      <c r="Q46" s="1074">
        <f>'F5'!Q46+'F5.1 (N)'!V22</f>
        <v>0</v>
      </c>
      <c r="R46" s="823">
        <f t="shared" si="13"/>
        <v>5.0409049482966299</v>
      </c>
      <c r="S46" s="823">
        <f t="shared" si="14"/>
        <v>5.0409049482966299</v>
      </c>
      <c r="T46" s="1074">
        <f>'F5'!T46+'F5.1 (N)'!Y22</f>
        <v>0</v>
      </c>
      <c r="U46" s="1074">
        <f>'F5'!U46+'F5.1 (N)'!Z22</f>
        <v>0</v>
      </c>
      <c r="V46" s="1074">
        <f>'F5'!V46+'F5.1 (N)'!AA22</f>
        <v>0</v>
      </c>
      <c r="W46" s="823">
        <f t="shared" si="15"/>
        <v>5.0409049482966299</v>
      </c>
    </row>
    <row r="47" spans="1:33" s="11" customFormat="1" x14ac:dyDescent="0.3">
      <c r="A47" s="419"/>
      <c r="B47" s="465">
        <f t="shared" si="16"/>
        <v>8</v>
      </c>
      <c r="C47" s="467" t="s">
        <v>850</v>
      </c>
      <c r="D47" s="823">
        <f t="shared" si="8"/>
        <v>0.30836666666666668</v>
      </c>
      <c r="E47" s="1074">
        <f>'F5'!E47+'F5.1 (N)'!J23</f>
        <v>0.02</v>
      </c>
      <c r="F47" s="1074">
        <f>'F5'!F47+'F5.1 (N)'!K23</f>
        <v>0</v>
      </c>
      <c r="G47" s="1074">
        <f>'F5'!G47+'F5.1 (N)'!L23</f>
        <v>0</v>
      </c>
      <c r="H47" s="823">
        <f t="shared" si="9"/>
        <v>0.3283666666666667</v>
      </c>
      <c r="I47" s="823">
        <f t="shared" si="10"/>
        <v>0.3283666666666667</v>
      </c>
      <c r="J47" s="1074">
        <f>'F5'!J47+'F5.1 (N)'!O23</f>
        <v>0.04</v>
      </c>
      <c r="K47" s="1074">
        <f>'F5'!K47+'F5.1 (N)'!P23</f>
        <v>0</v>
      </c>
      <c r="L47" s="1074">
        <f>'F5'!L47+'F5.1 (N)'!Q23</f>
        <v>0</v>
      </c>
      <c r="M47" s="823">
        <f t="shared" si="11"/>
        <v>0.36836666666666668</v>
      </c>
      <c r="N47" s="823">
        <f t="shared" si="12"/>
        <v>0.36836666666666668</v>
      </c>
      <c r="O47" s="1074">
        <f>'F5'!O47+'F5.1 (N)'!T23</f>
        <v>5.333333333333333E-2</v>
      </c>
      <c r="P47" s="1074">
        <f>'F5'!P47+'F5.1 (N)'!U23</f>
        <v>0</v>
      </c>
      <c r="Q47" s="1074">
        <f>'F5'!Q47+'F5.1 (N)'!V23</f>
        <v>0</v>
      </c>
      <c r="R47" s="823">
        <f t="shared" si="13"/>
        <v>0.42170000000000002</v>
      </c>
      <c r="S47" s="823">
        <f t="shared" si="14"/>
        <v>0.42170000000000002</v>
      </c>
      <c r="T47" s="1074">
        <f>'F5'!T47+'F5.1 (N)'!Y23</f>
        <v>0.08</v>
      </c>
      <c r="U47" s="1074">
        <f>'F5'!U47+'F5.1 (N)'!Z23</f>
        <v>0</v>
      </c>
      <c r="V47" s="1074">
        <f>'F5'!V47+'F5.1 (N)'!AA23</f>
        <v>0</v>
      </c>
      <c r="W47" s="823">
        <f t="shared" si="15"/>
        <v>0.50170000000000003</v>
      </c>
    </row>
    <row r="48" spans="1:33" s="11" customFormat="1" x14ac:dyDescent="0.3">
      <c r="A48" s="419"/>
      <c r="B48" s="465">
        <f t="shared" si="16"/>
        <v>9</v>
      </c>
      <c r="C48" s="467" t="s">
        <v>851</v>
      </c>
      <c r="D48" s="823">
        <f t="shared" si="8"/>
        <v>32.510099787069834</v>
      </c>
      <c r="E48" s="1074">
        <f>'F5'!E48+'F5.1 (N)'!J24</f>
        <v>0</v>
      </c>
      <c r="F48" s="1074">
        <f>'F5'!F48+'F5.1 (N)'!K24</f>
        <v>0</v>
      </c>
      <c r="G48" s="1074">
        <f>'F5'!G48+'F5.1 (N)'!L24</f>
        <v>0</v>
      </c>
      <c r="H48" s="823">
        <f t="shared" si="9"/>
        <v>32.510099787069834</v>
      </c>
      <c r="I48" s="823">
        <f t="shared" si="10"/>
        <v>32.510099787069834</v>
      </c>
      <c r="J48" s="1074">
        <f>'F5'!J48+'F5.1 (N)'!O24</f>
        <v>0</v>
      </c>
      <c r="K48" s="1074">
        <f>'F5'!K48+'F5.1 (N)'!P24</f>
        <v>0</v>
      </c>
      <c r="L48" s="1074">
        <f>'F5'!L48+'F5.1 (N)'!Q24</f>
        <v>0</v>
      </c>
      <c r="M48" s="823">
        <f t="shared" si="11"/>
        <v>32.510099787069834</v>
      </c>
      <c r="N48" s="823">
        <f t="shared" si="12"/>
        <v>32.510099787069834</v>
      </c>
      <c r="O48" s="1074">
        <f>'F5'!O48+'F5.1 (N)'!T24</f>
        <v>0</v>
      </c>
      <c r="P48" s="1074">
        <f>'F5'!P48+'F5.1 (N)'!U24</f>
        <v>0</v>
      </c>
      <c r="Q48" s="1074">
        <f>'F5'!Q48+'F5.1 (N)'!V24</f>
        <v>0</v>
      </c>
      <c r="R48" s="823">
        <f t="shared" si="13"/>
        <v>32.510099787069834</v>
      </c>
      <c r="S48" s="823">
        <f t="shared" si="14"/>
        <v>32.510099787069834</v>
      </c>
      <c r="T48" s="1074">
        <f>'F5'!T48+'F5.1 (N)'!Y24</f>
        <v>0</v>
      </c>
      <c r="U48" s="1074">
        <f>'F5'!U48+'F5.1 (N)'!Z24</f>
        <v>0</v>
      </c>
      <c r="V48" s="1074">
        <f>'F5'!V48+'F5.1 (N)'!AA24</f>
        <v>0</v>
      </c>
      <c r="W48" s="823">
        <f t="shared" si="15"/>
        <v>32.510099787069834</v>
      </c>
    </row>
    <row r="49" spans="1:23" s="11" customFormat="1" x14ac:dyDescent="0.3">
      <c r="A49" s="419"/>
      <c r="B49" s="465">
        <f t="shared" si="16"/>
        <v>10</v>
      </c>
      <c r="C49" s="467" t="s">
        <v>258</v>
      </c>
      <c r="D49" s="823">
        <f t="shared" si="8"/>
        <v>2.6929243675165093</v>
      </c>
      <c r="E49" s="1074">
        <f>'F5'!E49+'F5.1 (N)'!J25</f>
        <v>0</v>
      </c>
      <c r="F49" s="1074">
        <f>'F5'!F49+'F5.1 (N)'!K25</f>
        <v>0</v>
      </c>
      <c r="G49" s="1074">
        <f>'F5'!G49+'F5.1 (N)'!L25</f>
        <v>0</v>
      </c>
      <c r="H49" s="823">
        <f t="shared" si="9"/>
        <v>2.6929243675165093</v>
      </c>
      <c r="I49" s="823">
        <f t="shared" si="10"/>
        <v>2.6929243675165093</v>
      </c>
      <c r="J49" s="1074">
        <f>'F5'!J49+'F5.1 (N)'!O25</f>
        <v>0</v>
      </c>
      <c r="K49" s="1074">
        <f>'F5'!K49+'F5.1 (N)'!P25</f>
        <v>0</v>
      </c>
      <c r="L49" s="1074">
        <f>'F5'!L49+'F5.1 (N)'!Q25</f>
        <v>0</v>
      </c>
      <c r="M49" s="823">
        <f t="shared" si="11"/>
        <v>2.6929243675165093</v>
      </c>
      <c r="N49" s="823">
        <f t="shared" si="12"/>
        <v>2.6929243675165093</v>
      </c>
      <c r="O49" s="1074">
        <f>'F5'!O49+'F5.1 (N)'!T25</f>
        <v>0</v>
      </c>
      <c r="P49" s="1074">
        <f>'F5'!P49+'F5.1 (N)'!U25</f>
        <v>0</v>
      </c>
      <c r="Q49" s="1074">
        <f>'F5'!Q49+'F5.1 (N)'!V25</f>
        <v>0</v>
      </c>
      <c r="R49" s="823">
        <f t="shared" si="13"/>
        <v>2.6929243675165093</v>
      </c>
      <c r="S49" s="823">
        <f t="shared" si="14"/>
        <v>2.6929243675165093</v>
      </c>
      <c r="T49" s="1074">
        <f>'F5'!T49+'F5.1 (N)'!Y25</f>
        <v>0</v>
      </c>
      <c r="U49" s="1074">
        <f>'F5'!U49+'F5.1 (N)'!Z25</f>
        <v>0</v>
      </c>
      <c r="V49" s="1074">
        <f>'F5'!V49+'F5.1 (N)'!AA25</f>
        <v>0</v>
      </c>
      <c r="W49" s="823">
        <f t="shared" si="15"/>
        <v>2.6929243675165093</v>
      </c>
    </row>
    <row r="50" spans="1:23" s="11" customFormat="1" x14ac:dyDescent="0.3">
      <c r="A50" s="419"/>
      <c r="B50" s="465">
        <f t="shared" si="16"/>
        <v>11</v>
      </c>
      <c r="C50" s="467" t="s">
        <v>259</v>
      </c>
      <c r="D50" s="823">
        <f t="shared" si="8"/>
        <v>2.0760140968833638</v>
      </c>
      <c r="E50" s="1074">
        <f>'F5'!E50+'F5.1 (N)'!J26</f>
        <v>7.4999999999999997E-3</v>
      </c>
      <c r="F50" s="1074">
        <f>'F5'!F50+'F5.1 (N)'!K26</f>
        <v>0</v>
      </c>
      <c r="G50" s="1074">
        <f>'F5'!G50+'F5.1 (N)'!L26</f>
        <v>0</v>
      </c>
      <c r="H50" s="823">
        <f t="shared" si="9"/>
        <v>2.0835140968833636</v>
      </c>
      <c r="I50" s="823">
        <f t="shared" si="10"/>
        <v>2.0835140968833636</v>
      </c>
      <c r="J50" s="1074">
        <f>'F5'!J50+'F5.1 (N)'!O26</f>
        <v>1.4999999999999999E-2</v>
      </c>
      <c r="K50" s="1074">
        <f>'F5'!K50+'F5.1 (N)'!P26</f>
        <v>0</v>
      </c>
      <c r="L50" s="1074">
        <f>'F5'!L50+'F5.1 (N)'!Q26</f>
        <v>0</v>
      </c>
      <c r="M50" s="823">
        <f t="shared" si="11"/>
        <v>2.0985140968833638</v>
      </c>
      <c r="N50" s="823">
        <f t="shared" si="12"/>
        <v>2.0985140968833638</v>
      </c>
      <c r="O50" s="1074">
        <f>'F5'!O50+'F5.1 (N)'!T26</f>
        <v>1.9999999999999997E-2</v>
      </c>
      <c r="P50" s="1074">
        <f>'F5'!P50+'F5.1 (N)'!U26</f>
        <v>0</v>
      </c>
      <c r="Q50" s="1074">
        <f>'F5'!Q50+'F5.1 (N)'!V26</f>
        <v>0</v>
      </c>
      <c r="R50" s="823">
        <f t="shared" si="13"/>
        <v>2.1185140968833638</v>
      </c>
      <c r="S50" s="823">
        <f t="shared" si="14"/>
        <v>2.1185140968833638</v>
      </c>
      <c r="T50" s="1074">
        <f>'F5'!T50+'F5.1 (N)'!Y26</f>
        <v>0.03</v>
      </c>
      <c r="U50" s="1074">
        <f>'F5'!U50+'F5.1 (N)'!Z26</f>
        <v>0</v>
      </c>
      <c r="V50" s="1074">
        <f>'F5'!V50+'F5.1 (N)'!AA26</f>
        <v>0</v>
      </c>
      <c r="W50" s="823">
        <f t="shared" si="15"/>
        <v>2.1485140968833636</v>
      </c>
    </row>
    <row r="51" spans="1:23" s="2" customFormat="1" x14ac:dyDescent="0.3">
      <c r="A51" s="419"/>
      <c r="B51" s="465">
        <f t="shared" si="16"/>
        <v>12</v>
      </c>
      <c r="C51" s="467" t="s">
        <v>260</v>
      </c>
      <c r="D51" s="823">
        <f t="shared" si="8"/>
        <v>3.8080900897067513</v>
      </c>
      <c r="E51" s="1074">
        <f>'F5'!E51+'F5.1 (N)'!J27</f>
        <v>0</v>
      </c>
      <c r="F51" s="1074">
        <f>'F5'!F51+'F5.1 (N)'!K27</f>
        <v>0</v>
      </c>
      <c r="G51" s="1074">
        <f>'F5'!G51+'F5.1 (N)'!L27</f>
        <v>0</v>
      </c>
      <c r="H51" s="823">
        <f t="shared" si="9"/>
        <v>3.8080900897067513</v>
      </c>
      <c r="I51" s="823">
        <f t="shared" si="10"/>
        <v>3.8080900897067513</v>
      </c>
      <c r="J51" s="1074">
        <f>'F5'!J51+'F5.1 (N)'!O27</f>
        <v>0</v>
      </c>
      <c r="K51" s="1074">
        <f>'F5'!K51+'F5.1 (N)'!P27</f>
        <v>0</v>
      </c>
      <c r="L51" s="1074">
        <f>'F5'!L51+'F5.1 (N)'!Q27</f>
        <v>0</v>
      </c>
      <c r="M51" s="823">
        <f t="shared" si="11"/>
        <v>3.8080900897067513</v>
      </c>
      <c r="N51" s="823">
        <f t="shared" si="12"/>
        <v>3.8080900897067513</v>
      </c>
      <c r="O51" s="1074">
        <f>'F5'!O51+'F5.1 (N)'!T27</f>
        <v>0</v>
      </c>
      <c r="P51" s="1074">
        <f>'F5'!P51+'F5.1 (N)'!U27</f>
        <v>0</v>
      </c>
      <c r="Q51" s="1074">
        <f>'F5'!Q51+'F5.1 (N)'!V27</f>
        <v>0</v>
      </c>
      <c r="R51" s="823">
        <f t="shared" si="13"/>
        <v>3.8080900897067513</v>
      </c>
      <c r="S51" s="823">
        <f t="shared" si="14"/>
        <v>3.8080900897067513</v>
      </c>
      <c r="T51" s="1074">
        <f>'F5'!T51+'F5.1 (N)'!Y27</f>
        <v>0</v>
      </c>
      <c r="U51" s="1074">
        <f>'F5'!U51+'F5.1 (N)'!Z27</f>
        <v>0</v>
      </c>
      <c r="V51" s="1074">
        <f>'F5'!V51+'F5.1 (N)'!AA27</f>
        <v>0</v>
      </c>
      <c r="W51" s="823">
        <f t="shared" si="15"/>
        <v>3.8080900897067513</v>
      </c>
    </row>
    <row r="52" spans="1:23" s="2" customFormat="1" x14ac:dyDescent="0.3">
      <c r="A52" s="419"/>
      <c r="B52" s="465">
        <f t="shared" si="16"/>
        <v>13</v>
      </c>
      <c r="C52" s="467" t="s">
        <v>899</v>
      </c>
      <c r="D52" s="823">
        <f t="shared" si="8"/>
        <v>0</v>
      </c>
      <c r="E52" s="1074">
        <f>'F5'!E52+'F5.1 (N)'!J28</f>
        <v>0</v>
      </c>
      <c r="F52" s="1074">
        <f>'F5'!F52+'F5.1 (N)'!K28</f>
        <v>0</v>
      </c>
      <c r="G52" s="1074">
        <f>'F5'!G52+'F5.1 (N)'!L28</f>
        <v>0</v>
      </c>
      <c r="H52" s="823">
        <f t="shared" si="9"/>
        <v>0</v>
      </c>
      <c r="I52" s="823">
        <f t="shared" si="10"/>
        <v>0</v>
      </c>
      <c r="J52" s="1074">
        <f>'F5'!J52+'F5.1 (N)'!O28</f>
        <v>0</v>
      </c>
      <c r="K52" s="1074">
        <f>'F5'!K52+'F5.1 (N)'!P28</f>
        <v>0</v>
      </c>
      <c r="L52" s="1074">
        <f>'F5'!L52+'F5.1 (N)'!Q28</f>
        <v>0</v>
      </c>
      <c r="M52" s="823">
        <f t="shared" si="11"/>
        <v>0</v>
      </c>
      <c r="N52" s="823">
        <f t="shared" si="12"/>
        <v>0</v>
      </c>
      <c r="O52" s="1074">
        <f>'F5'!O52+'F5.1 (N)'!T28</f>
        <v>0</v>
      </c>
      <c r="P52" s="1074">
        <f>'F5'!P52+'F5.1 (N)'!U28</f>
        <v>0</v>
      </c>
      <c r="Q52" s="1074">
        <f>'F5'!Q52+'F5.1 (N)'!V28</f>
        <v>0</v>
      </c>
      <c r="R52" s="823">
        <f t="shared" si="13"/>
        <v>0</v>
      </c>
      <c r="S52" s="823">
        <f t="shared" si="14"/>
        <v>0</v>
      </c>
      <c r="T52" s="1074">
        <f>'F5'!T52+'F5.1 (N)'!Y28</f>
        <v>0</v>
      </c>
      <c r="U52" s="1074">
        <f>'F5'!U52+'F5.1 (N)'!Z28</f>
        <v>0</v>
      </c>
      <c r="V52" s="1074">
        <f>'F5'!V52+'F5.1 (N)'!AA28</f>
        <v>0</v>
      </c>
      <c r="W52" s="823">
        <f t="shared" si="15"/>
        <v>0</v>
      </c>
    </row>
    <row r="53" spans="1:23" s="2" customFormat="1" x14ac:dyDescent="0.3">
      <c r="A53" s="419"/>
      <c r="B53" s="465">
        <f t="shared" si="16"/>
        <v>14</v>
      </c>
      <c r="C53" s="467" t="s">
        <v>900</v>
      </c>
      <c r="D53" s="823">
        <f t="shared" si="8"/>
        <v>0.55793974099133425</v>
      </c>
      <c r="E53" s="1074">
        <f>'F5'!E53+'F5.1 (N)'!J29</f>
        <v>0.05</v>
      </c>
      <c r="F53" s="1074">
        <f>'F5'!F53+'F5.1 (N)'!K29</f>
        <v>0</v>
      </c>
      <c r="G53" s="1074">
        <f>'F5'!G53+'F5.1 (N)'!L29</f>
        <v>0</v>
      </c>
      <c r="H53" s="823">
        <f t="shared" si="9"/>
        <v>0.6079397409913343</v>
      </c>
      <c r="I53" s="823">
        <f t="shared" si="10"/>
        <v>0.6079397409913343</v>
      </c>
      <c r="J53" s="1074">
        <f>'F5'!J53+'F5.1 (N)'!O29</f>
        <v>0.1</v>
      </c>
      <c r="K53" s="1074">
        <f>'F5'!K53+'F5.1 (N)'!P29</f>
        <v>0</v>
      </c>
      <c r="L53" s="1074">
        <f>'F5'!L53+'F5.1 (N)'!Q29</f>
        <v>0</v>
      </c>
      <c r="M53" s="823">
        <f t="shared" si="11"/>
        <v>0.70793974099133428</v>
      </c>
      <c r="N53" s="823">
        <f t="shared" si="12"/>
        <v>0.70793974099133428</v>
      </c>
      <c r="O53" s="1074">
        <f>'F5'!O53+'F5.1 (N)'!T29</f>
        <v>0.13333333333333333</v>
      </c>
      <c r="P53" s="1074">
        <f>'F5'!P53+'F5.1 (N)'!U29</f>
        <v>0</v>
      </c>
      <c r="Q53" s="1074">
        <f>'F5'!Q53+'F5.1 (N)'!V29</f>
        <v>0</v>
      </c>
      <c r="R53" s="823">
        <f t="shared" si="13"/>
        <v>0.84127307432466758</v>
      </c>
      <c r="S53" s="823">
        <f t="shared" si="14"/>
        <v>0.84127307432466758</v>
      </c>
      <c r="T53" s="1074">
        <f>'F5'!T53+'F5.1 (N)'!Y29</f>
        <v>0.2</v>
      </c>
      <c r="U53" s="1074">
        <f>'F5'!U53+'F5.1 (N)'!Z29</f>
        <v>0</v>
      </c>
      <c r="V53" s="1074">
        <f>'F5'!V53+'F5.1 (N)'!AA29</f>
        <v>0</v>
      </c>
      <c r="W53" s="823">
        <f t="shared" si="15"/>
        <v>1.0412730743246676</v>
      </c>
    </row>
    <row r="54" spans="1:23" s="2" customFormat="1" x14ac:dyDescent="0.3">
      <c r="A54" s="419"/>
      <c r="B54" s="465">
        <f t="shared" si="16"/>
        <v>15</v>
      </c>
      <c r="C54" s="467" t="s">
        <v>901</v>
      </c>
      <c r="D54" s="823">
        <f t="shared" si="8"/>
        <v>1.2302536663739264E-2</v>
      </c>
      <c r="E54" s="1074">
        <f>'F5'!E54+'F5.1 (N)'!J30</f>
        <v>0</v>
      </c>
      <c r="F54" s="1074">
        <f>'F5'!F54+'F5.1 (N)'!K30</f>
        <v>0</v>
      </c>
      <c r="G54" s="1074">
        <f>'F5'!G54+'F5.1 (N)'!L30</f>
        <v>0</v>
      </c>
      <c r="H54" s="823">
        <f t="shared" si="9"/>
        <v>1.2302536663739264E-2</v>
      </c>
      <c r="I54" s="823">
        <f t="shared" si="10"/>
        <v>1.2302536663739264E-2</v>
      </c>
      <c r="J54" s="1074">
        <f>'F5'!J54+'F5.1 (N)'!O30</f>
        <v>0</v>
      </c>
      <c r="K54" s="1074">
        <f>'F5'!K54+'F5.1 (N)'!P30</f>
        <v>0</v>
      </c>
      <c r="L54" s="1074">
        <f>'F5'!L54+'F5.1 (N)'!Q30</f>
        <v>0</v>
      </c>
      <c r="M54" s="823">
        <f t="shared" si="11"/>
        <v>1.2302536663739264E-2</v>
      </c>
      <c r="N54" s="823">
        <f t="shared" si="12"/>
        <v>1.2302536663739264E-2</v>
      </c>
      <c r="O54" s="1074">
        <f>'F5'!O54+'F5.1 (N)'!T30</f>
        <v>0</v>
      </c>
      <c r="P54" s="1074">
        <f>'F5'!P54+'F5.1 (N)'!U30</f>
        <v>0</v>
      </c>
      <c r="Q54" s="1074">
        <f>'F5'!Q54+'F5.1 (N)'!V30</f>
        <v>0</v>
      </c>
      <c r="R54" s="823">
        <f t="shared" si="13"/>
        <v>1.2302536663739264E-2</v>
      </c>
      <c r="S54" s="823">
        <f t="shared" si="14"/>
        <v>1.2302536663739264E-2</v>
      </c>
      <c r="T54" s="1074">
        <f>'F5'!T54+'F5.1 (N)'!Y30</f>
        <v>0</v>
      </c>
      <c r="U54" s="1074">
        <f>'F5'!U54+'F5.1 (N)'!Z30</f>
        <v>0</v>
      </c>
      <c r="V54" s="1074">
        <f>'F5'!V54+'F5.1 (N)'!AA30</f>
        <v>0</v>
      </c>
      <c r="W54" s="823">
        <f t="shared" si="15"/>
        <v>1.2302536663739264E-2</v>
      </c>
    </row>
    <row r="55" spans="1:23" s="2" customFormat="1" x14ac:dyDescent="0.3">
      <c r="A55" s="419"/>
      <c r="B55" s="465">
        <f t="shared" si="16"/>
        <v>16</v>
      </c>
      <c r="C55" s="467" t="s">
        <v>852</v>
      </c>
      <c r="D55" s="823">
        <f t="shared" si="8"/>
        <v>0</v>
      </c>
      <c r="E55" s="1074">
        <f>'F5'!E55+'F5.1 (N)'!J31</f>
        <v>0</v>
      </c>
      <c r="F55" s="1074">
        <f>'F5'!F55+'F5.1 (N)'!K31</f>
        <v>0</v>
      </c>
      <c r="G55" s="1074">
        <f>'F5'!G55+'F5.1 (N)'!L31</f>
        <v>0</v>
      </c>
      <c r="H55" s="823">
        <f t="shared" si="9"/>
        <v>0</v>
      </c>
      <c r="I55" s="823">
        <f t="shared" si="10"/>
        <v>0</v>
      </c>
      <c r="J55" s="1074">
        <f>'F5'!J55+'F5.1 (N)'!O31</f>
        <v>0</v>
      </c>
      <c r="K55" s="1074">
        <f>'F5'!K55+'F5.1 (N)'!P31</f>
        <v>0</v>
      </c>
      <c r="L55" s="1074">
        <f>'F5'!L55+'F5.1 (N)'!Q31</f>
        <v>0</v>
      </c>
      <c r="M55" s="823">
        <f t="shared" si="11"/>
        <v>0</v>
      </c>
      <c r="N55" s="823">
        <f t="shared" si="12"/>
        <v>0</v>
      </c>
      <c r="O55" s="1074">
        <f>'F5'!O55+'F5.1 (N)'!T31</f>
        <v>0</v>
      </c>
      <c r="P55" s="1074">
        <f>'F5'!P55+'F5.1 (N)'!U31</f>
        <v>0</v>
      </c>
      <c r="Q55" s="1074">
        <f>'F5'!Q55+'F5.1 (N)'!V31</f>
        <v>0</v>
      </c>
      <c r="R55" s="823">
        <f t="shared" si="13"/>
        <v>0</v>
      </c>
      <c r="S55" s="823">
        <f t="shared" si="14"/>
        <v>0</v>
      </c>
      <c r="T55" s="1074">
        <f>'F5'!T55+'F5.1 (N)'!Y31</f>
        <v>0</v>
      </c>
      <c r="U55" s="1074">
        <f>'F5'!U55+'F5.1 (N)'!Z31</f>
        <v>0</v>
      </c>
      <c r="V55" s="1074">
        <f>'F5'!V55+'F5.1 (N)'!AA31</f>
        <v>0</v>
      </c>
      <c r="W55" s="823">
        <f t="shared" si="15"/>
        <v>0</v>
      </c>
    </row>
    <row r="56" spans="1:23" s="2" customFormat="1" x14ac:dyDescent="0.3">
      <c r="A56" s="419"/>
      <c r="B56" s="465">
        <f t="shared" si="16"/>
        <v>17</v>
      </c>
      <c r="C56" s="467" t="s">
        <v>902</v>
      </c>
      <c r="D56" s="823">
        <f t="shared" si="8"/>
        <v>0</v>
      </c>
      <c r="E56" s="1074">
        <f>'F5'!E56+'F5.1 (N)'!J32</f>
        <v>0</v>
      </c>
      <c r="F56" s="1074">
        <f>'F5'!F56+'F5.1 (N)'!K32</f>
        <v>0</v>
      </c>
      <c r="G56" s="1074">
        <f>'F5'!G56+'F5.1 (N)'!L32</f>
        <v>0</v>
      </c>
      <c r="H56" s="823">
        <f t="shared" si="9"/>
        <v>0</v>
      </c>
      <c r="I56" s="823">
        <f t="shared" si="10"/>
        <v>0</v>
      </c>
      <c r="J56" s="1074">
        <f>'F5'!J56+'F5.1 (N)'!O32</f>
        <v>0</v>
      </c>
      <c r="K56" s="1074">
        <f>'F5'!K56+'F5.1 (N)'!P32</f>
        <v>0</v>
      </c>
      <c r="L56" s="1074">
        <f>'F5'!L56+'F5.1 (N)'!Q32</f>
        <v>0</v>
      </c>
      <c r="M56" s="823">
        <f t="shared" si="11"/>
        <v>0</v>
      </c>
      <c r="N56" s="823">
        <f t="shared" si="12"/>
        <v>0</v>
      </c>
      <c r="O56" s="1074">
        <f>'F5'!O56+'F5.1 (N)'!T32</f>
        <v>0</v>
      </c>
      <c r="P56" s="1074">
        <f>'F5'!P56+'F5.1 (N)'!U32</f>
        <v>0</v>
      </c>
      <c r="Q56" s="1074">
        <f>'F5'!Q56+'F5.1 (N)'!V32</f>
        <v>0</v>
      </c>
      <c r="R56" s="823">
        <f t="shared" si="13"/>
        <v>0</v>
      </c>
      <c r="S56" s="823">
        <f t="shared" si="14"/>
        <v>0</v>
      </c>
      <c r="T56" s="1074">
        <f>'F5'!T56+'F5.1 (N)'!Y32</f>
        <v>0</v>
      </c>
      <c r="U56" s="1074">
        <f>'F5'!U56+'F5.1 (N)'!Z32</f>
        <v>0</v>
      </c>
      <c r="V56" s="1074">
        <f>'F5'!V56+'F5.1 (N)'!AA32</f>
        <v>0</v>
      </c>
      <c r="W56" s="823">
        <f t="shared" si="15"/>
        <v>0</v>
      </c>
    </row>
    <row r="57" spans="1:23" s="1" customFormat="1" ht="16" x14ac:dyDescent="0.3">
      <c r="B57" s="83"/>
      <c r="C57" s="97" t="s">
        <v>270</v>
      </c>
      <c r="D57" s="1063">
        <f>SUM(D40:D56)</f>
        <v>3365.1440086812004</v>
      </c>
      <c r="E57" s="1063">
        <f>SUM(E40:E56)</f>
        <v>119.74999999999999</v>
      </c>
      <c r="F57" s="1063">
        <f>SUM(F40:F56)</f>
        <v>0</v>
      </c>
      <c r="G57" s="1063">
        <f>SUM(G40:G56)</f>
        <v>0</v>
      </c>
      <c r="H57" s="1063">
        <f>SUM(H40:H56)</f>
        <v>3484.8940086811999</v>
      </c>
      <c r="I57" s="1063">
        <f t="shared" ref="I57:W57" si="17">SUM(I40:I56)</f>
        <v>3484.8940086811999</v>
      </c>
      <c r="J57" s="1063">
        <f t="shared" si="17"/>
        <v>82.95</v>
      </c>
      <c r="K57" s="1063">
        <f t="shared" si="17"/>
        <v>0</v>
      </c>
      <c r="L57" s="1063">
        <f t="shared" si="17"/>
        <v>0</v>
      </c>
      <c r="M57" s="1063">
        <f t="shared" si="17"/>
        <v>3567.8440086811997</v>
      </c>
      <c r="N57" s="1063">
        <f t="shared" si="17"/>
        <v>3567.8440086811997</v>
      </c>
      <c r="O57" s="1063">
        <f t="shared" si="17"/>
        <v>341.73999999999995</v>
      </c>
      <c r="P57" s="1063">
        <f t="shared" si="17"/>
        <v>0</v>
      </c>
      <c r="Q57" s="1063">
        <f t="shared" si="17"/>
        <v>0</v>
      </c>
      <c r="R57" s="1063">
        <f t="shared" si="17"/>
        <v>3909.5840086812004</v>
      </c>
      <c r="S57" s="1063">
        <f t="shared" si="17"/>
        <v>3909.5840086812004</v>
      </c>
      <c r="T57" s="1063">
        <f t="shared" si="17"/>
        <v>73.08</v>
      </c>
      <c r="U57" s="1063">
        <f t="shared" si="17"/>
        <v>0</v>
      </c>
      <c r="V57" s="1063">
        <f t="shared" si="17"/>
        <v>0</v>
      </c>
      <c r="W57" s="1063">
        <f t="shared" si="17"/>
        <v>3982.6640086812004</v>
      </c>
    </row>
    <row r="58" spans="1:23" s="1" customFormat="1" ht="16" x14ac:dyDescent="0.3">
      <c r="B58" s="261"/>
      <c r="C58" s="261"/>
      <c r="D58" s="261"/>
      <c r="E58" s="261"/>
      <c r="F58" s="261"/>
      <c r="G58" s="261"/>
      <c r="H58" s="261"/>
      <c r="I58" s="261"/>
      <c r="J58" s="261"/>
      <c r="K58" s="261"/>
      <c r="L58" s="261"/>
      <c r="M58" s="261"/>
      <c r="N58" s="261"/>
      <c r="O58" s="261"/>
    </row>
    <row r="59" spans="1:23" ht="16" x14ac:dyDescent="0.3">
      <c r="B59" s="261"/>
      <c r="C59" s="261"/>
      <c r="D59" s="261"/>
      <c r="E59" s="261"/>
      <c r="F59" s="261"/>
      <c r="G59" s="261"/>
      <c r="H59" s="261"/>
      <c r="I59" s="261"/>
      <c r="J59" s="261"/>
      <c r="K59" s="261"/>
      <c r="L59" s="261"/>
      <c r="M59" s="261"/>
      <c r="N59" s="261"/>
      <c r="O59" s="261"/>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1086" t="s">
        <v>271</v>
      </c>
      <c r="C61" s="1"/>
      <c r="D61" s="1"/>
      <c r="E61" s="1"/>
      <c r="F61" s="1"/>
      <c r="G61" s="1"/>
      <c r="H61" s="1"/>
      <c r="I61" s="1"/>
      <c r="J61" s="1"/>
      <c r="K61" s="1"/>
      <c r="L61" s="1"/>
      <c r="M61" s="1"/>
      <c r="N61" s="1"/>
      <c r="O61" s="1"/>
      <c r="P61" s="1"/>
      <c r="Q61" s="1"/>
      <c r="R61" s="1"/>
    </row>
    <row r="62" spans="1:23" x14ac:dyDescent="0.3">
      <c r="B62" s="1086"/>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8" t="s">
        <v>10</v>
      </c>
      <c r="N63" s="44"/>
      <c r="O63" s="1"/>
      <c r="P63" s="1"/>
      <c r="Q63" s="1"/>
    </row>
    <row r="64" spans="1:23" ht="15" customHeight="1" x14ac:dyDescent="0.3">
      <c r="B64" s="1792" t="s">
        <v>339</v>
      </c>
      <c r="C64" s="1792" t="s">
        <v>36</v>
      </c>
      <c r="D64" s="1936" t="s">
        <v>506</v>
      </c>
      <c r="E64" s="1937"/>
      <c r="F64" s="1937"/>
      <c r="G64" s="1937"/>
      <c r="H64" s="1938"/>
      <c r="I64" s="1939" t="s">
        <v>507</v>
      </c>
      <c r="J64" s="1939"/>
      <c r="K64" s="1939"/>
      <c r="L64" s="1939"/>
      <c r="M64" s="1939"/>
      <c r="N64" s="1935" t="s">
        <v>508</v>
      </c>
      <c r="O64" s="1935"/>
      <c r="P64" s="1935"/>
      <c r="Q64" s="1935"/>
      <c r="R64" s="1935"/>
      <c r="S64" s="1935" t="s">
        <v>968</v>
      </c>
      <c r="T64" s="1935"/>
      <c r="U64" s="1935"/>
      <c r="V64" s="1935"/>
      <c r="W64" s="1935"/>
    </row>
    <row r="65" spans="1:25" x14ac:dyDescent="0.3">
      <c r="B65" s="1792"/>
      <c r="C65" s="1792"/>
      <c r="D65" s="1941" t="s">
        <v>7</v>
      </c>
      <c r="E65" s="1942"/>
      <c r="F65" s="1942"/>
      <c r="G65" s="1942"/>
      <c r="H65" s="1942"/>
      <c r="I65" s="1941" t="s">
        <v>7</v>
      </c>
      <c r="J65" s="1942"/>
      <c r="K65" s="1942"/>
      <c r="L65" s="1942"/>
      <c r="M65" s="1942"/>
      <c r="N65" s="1941" t="s">
        <v>12</v>
      </c>
      <c r="O65" s="1942"/>
      <c r="P65" s="1942"/>
      <c r="Q65" s="1942"/>
      <c r="R65" s="1942"/>
      <c r="S65" s="1939" t="s">
        <v>21</v>
      </c>
      <c r="T65" s="1940"/>
      <c r="U65" s="1940"/>
      <c r="V65" s="1940"/>
      <c r="W65" s="1940"/>
    </row>
    <row r="66" spans="1:25" ht="56" x14ac:dyDescent="0.3">
      <c r="A66" s="5" t="s">
        <v>811</v>
      </c>
      <c r="B66" s="1792"/>
      <c r="C66" s="1792"/>
      <c r="D66" s="1090" t="s">
        <v>272</v>
      </c>
      <c r="E66" s="1090" t="s">
        <v>267</v>
      </c>
      <c r="F66" s="262" t="s">
        <v>273</v>
      </c>
      <c r="G66" s="1084" t="s">
        <v>587</v>
      </c>
      <c r="H66" s="1090" t="s">
        <v>274</v>
      </c>
      <c r="I66" s="1090" t="s">
        <v>272</v>
      </c>
      <c r="J66" s="1090" t="s">
        <v>267</v>
      </c>
      <c r="K66" s="262" t="s">
        <v>273</v>
      </c>
      <c r="L66" s="1084" t="s">
        <v>587</v>
      </c>
      <c r="M66" s="1090" t="s">
        <v>274</v>
      </c>
      <c r="N66" s="1090" t="s">
        <v>272</v>
      </c>
      <c r="O66" s="1090" t="s">
        <v>267</v>
      </c>
      <c r="P66" s="262" t="s">
        <v>273</v>
      </c>
      <c r="Q66" s="1084" t="s">
        <v>587</v>
      </c>
      <c r="R66" s="1090" t="s">
        <v>274</v>
      </c>
      <c r="S66" s="1090" t="s">
        <v>272</v>
      </c>
      <c r="T66" s="1090" t="s">
        <v>267</v>
      </c>
      <c r="U66" s="262" t="s">
        <v>273</v>
      </c>
      <c r="V66" s="1084" t="s">
        <v>587</v>
      </c>
      <c r="W66" s="1090" t="s">
        <v>274</v>
      </c>
    </row>
    <row r="67" spans="1:25" ht="28" x14ac:dyDescent="0.3">
      <c r="B67" s="259"/>
      <c r="C67" s="259"/>
      <c r="D67" s="259" t="s">
        <v>80</v>
      </c>
      <c r="E67" s="259" t="s">
        <v>81</v>
      </c>
      <c r="F67" s="259" t="s">
        <v>459</v>
      </c>
      <c r="G67" s="259" t="s">
        <v>390</v>
      </c>
      <c r="H67" s="259" t="s">
        <v>588</v>
      </c>
      <c r="I67" s="259" t="s">
        <v>408</v>
      </c>
      <c r="J67" s="259" t="s">
        <v>509</v>
      </c>
      <c r="K67" s="259" t="s">
        <v>409</v>
      </c>
      <c r="L67" s="259" t="s">
        <v>410</v>
      </c>
      <c r="M67" s="259" t="s">
        <v>653</v>
      </c>
      <c r="N67" s="259" t="s">
        <v>589</v>
      </c>
      <c r="O67" s="259" t="s">
        <v>654</v>
      </c>
      <c r="P67" s="259" t="s">
        <v>590</v>
      </c>
      <c r="Q67" s="259" t="s">
        <v>591</v>
      </c>
      <c r="R67" s="259" t="s">
        <v>1462</v>
      </c>
      <c r="S67" s="259" t="s">
        <v>592</v>
      </c>
      <c r="T67" s="259" t="s">
        <v>593</v>
      </c>
      <c r="U67" s="259" t="s">
        <v>655</v>
      </c>
      <c r="V67" s="259" t="s">
        <v>594</v>
      </c>
      <c r="W67" s="259" t="s">
        <v>1461</v>
      </c>
    </row>
    <row r="68" spans="1:25" x14ac:dyDescent="0.3">
      <c r="A68" s="658"/>
      <c r="B68" s="95">
        <v>1</v>
      </c>
      <c r="C68" s="447" t="s">
        <v>844</v>
      </c>
      <c r="D68" s="659">
        <f>'F5'!D68</f>
        <v>0</v>
      </c>
      <c r="E68" s="659">
        <f>'F5'!E68</f>
        <v>0</v>
      </c>
      <c r="F68" s="659">
        <f>'F5'!F68</f>
        <v>0</v>
      </c>
      <c r="G68" s="659">
        <f>'F5'!G68</f>
        <v>0</v>
      </c>
      <c r="H68" s="659">
        <f t="shared" ref="H68:H84" si="18">D68+E68-F68-G68</f>
        <v>0</v>
      </c>
      <c r="I68" s="1066">
        <f>H68</f>
        <v>0</v>
      </c>
      <c r="J68" s="659">
        <f>'F5'!J68</f>
        <v>0</v>
      </c>
      <c r="K68" s="659">
        <f>'F5'!K68</f>
        <v>0</v>
      </c>
      <c r="L68" s="659">
        <f>'F5'!L68</f>
        <v>0</v>
      </c>
      <c r="M68" s="1066">
        <f t="shared" ref="M68:M84" si="19">I68+J68-K68-L68</f>
        <v>0</v>
      </c>
      <c r="N68" s="659">
        <f>M68</f>
        <v>0</v>
      </c>
      <c r="O68" s="659">
        <f>'F5'!O68</f>
        <v>0</v>
      </c>
      <c r="P68" s="659">
        <f>'F5'!F68</f>
        <v>0</v>
      </c>
      <c r="Q68" s="659">
        <f>'F5'!G68</f>
        <v>0</v>
      </c>
      <c r="R68" s="659">
        <f t="shared" ref="R68:R84" si="20">N68+O68-P68-Q68</f>
        <v>0</v>
      </c>
      <c r="S68" s="1066">
        <f>R68</f>
        <v>0</v>
      </c>
      <c r="T68" s="1066">
        <f>'F5'!T68+'F5.1 (N)'!E44</f>
        <v>0</v>
      </c>
      <c r="U68" s="1066">
        <f>'F5'!U68+'F5.1 (N)'!G44</f>
        <v>0</v>
      </c>
      <c r="V68" s="1066">
        <f>'F5'!V68+'F5.1 (N)'!H44</f>
        <v>0</v>
      </c>
      <c r="W68" s="1066">
        <f t="shared" ref="W68:W84" si="21">S68+T68-U68-V68</f>
        <v>0</v>
      </c>
      <c r="Y68" s="658"/>
    </row>
    <row r="69" spans="1:25" x14ac:dyDescent="0.3">
      <c r="A69" s="658"/>
      <c r="B69" s="95">
        <f>B68+1</f>
        <v>2</v>
      </c>
      <c r="C69" s="447" t="s">
        <v>845</v>
      </c>
      <c r="D69" s="659">
        <f>'F5'!D69</f>
        <v>94.370731007610786</v>
      </c>
      <c r="E69" s="659">
        <f>'F5'!E69</f>
        <v>5.4418994849146092</v>
      </c>
      <c r="F69" s="659">
        <f>'F5'!F69</f>
        <v>0</v>
      </c>
      <c r="G69" s="659">
        <f>'F5'!G69</f>
        <v>0</v>
      </c>
      <c r="H69" s="1093">
        <f t="shared" si="18"/>
        <v>99.8126304925254</v>
      </c>
      <c r="I69" s="1066">
        <f t="shared" ref="I69:I84" si="22">H69</f>
        <v>99.8126304925254</v>
      </c>
      <c r="J69" s="659">
        <f>'F5'!J69</f>
        <v>5.4419488975593096</v>
      </c>
      <c r="K69" s="659">
        <f>'F5'!K69</f>
        <v>0</v>
      </c>
      <c r="L69" s="659">
        <f>'F5'!L69</f>
        <v>0</v>
      </c>
      <c r="M69" s="1066">
        <f t="shared" si="19"/>
        <v>105.25457939008471</v>
      </c>
      <c r="N69" s="659">
        <f t="shared" ref="N69:N84" si="23">M69</f>
        <v>105.25457939008471</v>
      </c>
      <c r="O69" s="659">
        <f>'F5'!O69</f>
        <v>4.1532686798828298</v>
      </c>
      <c r="P69" s="659">
        <f>'F5'!F69</f>
        <v>0</v>
      </c>
      <c r="Q69" s="659">
        <f>'F5'!G69</f>
        <v>0</v>
      </c>
      <c r="R69" s="659">
        <f t="shared" si="20"/>
        <v>109.40784806996754</v>
      </c>
      <c r="S69" s="1066">
        <f t="shared" ref="S69:S84" si="24">R69</f>
        <v>109.40784806996754</v>
      </c>
      <c r="T69" s="1066">
        <f>'F5'!T69+'F5.1 (N)'!E45</f>
        <v>4.1532686798828298</v>
      </c>
      <c r="U69" s="1066">
        <f>'F5'!U69+'F5.1 (N)'!G45</f>
        <v>0</v>
      </c>
      <c r="V69" s="1066">
        <f>'F5'!V69+'F5.1 (N)'!H45</f>
        <v>0</v>
      </c>
      <c r="W69" s="1066">
        <f t="shared" si="21"/>
        <v>113.56111674985037</v>
      </c>
      <c r="Y69" s="658"/>
    </row>
    <row r="70" spans="1:25" x14ac:dyDescent="0.3">
      <c r="A70" s="658"/>
      <c r="B70" s="95">
        <f t="shared" ref="B70:B84" si="25">B69+1</f>
        <v>3</v>
      </c>
      <c r="C70" s="447" t="s">
        <v>846</v>
      </c>
      <c r="D70" s="659">
        <f>'F5'!D70</f>
        <v>44.354121252791742</v>
      </c>
      <c r="E70" s="659">
        <f>'F5'!E70</f>
        <v>3.8992799999999996</v>
      </c>
      <c r="F70" s="659">
        <f>'F5'!F70</f>
        <v>0</v>
      </c>
      <c r="G70" s="659">
        <f>'F5'!G70</f>
        <v>0</v>
      </c>
      <c r="H70" s="659">
        <f t="shared" si="18"/>
        <v>48.25340125279174</v>
      </c>
      <c r="I70" s="1066">
        <f t="shared" si="22"/>
        <v>48.25340125279174</v>
      </c>
      <c r="J70" s="659">
        <f>'F5'!J70</f>
        <v>1.6609778967343869</v>
      </c>
      <c r="K70" s="659">
        <f>'F5'!K70</f>
        <v>0</v>
      </c>
      <c r="L70" s="659">
        <f>'F5'!L70</f>
        <v>0</v>
      </c>
      <c r="M70" s="1066">
        <f t="shared" si="19"/>
        <v>49.914379149526127</v>
      </c>
      <c r="N70" s="659">
        <f t="shared" si="23"/>
        <v>49.914379149526127</v>
      </c>
      <c r="O70" s="659">
        <f>'F5'!O70</f>
        <v>1.6609778967343869</v>
      </c>
      <c r="P70" s="659">
        <f>'F5'!F70</f>
        <v>0</v>
      </c>
      <c r="Q70" s="659">
        <f>'F5'!G70</f>
        <v>0</v>
      </c>
      <c r="R70" s="659">
        <f t="shared" si="20"/>
        <v>51.575357046260514</v>
      </c>
      <c r="S70" s="1066">
        <f t="shared" si="24"/>
        <v>51.575357046260514</v>
      </c>
      <c r="T70" s="1066">
        <f>'F5'!T70+'F5.1 (N)'!E46</f>
        <v>1.6609778967343869</v>
      </c>
      <c r="U70" s="1066">
        <f>'F5'!U70+'F5.1 (N)'!G46</f>
        <v>0</v>
      </c>
      <c r="V70" s="1066">
        <f>'F5'!V70+'F5.1 (N)'!H46</f>
        <v>0</v>
      </c>
      <c r="W70" s="1066">
        <f t="shared" si="21"/>
        <v>53.236334942994901</v>
      </c>
      <c r="Y70" s="658"/>
    </row>
    <row r="71" spans="1:25" x14ac:dyDescent="0.3">
      <c r="A71" s="658"/>
      <c r="B71" s="95">
        <f t="shared" si="25"/>
        <v>4</v>
      </c>
      <c r="C71" s="447" t="s">
        <v>847</v>
      </c>
      <c r="D71" s="659">
        <f>'F5'!D71</f>
        <v>78.119296532655966</v>
      </c>
      <c r="E71" s="659">
        <f>'F5'!E71</f>
        <v>8.533900529162409</v>
      </c>
      <c r="F71" s="659">
        <f>'F5'!F71</f>
        <v>0</v>
      </c>
      <c r="G71" s="659">
        <f>'F5'!G71</f>
        <v>0</v>
      </c>
      <c r="H71" s="659">
        <f t="shared" si="18"/>
        <v>86.653197061818375</v>
      </c>
      <c r="I71" s="1066">
        <f t="shared" si="22"/>
        <v>86.653197061818375</v>
      </c>
      <c r="J71" s="659">
        <f>'F5'!J71</f>
        <v>8.533900529162409</v>
      </c>
      <c r="K71" s="659">
        <f>'F5'!K71</f>
        <v>0</v>
      </c>
      <c r="L71" s="659">
        <f>'F5'!L71</f>
        <v>0</v>
      </c>
      <c r="M71" s="1066">
        <f t="shared" si="19"/>
        <v>95.187097590980784</v>
      </c>
      <c r="N71" s="659">
        <f t="shared" si="23"/>
        <v>95.187097590980784</v>
      </c>
      <c r="O71" s="659">
        <f>'F5'!O71</f>
        <v>8.533900529162409</v>
      </c>
      <c r="P71" s="659">
        <f>'F5'!F71</f>
        <v>0</v>
      </c>
      <c r="Q71" s="659">
        <f>'F5'!G71</f>
        <v>0</v>
      </c>
      <c r="R71" s="659">
        <f t="shared" si="20"/>
        <v>103.72099812014319</v>
      </c>
      <c r="S71" s="1066">
        <f t="shared" si="24"/>
        <v>103.72099812014319</v>
      </c>
      <c r="T71" s="1066">
        <f>'F5'!T71+'F5.1 (N)'!E47</f>
        <v>4.6565628476377361</v>
      </c>
      <c r="U71" s="1066">
        <f>'F5'!U71+'F5.1 (N)'!G47</f>
        <v>0</v>
      </c>
      <c r="V71" s="1066">
        <f>'F5'!V71+'F5.1 (N)'!H47</f>
        <v>0</v>
      </c>
      <c r="W71" s="1066">
        <f t="shared" si="21"/>
        <v>108.37756096778092</v>
      </c>
      <c r="Y71" s="658"/>
    </row>
    <row r="72" spans="1:25" x14ac:dyDescent="0.3">
      <c r="A72" s="658"/>
      <c r="B72" s="95">
        <f t="shared" si="25"/>
        <v>5</v>
      </c>
      <c r="C72" s="447" t="s">
        <v>848</v>
      </c>
      <c r="D72" s="659">
        <f>'F5'!D72</f>
        <v>52.443885492737245</v>
      </c>
      <c r="E72" s="659">
        <f>'F5'!E72</f>
        <v>3.4467103259163112</v>
      </c>
      <c r="F72" s="659">
        <f>'F5'!F72</f>
        <v>0</v>
      </c>
      <c r="G72" s="659">
        <f>'F5'!G72</f>
        <v>0</v>
      </c>
      <c r="H72" s="659">
        <f t="shared" si="18"/>
        <v>55.890595818653559</v>
      </c>
      <c r="I72" s="1066">
        <f t="shared" si="22"/>
        <v>55.890595818653559</v>
      </c>
      <c r="J72" s="659">
        <f>'F5'!J72</f>
        <v>3.4526831044132118</v>
      </c>
      <c r="K72" s="659">
        <f>'F5'!K72</f>
        <v>0</v>
      </c>
      <c r="L72" s="659">
        <f>'F5'!L72</f>
        <v>0</v>
      </c>
      <c r="M72" s="1066">
        <f t="shared" si="19"/>
        <v>59.343278923066769</v>
      </c>
      <c r="N72" s="659">
        <f t="shared" si="23"/>
        <v>59.343278923066769</v>
      </c>
      <c r="O72" s="659">
        <f>'F5'!O72</f>
        <v>3.5175854834132116</v>
      </c>
      <c r="P72" s="659">
        <f>'F5'!F72</f>
        <v>0</v>
      </c>
      <c r="Q72" s="659">
        <f>'F5'!G72</f>
        <v>0</v>
      </c>
      <c r="R72" s="659">
        <f t="shared" si="20"/>
        <v>62.860864406479983</v>
      </c>
      <c r="S72" s="1066">
        <f t="shared" si="24"/>
        <v>62.860864406479983</v>
      </c>
      <c r="T72" s="1066">
        <f>'F5'!T72+'F5.1 (N)'!E48</f>
        <v>3.7924068624132121</v>
      </c>
      <c r="U72" s="1066">
        <f>'F5'!U72+'F5.1 (N)'!G48</f>
        <v>0</v>
      </c>
      <c r="V72" s="1066">
        <f>'F5'!V72+'F5.1 (N)'!H48</f>
        <v>0.18086099999999999</v>
      </c>
      <c r="W72" s="1066">
        <f t="shared" si="21"/>
        <v>66.472410268893199</v>
      </c>
      <c r="Y72" s="658"/>
    </row>
    <row r="73" spans="1:25" x14ac:dyDescent="0.3">
      <c r="A73" s="658"/>
      <c r="B73" s="95">
        <f t="shared" si="25"/>
        <v>6</v>
      </c>
      <c r="C73" s="447" t="s">
        <v>255</v>
      </c>
      <c r="D73" s="659">
        <f>'F5'!D73</f>
        <v>1658.52451797303</v>
      </c>
      <c r="E73" s="659">
        <f>'F5'!E73</f>
        <v>53.147638146543123</v>
      </c>
      <c r="F73" s="659">
        <f>'F5'!F73</f>
        <v>0</v>
      </c>
      <c r="G73" s="659">
        <f>'F5'!G73</f>
        <v>0</v>
      </c>
      <c r="H73" s="659">
        <f t="shared" si="18"/>
        <v>1711.6721561195732</v>
      </c>
      <c r="I73" s="1066">
        <f t="shared" si="22"/>
        <v>1711.6721561195732</v>
      </c>
      <c r="J73" s="659">
        <f>'F5'!J73</f>
        <v>53.720491757827958</v>
      </c>
      <c r="K73" s="659">
        <f>'F5'!K73</f>
        <v>0</v>
      </c>
      <c r="L73" s="659">
        <f>'F5'!L73</f>
        <v>0</v>
      </c>
      <c r="M73" s="1066">
        <f t="shared" si="19"/>
        <v>1765.392647877401</v>
      </c>
      <c r="N73" s="659">
        <f t="shared" si="23"/>
        <v>1765.392647877401</v>
      </c>
      <c r="O73" s="659">
        <f>'F5'!O73</f>
        <v>59.320617410838707</v>
      </c>
      <c r="P73" s="659">
        <f>'F5'!F73</f>
        <v>0</v>
      </c>
      <c r="Q73" s="659">
        <f>'F5'!G73</f>
        <v>0</v>
      </c>
      <c r="R73" s="659">
        <f t="shared" si="20"/>
        <v>1824.7132652882397</v>
      </c>
      <c r="S73" s="1066">
        <f t="shared" si="24"/>
        <v>1824.7132652882397</v>
      </c>
      <c r="T73" s="1066">
        <f>'F5'!T73+'F5.1 (N)'!E49</f>
        <v>67.198056227464633</v>
      </c>
      <c r="U73" s="1066">
        <f>'F5'!U73+'F5.1 (N)'!G49</f>
        <v>0</v>
      </c>
      <c r="V73" s="1066">
        <f>'F5'!V73+'F5.1 (N)'!H49</f>
        <v>2.6320140000000003</v>
      </c>
      <c r="W73" s="1066">
        <f t="shared" si="21"/>
        <v>1889.2793075157042</v>
      </c>
      <c r="Y73" s="658"/>
    </row>
    <row r="74" spans="1:25" x14ac:dyDescent="0.3">
      <c r="A74" s="658"/>
      <c r="B74" s="95">
        <f t="shared" si="25"/>
        <v>7</v>
      </c>
      <c r="C74" s="447" t="s">
        <v>849</v>
      </c>
      <c r="D74" s="659">
        <f>'F5'!D74</f>
        <v>2.4957522647534831</v>
      </c>
      <c r="E74" s="659">
        <f>'F5'!E74</f>
        <v>0.90736289069339338</v>
      </c>
      <c r="F74" s="659">
        <f>'F5'!F74</f>
        <v>0</v>
      </c>
      <c r="G74" s="659">
        <f>'F5'!G74</f>
        <v>0</v>
      </c>
      <c r="H74" s="659">
        <f t="shared" si="18"/>
        <v>3.4031151554468764</v>
      </c>
      <c r="I74" s="1066">
        <f t="shared" si="22"/>
        <v>3.4031151554468764</v>
      </c>
      <c r="J74" s="659">
        <f>'F5'!J74</f>
        <v>0.10339836176345153</v>
      </c>
      <c r="K74" s="659">
        <f>'F5'!K74</f>
        <v>0</v>
      </c>
      <c r="L74" s="659">
        <f>'F5'!L74</f>
        <v>0</v>
      </c>
      <c r="M74" s="1066">
        <f t="shared" si="19"/>
        <v>3.5065135172103279</v>
      </c>
      <c r="N74" s="659">
        <f t="shared" si="23"/>
        <v>3.5065135172103279</v>
      </c>
      <c r="O74" s="659">
        <f>'F5'!O74</f>
        <v>0.10339836176345153</v>
      </c>
      <c r="P74" s="659">
        <f>'F5'!F74</f>
        <v>0</v>
      </c>
      <c r="Q74" s="659">
        <f>'F5'!G74</f>
        <v>0</v>
      </c>
      <c r="R74" s="659">
        <f t="shared" si="20"/>
        <v>3.6099118789737794</v>
      </c>
      <c r="S74" s="1066">
        <f t="shared" si="24"/>
        <v>3.6099118789737794</v>
      </c>
      <c r="T74" s="1066">
        <f>'F5'!T74+'F5.1 (N)'!E50</f>
        <v>0.10339836176345153</v>
      </c>
      <c r="U74" s="1066">
        <f>'F5'!U74+'F5.1 (N)'!G50</f>
        <v>0</v>
      </c>
      <c r="V74" s="1066">
        <f>'F5'!V74+'F5.1 (N)'!H50</f>
        <v>0</v>
      </c>
      <c r="W74" s="1066">
        <f t="shared" si="21"/>
        <v>3.7133102407372309</v>
      </c>
      <c r="Y74" s="658"/>
    </row>
    <row r="75" spans="1:25" x14ac:dyDescent="0.3">
      <c r="A75" s="658"/>
      <c r="B75" s="95">
        <f t="shared" si="25"/>
        <v>8</v>
      </c>
      <c r="C75" s="447" t="s">
        <v>850</v>
      </c>
      <c r="D75" s="659">
        <f>'F5'!D75</f>
        <v>0</v>
      </c>
      <c r="E75" s="659">
        <f>'F5'!E75</f>
        <v>0</v>
      </c>
      <c r="F75" s="659">
        <f>'F5'!F75</f>
        <v>0</v>
      </c>
      <c r="G75" s="659">
        <f>'F5'!G75</f>
        <v>0</v>
      </c>
      <c r="H75" s="659">
        <f t="shared" si="18"/>
        <v>0</v>
      </c>
      <c r="I75" s="1066">
        <f t="shared" si="22"/>
        <v>0</v>
      </c>
      <c r="J75" s="659">
        <f>'F5'!J75</f>
        <v>0</v>
      </c>
      <c r="K75" s="659">
        <f>'F5'!K75</f>
        <v>0</v>
      </c>
      <c r="L75" s="659">
        <f>'F5'!L75</f>
        <v>0</v>
      </c>
      <c r="M75" s="1066">
        <f t="shared" si="19"/>
        <v>0</v>
      </c>
      <c r="N75" s="659">
        <f t="shared" si="23"/>
        <v>0</v>
      </c>
      <c r="O75" s="659">
        <f>'F5'!O75</f>
        <v>7.4368799999999999E-3</v>
      </c>
      <c r="P75" s="659">
        <f>'F5'!F75</f>
        <v>0</v>
      </c>
      <c r="Q75" s="659">
        <f>'F5'!G75</f>
        <v>0</v>
      </c>
      <c r="R75" s="659">
        <f t="shared" si="20"/>
        <v>7.4368799999999999E-3</v>
      </c>
      <c r="S75" s="1066">
        <f t="shared" si="24"/>
        <v>7.4368799999999999E-3</v>
      </c>
      <c r="T75" s="1066">
        <f>'F5'!T75+'F5.1 (N)'!E51</f>
        <v>1.6140426666666666E-2</v>
      </c>
      <c r="U75" s="1066">
        <f>'F5'!U75+'F5.1 (N)'!G51</f>
        <v>0</v>
      </c>
      <c r="V75" s="1066">
        <f>'F5'!V75+'F5.1 (N)'!H51</f>
        <v>1.2666666666666666E-3</v>
      </c>
      <c r="W75" s="1066">
        <f t="shared" si="21"/>
        <v>2.231064E-2</v>
      </c>
      <c r="Y75" s="658"/>
    </row>
    <row r="76" spans="1:25" x14ac:dyDescent="0.3">
      <c r="A76" s="658"/>
      <c r="B76" s="95">
        <f t="shared" si="25"/>
        <v>9</v>
      </c>
      <c r="C76" s="447" t="s">
        <v>851</v>
      </c>
      <c r="D76" s="659">
        <f>'F5'!D76</f>
        <v>20.293972473631765</v>
      </c>
      <c r="E76" s="659">
        <f>'F5'!E76</f>
        <v>1.7165332687572872</v>
      </c>
      <c r="F76" s="659">
        <f>'F5'!F76</f>
        <v>0</v>
      </c>
      <c r="G76" s="659">
        <f>'F5'!G76</f>
        <v>0</v>
      </c>
      <c r="H76" s="659">
        <f t="shared" si="18"/>
        <v>22.010505742389054</v>
      </c>
      <c r="I76" s="1066">
        <f t="shared" si="22"/>
        <v>22.010505742389054</v>
      </c>
      <c r="J76" s="659">
        <f>'F5'!J76</f>
        <v>0.66110274464778518</v>
      </c>
      <c r="K76" s="659">
        <f>'F5'!K76</f>
        <v>0</v>
      </c>
      <c r="L76" s="659">
        <f>'F5'!L76</f>
        <v>0</v>
      </c>
      <c r="M76" s="1066">
        <f t="shared" si="19"/>
        <v>22.671608487036838</v>
      </c>
      <c r="N76" s="659">
        <f t="shared" si="23"/>
        <v>22.671608487036838</v>
      </c>
      <c r="O76" s="659">
        <f>'F5'!O76</f>
        <v>0.66110274464778529</v>
      </c>
      <c r="P76" s="659">
        <f>'F5'!F76</f>
        <v>0</v>
      </c>
      <c r="Q76" s="659">
        <f>'F5'!G76</f>
        <v>0</v>
      </c>
      <c r="R76" s="659">
        <f t="shared" si="20"/>
        <v>23.332711231684623</v>
      </c>
      <c r="S76" s="1066">
        <f t="shared" si="24"/>
        <v>23.332711231684623</v>
      </c>
      <c r="T76" s="1066">
        <f>'F5'!T76+'F5.1 (N)'!E52</f>
        <v>0.66110274464778529</v>
      </c>
      <c r="U76" s="1066">
        <f>'F5'!U76+'F5.1 (N)'!G52</f>
        <v>0</v>
      </c>
      <c r="V76" s="1066">
        <f>'F5'!V76+'F5.1 (N)'!H52</f>
        <v>0</v>
      </c>
      <c r="W76" s="1066">
        <f t="shared" si="21"/>
        <v>23.993813976332408</v>
      </c>
      <c r="Y76" s="658"/>
    </row>
    <row r="77" spans="1:25" x14ac:dyDescent="0.3">
      <c r="A77" s="658"/>
      <c r="B77" s="95">
        <f t="shared" si="25"/>
        <v>10</v>
      </c>
      <c r="C77" s="447" t="s">
        <v>258</v>
      </c>
      <c r="D77" s="659">
        <f>'F5'!D77</f>
        <v>0.54749309573311544</v>
      </c>
      <c r="E77" s="659">
        <f>'F5'!E77</f>
        <v>0.22827781491406837</v>
      </c>
      <c r="F77" s="659">
        <f>'F5'!F77</f>
        <v>0</v>
      </c>
      <c r="G77" s="659">
        <f>'F5'!G77</f>
        <v>0</v>
      </c>
      <c r="H77" s="659">
        <f t="shared" si="18"/>
        <v>0.77577091064718384</v>
      </c>
      <c r="I77" s="1066">
        <f t="shared" si="22"/>
        <v>0.77577091064718384</v>
      </c>
      <c r="J77" s="659">
        <f>'F5'!J77</f>
        <v>0.22827781491406837</v>
      </c>
      <c r="K77" s="659">
        <f>'F5'!K77</f>
        <v>0</v>
      </c>
      <c r="L77" s="659">
        <f>'F5'!L77</f>
        <v>0</v>
      </c>
      <c r="M77" s="1066">
        <f t="shared" si="19"/>
        <v>1.0040487255612522</v>
      </c>
      <c r="N77" s="659">
        <f t="shared" si="23"/>
        <v>1.0040487255612522</v>
      </c>
      <c r="O77" s="659">
        <f>'F5'!O77</f>
        <v>0.24205281491406838</v>
      </c>
      <c r="P77" s="659">
        <f>'F5'!F77</f>
        <v>0</v>
      </c>
      <c r="Q77" s="659">
        <f>'F5'!G77</f>
        <v>0</v>
      </c>
      <c r="R77" s="659">
        <f t="shared" si="20"/>
        <v>1.2461015404753206</v>
      </c>
      <c r="S77" s="1066">
        <f t="shared" si="24"/>
        <v>1.2461015404753206</v>
      </c>
      <c r="T77" s="1066">
        <f>'F5'!T77+'F5.1 (N)'!E53</f>
        <v>0.25582781491406836</v>
      </c>
      <c r="U77" s="1066">
        <f>'F5'!U77+'F5.1 (N)'!G53</f>
        <v>0</v>
      </c>
      <c r="V77" s="1066">
        <f>'F5'!V77+'F5.1 (N)'!H53</f>
        <v>0</v>
      </c>
      <c r="W77" s="1066">
        <f t="shared" si="21"/>
        <v>1.5019293553893891</v>
      </c>
      <c r="Y77" s="658"/>
    </row>
    <row r="78" spans="1:25" x14ac:dyDescent="0.3">
      <c r="A78" s="658"/>
      <c r="B78" s="95">
        <f t="shared" si="25"/>
        <v>11</v>
      </c>
      <c r="C78" s="447" t="s">
        <v>259</v>
      </c>
      <c r="D78" s="659">
        <f>'F5'!D78</f>
        <v>1.1398980024089507</v>
      </c>
      <c r="E78" s="659">
        <f>'F5'!E78</f>
        <v>0.11871816232271694</v>
      </c>
      <c r="F78" s="659">
        <f>'F5'!F78</f>
        <v>0</v>
      </c>
      <c r="G78" s="659">
        <f>'F5'!G78</f>
        <v>0</v>
      </c>
      <c r="H78" s="659">
        <f t="shared" si="18"/>
        <v>1.2586161647316676</v>
      </c>
      <c r="I78" s="1066">
        <f t="shared" si="22"/>
        <v>1.2586161647316676</v>
      </c>
      <c r="J78" s="659">
        <f>'F5'!J78</f>
        <v>3.9970922213674771E-2</v>
      </c>
      <c r="K78" s="659">
        <f>'F5'!K78</f>
        <v>0</v>
      </c>
      <c r="L78" s="659">
        <f>'F5'!L78</f>
        <v>0</v>
      </c>
      <c r="M78" s="1066">
        <f t="shared" si="19"/>
        <v>1.2985870869453424</v>
      </c>
      <c r="N78" s="659">
        <f t="shared" si="23"/>
        <v>1.2985870869453424</v>
      </c>
      <c r="O78" s="659">
        <f>'F5'!O78</f>
        <v>0.12506270233271694</v>
      </c>
      <c r="P78" s="659">
        <f>'F5'!F78</f>
        <v>0</v>
      </c>
      <c r="Q78" s="659">
        <f>'F5'!G78</f>
        <v>0</v>
      </c>
      <c r="R78" s="659">
        <f t="shared" si="20"/>
        <v>1.4236497892780593</v>
      </c>
      <c r="S78" s="1066">
        <f t="shared" si="24"/>
        <v>1.4236497892780593</v>
      </c>
      <c r="T78" s="1066">
        <f>'F5'!T78+'F5.1 (N)'!E54</f>
        <v>4.892696996934396E-2</v>
      </c>
      <c r="U78" s="1066">
        <f>'F5'!U78+'F5.1 (N)'!G54</f>
        <v>0</v>
      </c>
      <c r="V78" s="1066">
        <f>'F5'!V78+'F5.1 (N)'!H54</f>
        <v>3.1649999999999994E-4</v>
      </c>
      <c r="W78" s="1066">
        <f t="shared" si="21"/>
        <v>1.4722602592474032</v>
      </c>
      <c r="Y78" s="658"/>
    </row>
    <row r="79" spans="1:25" x14ac:dyDescent="0.3">
      <c r="A79" s="658"/>
      <c r="B79" s="95">
        <f t="shared" si="25"/>
        <v>12</v>
      </c>
      <c r="C79" s="447" t="s">
        <v>260</v>
      </c>
      <c r="D79" s="659">
        <f>'F5'!D79</f>
        <v>1.8001354339495497</v>
      </c>
      <c r="E79" s="659">
        <f>'F5'!E79</f>
        <v>0.22604962287843733</v>
      </c>
      <c r="F79" s="659">
        <f>'F5'!F79</f>
        <v>0</v>
      </c>
      <c r="G79" s="659">
        <f>'F5'!G79</f>
        <v>0</v>
      </c>
      <c r="H79" s="659">
        <f t="shared" si="18"/>
        <v>2.0261850568279871</v>
      </c>
      <c r="I79" s="1066">
        <f t="shared" si="22"/>
        <v>2.0261850568279871</v>
      </c>
      <c r="J79" s="659">
        <f>'F5'!J79</f>
        <v>0.24105210267843735</v>
      </c>
      <c r="K79" s="659">
        <f>'F5'!K79</f>
        <v>0</v>
      </c>
      <c r="L79" s="659">
        <f>'F5'!L79</f>
        <v>0</v>
      </c>
      <c r="M79" s="1066">
        <f t="shared" si="19"/>
        <v>2.2672371595064247</v>
      </c>
      <c r="N79" s="659">
        <f t="shared" si="23"/>
        <v>2.2672371595064247</v>
      </c>
      <c r="O79" s="659">
        <f>'F5'!O79</f>
        <v>0.24105210267843735</v>
      </c>
      <c r="P79" s="659">
        <f>'F5'!F79</f>
        <v>0</v>
      </c>
      <c r="Q79" s="659">
        <f>'F5'!G79</f>
        <v>0</v>
      </c>
      <c r="R79" s="659">
        <f t="shared" si="20"/>
        <v>2.5082892621848618</v>
      </c>
      <c r="S79" s="1066">
        <f t="shared" si="24"/>
        <v>2.5082892621848618</v>
      </c>
      <c r="T79" s="1066">
        <f>'F5'!T79+'F5.1 (N)'!E55</f>
        <v>0.1025158966293378</v>
      </c>
      <c r="U79" s="1066">
        <f>'F5'!U79+'F5.1 (N)'!G55</f>
        <v>0</v>
      </c>
      <c r="V79" s="1066">
        <f>'F5'!V79+'F5.1 (N)'!H55</f>
        <v>0</v>
      </c>
      <c r="W79" s="1066">
        <f t="shared" si="21"/>
        <v>2.6108051588141996</v>
      </c>
      <c r="Y79" s="658"/>
    </row>
    <row r="80" spans="1:25" x14ac:dyDescent="0.3">
      <c r="A80" s="658"/>
      <c r="B80" s="95">
        <f t="shared" si="25"/>
        <v>13</v>
      </c>
      <c r="C80" s="467" t="s">
        <v>899</v>
      </c>
      <c r="D80" s="659">
        <f>'F5'!D80</f>
        <v>0</v>
      </c>
      <c r="E80" s="659">
        <f>'F5'!E80</f>
        <v>0</v>
      </c>
      <c r="F80" s="659">
        <f>'F5'!F80</f>
        <v>0</v>
      </c>
      <c r="G80" s="659">
        <f>'F5'!G80</f>
        <v>0</v>
      </c>
      <c r="H80" s="659">
        <f t="shared" si="18"/>
        <v>0</v>
      </c>
      <c r="I80" s="1066">
        <f t="shared" si="22"/>
        <v>0</v>
      </c>
      <c r="J80" s="659">
        <f>'F5'!J80</f>
        <v>0</v>
      </c>
      <c r="K80" s="659">
        <f>'F5'!K80</f>
        <v>0</v>
      </c>
      <c r="L80" s="659">
        <f>'F5'!L80</f>
        <v>0</v>
      </c>
      <c r="M80" s="1066">
        <f t="shared" si="19"/>
        <v>0</v>
      </c>
      <c r="N80" s="659">
        <f t="shared" si="23"/>
        <v>0</v>
      </c>
      <c r="O80" s="659">
        <f>'F5'!O80</f>
        <v>0</v>
      </c>
      <c r="P80" s="659">
        <f>'F5'!F80</f>
        <v>0</v>
      </c>
      <c r="Q80" s="659">
        <f>'F5'!G80</f>
        <v>0</v>
      </c>
      <c r="R80" s="659">
        <f t="shared" si="20"/>
        <v>0</v>
      </c>
      <c r="S80" s="1066">
        <f t="shared" si="24"/>
        <v>0</v>
      </c>
      <c r="T80" s="1066">
        <f>'F5'!T80+'F5.1 (N)'!E56</f>
        <v>0</v>
      </c>
      <c r="U80" s="1066">
        <f>'F5'!U80+'F5.1 (N)'!G56</f>
        <v>0</v>
      </c>
      <c r="V80" s="1066">
        <f>'F5'!V80+'F5.1 (N)'!H56</f>
        <v>0</v>
      </c>
      <c r="W80" s="1066">
        <f t="shared" si="21"/>
        <v>0</v>
      </c>
      <c r="Y80" s="658"/>
    </row>
    <row r="81" spans="1:33" x14ac:dyDescent="0.3">
      <c r="A81" s="658"/>
      <c r="B81" s="95">
        <f t="shared" si="25"/>
        <v>14</v>
      </c>
      <c r="C81" s="467" t="s">
        <v>900</v>
      </c>
      <c r="D81" s="659">
        <f>'F5'!D81</f>
        <v>7.0474392502605038E-2</v>
      </c>
      <c r="E81" s="659">
        <f>'F5'!E81</f>
        <v>6.2770961148700136E-2</v>
      </c>
      <c r="F81" s="659">
        <f>'F5'!F81</f>
        <v>0</v>
      </c>
      <c r="G81" s="659">
        <f>'F5'!G81</f>
        <v>0</v>
      </c>
      <c r="H81" s="659">
        <f t="shared" si="18"/>
        <v>0.13324535365130519</v>
      </c>
      <c r="I81" s="1066">
        <f t="shared" si="22"/>
        <v>0.13324535365130519</v>
      </c>
      <c r="J81" s="659">
        <f>'F5'!J81</f>
        <v>6.2770961148700136E-2</v>
      </c>
      <c r="K81" s="659">
        <f>'F5'!K81</f>
        <v>0</v>
      </c>
      <c r="L81" s="659">
        <f>'F5'!L81</f>
        <v>0</v>
      </c>
      <c r="M81" s="1066">
        <f t="shared" si="19"/>
        <v>0.19601631480000531</v>
      </c>
      <c r="N81" s="659">
        <f t="shared" si="23"/>
        <v>0.19601631480000531</v>
      </c>
      <c r="O81" s="659">
        <f>'F5'!O81</f>
        <v>6.8230961148700142E-2</v>
      </c>
      <c r="P81" s="659">
        <f>'F5'!F81</f>
        <v>0</v>
      </c>
      <c r="Q81" s="659">
        <f>'F5'!G81</f>
        <v>0</v>
      </c>
      <c r="R81" s="659">
        <f t="shared" si="20"/>
        <v>0.26424727594870545</v>
      </c>
      <c r="S81" s="1066">
        <f t="shared" si="24"/>
        <v>0.26424727594870545</v>
      </c>
      <c r="T81" s="1066">
        <f>'F5'!T81+'F5.1 (N)'!E57</f>
        <v>7.8690961148700139E-2</v>
      </c>
      <c r="U81" s="1066">
        <f>'F5'!U81+'F5.1 (N)'!G57</f>
        <v>0</v>
      </c>
      <c r="V81" s="1066">
        <f>'F5'!V81+'F5.1 (N)'!H57</f>
        <v>5.0000000000000001E-3</v>
      </c>
      <c r="W81" s="1066">
        <f t="shared" si="21"/>
        <v>0.33793823709740556</v>
      </c>
      <c r="Y81" s="658"/>
    </row>
    <row r="82" spans="1:33" x14ac:dyDescent="0.3">
      <c r="A82" s="658"/>
      <c r="B82" s="95">
        <f t="shared" si="25"/>
        <v>15</v>
      </c>
      <c r="C82" s="467" t="s">
        <v>901</v>
      </c>
      <c r="D82" s="659">
        <f>'F5'!D82</f>
        <v>1.8453804995608896E-3</v>
      </c>
      <c r="E82" s="659">
        <f>'F5'!E82</f>
        <v>3.6907609991217792E-3</v>
      </c>
      <c r="F82" s="659">
        <f>'F5'!F82</f>
        <v>0</v>
      </c>
      <c r="G82" s="659">
        <f>'F5'!G82</f>
        <v>0</v>
      </c>
      <c r="H82" s="659">
        <f t="shared" si="18"/>
        <v>5.5361414986826686E-3</v>
      </c>
      <c r="I82" s="1066">
        <f t="shared" si="22"/>
        <v>5.5361414986826686E-3</v>
      </c>
      <c r="J82" s="659">
        <f>'F5'!J82</f>
        <v>3.6907609991217792E-3</v>
      </c>
      <c r="K82" s="659">
        <f>'F5'!K82</f>
        <v>0</v>
      </c>
      <c r="L82" s="659">
        <f>'F5'!L82</f>
        <v>0</v>
      </c>
      <c r="M82" s="1066">
        <f t="shared" si="19"/>
        <v>9.2269024978044473E-3</v>
      </c>
      <c r="N82" s="659">
        <f t="shared" si="23"/>
        <v>9.2269024978044473E-3</v>
      </c>
      <c r="O82" s="659">
        <f>'F5'!O82</f>
        <v>3.0866276342210837E-4</v>
      </c>
      <c r="P82" s="659">
        <f>'F5'!F82</f>
        <v>0</v>
      </c>
      <c r="Q82" s="659">
        <f>'F5'!G82</f>
        <v>0</v>
      </c>
      <c r="R82" s="659">
        <f t="shared" si="20"/>
        <v>9.5355652612265553E-3</v>
      </c>
      <c r="S82" s="1066">
        <f t="shared" si="24"/>
        <v>9.5355652612265553E-3</v>
      </c>
      <c r="T82" s="1066">
        <f>'F5'!T82+'F5.1 (N)'!E58</f>
        <v>3.0866276342210843E-4</v>
      </c>
      <c r="U82" s="1066">
        <f>'F5'!U82+'F5.1 (N)'!G58</f>
        <v>0</v>
      </c>
      <c r="V82" s="1066">
        <f>'F5'!V82+'F5.1 (N)'!H58</f>
        <v>0</v>
      </c>
      <c r="W82" s="1066">
        <f t="shared" si="21"/>
        <v>9.8442280246486633E-3</v>
      </c>
      <c r="Y82" s="658"/>
    </row>
    <row r="83" spans="1:33" x14ac:dyDescent="0.3">
      <c r="A83" s="658"/>
      <c r="B83" s="95">
        <f t="shared" si="25"/>
        <v>16</v>
      </c>
      <c r="C83" s="467" t="s">
        <v>852</v>
      </c>
      <c r="D83" s="659">
        <f>'F5'!D83</f>
        <v>0</v>
      </c>
      <c r="E83" s="659">
        <f>'F5'!E83</f>
        <v>0</v>
      </c>
      <c r="F83" s="659">
        <f>'F5'!F83</f>
        <v>0</v>
      </c>
      <c r="G83" s="659">
        <f>'F5'!G83</f>
        <v>0</v>
      </c>
      <c r="H83" s="659">
        <f t="shared" si="18"/>
        <v>0</v>
      </c>
      <c r="I83" s="1066">
        <f t="shared" si="22"/>
        <v>0</v>
      </c>
      <c r="J83" s="659">
        <f>'F5'!J83</f>
        <v>0</v>
      </c>
      <c r="K83" s="659">
        <f>'F5'!K83</f>
        <v>0</v>
      </c>
      <c r="L83" s="659">
        <f>'F5'!L83</f>
        <v>0</v>
      </c>
      <c r="M83" s="1066">
        <f t="shared" si="19"/>
        <v>0</v>
      </c>
      <c r="N83" s="659">
        <f t="shared" si="23"/>
        <v>0</v>
      </c>
      <c r="O83" s="659">
        <f>'F5'!O83</f>
        <v>0</v>
      </c>
      <c r="P83" s="659">
        <f>'F5'!F83</f>
        <v>0</v>
      </c>
      <c r="Q83" s="659">
        <f>'F5'!G83</f>
        <v>0</v>
      </c>
      <c r="R83" s="659">
        <f t="shared" si="20"/>
        <v>0</v>
      </c>
      <c r="S83" s="1066">
        <f t="shared" si="24"/>
        <v>0</v>
      </c>
      <c r="T83" s="1066">
        <f>'F5'!T83+'F5.1 (N)'!E59</f>
        <v>0</v>
      </c>
      <c r="U83" s="1066">
        <f>'F5'!U83+'F5.1 (N)'!G59</f>
        <v>0</v>
      </c>
      <c r="V83" s="1066">
        <f>'F5'!V83+'F5.1 (N)'!H59</f>
        <v>0</v>
      </c>
      <c r="W83" s="1066">
        <f t="shared" si="21"/>
        <v>0</v>
      </c>
      <c r="Y83" s="658"/>
    </row>
    <row r="84" spans="1:33" x14ac:dyDescent="0.3">
      <c r="A84" s="658"/>
      <c r="B84" s="95">
        <f t="shared" si="25"/>
        <v>17</v>
      </c>
      <c r="C84" s="467" t="s">
        <v>902</v>
      </c>
      <c r="D84" s="659">
        <f>'F5'!D84</f>
        <v>0</v>
      </c>
      <c r="E84" s="659">
        <f>'F5'!E84</f>
        <v>0</v>
      </c>
      <c r="F84" s="659">
        <f>'F5'!F84</f>
        <v>0</v>
      </c>
      <c r="G84" s="659">
        <f>'F5'!G84</f>
        <v>0</v>
      </c>
      <c r="H84" s="659">
        <f t="shared" si="18"/>
        <v>0</v>
      </c>
      <c r="I84" s="1066">
        <f t="shared" si="22"/>
        <v>0</v>
      </c>
      <c r="J84" s="659">
        <f>'F5'!J84</f>
        <v>0</v>
      </c>
      <c r="K84" s="659">
        <f>'F5'!K84</f>
        <v>0</v>
      </c>
      <c r="L84" s="659">
        <f>'F5'!L84</f>
        <v>0</v>
      </c>
      <c r="M84" s="1066">
        <f t="shared" si="19"/>
        <v>0</v>
      </c>
      <c r="N84" s="659">
        <f t="shared" si="23"/>
        <v>0</v>
      </c>
      <c r="O84" s="659">
        <f>'F5'!O84</f>
        <v>0</v>
      </c>
      <c r="P84" s="659">
        <f>'F5'!F84</f>
        <v>0</v>
      </c>
      <c r="Q84" s="659">
        <f>'F5'!G84</f>
        <v>0</v>
      </c>
      <c r="R84" s="659">
        <f t="shared" si="20"/>
        <v>0</v>
      </c>
      <c r="S84" s="1066">
        <f t="shared" si="24"/>
        <v>0</v>
      </c>
      <c r="T84" s="1066">
        <f>'F5'!T84+'F5.1 (N)'!E60</f>
        <v>0</v>
      </c>
      <c r="U84" s="1066">
        <f>'F5'!U84+'F5.1 (N)'!G60</f>
        <v>0</v>
      </c>
      <c r="V84" s="1066">
        <f>'F5'!V84+'F5.1 (N)'!H60</f>
        <v>0</v>
      </c>
      <c r="W84" s="1066">
        <f t="shared" si="21"/>
        <v>0</v>
      </c>
      <c r="Y84" s="658"/>
    </row>
    <row r="85" spans="1:33" ht="16" x14ac:dyDescent="0.3">
      <c r="A85" s="940"/>
      <c r="B85" s="83"/>
      <c r="C85" s="97" t="s">
        <v>270</v>
      </c>
      <c r="D85" s="1063">
        <f t="shared" ref="D85:W85" si="26">SUM(D68:D84)</f>
        <v>1954.162123302305</v>
      </c>
      <c r="E85" s="1063">
        <f t="shared" si="26"/>
        <v>77.732831968250181</v>
      </c>
      <c r="F85" s="1063">
        <f t="shared" si="26"/>
        <v>0</v>
      </c>
      <c r="G85" s="1063">
        <f t="shared" si="26"/>
        <v>0</v>
      </c>
      <c r="H85" s="1063">
        <f t="shared" si="26"/>
        <v>2031.8949552705549</v>
      </c>
      <c r="I85" s="1063">
        <f t="shared" si="26"/>
        <v>2031.8949552705549</v>
      </c>
      <c r="J85" s="1063">
        <f t="shared" si="26"/>
        <v>74.150265854062511</v>
      </c>
      <c r="K85" s="1063">
        <f t="shared" si="26"/>
        <v>0</v>
      </c>
      <c r="L85" s="1063">
        <f t="shared" si="26"/>
        <v>0</v>
      </c>
      <c r="M85" s="1063">
        <f t="shared" si="26"/>
        <v>2106.0452211246175</v>
      </c>
      <c r="N85" s="1063">
        <f t="shared" si="26"/>
        <v>2106.0452211246175</v>
      </c>
      <c r="O85" s="1063">
        <f t="shared" si="26"/>
        <v>78.63499523028014</v>
      </c>
      <c r="P85" s="1063">
        <f t="shared" si="26"/>
        <v>0</v>
      </c>
      <c r="Q85" s="1063">
        <f t="shared" si="26"/>
        <v>0</v>
      </c>
      <c r="R85" s="1063">
        <f t="shared" si="26"/>
        <v>2184.6802163548973</v>
      </c>
      <c r="S85" s="1063">
        <f t="shared" si="26"/>
        <v>2184.6802163548973</v>
      </c>
      <c r="T85" s="1063">
        <f t="shared" si="26"/>
        <v>82.72818435263558</v>
      </c>
      <c r="U85" s="1063">
        <f t="shared" si="26"/>
        <v>0</v>
      </c>
      <c r="V85" s="1063">
        <f t="shared" si="26"/>
        <v>2.8194581666666667</v>
      </c>
      <c r="W85" s="1063">
        <f t="shared" si="26"/>
        <v>2264.5889425408664</v>
      </c>
    </row>
    <row r="86" spans="1:33" ht="16" x14ac:dyDescent="0.3">
      <c r="A86" s="940"/>
      <c r="B86" s="261"/>
      <c r="C86" s="263" t="s">
        <v>812</v>
      </c>
      <c r="D86" s="1094"/>
      <c r="E86" s="1095"/>
      <c r="F86" s="1094"/>
      <c r="G86" s="1094"/>
      <c r="H86" s="1094"/>
      <c r="I86" s="1096"/>
      <c r="J86" s="1095"/>
      <c r="K86" s="1096"/>
      <c r="L86" s="1096"/>
      <c r="M86" s="1096"/>
      <c r="N86" s="1094"/>
      <c r="O86" s="1095"/>
      <c r="P86" s="1094"/>
      <c r="Q86" s="1094"/>
      <c r="R86" s="1094"/>
      <c r="S86" s="1096"/>
      <c r="T86" s="1095"/>
      <c r="U86" s="1096"/>
      <c r="V86" s="1096"/>
      <c r="W86" s="1096"/>
      <c r="X86" s="45"/>
      <c r="Y86" s="45"/>
      <c r="Z86" s="45"/>
      <c r="AA86" s="45"/>
      <c r="AB86" s="45"/>
      <c r="AC86" s="45"/>
      <c r="AD86" s="45"/>
      <c r="AE86" s="45"/>
      <c r="AF86" s="45"/>
      <c r="AG86" s="45"/>
    </row>
    <row r="87" spans="1:33" ht="16" x14ac:dyDescent="0.3">
      <c r="A87" s="940"/>
      <c r="B87" s="260" t="s">
        <v>599</v>
      </c>
      <c r="C87" s="264"/>
      <c r="D87" s="265"/>
      <c r="E87" s="265"/>
      <c r="F87" s="265"/>
      <c r="G87" s="265"/>
      <c r="H87" s="265"/>
      <c r="I87" s="266"/>
      <c r="J87" s="266"/>
      <c r="K87" s="261"/>
      <c r="L87" s="261"/>
      <c r="M87" s="261"/>
      <c r="N87" s="261"/>
      <c r="O87" s="261"/>
      <c r="P87" s="261"/>
      <c r="Q87" s="261"/>
      <c r="R87" s="261"/>
      <c r="S87" s="45"/>
      <c r="T87" s="45"/>
      <c r="U87" s="45"/>
      <c r="V87" s="45"/>
      <c r="W87" s="45"/>
      <c r="X87" s="45"/>
      <c r="Y87" s="45"/>
      <c r="Z87" s="45"/>
      <c r="AA87" s="45"/>
      <c r="AB87" s="45"/>
      <c r="AC87" s="45"/>
      <c r="AD87" s="45"/>
      <c r="AE87" s="45"/>
      <c r="AF87" s="45"/>
      <c r="AG87" s="45"/>
    </row>
    <row r="88" spans="1:33" ht="16" x14ac:dyDescent="0.3">
      <c r="A88" s="940"/>
      <c r="B88" s="260" t="s">
        <v>717</v>
      </c>
      <c r="C88" s="264"/>
      <c r="D88" s="265"/>
      <c r="E88" s="265"/>
      <c r="F88" s="265"/>
      <c r="G88" s="265"/>
      <c r="H88" s="265"/>
      <c r="I88" s="266"/>
      <c r="J88" s="266"/>
      <c r="K88" s="261"/>
      <c r="L88" s="261"/>
      <c r="M88" s="261"/>
      <c r="N88" s="261"/>
      <c r="O88" s="261"/>
      <c r="P88" s="261"/>
      <c r="Q88" s="261"/>
      <c r="R88" s="261"/>
      <c r="S88" s="45"/>
      <c r="T88" s="45"/>
      <c r="U88" s="45"/>
      <c r="V88" s="45"/>
      <c r="W88" s="45"/>
      <c r="X88" s="45"/>
      <c r="Y88" s="45"/>
      <c r="Z88" s="45"/>
      <c r="AA88" s="45"/>
      <c r="AB88" s="45"/>
      <c r="AC88" s="45"/>
      <c r="AD88" s="45"/>
      <c r="AE88" s="45"/>
      <c r="AF88" s="45"/>
      <c r="AG88" s="45"/>
    </row>
    <row r="89" spans="1:33" ht="15" customHeight="1" x14ac:dyDescent="0.3">
      <c r="A89" s="940"/>
      <c r="B89" s="261"/>
      <c r="C89" s="263"/>
      <c r="D89" s="263"/>
      <c r="E89" s="263"/>
      <c r="F89" s="263"/>
      <c r="G89" s="263"/>
      <c r="H89" s="263"/>
      <c r="I89" s="261"/>
      <c r="J89" s="261"/>
      <c r="K89" s="261"/>
      <c r="L89" s="261"/>
      <c r="M89" s="261"/>
      <c r="N89" s="261"/>
      <c r="O89" s="261"/>
      <c r="P89" s="261"/>
      <c r="Q89" s="261"/>
      <c r="R89" s="261"/>
    </row>
    <row r="90" spans="1:33" ht="16" x14ac:dyDescent="0.3">
      <c r="A90" s="940"/>
      <c r="B90" s="261"/>
      <c r="C90" s="263"/>
      <c r="D90" s="8"/>
      <c r="E90" s="8"/>
      <c r="F90" s="8"/>
      <c r="G90" s="8"/>
      <c r="H90" s="8"/>
      <c r="I90" s="1"/>
      <c r="J90" s="44"/>
      <c r="K90" s="1"/>
      <c r="L90" s="1"/>
      <c r="M90" s="44"/>
      <c r="N90" s="44"/>
      <c r="O90" s="1"/>
      <c r="P90" s="1"/>
      <c r="Q90" s="1"/>
      <c r="AG90" s="258" t="s">
        <v>10</v>
      </c>
    </row>
    <row r="91" spans="1:33" ht="13.75" customHeight="1" x14ac:dyDescent="0.3">
      <c r="A91" s="940"/>
      <c r="B91" s="1792" t="s">
        <v>339</v>
      </c>
      <c r="C91" s="1792" t="s">
        <v>36</v>
      </c>
      <c r="D91" s="1943" t="s">
        <v>969</v>
      </c>
      <c r="E91" s="1944"/>
      <c r="F91" s="1944"/>
      <c r="G91" s="1944"/>
      <c r="H91" s="1945"/>
      <c r="I91" s="1943" t="s">
        <v>970</v>
      </c>
      <c r="J91" s="1944"/>
      <c r="K91" s="1944"/>
      <c r="L91" s="1944"/>
      <c r="M91" s="1945"/>
      <c r="N91" s="1935" t="s">
        <v>971</v>
      </c>
      <c r="O91" s="1935"/>
      <c r="P91" s="1935"/>
      <c r="Q91" s="1935"/>
      <c r="R91" s="1935"/>
      <c r="S91" s="1935" t="s">
        <v>972</v>
      </c>
      <c r="T91" s="1935"/>
      <c r="U91" s="1935"/>
      <c r="V91" s="1935"/>
      <c r="W91" s="1935"/>
    </row>
    <row r="92" spans="1:33" x14ac:dyDescent="0.3">
      <c r="A92" s="940"/>
      <c r="B92" s="1792"/>
      <c r="C92" s="1792"/>
      <c r="D92" s="1936" t="s">
        <v>21</v>
      </c>
      <c r="E92" s="1937"/>
      <c r="F92" s="1937"/>
      <c r="G92" s="1937"/>
      <c r="H92" s="1938"/>
      <c r="I92" s="1936" t="s">
        <v>21</v>
      </c>
      <c r="J92" s="1937"/>
      <c r="K92" s="1937"/>
      <c r="L92" s="1937"/>
      <c r="M92" s="1938"/>
      <c r="N92" s="1939" t="s">
        <v>21</v>
      </c>
      <c r="O92" s="1940"/>
      <c r="P92" s="1940"/>
      <c r="Q92" s="1940"/>
      <c r="R92" s="1940"/>
      <c r="S92" s="1939" t="s">
        <v>21</v>
      </c>
      <c r="T92" s="1940"/>
      <c r="U92" s="1940"/>
      <c r="V92" s="1940"/>
      <c r="W92" s="1940"/>
    </row>
    <row r="93" spans="1:33" ht="56" x14ac:dyDescent="0.3">
      <c r="A93" s="940"/>
      <c r="B93" s="1792"/>
      <c r="C93" s="1792"/>
      <c r="D93" s="1090" t="s">
        <v>272</v>
      </c>
      <c r="E93" s="1090" t="s">
        <v>267</v>
      </c>
      <c r="F93" s="262" t="s">
        <v>273</v>
      </c>
      <c r="G93" s="1084" t="s">
        <v>587</v>
      </c>
      <c r="H93" s="1090" t="s">
        <v>274</v>
      </c>
      <c r="I93" s="1090" t="s">
        <v>266</v>
      </c>
      <c r="J93" s="1090" t="s">
        <v>267</v>
      </c>
      <c r="K93" s="1090" t="s">
        <v>268</v>
      </c>
      <c r="L93" s="1084" t="s">
        <v>587</v>
      </c>
      <c r="M93" s="1090" t="s">
        <v>269</v>
      </c>
      <c r="N93" s="1090" t="s">
        <v>266</v>
      </c>
      <c r="O93" s="1090" t="s">
        <v>267</v>
      </c>
      <c r="P93" s="1090" t="s">
        <v>268</v>
      </c>
      <c r="Q93" s="1084" t="s">
        <v>587</v>
      </c>
      <c r="R93" s="1090" t="s">
        <v>269</v>
      </c>
      <c r="S93" s="1090" t="s">
        <v>266</v>
      </c>
      <c r="T93" s="1090" t="s">
        <v>267</v>
      </c>
      <c r="U93" s="1090" t="s">
        <v>268</v>
      </c>
      <c r="V93" s="1084" t="s">
        <v>587</v>
      </c>
      <c r="W93" s="1090" t="s">
        <v>269</v>
      </c>
    </row>
    <row r="94" spans="1:33" ht="28" x14ac:dyDescent="0.3">
      <c r="A94" s="940"/>
      <c r="B94" s="259"/>
      <c r="C94" s="259"/>
      <c r="D94" s="259" t="s">
        <v>663</v>
      </c>
      <c r="E94" s="259" t="s">
        <v>664</v>
      </c>
      <c r="F94" s="259" t="s">
        <v>665</v>
      </c>
      <c r="G94" s="259" t="s">
        <v>666</v>
      </c>
      <c r="H94" s="259" t="s">
        <v>667</v>
      </c>
      <c r="I94" s="259" t="s">
        <v>663</v>
      </c>
      <c r="J94" s="259" t="s">
        <v>664</v>
      </c>
      <c r="K94" s="259" t="s">
        <v>665</v>
      </c>
      <c r="L94" s="259" t="s">
        <v>666</v>
      </c>
      <c r="M94" s="259" t="s">
        <v>667</v>
      </c>
      <c r="N94" s="259" t="s">
        <v>663</v>
      </c>
      <c r="O94" s="259" t="s">
        <v>664</v>
      </c>
      <c r="P94" s="259" t="s">
        <v>665</v>
      </c>
      <c r="Q94" s="259" t="s">
        <v>666</v>
      </c>
      <c r="R94" s="259" t="s">
        <v>667</v>
      </c>
      <c r="S94" s="259" t="s">
        <v>663</v>
      </c>
      <c r="T94" s="259" t="s">
        <v>664</v>
      </c>
      <c r="U94" s="259" t="s">
        <v>665</v>
      </c>
      <c r="V94" s="259" t="s">
        <v>666</v>
      </c>
      <c r="W94" s="259" t="s">
        <v>667</v>
      </c>
    </row>
    <row r="95" spans="1:33" x14ac:dyDescent="0.3">
      <c r="A95" s="658"/>
      <c r="B95" s="95">
        <v>1</v>
      </c>
      <c r="C95" s="447" t="s">
        <v>844</v>
      </c>
      <c r="D95" s="1066">
        <f t="shared" ref="D95:D111" si="27">W68</f>
        <v>0</v>
      </c>
      <c r="E95" s="659">
        <f>'F5'!E95+'F5.1 (N)'!J44</f>
        <v>0</v>
      </c>
      <c r="F95" s="659">
        <f>'F5'!F95+'F5.1 (N)'!K44</f>
        <v>0</v>
      </c>
      <c r="G95" s="659">
        <f>'F5'!G95+'F5.1 (N)'!L44</f>
        <v>0</v>
      </c>
      <c r="H95" s="1066">
        <f>D95+E95-F95-G95</f>
        <v>0</v>
      </c>
      <c r="I95" s="823">
        <f>H95</f>
        <v>0</v>
      </c>
      <c r="J95" s="1074">
        <f>'F5'!J95+'F5.1 (N)'!O44</f>
        <v>0</v>
      </c>
      <c r="K95" s="1074">
        <f>'F5'!K95+'F5.1 (N)'!P44</f>
        <v>0</v>
      </c>
      <c r="L95" s="1074">
        <f>'F5'!L95+'F5.1 (N)'!Q44</f>
        <v>0</v>
      </c>
      <c r="M95" s="823">
        <f>I95+J95-K95-L95</f>
        <v>0</v>
      </c>
      <c r="N95" s="823">
        <f>M95</f>
        <v>0</v>
      </c>
      <c r="O95" s="1074">
        <f>'F5'!O95+'F5.1 (N)'!T44</f>
        <v>0</v>
      </c>
      <c r="P95" s="1074">
        <f>'F5'!P95+'F5.1 (N)'!U44</f>
        <v>0</v>
      </c>
      <c r="Q95" s="1074">
        <f>'F5'!Q95+'F5.1 (N)'!V44</f>
        <v>0</v>
      </c>
      <c r="R95" s="823">
        <f>N95+O95-P95-Q95</f>
        <v>0</v>
      </c>
      <c r="S95" s="823">
        <f>R95</f>
        <v>0</v>
      </c>
      <c r="T95" s="1074">
        <f>'F5'!T95+'F5.1 (N)'!Y44</f>
        <v>0</v>
      </c>
      <c r="U95" s="1074">
        <f>'F5'!U95+'F5.1 (N)'!Z44</f>
        <v>0</v>
      </c>
      <c r="V95" s="1074">
        <f>'F5'!V95+'F5.1 (N)'!AA44</f>
        <v>0</v>
      </c>
      <c r="W95" s="823">
        <f>S95+T95-U95-V95</f>
        <v>0</v>
      </c>
    </row>
    <row r="96" spans="1:33" x14ac:dyDescent="0.3">
      <c r="A96" s="658"/>
      <c r="B96" s="95">
        <f>B95+1</f>
        <v>2</v>
      </c>
      <c r="C96" s="447" t="s">
        <v>845</v>
      </c>
      <c r="D96" s="1066">
        <f t="shared" si="27"/>
        <v>113.56111674985037</v>
      </c>
      <c r="E96" s="659">
        <f>'F5'!E96+'F5.1 (N)'!J45</f>
        <v>4.2659101798828303</v>
      </c>
      <c r="F96" s="659">
        <f>'F5'!F96+'F5.1 (N)'!K45</f>
        <v>0</v>
      </c>
      <c r="G96" s="659">
        <f>'F5'!G96+'F5.1 (N)'!L45</f>
        <v>0</v>
      </c>
      <c r="H96" s="1066">
        <f t="shared" ref="H96:H111" si="28">D96+E96-F96-G96</f>
        <v>117.82702692973319</v>
      </c>
      <c r="I96" s="823">
        <f t="shared" ref="I96:I111" si="29">H96</f>
        <v>117.82702692973319</v>
      </c>
      <c r="J96" s="1074">
        <f>'F5'!J96+'F5.1 (N)'!O45</f>
        <v>4.587301679882831</v>
      </c>
      <c r="K96" s="1074">
        <f>'F5'!K96+'F5.1 (N)'!P45</f>
        <v>0</v>
      </c>
      <c r="L96" s="1074">
        <f>'F5'!L96+'F5.1 (N)'!Q45</f>
        <v>0</v>
      </c>
      <c r="M96" s="823">
        <f t="shared" ref="M96:M111" si="30">I96+J96-K96-L96</f>
        <v>122.41432860961602</v>
      </c>
      <c r="N96" s="823">
        <f t="shared" ref="N96:N111" si="31">M96</f>
        <v>122.41432860961602</v>
      </c>
      <c r="O96" s="1074">
        <f>'F5'!O96+'F5.1 (N)'!T45</f>
        <v>4.7960516798828303</v>
      </c>
      <c r="P96" s="1074">
        <f>'F5'!P96+'F5.1 (N)'!U45</f>
        <v>0</v>
      </c>
      <c r="Q96" s="1074">
        <f>'F5'!Q96+'F5.1 (N)'!V45</f>
        <v>0</v>
      </c>
      <c r="R96" s="823">
        <f t="shared" ref="R96:R111" si="32">N96+O96-P96-Q96</f>
        <v>127.21038028949886</v>
      </c>
      <c r="S96" s="823">
        <f t="shared" ref="S96:S111" si="33">R96</f>
        <v>127.21038028949886</v>
      </c>
      <c r="T96" s="1074">
        <f>'F5'!T96+'F5.1 (N)'!Y45</f>
        <v>4.7960516798828312</v>
      </c>
      <c r="U96" s="1074">
        <f>'F5'!U96+'F5.1 (N)'!Z45</f>
        <v>0</v>
      </c>
      <c r="V96" s="1074">
        <f>'F5'!V96+'F5.1 (N)'!AA45</f>
        <v>0</v>
      </c>
      <c r="W96" s="823">
        <f t="shared" ref="W96:W111" si="34">S96+T96-U96-V96</f>
        <v>132.00643196938168</v>
      </c>
    </row>
    <row r="97" spans="1:23" x14ac:dyDescent="0.3">
      <c r="A97" s="658"/>
      <c r="B97" s="95">
        <f t="shared" ref="B97:B111" si="35">B96+1</f>
        <v>3</v>
      </c>
      <c r="C97" s="447" t="s">
        <v>846</v>
      </c>
      <c r="D97" s="1066">
        <f t="shared" si="27"/>
        <v>53.236334942994901</v>
      </c>
      <c r="E97" s="659">
        <f>'F5'!E97+'F5.1 (N)'!J46</f>
        <v>1.6609778967343869</v>
      </c>
      <c r="F97" s="659">
        <f>'F5'!F97+'F5.1 (N)'!K46</f>
        <v>0</v>
      </c>
      <c r="G97" s="659">
        <f>'F5'!G97+'F5.1 (N)'!L46</f>
        <v>0</v>
      </c>
      <c r="H97" s="1066">
        <f t="shared" si="28"/>
        <v>54.897312839729288</v>
      </c>
      <c r="I97" s="823">
        <f t="shared" si="29"/>
        <v>54.897312839729288</v>
      </c>
      <c r="J97" s="1074">
        <f>'F5'!J97+'F5.1 (N)'!O46</f>
        <v>1.6609778967343869</v>
      </c>
      <c r="K97" s="1074">
        <f>'F5'!K97+'F5.1 (N)'!P46</f>
        <v>0</v>
      </c>
      <c r="L97" s="1074">
        <f>'F5'!L97+'F5.1 (N)'!Q46</f>
        <v>0</v>
      </c>
      <c r="M97" s="823">
        <f t="shared" si="30"/>
        <v>56.558290736463675</v>
      </c>
      <c r="N97" s="823">
        <f t="shared" si="31"/>
        <v>56.558290736463675</v>
      </c>
      <c r="O97" s="1074">
        <f>'F5'!O97+'F5.1 (N)'!T46</f>
        <v>1.6609778967343867</v>
      </c>
      <c r="P97" s="1074">
        <f>'F5'!P97+'F5.1 (N)'!U46</f>
        <v>0</v>
      </c>
      <c r="Q97" s="1074">
        <f>'F5'!Q97+'F5.1 (N)'!V46</f>
        <v>0</v>
      </c>
      <c r="R97" s="823">
        <f t="shared" si="32"/>
        <v>58.219268633198062</v>
      </c>
      <c r="S97" s="823">
        <f t="shared" si="33"/>
        <v>58.219268633198062</v>
      </c>
      <c r="T97" s="1074">
        <f>'F5'!T97+'F5.1 (N)'!Y46</f>
        <v>1.6609778967343867</v>
      </c>
      <c r="U97" s="1074">
        <f>'F5'!U97+'F5.1 (N)'!Z46</f>
        <v>0</v>
      </c>
      <c r="V97" s="1074">
        <f>'F5'!V97+'F5.1 (N)'!AA46</f>
        <v>0</v>
      </c>
      <c r="W97" s="823">
        <f t="shared" si="34"/>
        <v>59.88024652993245</v>
      </c>
    </row>
    <row r="98" spans="1:23" x14ac:dyDescent="0.3">
      <c r="A98" s="658"/>
      <c r="B98" s="95">
        <f t="shared" si="35"/>
        <v>4</v>
      </c>
      <c r="C98" s="447" t="s">
        <v>847</v>
      </c>
      <c r="D98" s="1066">
        <f t="shared" si="27"/>
        <v>108.37756096778092</v>
      </c>
      <c r="E98" s="659">
        <f>'F5'!E98+'F5.1 (N)'!J47</f>
        <v>4.656562847637737</v>
      </c>
      <c r="F98" s="659">
        <f>'F5'!F98+'F5.1 (N)'!K47</f>
        <v>0</v>
      </c>
      <c r="G98" s="659">
        <f>'F5'!G98+'F5.1 (N)'!L47</f>
        <v>0</v>
      </c>
      <c r="H98" s="1066">
        <f t="shared" si="28"/>
        <v>113.03412381541867</v>
      </c>
      <c r="I98" s="823">
        <f t="shared" si="29"/>
        <v>113.03412381541867</v>
      </c>
      <c r="J98" s="1074">
        <f>'F5'!J98+'F5.1 (N)'!O47</f>
        <v>4.6565628476377361</v>
      </c>
      <c r="K98" s="1074">
        <f>'F5'!K98+'F5.1 (N)'!P47</f>
        <v>0</v>
      </c>
      <c r="L98" s="1074">
        <f>'F5'!L98+'F5.1 (N)'!Q47</f>
        <v>0</v>
      </c>
      <c r="M98" s="823">
        <f t="shared" si="30"/>
        <v>117.6906866630564</v>
      </c>
      <c r="N98" s="823">
        <f t="shared" si="31"/>
        <v>117.6906866630564</v>
      </c>
      <c r="O98" s="1074">
        <f>'F5'!O98+'F5.1 (N)'!T47</f>
        <v>4.656562847637737</v>
      </c>
      <c r="P98" s="1074">
        <f>'F5'!P98+'F5.1 (N)'!U47</f>
        <v>0</v>
      </c>
      <c r="Q98" s="1074">
        <f>'F5'!Q98+'F5.1 (N)'!V47</f>
        <v>0</v>
      </c>
      <c r="R98" s="823">
        <f t="shared" si="32"/>
        <v>122.34724951069413</v>
      </c>
      <c r="S98" s="823">
        <f t="shared" si="33"/>
        <v>122.34724951069413</v>
      </c>
      <c r="T98" s="1074">
        <f>'F5'!T98+'F5.1 (N)'!Y47</f>
        <v>4.6565628476377388</v>
      </c>
      <c r="U98" s="1074">
        <f>'F5'!U98+'F5.1 (N)'!Z47</f>
        <v>0</v>
      </c>
      <c r="V98" s="1074">
        <f>'F5'!V98+'F5.1 (N)'!AA47</f>
        <v>0</v>
      </c>
      <c r="W98" s="823">
        <f t="shared" si="34"/>
        <v>127.00381235833187</v>
      </c>
    </row>
    <row r="99" spans="1:23" x14ac:dyDescent="0.3">
      <c r="A99" s="658"/>
      <c r="B99" s="95">
        <f t="shared" si="35"/>
        <v>5</v>
      </c>
      <c r="C99" s="447" t="s">
        <v>848</v>
      </c>
      <c r="D99" s="1066">
        <f t="shared" si="27"/>
        <v>66.472410268893199</v>
      </c>
      <c r="E99" s="659">
        <f>'F5'!E99+'F5.1 (N)'!J48</f>
        <v>4.2194258624132113</v>
      </c>
      <c r="F99" s="659">
        <f>'F5'!F99+'F5.1 (N)'!K48</f>
        <v>0</v>
      </c>
      <c r="G99" s="659">
        <f>'F5'!G99+'F5.1 (N)'!L48</f>
        <v>0</v>
      </c>
      <c r="H99" s="1066">
        <f t="shared" si="28"/>
        <v>70.691836131306417</v>
      </c>
      <c r="I99" s="823">
        <f t="shared" si="29"/>
        <v>70.691836131306417</v>
      </c>
      <c r="J99" s="1074">
        <f>'F5'!J99+'F5.1 (N)'!O48</f>
        <v>5.2570746082530091</v>
      </c>
      <c r="K99" s="1074">
        <f>'F5'!K99+'F5.1 (N)'!P48</f>
        <v>0</v>
      </c>
      <c r="L99" s="1074">
        <f>'F5'!L99+'F5.1 (N)'!Q48</f>
        <v>0</v>
      </c>
      <c r="M99" s="823">
        <f t="shared" si="30"/>
        <v>75.948910739559423</v>
      </c>
      <c r="N99" s="823">
        <f t="shared" si="31"/>
        <v>75.948910739559423</v>
      </c>
      <c r="O99" s="1074">
        <f>'F5'!O99+'F5.1 (N)'!T48</f>
        <v>10.31082860825301</v>
      </c>
      <c r="P99" s="1074">
        <f>'F5'!P99+'F5.1 (N)'!U48</f>
        <v>0</v>
      </c>
      <c r="Q99" s="1074">
        <f>'F5'!Q99+'F5.1 (N)'!V48</f>
        <v>0</v>
      </c>
      <c r="R99" s="823">
        <f t="shared" si="32"/>
        <v>86.259739347812427</v>
      </c>
      <c r="S99" s="823">
        <f t="shared" si="33"/>
        <v>86.259739347812427</v>
      </c>
      <c r="T99" s="1074">
        <f>'F5'!T99+'F5.1 (N)'!Y48</f>
        <v>14.922032608253012</v>
      </c>
      <c r="U99" s="1074">
        <f>'F5'!U99+'F5.1 (N)'!Z48</f>
        <v>0</v>
      </c>
      <c r="V99" s="1074">
        <f>'F5'!V99+'F5.1 (N)'!AA48</f>
        <v>0</v>
      </c>
      <c r="W99" s="823">
        <f t="shared" si="34"/>
        <v>101.18177195606543</v>
      </c>
    </row>
    <row r="100" spans="1:23" x14ac:dyDescent="0.3">
      <c r="A100" s="658"/>
      <c r="B100" s="95">
        <f t="shared" si="35"/>
        <v>6</v>
      </c>
      <c r="C100" s="447" t="s">
        <v>255</v>
      </c>
      <c r="D100" s="1066">
        <f t="shared" si="27"/>
        <v>1889.2793075157042</v>
      </c>
      <c r="E100" s="659">
        <f>'F5'!E100+'F5.1 (N)'!J49</f>
        <v>71.938540477464642</v>
      </c>
      <c r="F100" s="659">
        <f>'F5'!F100+'F5.1 (N)'!K49</f>
        <v>0</v>
      </c>
      <c r="G100" s="659">
        <f>'F5'!G100+'F5.1 (N)'!L49</f>
        <v>0</v>
      </c>
      <c r="H100" s="1066">
        <f t="shared" si="28"/>
        <v>1961.2178479931688</v>
      </c>
      <c r="I100" s="823">
        <f t="shared" si="29"/>
        <v>1961.2178479931688</v>
      </c>
      <c r="J100" s="1074">
        <f>'F5'!J100+'F5.1 (N)'!O49</f>
        <v>74.971085227464656</v>
      </c>
      <c r="K100" s="1074">
        <f>'F5'!K100+'F5.1 (N)'!P49</f>
        <v>0</v>
      </c>
      <c r="L100" s="1074">
        <f>'F5'!L100+'F5.1 (N)'!Q49</f>
        <v>0</v>
      </c>
      <c r="M100" s="823">
        <f t="shared" si="30"/>
        <v>2036.1889332206335</v>
      </c>
      <c r="N100" s="823">
        <f t="shared" si="31"/>
        <v>2036.1889332206335</v>
      </c>
      <c r="O100" s="1074">
        <f>'F5'!O100+'F5.1 (N)'!T49</f>
        <v>77.275381060797997</v>
      </c>
      <c r="P100" s="1074">
        <f>'F5'!P100+'F5.1 (N)'!U49</f>
        <v>0</v>
      </c>
      <c r="Q100" s="1074">
        <f>'F5'!Q100+'F5.1 (N)'!V49</f>
        <v>0</v>
      </c>
      <c r="R100" s="823">
        <f t="shared" si="32"/>
        <v>2113.4643142814316</v>
      </c>
      <c r="S100" s="823">
        <f t="shared" si="33"/>
        <v>2113.4643142814316</v>
      </c>
      <c r="T100" s="1074">
        <f>'F5'!T100+'F5.1 (N)'!Y49</f>
        <v>80.191049394131369</v>
      </c>
      <c r="U100" s="1074">
        <f>'F5'!U100+'F5.1 (N)'!Z49</f>
        <v>0</v>
      </c>
      <c r="V100" s="1074">
        <f>'F5'!V100+'F5.1 (N)'!AA49</f>
        <v>0</v>
      </c>
      <c r="W100" s="823">
        <f t="shared" si="34"/>
        <v>2193.655363675563</v>
      </c>
    </row>
    <row r="101" spans="1:23" x14ac:dyDescent="0.3">
      <c r="A101" s="658"/>
      <c r="B101" s="95">
        <f t="shared" si="35"/>
        <v>7</v>
      </c>
      <c r="C101" s="447" t="s">
        <v>849</v>
      </c>
      <c r="D101" s="1066">
        <f t="shared" si="27"/>
        <v>3.7133102407372309</v>
      </c>
      <c r="E101" s="659">
        <f>'F5'!E101+'F5.1 (N)'!J50</f>
        <v>0.10339836176345153</v>
      </c>
      <c r="F101" s="659">
        <f>'F5'!F101+'F5.1 (N)'!K50</f>
        <v>0</v>
      </c>
      <c r="G101" s="659">
        <f>'F5'!G101+'F5.1 (N)'!L50</f>
        <v>0</v>
      </c>
      <c r="H101" s="1066">
        <f t="shared" si="28"/>
        <v>3.8167086025006824</v>
      </c>
      <c r="I101" s="823">
        <f t="shared" si="29"/>
        <v>3.8167086025006824</v>
      </c>
      <c r="J101" s="1074">
        <f>'F5'!J101+'F5.1 (N)'!O50</f>
        <v>0.10339836176345153</v>
      </c>
      <c r="K101" s="1074">
        <f>'F5'!K101+'F5.1 (N)'!P50</f>
        <v>0</v>
      </c>
      <c r="L101" s="1074">
        <f>'F5'!L101+'F5.1 (N)'!Q50</f>
        <v>0</v>
      </c>
      <c r="M101" s="823">
        <f t="shared" si="30"/>
        <v>3.920106964264134</v>
      </c>
      <c r="N101" s="823">
        <f t="shared" si="31"/>
        <v>3.920106964264134</v>
      </c>
      <c r="O101" s="1074">
        <f>'F5'!O101+'F5.1 (N)'!T50</f>
        <v>0.10339836176345153</v>
      </c>
      <c r="P101" s="1074">
        <f>'F5'!P101+'F5.1 (N)'!U50</f>
        <v>0</v>
      </c>
      <c r="Q101" s="1074">
        <f>'F5'!Q101+'F5.1 (N)'!V50</f>
        <v>0</v>
      </c>
      <c r="R101" s="823">
        <f t="shared" si="32"/>
        <v>4.0235053260275855</v>
      </c>
      <c r="S101" s="823">
        <f t="shared" si="33"/>
        <v>4.0235053260275855</v>
      </c>
      <c r="T101" s="1074">
        <f>'F5'!T101+'F5.1 (N)'!Y50</f>
        <v>0.10339836176345153</v>
      </c>
      <c r="U101" s="1074">
        <f>'F5'!U101+'F5.1 (N)'!Z50</f>
        <v>0</v>
      </c>
      <c r="V101" s="1074">
        <f>'F5'!V101+'F5.1 (N)'!AA50</f>
        <v>0</v>
      </c>
      <c r="W101" s="823">
        <f t="shared" si="34"/>
        <v>4.126903687791037</v>
      </c>
    </row>
    <row r="102" spans="1:23" x14ac:dyDescent="0.3">
      <c r="A102" s="658"/>
      <c r="B102" s="95">
        <f t="shared" si="35"/>
        <v>8</v>
      </c>
      <c r="C102" s="447" t="s">
        <v>850</v>
      </c>
      <c r="D102" s="1066">
        <f t="shared" si="27"/>
        <v>2.231064E-2</v>
      </c>
      <c r="E102" s="659">
        <f>'F5'!E102+'F5.1 (N)'!J51</f>
        <v>1.8357093333333335E-2</v>
      </c>
      <c r="F102" s="659">
        <f>'F5'!F102+'F5.1 (N)'!K51</f>
        <v>0</v>
      </c>
      <c r="G102" s="659">
        <f>'F5'!G102+'F5.1 (N)'!L51</f>
        <v>0</v>
      </c>
      <c r="H102" s="1066">
        <f t="shared" si="28"/>
        <v>4.0667733333333331E-2</v>
      </c>
      <c r="I102" s="823">
        <f t="shared" si="29"/>
        <v>4.0667733333333331E-2</v>
      </c>
      <c r="J102" s="1074">
        <f>'F5'!J102+'F5.1 (N)'!O51</f>
        <v>2.1207093333333333E-2</v>
      </c>
      <c r="K102" s="1074">
        <f>'F5'!K102+'F5.1 (N)'!P51</f>
        <v>0</v>
      </c>
      <c r="L102" s="1074">
        <f>'F5'!L102+'F5.1 (N)'!Q51</f>
        <v>0</v>
      </c>
      <c r="M102" s="823">
        <f t="shared" si="30"/>
        <v>6.187482666666666E-2</v>
      </c>
      <c r="N102" s="823">
        <f t="shared" si="31"/>
        <v>6.187482666666666E-2</v>
      </c>
      <c r="O102" s="1074">
        <f>'F5'!O102+'F5.1 (N)'!T51</f>
        <v>2.5640426666666667E-2</v>
      </c>
      <c r="P102" s="1074">
        <f>'F5'!P102+'F5.1 (N)'!U51</f>
        <v>0</v>
      </c>
      <c r="Q102" s="1074">
        <f>'F5'!Q102+'F5.1 (N)'!V51</f>
        <v>0</v>
      </c>
      <c r="R102" s="823">
        <f t="shared" si="32"/>
        <v>8.751525333333332E-2</v>
      </c>
      <c r="S102" s="823">
        <f t="shared" si="33"/>
        <v>8.751525333333332E-2</v>
      </c>
      <c r="T102" s="1074">
        <f>'F5'!T102+'F5.1 (N)'!Y51</f>
        <v>3.1973760000000004E-2</v>
      </c>
      <c r="U102" s="1074">
        <f>'F5'!U102+'F5.1 (N)'!Z51</f>
        <v>0</v>
      </c>
      <c r="V102" s="1074">
        <f>'F5'!V102+'F5.1 (N)'!AA51</f>
        <v>0</v>
      </c>
      <c r="W102" s="823">
        <f t="shared" si="34"/>
        <v>0.11948901333333332</v>
      </c>
    </row>
    <row r="103" spans="1:23" x14ac:dyDescent="0.3">
      <c r="A103" s="658"/>
      <c r="B103" s="95">
        <f t="shared" si="35"/>
        <v>9</v>
      </c>
      <c r="C103" s="447" t="s">
        <v>851</v>
      </c>
      <c r="D103" s="1066">
        <f t="shared" si="27"/>
        <v>23.993813976332408</v>
      </c>
      <c r="E103" s="659">
        <f>'F5'!E103+'F5.1 (N)'!J52</f>
        <v>0.6611027446477854</v>
      </c>
      <c r="F103" s="659">
        <f>'F5'!F103+'F5.1 (N)'!K52</f>
        <v>0</v>
      </c>
      <c r="G103" s="659">
        <f>'F5'!G103+'F5.1 (N)'!L52</f>
        <v>0</v>
      </c>
      <c r="H103" s="1066">
        <f t="shared" si="28"/>
        <v>24.654916720980193</v>
      </c>
      <c r="I103" s="823">
        <f t="shared" si="29"/>
        <v>24.654916720980193</v>
      </c>
      <c r="J103" s="1074">
        <f>'F5'!J103+'F5.1 (N)'!O52</f>
        <v>0.6611027446477854</v>
      </c>
      <c r="K103" s="1074">
        <f>'F5'!K103+'F5.1 (N)'!P52</f>
        <v>0</v>
      </c>
      <c r="L103" s="1074">
        <f>'F5'!L103+'F5.1 (N)'!Q52</f>
        <v>0</v>
      </c>
      <c r="M103" s="823">
        <f t="shared" si="30"/>
        <v>25.316019465627978</v>
      </c>
      <c r="N103" s="823">
        <f t="shared" si="31"/>
        <v>25.316019465627978</v>
      </c>
      <c r="O103" s="1074">
        <f>'F5'!O103+'F5.1 (N)'!T52</f>
        <v>0.66110274464778551</v>
      </c>
      <c r="P103" s="1074">
        <f>'F5'!P103+'F5.1 (N)'!U52</f>
        <v>0</v>
      </c>
      <c r="Q103" s="1074">
        <f>'F5'!Q103+'F5.1 (N)'!V52</f>
        <v>0</v>
      </c>
      <c r="R103" s="823">
        <f t="shared" si="32"/>
        <v>25.977122210275763</v>
      </c>
      <c r="S103" s="823">
        <f t="shared" si="33"/>
        <v>25.977122210275763</v>
      </c>
      <c r="T103" s="1074">
        <f>'F5'!T103+'F5.1 (N)'!Y52</f>
        <v>0.66110274464778562</v>
      </c>
      <c r="U103" s="1074">
        <f>'F5'!U103+'F5.1 (N)'!Z52</f>
        <v>0</v>
      </c>
      <c r="V103" s="1074">
        <f>'F5'!V103+'F5.1 (N)'!AA52</f>
        <v>0</v>
      </c>
      <c r="W103" s="823">
        <f t="shared" si="34"/>
        <v>26.638224954923547</v>
      </c>
    </row>
    <row r="104" spans="1:23" x14ac:dyDescent="0.3">
      <c r="A104" s="658"/>
      <c r="B104" s="95">
        <f t="shared" si="35"/>
        <v>10</v>
      </c>
      <c r="C104" s="447" t="s">
        <v>258</v>
      </c>
      <c r="D104" s="1066">
        <f t="shared" si="27"/>
        <v>1.5019293553893891</v>
      </c>
      <c r="E104" s="659">
        <f>'F5'!E104+'F5.1 (N)'!J53</f>
        <v>0.25582781491406836</v>
      </c>
      <c r="F104" s="659">
        <f>'F5'!F104+'F5.1 (N)'!K53</f>
        <v>0</v>
      </c>
      <c r="G104" s="659">
        <f>'F5'!G104+'F5.1 (N)'!L53</f>
        <v>0</v>
      </c>
      <c r="H104" s="1066">
        <f t="shared" si="28"/>
        <v>1.7577571703034574</v>
      </c>
      <c r="I104" s="823">
        <f t="shared" si="29"/>
        <v>1.7577571703034574</v>
      </c>
      <c r="J104" s="1074">
        <f>'F5'!J104+'F5.1 (N)'!O53</f>
        <v>9.5611442788517464E-2</v>
      </c>
      <c r="K104" s="1074">
        <f>'F5'!K104+'F5.1 (N)'!P53</f>
        <v>0</v>
      </c>
      <c r="L104" s="1074">
        <f>'F5'!L104+'F5.1 (N)'!Q53</f>
        <v>0</v>
      </c>
      <c r="M104" s="823">
        <f t="shared" si="30"/>
        <v>1.8533686130919749</v>
      </c>
      <c r="N104" s="823">
        <f t="shared" si="31"/>
        <v>1.8533686130919749</v>
      </c>
      <c r="O104" s="1074">
        <f>'F5'!O104+'F5.1 (N)'!T53</f>
        <v>9.5611442788517451E-2</v>
      </c>
      <c r="P104" s="1074">
        <f>'F5'!P104+'F5.1 (N)'!U53</f>
        <v>0</v>
      </c>
      <c r="Q104" s="1074">
        <f>'F5'!Q104+'F5.1 (N)'!V53</f>
        <v>0</v>
      </c>
      <c r="R104" s="823">
        <f t="shared" si="32"/>
        <v>1.9489800558804924</v>
      </c>
      <c r="S104" s="823">
        <f t="shared" si="33"/>
        <v>1.9489800558804924</v>
      </c>
      <c r="T104" s="1074">
        <f>'F5'!T104+'F5.1 (N)'!Y53</f>
        <v>9.5611442788517437E-2</v>
      </c>
      <c r="U104" s="1074">
        <f>'F5'!U104+'F5.1 (N)'!Z53</f>
        <v>0</v>
      </c>
      <c r="V104" s="1074">
        <f>'F5'!V104+'F5.1 (N)'!AA53</f>
        <v>0</v>
      </c>
      <c r="W104" s="823">
        <f t="shared" si="34"/>
        <v>2.0445914986690097</v>
      </c>
    </row>
    <row r="105" spans="1:23" x14ac:dyDescent="0.3">
      <c r="A105" s="658"/>
      <c r="B105" s="95">
        <f t="shared" si="35"/>
        <v>11</v>
      </c>
      <c r="C105" s="447" t="s">
        <v>259</v>
      </c>
      <c r="D105" s="1066">
        <f t="shared" si="27"/>
        <v>1.4722602592474032</v>
      </c>
      <c r="E105" s="659">
        <f>'F5'!E105+'F5.1 (N)'!J54</f>
        <v>4.9480844969343962E-2</v>
      </c>
      <c r="F105" s="659">
        <f>'F5'!F105+'F5.1 (N)'!K54</f>
        <v>0</v>
      </c>
      <c r="G105" s="659">
        <f>'F5'!G105+'F5.1 (N)'!L54</f>
        <v>0</v>
      </c>
      <c r="H105" s="1066">
        <f t="shared" si="28"/>
        <v>1.5217411042167472</v>
      </c>
      <c r="I105" s="823">
        <f t="shared" si="29"/>
        <v>1.5217411042167472</v>
      </c>
      <c r="J105" s="1074">
        <f>'F5'!J105+'F5.1 (N)'!O54</f>
        <v>5.019296996934397E-2</v>
      </c>
      <c r="K105" s="1074">
        <f>'F5'!K105+'F5.1 (N)'!P54</f>
        <v>0</v>
      </c>
      <c r="L105" s="1074">
        <f>'F5'!L105+'F5.1 (N)'!Q54</f>
        <v>0</v>
      </c>
      <c r="M105" s="823">
        <f t="shared" si="30"/>
        <v>1.5719340741860912</v>
      </c>
      <c r="N105" s="823">
        <f t="shared" si="31"/>
        <v>1.5719340741860912</v>
      </c>
      <c r="O105" s="1074">
        <f>'F5'!O105+'F5.1 (N)'!T54</f>
        <v>5.1300719969343975E-2</v>
      </c>
      <c r="P105" s="1074">
        <f>'F5'!P105+'F5.1 (N)'!U54</f>
        <v>0</v>
      </c>
      <c r="Q105" s="1074">
        <f>'F5'!Q105+'F5.1 (N)'!V54</f>
        <v>0</v>
      </c>
      <c r="R105" s="823">
        <f t="shared" si="32"/>
        <v>1.6232347941554353</v>
      </c>
      <c r="S105" s="823">
        <f t="shared" si="33"/>
        <v>1.6232347941554353</v>
      </c>
      <c r="T105" s="1074">
        <f>'F5'!T105+'F5.1 (N)'!Y54</f>
        <v>5.2883219969343989E-2</v>
      </c>
      <c r="U105" s="1074">
        <f>'F5'!U105+'F5.1 (N)'!Z54</f>
        <v>0</v>
      </c>
      <c r="V105" s="1074">
        <f>'F5'!V105+'F5.1 (N)'!AA54</f>
        <v>0</v>
      </c>
      <c r="W105" s="823">
        <f t="shared" si="34"/>
        <v>1.6761180141247793</v>
      </c>
    </row>
    <row r="106" spans="1:23" x14ac:dyDescent="0.3">
      <c r="A106" s="658"/>
      <c r="B106" s="95">
        <f t="shared" si="35"/>
        <v>12</v>
      </c>
      <c r="C106" s="447" t="s">
        <v>260</v>
      </c>
      <c r="D106" s="1066">
        <f t="shared" si="27"/>
        <v>2.6108051588141996</v>
      </c>
      <c r="E106" s="659">
        <f>'F5'!E106+'F5.1 (N)'!J55</f>
        <v>0.10251589662933781</v>
      </c>
      <c r="F106" s="659">
        <f>'F5'!F106+'F5.1 (N)'!K55</f>
        <v>0</v>
      </c>
      <c r="G106" s="659">
        <f>'F5'!G106+'F5.1 (N)'!L55</f>
        <v>0</v>
      </c>
      <c r="H106" s="1066">
        <f t="shared" si="28"/>
        <v>2.7133210554435374</v>
      </c>
      <c r="I106" s="823">
        <f t="shared" si="29"/>
        <v>2.7133210554435374</v>
      </c>
      <c r="J106" s="1074">
        <f>'F5'!J106+'F5.1 (N)'!O55</f>
        <v>0.10251589662933781</v>
      </c>
      <c r="K106" s="1074">
        <f>'F5'!K106+'F5.1 (N)'!P55</f>
        <v>0</v>
      </c>
      <c r="L106" s="1074">
        <f>'F5'!L106+'F5.1 (N)'!Q55</f>
        <v>0</v>
      </c>
      <c r="M106" s="823">
        <f t="shared" si="30"/>
        <v>2.8158369520728752</v>
      </c>
      <c r="N106" s="823">
        <f t="shared" si="31"/>
        <v>2.8158369520728752</v>
      </c>
      <c r="O106" s="1074">
        <f>'F5'!O106+'F5.1 (N)'!T55</f>
        <v>0.10251589662933781</v>
      </c>
      <c r="P106" s="1074">
        <f>'F5'!P106+'F5.1 (N)'!U55</f>
        <v>0</v>
      </c>
      <c r="Q106" s="1074">
        <f>'F5'!Q106+'F5.1 (N)'!V55</f>
        <v>0</v>
      </c>
      <c r="R106" s="823">
        <f t="shared" si="32"/>
        <v>2.918352848702213</v>
      </c>
      <c r="S106" s="823">
        <f t="shared" si="33"/>
        <v>2.918352848702213</v>
      </c>
      <c r="T106" s="1074">
        <f>'F5'!T106+'F5.1 (N)'!Y55</f>
        <v>0.10251589662933781</v>
      </c>
      <c r="U106" s="1074">
        <f>'F5'!U106+'F5.1 (N)'!Z55</f>
        <v>0</v>
      </c>
      <c r="V106" s="1074">
        <f>'F5'!V106+'F5.1 (N)'!AA55</f>
        <v>0</v>
      </c>
      <c r="W106" s="823">
        <f t="shared" si="34"/>
        <v>3.0208687453315508</v>
      </c>
    </row>
    <row r="107" spans="1:23" x14ac:dyDescent="0.3">
      <c r="A107" s="658"/>
      <c r="B107" s="95">
        <f t="shared" si="35"/>
        <v>13</v>
      </c>
      <c r="C107" s="467" t="s">
        <v>899</v>
      </c>
      <c r="D107" s="1066">
        <f t="shared" si="27"/>
        <v>0</v>
      </c>
      <c r="E107" s="659">
        <f>'F5'!E107+'F5.1 (N)'!J56</f>
        <v>0</v>
      </c>
      <c r="F107" s="659">
        <f>'F5'!F107+'F5.1 (N)'!K56</f>
        <v>0</v>
      </c>
      <c r="G107" s="659">
        <f>'F5'!G107+'F5.1 (N)'!L56</f>
        <v>0</v>
      </c>
      <c r="H107" s="1066">
        <f t="shared" si="28"/>
        <v>0</v>
      </c>
      <c r="I107" s="823">
        <f t="shared" si="29"/>
        <v>0</v>
      </c>
      <c r="J107" s="1074">
        <f>'F5'!J107+'F5.1 (N)'!O56</f>
        <v>0</v>
      </c>
      <c r="K107" s="1074">
        <f>'F5'!K107+'F5.1 (N)'!P56</f>
        <v>0</v>
      </c>
      <c r="L107" s="1074">
        <f>'F5'!L107+'F5.1 (N)'!Q56</f>
        <v>0</v>
      </c>
      <c r="M107" s="823">
        <f t="shared" si="30"/>
        <v>0</v>
      </c>
      <c r="N107" s="823">
        <f t="shared" si="31"/>
        <v>0</v>
      </c>
      <c r="O107" s="1074">
        <f>'F5'!O107+'F5.1 (N)'!T56</f>
        <v>0</v>
      </c>
      <c r="P107" s="1074">
        <f>'F5'!P107+'F5.1 (N)'!U56</f>
        <v>0</v>
      </c>
      <c r="Q107" s="1074">
        <f>'F5'!Q107+'F5.1 (N)'!V56</f>
        <v>0</v>
      </c>
      <c r="R107" s="823">
        <f t="shared" si="32"/>
        <v>0</v>
      </c>
      <c r="S107" s="823">
        <f t="shared" si="33"/>
        <v>0</v>
      </c>
      <c r="T107" s="1074">
        <f>'F5'!T107+'F5.1 (N)'!Y56</f>
        <v>0</v>
      </c>
      <c r="U107" s="1074">
        <f>'F5'!U107+'F5.1 (N)'!Z56</f>
        <v>0</v>
      </c>
      <c r="V107" s="1074">
        <f>'F5'!V107+'F5.1 (N)'!AA56</f>
        <v>0</v>
      </c>
      <c r="W107" s="823">
        <f t="shared" si="34"/>
        <v>0</v>
      </c>
    </row>
    <row r="108" spans="1:23" x14ac:dyDescent="0.3">
      <c r="A108" s="658"/>
      <c r="B108" s="95">
        <f t="shared" si="35"/>
        <v>14</v>
      </c>
      <c r="C108" s="467" t="s">
        <v>900</v>
      </c>
      <c r="D108" s="1066">
        <f t="shared" si="27"/>
        <v>0.33793823709740556</v>
      </c>
      <c r="E108" s="659">
        <f>'F5'!E108+'F5.1 (N)'!J57</f>
        <v>8.7440961148700133E-2</v>
      </c>
      <c r="F108" s="659">
        <f>'F5'!F108+'F5.1 (N)'!K57</f>
        <v>0</v>
      </c>
      <c r="G108" s="659">
        <f>'F5'!G108+'F5.1 (N)'!L57</f>
        <v>0</v>
      </c>
      <c r="H108" s="1066">
        <f t="shared" si="28"/>
        <v>0.42537919824610571</v>
      </c>
      <c r="I108" s="823">
        <f t="shared" si="29"/>
        <v>0.42537919824610571</v>
      </c>
      <c r="J108" s="1074">
        <f>'F5'!J108+'F5.1 (N)'!O57</f>
        <v>3.6435883071862754E-2</v>
      </c>
      <c r="K108" s="1074">
        <f>'F5'!K108+'F5.1 (N)'!P57</f>
        <v>0</v>
      </c>
      <c r="L108" s="1074">
        <f>'F5'!L108+'F5.1 (N)'!Q57</f>
        <v>0</v>
      </c>
      <c r="M108" s="823">
        <f t="shared" si="30"/>
        <v>0.46181508131796845</v>
      </c>
      <c r="N108" s="823">
        <f t="shared" si="31"/>
        <v>0.46181508131796845</v>
      </c>
      <c r="O108" s="1074">
        <f>'F5'!O108+'F5.1 (N)'!T57</f>
        <v>5.3935883071862742E-2</v>
      </c>
      <c r="P108" s="1074">
        <f>'F5'!P108+'F5.1 (N)'!U57</f>
        <v>0</v>
      </c>
      <c r="Q108" s="1074">
        <f>'F5'!Q108+'F5.1 (N)'!V57</f>
        <v>0</v>
      </c>
      <c r="R108" s="823">
        <f t="shared" si="32"/>
        <v>0.51575096438983115</v>
      </c>
      <c r="S108" s="823">
        <f t="shared" si="33"/>
        <v>0.51575096438983115</v>
      </c>
      <c r="T108" s="1074">
        <f>'F5'!T108+'F5.1 (N)'!Y57</f>
        <v>7.8935883071862722E-2</v>
      </c>
      <c r="U108" s="1074">
        <f>'F5'!U108+'F5.1 (N)'!Z57</f>
        <v>0</v>
      </c>
      <c r="V108" s="1074">
        <f>'F5'!V108+'F5.1 (N)'!AA57</f>
        <v>0</v>
      </c>
      <c r="W108" s="823">
        <f t="shared" si="34"/>
        <v>0.59468684746169387</v>
      </c>
    </row>
    <row r="109" spans="1:23" x14ac:dyDescent="0.3">
      <c r="A109" s="658"/>
      <c r="B109" s="95">
        <f t="shared" si="35"/>
        <v>15</v>
      </c>
      <c r="C109" s="467" t="s">
        <v>901</v>
      </c>
      <c r="D109" s="1066">
        <f t="shared" si="27"/>
        <v>9.8442280246486633E-3</v>
      </c>
      <c r="E109" s="659">
        <f>'F5'!E109+'F5.1 (N)'!J58</f>
        <v>3.0866276342210848E-4</v>
      </c>
      <c r="F109" s="659">
        <f>'F5'!F109+'F5.1 (N)'!K58</f>
        <v>0</v>
      </c>
      <c r="G109" s="659">
        <f>'F5'!G109+'F5.1 (N)'!L58</f>
        <v>0</v>
      </c>
      <c r="H109" s="1066">
        <f t="shared" si="28"/>
        <v>1.0152890788070771E-2</v>
      </c>
      <c r="I109" s="823">
        <f t="shared" si="29"/>
        <v>1.0152890788070771E-2</v>
      </c>
      <c r="J109" s="1074">
        <f>'F5'!J109+'F5.1 (N)'!O58</f>
        <v>3.0866276342210859E-4</v>
      </c>
      <c r="K109" s="1074">
        <f>'F5'!K109+'F5.1 (N)'!P58</f>
        <v>0</v>
      </c>
      <c r="L109" s="1074">
        <f>'F5'!L109+'F5.1 (N)'!Q58</f>
        <v>0</v>
      </c>
      <c r="M109" s="823">
        <f t="shared" si="30"/>
        <v>1.0461553551492879E-2</v>
      </c>
      <c r="N109" s="823">
        <f t="shared" si="31"/>
        <v>1.0461553551492879E-2</v>
      </c>
      <c r="O109" s="1074">
        <f>'F5'!O109+'F5.1 (N)'!T58</f>
        <v>3.0866276342210864E-4</v>
      </c>
      <c r="P109" s="1074">
        <f>'F5'!P109+'F5.1 (N)'!U58</f>
        <v>0</v>
      </c>
      <c r="Q109" s="1074">
        <f>'F5'!Q109+'F5.1 (N)'!V58</f>
        <v>0</v>
      </c>
      <c r="R109" s="823">
        <f t="shared" si="32"/>
        <v>1.0770216314914987E-2</v>
      </c>
      <c r="S109" s="823">
        <f t="shared" si="33"/>
        <v>1.0770216314914987E-2</v>
      </c>
      <c r="T109" s="1074">
        <f>'F5'!T109+'F5.1 (N)'!Y58</f>
        <v>3.0866276342210881E-4</v>
      </c>
      <c r="U109" s="1074">
        <f>'F5'!U109+'F5.1 (N)'!Z58</f>
        <v>0</v>
      </c>
      <c r="V109" s="1074">
        <f>'F5'!V109+'F5.1 (N)'!AA58</f>
        <v>0</v>
      </c>
      <c r="W109" s="823">
        <f t="shared" si="34"/>
        <v>1.1078879078337095E-2</v>
      </c>
    </row>
    <row r="110" spans="1:23" x14ac:dyDescent="0.3">
      <c r="A110" s="658"/>
      <c r="B110" s="95">
        <f t="shared" si="35"/>
        <v>16</v>
      </c>
      <c r="C110" s="467" t="s">
        <v>852</v>
      </c>
      <c r="D110" s="1066">
        <f t="shared" si="27"/>
        <v>0</v>
      </c>
      <c r="E110" s="659">
        <f>'F5'!E110+'F5.1 (N)'!J59</f>
        <v>0</v>
      </c>
      <c r="F110" s="659">
        <f>'F5'!F110+'F5.1 (N)'!K59</f>
        <v>0</v>
      </c>
      <c r="G110" s="659">
        <f>'F5'!G110+'F5.1 (N)'!L59</f>
        <v>0</v>
      </c>
      <c r="H110" s="1066">
        <f t="shared" si="28"/>
        <v>0</v>
      </c>
      <c r="I110" s="823">
        <f t="shared" si="29"/>
        <v>0</v>
      </c>
      <c r="J110" s="1074">
        <f>'F5'!J110+'F5.1 (N)'!O59</f>
        <v>0</v>
      </c>
      <c r="K110" s="1074">
        <f>'F5'!K110+'F5.1 (N)'!P59</f>
        <v>0</v>
      </c>
      <c r="L110" s="1074">
        <f>'F5'!L110+'F5.1 (N)'!Q59</f>
        <v>0</v>
      </c>
      <c r="M110" s="823">
        <f t="shared" si="30"/>
        <v>0</v>
      </c>
      <c r="N110" s="823">
        <f t="shared" si="31"/>
        <v>0</v>
      </c>
      <c r="O110" s="1074">
        <f>'F5'!O110+'F5.1 (N)'!T59</f>
        <v>0</v>
      </c>
      <c r="P110" s="1074">
        <f>'F5'!P110+'F5.1 (N)'!U59</f>
        <v>0</v>
      </c>
      <c r="Q110" s="1074">
        <f>'F5'!Q110+'F5.1 (N)'!V59</f>
        <v>0</v>
      </c>
      <c r="R110" s="823">
        <f t="shared" si="32"/>
        <v>0</v>
      </c>
      <c r="S110" s="823">
        <f t="shared" si="33"/>
        <v>0</v>
      </c>
      <c r="T110" s="1074">
        <f>'F5'!T110+'F5.1 (N)'!Y59</f>
        <v>0</v>
      </c>
      <c r="U110" s="1074">
        <f>'F5'!U110+'F5.1 (N)'!Z59</f>
        <v>0</v>
      </c>
      <c r="V110" s="1074">
        <f>'F5'!V110+'F5.1 (N)'!AA59</f>
        <v>0</v>
      </c>
      <c r="W110" s="823">
        <f t="shared" si="34"/>
        <v>0</v>
      </c>
    </row>
    <row r="111" spans="1:23" x14ac:dyDescent="0.3">
      <c r="A111" s="658"/>
      <c r="B111" s="95">
        <f t="shared" si="35"/>
        <v>17</v>
      </c>
      <c r="C111" s="467" t="s">
        <v>902</v>
      </c>
      <c r="D111" s="1066">
        <f t="shared" si="27"/>
        <v>0</v>
      </c>
      <c r="E111" s="659">
        <f>'F5'!E111+'F5.1 (N)'!J60</f>
        <v>0</v>
      </c>
      <c r="F111" s="659">
        <f>'F5'!F111+'F5.1 (N)'!K60</f>
        <v>0</v>
      </c>
      <c r="G111" s="659">
        <f>'F5'!G111+'F5.1 (N)'!L60</f>
        <v>0</v>
      </c>
      <c r="H111" s="1066">
        <f t="shared" si="28"/>
        <v>0</v>
      </c>
      <c r="I111" s="823">
        <f t="shared" si="29"/>
        <v>0</v>
      </c>
      <c r="J111" s="1074">
        <f>'F5'!J111+'F5.1 (N)'!O60</f>
        <v>0</v>
      </c>
      <c r="K111" s="1074">
        <f>'F5'!K111+'F5.1 (N)'!P60</f>
        <v>0</v>
      </c>
      <c r="L111" s="1074">
        <f>'F5'!L111+'F5.1 (N)'!Q60</f>
        <v>0</v>
      </c>
      <c r="M111" s="823">
        <f t="shared" si="30"/>
        <v>0</v>
      </c>
      <c r="N111" s="823">
        <f t="shared" si="31"/>
        <v>0</v>
      </c>
      <c r="O111" s="1074">
        <f>'F5'!O111+'F5.1 (N)'!T60</f>
        <v>0</v>
      </c>
      <c r="P111" s="1074">
        <f>'F5'!P111+'F5.1 (N)'!U60</f>
        <v>0</v>
      </c>
      <c r="Q111" s="1074">
        <f>'F5'!Q111+'F5.1 (N)'!V60</f>
        <v>0</v>
      </c>
      <c r="R111" s="823">
        <f t="shared" si="32"/>
        <v>0</v>
      </c>
      <c r="S111" s="823">
        <f t="shared" si="33"/>
        <v>0</v>
      </c>
      <c r="T111" s="1074">
        <f>'F5'!T111+'F5.1 (N)'!Y60</f>
        <v>0</v>
      </c>
      <c r="U111" s="1074">
        <f>'F5'!U111+'F5.1 (N)'!Z60</f>
        <v>0</v>
      </c>
      <c r="V111" s="1074">
        <f>'F5'!V111+'F5.1 (N)'!AA60</f>
        <v>0</v>
      </c>
      <c r="W111" s="823">
        <f t="shared" si="34"/>
        <v>0</v>
      </c>
    </row>
    <row r="112" spans="1:23" ht="16" x14ac:dyDescent="0.3">
      <c r="B112" s="83"/>
      <c r="C112" s="97" t="s">
        <v>270</v>
      </c>
      <c r="D112" s="1063">
        <f t="shared" ref="D112:W112" si="36">SUM(D95:D111)</f>
        <v>2264.5889425408664</v>
      </c>
      <c r="E112" s="1063">
        <f t="shared" si="36"/>
        <v>88.019849644302255</v>
      </c>
      <c r="F112" s="1063">
        <f t="shared" si="36"/>
        <v>0</v>
      </c>
      <c r="G112" s="1063">
        <f t="shared" si="36"/>
        <v>0</v>
      </c>
      <c r="H112" s="1063">
        <f t="shared" si="36"/>
        <v>2352.6087921851681</v>
      </c>
      <c r="I112" s="1063">
        <f t="shared" si="36"/>
        <v>2352.6087921851681</v>
      </c>
      <c r="J112" s="1063">
        <f t="shared" si="36"/>
        <v>92.203775314939676</v>
      </c>
      <c r="K112" s="1063">
        <f t="shared" si="36"/>
        <v>0</v>
      </c>
      <c r="L112" s="1063">
        <f t="shared" si="36"/>
        <v>0</v>
      </c>
      <c r="M112" s="1063">
        <f t="shared" si="36"/>
        <v>2444.8125675001079</v>
      </c>
      <c r="N112" s="1063">
        <f t="shared" si="36"/>
        <v>2444.8125675001079</v>
      </c>
      <c r="O112" s="1063">
        <f t="shared" si="36"/>
        <v>99.793616231606364</v>
      </c>
      <c r="P112" s="1063">
        <f t="shared" si="36"/>
        <v>0</v>
      </c>
      <c r="Q112" s="1063">
        <f t="shared" si="36"/>
        <v>0</v>
      </c>
      <c r="R112" s="1063">
        <f t="shared" si="36"/>
        <v>2544.6061837317152</v>
      </c>
      <c r="S112" s="1063">
        <f t="shared" si="36"/>
        <v>2544.6061837317152</v>
      </c>
      <c r="T112" s="1063">
        <f t="shared" si="36"/>
        <v>107.35340439827307</v>
      </c>
      <c r="U112" s="1063">
        <f t="shared" si="36"/>
        <v>0</v>
      </c>
      <c r="V112" s="1063">
        <f t="shared" si="36"/>
        <v>0</v>
      </c>
      <c r="W112" s="1063">
        <f t="shared" si="36"/>
        <v>2651.9595881299879</v>
      </c>
    </row>
    <row r="113" spans="2:23" ht="16" x14ac:dyDescent="0.3">
      <c r="B113" s="261"/>
      <c r="C113" s="263"/>
      <c r="D113" s="1096"/>
      <c r="E113" s="1095"/>
      <c r="F113" s="1096"/>
      <c r="G113" s="1096"/>
      <c r="H113" s="1096"/>
    </row>
    <row r="114" spans="2:23" x14ac:dyDescent="0.3">
      <c r="B114" s="1"/>
      <c r="C114" s="1"/>
      <c r="D114" s="1"/>
      <c r="E114" s="1"/>
      <c r="F114" s="1"/>
      <c r="G114" s="1"/>
      <c r="H114" s="1"/>
      <c r="I114" s="1"/>
      <c r="J114" s="1"/>
      <c r="K114" s="1"/>
      <c r="L114" s="1"/>
      <c r="M114" s="1"/>
      <c r="N114" s="1"/>
      <c r="O114" s="1"/>
      <c r="P114" s="1"/>
      <c r="Q114" s="1"/>
      <c r="R114" s="1"/>
    </row>
    <row r="115" spans="2:23" x14ac:dyDescent="0.3">
      <c r="B115" s="1086" t="s">
        <v>340</v>
      </c>
      <c r="C115" s="1"/>
      <c r="D115" s="1"/>
      <c r="E115" s="1"/>
      <c r="F115" s="1"/>
      <c r="G115" s="1"/>
      <c r="H115" s="1"/>
      <c r="I115" s="1"/>
      <c r="J115" s="1"/>
      <c r="K115" s="1"/>
      <c r="L115" s="1"/>
      <c r="M115" s="1"/>
      <c r="N115" s="1"/>
      <c r="O115" s="1"/>
      <c r="P115" s="1"/>
      <c r="Q115" s="1"/>
      <c r="R115" s="1"/>
    </row>
    <row r="116" spans="2:23" x14ac:dyDescent="0.3">
      <c r="B116" s="1086"/>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58" t="s">
        <v>10</v>
      </c>
      <c r="O117" s="1"/>
      <c r="P117" s="1"/>
      <c r="Q117" s="1"/>
    </row>
    <row r="118" spans="2:23" ht="15" customHeight="1" x14ac:dyDescent="0.3">
      <c r="B118" s="1792" t="s">
        <v>339</v>
      </c>
      <c r="C118" s="1792" t="s">
        <v>36</v>
      </c>
      <c r="D118" s="1936" t="s">
        <v>506</v>
      </c>
      <c r="E118" s="1937"/>
      <c r="F118" s="1937"/>
      <c r="G118" s="1937"/>
      <c r="H118" s="1938"/>
      <c r="I118" s="1939" t="s">
        <v>507</v>
      </c>
      <c r="J118" s="1939"/>
      <c r="K118" s="1939"/>
      <c r="L118" s="1939"/>
      <c r="M118" s="1939"/>
      <c r="N118" s="1935" t="s">
        <v>508</v>
      </c>
      <c r="O118" s="1935"/>
      <c r="P118" s="1935"/>
      <c r="Q118" s="1935"/>
      <c r="R118" s="1935"/>
      <c r="S118" s="1935" t="s">
        <v>968</v>
      </c>
      <c r="T118" s="1935"/>
      <c r="U118" s="1935"/>
      <c r="V118" s="1935"/>
      <c r="W118" s="1935"/>
    </row>
    <row r="119" spans="2:23" x14ac:dyDescent="0.3">
      <c r="B119" s="1792"/>
      <c r="C119" s="1792"/>
      <c r="D119" s="1941" t="s">
        <v>7</v>
      </c>
      <c r="E119" s="1942"/>
      <c r="F119" s="1942"/>
      <c r="G119" s="1942"/>
      <c r="H119" s="1942"/>
      <c r="I119" s="1941" t="s">
        <v>7</v>
      </c>
      <c r="J119" s="1942"/>
      <c r="K119" s="1942"/>
      <c r="L119" s="1942"/>
      <c r="M119" s="1942"/>
      <c r="N119" s="1939" t="s">
        <v>12</v>
      </c>
      <c r="O119" s="1940"/>
      <c r="P119" s="1940"/>
      <c r="Q119" s="1940"/>
      <c r="R119" s="1940"/>
      <c r="S119" s="1939" t="s">
        <v>21</v>
      </c>
      <c r="T119" s="1940"/>
      <c r="U119" s="1940"/>
      <c r="V119" s="1940"/>
      <c r="W119" s="1940"/>
    </row>
    <row r="120" spans="2:23" ht="42" x14ac:dyDescent="0.3">
      <c r="B120" s="1792"/>
      <c r="C120" s="1792"/>
      <c r="D120" s="1090" t="s">
        <v>266</v>
      </c>
      <c r="E120" s="1090" t="s">
        <v>267</v>
      </c>
      <c r="F120" s="262" t="s">
        <v>273</v>
      </c>
      <c r="G120" s="1084" t="s">
        <v>587</v>
      </c>
      <c r="H120" s="1090" t="s">
        <v>269</v>
      </c>
      <c r="I120" s="1090" t="s">
        <v>266</v>
      </c>
      <c r="J120" s="1090" t="s">
        <v>267</v>
      </c>
      <c r="K120" s="262" t="s">
        <v>273</v>
      </c>
      <c r="L120" s="1084" t="s">
        <v>587</v>
      </c>
      <c r="M120" s="1090" t="s">
        <v>269</v>
      </c>
      <c r="N120" s="1090" t="s">
        <v>266</v>
      </c>
      <c r="O120" s="1090" t="s">
        <v>267</v>
      </c>
      <c r="P120" s="262" t="s">
        <v>273</v>
      </c>
      <c r="Q120" s="1084" t="s">
        <v>587</v>
      </c>
      <c r="R120" s="1090" t="s">
        <v>269</v>
      </c>
      <c r="S120" s="1090" t="s">
        <v>266</v>
      </c>
      <c r="T120" s="1090" t="s">
        <v>267</v>
      </c>
      <c r="U120" s="262" t="s">
        <v>273</v>
      </c>
      <c r="V120" s="1084" t="s">
        <v>587</v>
      </c>
      <c r="W120" s="1090" t="s">
        <v>269</v>
      </c>
    </row>
    <row r="121" spans="2:23" ht="28" x14ac:dyDescent="0.3">
      <c r="B121" s="259"/>
      <c r="C121" s="259"/>
      <c r="D121" s="259" t="s">
        <v>80</v>
      </c>
      <c r="E121" s="259" t="s">
        <v>81</v>
      </c>
      <c r="F121" s="259" t="s">
        <v>459</v>
      </c>
      <c r="G121" s="259" t="s">
        <v>390</v>
      </c>
      <c r="H121" s="259" t="s">
        <v>588</v>
      </c>
      <c r="I121" s="259" t="s">
        <v>408</v>
      </c>
      <c r="J121" s="259" t="s">
        <v>509</v>
      </c>
      <c r="K121" s="259" t="s">
        <v>409</v>
      </c>
      <c r="L121" s="259" t="s">
        <v>410</v>
      </c>
      <c r="M121" s="259" t="s">
        <v>653</v>
      </c>
      <c r="N121" s="259" t="s">
        <v>595</v>
      </c>
      <c r="O121" s="259" t="s">
        <v>596</v>
      </c>
      <c r="P121" s="259" t="s">
        <v>597</v>
      </c>
      <c r="Q121" s="259" t="s">
        <v>656</v>
      </c>
      <c r="R121" s="259" t="s">
        <v>657</v>
      </c>
      <c r="S121" s="259" t="s">
        <v>658</v>
      </c>
      <c r="T121" s="259" t="s">
        <v>659</v>
      </c>
      <c r="U121" s="259" t="s">
        <v>660</v>
      </c>
      <c r="V121" s="259" t="s">
        <v>661</v>
      </c>
      <c r="W121" s="259" t="s">
        <v>662</v>
      </c>
    </row>
    <row r="122" spans="2:23" x14ac:dyDescent="0.3">
      <c r="B122" s="95">
        <v>1</v>
      </c>
      <c r="C122" s="447" t="s">
        <v>844</v>
      </c>
      <c r="D122" s="659">
        <f>D14-D68</f>
        <v>3.7073555520774324</v>
      </c>
      <c r="E122" s="659">
        <f>E14-E68</f>
        <v>0</v>
      </c>
      <c r="F122" s="659">
        <f>F14-F68</f>
        <v>0</v>
      </c>
      <c r="G122" s="659">
        <f>G14-G68</f>
        <v>0</v>
      </c>
      <c r="H122" s="659">
        <f>D122+E122-F122-G122</f>
        <v>3.7073555520774324</v>
      </c>
      <c r="I122" s="659">
        <f t="shared" ref="I122:L137" si="37">I14-I68</f>
        <v>3.7073555520774324</v>
      </c>
      <c r="J122" s="659">
        <f t="shared" si="37"/>
        <v>0.88590860000000005</v>
      </c>
      <c r="K122" s="659">
        <f t="shared" si="37"/>
        <v>0</v>
      </c>
      <c r="L122" s="659">
        <f t="shared" si="37"/>
        <v>0</v>
      </c>
      <c r="M122" s="1066">
        <f>I122+J122-K122-L122</f>
        <v>4.5932641520774329</v>
      </c>
      <c r="N122" s="659">
        <f t="shared" ref="N122:Q137" si="38">N14-N68</f>
        <v>4.5932641520774329</v>
      </c>
      <c r="O122" s="659">
        <f t="shared" si="38"/>
        <v>0</v>
      </c>
      <c r="P122" s="659">
        <f t="shared" si="38"/>
        <v>0</v>
      </c>
      <c r="Q122" s="659">
        <f t="shared" si="38"/>
        <v>0</v>
      </c>
      <c r="R122" s="659">
        <f>N122+O122-P122-Q122</f>
        <v>4.5932641520774329</v>
      </c>
      <c r="S122" s="659">
        <f t="shared" ref="S122:V137" si="39">S14-S68</f>
        <v>4.5932641520774329</v>
      </c>
      <c r="T122" s="659">
        <f t="shared" si="39"/>
        <v>0</v>
      </c>
      <c r="U122" s="659">
        <f t="shared" si="39"/>
        <v>0</v>
      </c>
      <c r="V122" s="659">
        <f t="shared" si="39"/>
        <v>0</v>
      </c>
      <c r="W122" s="1066">
        <f>S122+T122-U122-V122</f>
        <v>4.5932641520774329</v>
      </c>
    </row>
    <row r="123" spans="2:23" x14ac:dyDescent="0.3">
      <c r="B123" s="95">
        <f>B122+1</f>
        <v>2</v>
      </c>
      <c r="C123" s="447" t="s">
        <v>845</v>
      </c>
      <c r="D123" s="659">
        <f t="shared" ref="D123:G138" si="40">D15-D69</f>
        <v>68.558911874721829</v>
      </c>
      <c r="E123" s="659">
        <f t="shared" si="40"/>
        <v>-5.4389406439146093</v>
      </c>
      <c r="F123" s="659">
        <f t="shared" si="40"/>
        <v>0</v>
      </c>
      <c r="G123" s="659">
        <f t="shared" si="40"/>
        <v>0</v>
      </c>
      <c r="H123" s="659">
        <f t="shared" ref="H123:H138" si="41">D123+E123-F123-G123</f>
        <v>63.119971230807224</v>
      </c>
      <c r="I123" s="659">
        <f t="shared" si="37"/>
        <v>63.119971230807224</v>
      </c>
      <c r="J123" s="659">
        <f t="shared" si="37"/>
        <v>-5.4419488975593096</v>
      </c>
      <c r="K123" s="659">
        <f t="shared" si="37"/>
        <v>0</v>
      </c>
      <c r="L123" s="659">
        <f t="shared" si="37"/>
        <v>0</v>
      </c>
      <c r="M123" s="1066">
        <f t="shared" ref="M123:M138" si="42">I123+J123-K123-L123</f>
        <v>57.678022333247917</v>
      </c>
      <c r="N123" s="659">
        <f t="shared" si="38"/>
        <v>57.67802233324791</v>
      </c>
      <c r="O123" s="659">
        <f t="shared" si="38"/>
        <v>-4.1532686798828298</v>
      </c>
      <c r="P123" s="659">
        <f t="shared" si="38"/>
        <v>0</v>
      </c>
      <c r="Q123" s="659">
        <f t="shared" si="38"/>
        <v>0</v>
      </c>
      <c r="R123" s="659">
        <f t="shared" ref="R123:R138" si="43">N123+O123-P123-Q123</f>
        <v>53.524753653365082</v>
      </c>
      <c r="S123" s="659">
        <f t="shared" si="39"/>
        <v>53.524753653365082</v>
      </c>
      <c r="T123" s="1093">
        <f t="shared" si="39"/>
        <v>-4.1532686798828298</v>
      </c>
      <c r="U123" s="659">
        <f t="shared" si="39"/>
        <v>0</v>
      </c>
      <c r="V123" s="659">
        <f t="shared" si="39"/>
        <v>0</v>
      </c>
      <c r="W123" s="1066">
        <f t="shared" ref="W123:W138" si="44">S123+T123-U123-V123</f>
        <v>49.371484973482254</v>
      </c>
    </row>
    <row r="124" spans="2:23" x14ac:dyDescent="0.3">
      <c r="B124" s="95">
        <f t="shared" ref="B124:B138" si="45">B123+1</f>
        <v>3</v>
      </c>
      <c r="C124" s="447" t="s">
        <v>846</v>
      </c>
      <c r="D124" s="659">
        <f t="shared" si="40"/>
        <v>29.495878747208252</v>
      </c>
      <c r="E124" s="659">
        <f t="shared" si="40"/>
        <v>-3.8992799999999996</v>
      </c>
      <c r="F124" s="659">
        <f t="shared" si="40"/>
        <v>0</v>
      </c>
      <c r="G124" s="659">
        <f t="shared" si="40"/>
        <v>0</v>
      </c>
      <c r="H124" s="659">
        <f t="shared" si="41"/>
        <v>25.596598747208251</v>
      </c>
      <c r="I124" s="659">
        <f t="shared" si="37"/>
        <v>25.596598747208255</v>
      </c>
      <c r="J124" s="659">
        <f t="shared" si="37"/>
        <v>-1.6609778967343869</v>
      </c>
      <c r="K124" s="659">
        <f t="shared" si="37"/>
        <v>0</v>
      </c>
      <c r="L124" s="659">
        <f t="shared" si="37"/>
        <v>0</v>
      </c>
      <c r="M124" s="1066">
        <f t="shared" si="42"/>
        <v>23.935620850473867</v>
      </c>
      <c r="N124" s="659">
        <f t="shared" si="38"/>
        <v>23.935620850473867</v>
      </c>
      <c r="O124" s="659">
        <f t="shared" si="38"/>
        <v>-1.6609778967343869</v>
      </c>
      <c r="P124" s="659">
        <f t="shared" si="38"/>
        <v>0</v>
      </c>
      <c r="Q124" s="659">
        <f t="shared" si="38"/>
        <v>0</v>
      </c>
      <c r="R124" s="659">
        <f t="shared" si="43"/>
        <v>22.27464295373948</v>
      </c>
      <c r="S124" s="659">
        <f t="shared" si="39"/>
        <v>22.27464295373948</v>
      </c>
      <c r="T124" s="659">
        <f t="shared" si="39"/>
        <v>-1.6609778967343869</v>
      </c>
      <c r="U124" s="659">
        <f t="shared" si="39"/>
        <v>0</v>
      </c>
      <c r="V124" s="659">
        <f t="shared" si="39"/>
        <v>0</v>
      </c>
      <c r="W124" s="1066">
        <f t="shared" si="44"/>
        <v>20.613665057005093</v>
      </c>
    </row>
    <row r="125" spans="2:23" x14ac:dyDescent="0.3">
      <c r="B125" s="95">
        <f t="shared" si="45"/>
        <v>4</v>
      </c>
      <c r="C125" s="447" t="s">
        <v>847</v>
      </c>
      <c r="D125" s="659">
        <f t="shared" si="40"/>
        <v>83.507607428753289</v>
      </c>
      <c r="E125" s="659">
        <f t="shared" si="40"/>
        <v>-8.533900529162409</v>
      </c>
      <c r="F125" s="659">
        <f t="shared" si="40"/>
        <v>0</v>
      </c>
      <c r="G125" s="659">
        <f t="shared" si="40"/>
        <v>0</v>
      </c>
      <c r="H125" s="659">
        <f t="shared" si="41"/>
        <v>74.97370689959088</v>
      </c>
      <c r="I125" s="659">
        <f t="shared" si="37"/>
        <v>74.97370689959088</v>
      </c>
      <c r="J125" s="659">
        <f t="shared" si="37"/>
        <v>-8.533900529162409</v>
      </c>
      <c r="K125" s="659">
        <f t="shared" si="37"/>
        <v>0</v>
      </c>
      <c r="L125" s="659">
        <f t="shared" si="37"/>
        <v>0</v>
      </c>
      <c r="M125" s="1066">
        <f t="shared" si="42"/>
        <v>66.439806370428471</v>
      </c>
      <c r="N125" s="659">
        <f t="shared" si="38"/>
        <v>66.439806370428471</v>
      </c>
      <c r="O125" s="659">
        <f t="shared" si="38"/>
        <v>-8.533900529162409</v>
      </c>
      <c r="P125" s="659">
        <f t="shared" si="38"/>
        <v>0</v>
      </c>
      <c r="Q125" s="659">
        <f t="shared" si="38"/>
        <v>0</v>
      </c>
      <c r="R125" s="659">
        <f t="shared" si="43"/>
        <v>57.905905841266062</v>
      </c>
      <c r="S125" s="659">
        <f t="shared" si="39"/>
        <v>57.905905841266062</v>
      </c>
      <c r="T125" s="659">
        <f t="shared" si="39"/>
        <v>-4.6565628476377361</v>
      </c>
      <c r="U125" s="659">
        <f t="shared" si="39"/>
        <v>0</v>
      </c>
      <c r="V125" s="659">
        <f t="shared" si="39"/>
        <v>0</v>
      </c>
      <c r="W125" s="1066">
        <f t="shared" si="44"/>
        <v>53.249342993628325</v>
      </c>
    </row>
    <row r="126" spans="2:23" x14ac:dyDescent="0.3">
      <c r="B126" s="95">
        <f t="shared" si="45"/>
        <v>5</v>
      </c>
      <c r="C126" s="447" t="s">
        <v>848</v>
      </c>
      <c r="D126" s="659">
        <f t="shared" si="40"/>
        <v>50.572208741376876</v>
      </c>
      <c r="E126" s="659">
        <f t="shared" si="40"/>
        <v>-3.0890589189163111</v>
      </c>
      <c r="F126" s="659">
        <f t="shared" si="40"/>
        <v>0</v>
      </c>
      <c r="G126" s="659">
        <f t="shared" si="40"/>
        <v>0</v>
      </c>
      <c r="H126" s="659">
        <f t="shared" si="41"/>
        <v>47.483149822460568</v>
      </c>
      <c r="I126" s="659">
        <f t="shared" si="37"/>
        <v>47.483149822460568</v>
      </c>
      <c r="J126" s="659">
        <f t="shared" si="37"/>
        <v>-3.4526831044132118</v>
      </c>
      <c r="K126" s="659">
        <f t="shared" si="37"/>
        <v>0</v>
      </c>
      <c r="L126" s="659">
        <f t="shared" si="37"/>
        <v>0</v>
      </c>
      <c r="M126" s="1066">
        <f t="shared" si="42"/>
        <v>44.030466718047357</v>
      </c>
      <c r="N126" s="659">
        <f t="shared" si="38"/>
        <v>44.030466718047357</v>
      </c>
      <c r="O126" s="659">
        <f t="shared" si="38"/>
        <v>0.36878451658678824</v>
      </c>
      <c r="P126" s="659">
        <f t="shared" si="38"/>
        <v>0</v>
      </c>
      <c r="Q126" s="659">
        <f t="shared" si="38"/>
        <v>0</v>
      </c>
      <c r="R126" s="659">
        <f t="shared" si="43"/>
        <v>44.399251234634143</v>
      </c>
      <c r="S126" s="659">
        <f t="shared" si="39"/>
        <v>44.399251234634143</v>
      </c>
      <c r="T126" s="659">
        <f t="shared" si="39"/>
        <v>8.7775931375867877</v>
      </c>
      <c r="U126" s="659">
        <f t="shared" si="39"/>
        <v>0</v>
      </c>
      <c r="V126" s="659">
        <f t="shared" si="39"/>
        <v>-0.18086099999999999</v>
      </c>
      <c r="W126" s="1066">
        <f t="shared" si="44"/>
        <v>53.357705372220927</v>
      </c>
    </row>
    <row r="127" spans="2:23" x14ac:dyDescent="0.3">
      <c r="B127" s="95">
        <f t="shared" si="45"/>
        <v>6</v>
      </c>
      <c r="C127" s="447" t="s">
        <v>255</v>
      </c>
      <c r="D127" s="659">
        <f t="shared" si="40"/>
        <v>857.34623795977586</v>
      </c>
      <c r="E127" s="659">
        <f t="shared" si="40"/>
        <v>-19.681453908543126</v>
      </c>
      <c r="F127" s="659">
        <f t="shared" si="40"/>
        <v>0</v>
      </c>
      <c r="G127" s="659">
        <f t="shared" si="40"/>
        <v>0</v>
      </c>
      <c r="H127" s="659">
        <f t="shared" si="41"/>
        <v>837.66478405123269</v>
      </c>
      <c r="I127" s="659">
        <f t="shared" si="37"/>
        <v>837.6647840512328</v>
      </c>
      <c r="J127" s="659">
        <f t="shared" si="37"/>
        <v>-46.741617625827956</v>
      </c>
      <c r="K127" s="659">
        <f t="shared" si="37"/>
        <v>0</v>
      </c>
      <c r="L127" s="659">
        <f t="shared" si="37"/>
        <v>0</v>
      </c>
      <c r="M127" s="1066">
        <f t="shared" si="42"/>
        <v>790.92316642540482</v>
      </c>
      <c r="N127" s="659">
        <f t="shared" si="38"/>
        <v>790.92316642540482</v>
      </c>
      <c r="O127" s="659">
        <f t="shared" si="38"/>
        <v>2.681382589161295</v>
      </c>
      <c r="P127" s="659">
        <f t="shared" si="38"/>
        <v>0</v>
      </c>
      <c r="Q127" s="659">
        <f t="shared" si="38"/>
        <v>0</v>
      </c>
      <c r="R127" s="659">
        <f t="shared" si="43"/>
        <v>793.60454901456615</v>
      </c>
      <c r="S127" s="659">
        <f t="shared" si="39"/>
        <v>793.60454901456615</v>
      </c>
      <c r="T127" s="659">
        <f t="shared" si="39"/>
        <v>109.78861043920205</v>
      </c>
      <c r="U127" s="659">
        <f t="shared" si="39"/>
        <v>0</v>
      </c>
      <c r="V127" s="659">
        <f t="shared" si="39"/>
        <v>-2.6320140000000003</v>
      </c>
      <c r="W127" s="1066">
        <f t="shared" si="44"/>
        <v>906.02517345376828</v>
      </c>
    </row>
    <row r="128" spans="2:23" x14ac:dyDescent="0.3">
      <c r="B128" s="95">
        <f t="shared" si="45"/>
        <v>7</v>
      </c>
      <c r="C128" s="447" t="s">
        <v>849</v>
      </c>
      <c r="D128" s="659">
        <f t="shared" si="40"/>
        <v>2.5451526835431468</v>
      </c>
      <c r="E128" s="659">
        <f t="shared" si="40"/>
        <v>-0.90736289069339338</v>
      </c>
      <c r="F128" s="659">
        <f t="shared" si="40"/>
        <v>0</v>
      </c>
      <c r="G128" s="659">
        <f t="shared" si="40"/>
        <v>0</v>
      </c>
      <c r="H128" s="659">
        <f t="shared" si="41"/>
        <v>1.6377897928497536</v>
      </c>
      <c r="I128" s="659">
        <f t="shared" si="37"/>
        <v>1.6377897928497536</v>
      </c>
      <c r="J128" s="659">
        <f t="shared" si="37"/>
        <v>-0.10339836176345153</v>
      </c>
      <c r="K128" s="659">
        <f t="shared" si="37"/>
        <v>0</v>
      </c>
      <c r="L128" s="659">
        <f t="shared" si="37"/>
        <v>0</v>
      </c>
      <c r="M128" s="1066">
        <f t="shared" si="42"/>
        <v>1.534391431086302</v>
      </c>
      <c r="N128" s="659">
        <f t="shared" si="38"/>
        <v>1.534391431086302</v>
      </c>
      <c r="O128" s="659">
        <f t="shared" si="38"/>
        <v>-0.10339836176345153</v>
      </c>
      <c r="P128" s="659">
        <f t="shared" si="38"/>
        <v>0</v>
      </c>
      <c r="Q128" s="659">
        <f t="shared" si="38"/>
        <v>0</v>
      </c>
      <c r="R128" s="659">
        <f t="shared" si="43"/>
        <v>1.4309930693228505</v>
      </c>
      <c r="S128" s="659">
        <f t="shared" si="39"/>
        <v>1.4309930693228505</v>
      </c>
      <c r="T128" s="659">
        <f t="shared" si="39"/>
        <v>-0.10339836176345153</v>
      </c>
      <c r="U128" s="659">
        <f t="shared" si="39"/>
        <v>0</v>
      </c>
      <c r="V128" s="659">
        <f t="shared" si="39"/>
        <v>0</v>
      </c>
      <c r="W128" s="1066">
        <f t="shared" si="44"/>
        <v>1.327594707559399</v>
      </c>
    </row>
    <row r="129" spans="2:33" x14ac:dyDescent="0.3">
      <c r="B129" s="95">
        <f t="shared" si="45"/>
        <v>8</v>
      </c>
      <c r="C129" s="447" t="s">
        <v>850</v>
      </c>
      <c r="D129" s="659">
        <f t="shared" si="40"/>
        <v>0</v>
      </c>
      <c r="E129" s="659">
        <f t="shared" si="40"/>
        <v>0</v>
      </c>
      <c r="F129" s="659">
        <f t="shared" si="40"/>
        <v>0</v>
      </c>
      <c r="G129" s="659">
        <f t="shared" si="40"/>
        <v>0</v>
      </c>
      <c r="H129" s="659">
        <f t="shared" si="41"/>
        <v>0</v>
      </c>
      <c r="I129" s="659">
        <f t="shared" si="37"/>
        <v>0</v>
      </c>
      <c r="J129" s="659">
        <f t="shared" si="37"/>
        <v>0</v>
      </c>
      <c r="K129" s="659">
        <f t="shared" si="37"/>
        <v>0</v>
      </c>
      <c r="L129" s="659">
        <f t="shared" si="37"/>
        <v>0</v>
      </c>
      <c r="M129" s="1066">
        <f t="shared" si="42"/>
        <v>0</v>
      </c>
      <c r="N129" s="659">
        <f t="shared" si="38"/>
        <v>0</v>
      </c>
      <c r="O129" s="659">
        <f t="shared" si="38"/>
        <v>0.27426312000000003</v>
      </c>
      <c r="P129" s="659">
        <f t="shared" si="38"/>
        <v>0</v>
      </c>
      <c r="Q129" s="659">
        <f t="shared" si="38"/>
        <v>0</v>
      </c>
      <c r="R129" s="659">
        <f t="shared" si="43"/>
        <v>0.27426312000000003</v>
      </c>
      <c r="S129" s="659">
        <f t="shared" si="39"/>
        <v>0.27426312000000003</v>
      </c>
      <c r="T129" s="659">
        <f t="shared" si="39"/>
        <v>1.0526239999999999E-2</v>
      </c>
      <c r="U129" s="659">
        <f t="shared" si="39"/>
        <v>0</v>
      </c>
      <c r="V129" s="659">
        <f t="shared" si="39"/>
        <v>-1.2666666666666666E-3</v>
      </c>
      <c r="W129" s="1066">
        <f t="shared" si="44"/>
        <v>0.28605602666666674</v>
      </c>
    </row>
    <row r="130" spans="2:33" x14ac:dyDescent="0.3">
      <c r="B130" s="95">
        <f t="shared" si="45"/>
        <v>9</v>
      </c>
      <c r="C130" s="447" t="s">
        <v>851</v>
      </c>
      <c r="D130" s="659">
        <f t="shared" si="40"/>
        <v>12.216127313438069</v>
      </c>
      <c r="E130" s="659">
        <f t="shared" si="40"/>
        <v>-1.7165332687572872</v>
      </c>
      <c r="F130" s="659">
        <f t="shared" si="40"/>
        <v>0</v>
      </c>
      <c r="G130" s="659">
        <f t="shared" si="40"/>
        <v>0</v>
      </c>
      <c r="H130" s="659">
        <f t="shared" si="41"/>
        <v>10.499594044680782</v>
      </c>
      <c r="I130" s="659">
        <f t="shared" si="37"/>
        <v>10.49959404468078</v>
      </c>
      <c r="J130" s="659">
        <f t="shared" si="37"/>
        <v>-0.66110274464778518</v>
      </c>
      <c r="K130" s="659">
        <f t="shared" si="37"/>
        <v>0</v>
      </c>
      <c r="L130" s="659">
        <f t="shared" si="37"/>
        <v>0</v>
      </c>
      <c r="M130" s="1066">
        <f t="shared" si="42"/>
        <v>9.8384913000329952</v>
      </c>
      <c r="N130" s="659">
        <f t="shared" si="38"/>
        <v>9.8384913000329952</v>
      </c>
      <c r="O130" s="659">
        <f t="shared" si="38"/>
        <v>-0.66110274464778529</v>
      </c>
      <c r="P130" s="659">
        <f t="shared" si="38"/>
        <v>0</v>
      </c>
      <c r="Q130" s="659">
        <f t="shared" si="38"/>
        <v>0</v>
      </c>
      <c r="R130" s="659">
        <f t="shared" si="43"/>
        <v>9.1773885553852104</v>
      </c>
      <c r="S130" s="659">
        <f t="shared" si="39"/>
        <v>9.1773885553852104</v>
      </c>
      <c r="T130" s="659">
        <f t="shared" si="39"/>
        <v>-0.66110274464778529</v>
      </c>
      <c r="U130" s="659">
        <f t="shared" si="39"/>
        <v>0</v>
      </c>
      <c r="V130" s="659">
        <f t="shared" si="39"/>
        <v>0</v>
      </c>
      <c r="W130" s="1066">
        <f t="shared" si="44"/>
        <v>8.5162858107374255</v>
      </c>
    </row>
    <row r="131" spans="2:33" x14ac:dyDescent="0.3">
      <c r="B131" s="95">
        <f t="shared" si="45"/>
        <v>10</v>
      </c>
      <c r="C131" s="447" t="s">
        <v>258</v>
      </c>
      <c r="D131" s="659">
        <f t="shared" si="40"/>
        <v>1.8554312717833938</v>
      </c>
      <c r="E131" s="659">
        <f t="shared" si="40"/>
        <v>-0.22827781491406837</v>
      </c>
      <c r="F131" s="659">
        <f t="shared" si="40"/>
        <v>0</v>
      </c>
      <c r="G131" s="659">
        <f t="shared" si="40"/>
        <v>0</v>
      </c>
      <c r="H131" s="659">
        <f t="shared" si="41"/>
        <v>1.6271534568693256</v>
      </c>
      <c r="I131" s="659">
        <f t="shared" si="37"/>
        <v>1.6271534568693253</v>
      </c>
      <c r="J131" s="659">
        <f t="shared" si="37"/>
        <v>-0.22827781491406837</v>
      </c>
      <c r="K131" s="659">
        <f t="shared" si="37"/>
        <v>0</v>
      </c>
      <c r="L131" s="659">
        <f t="shared" si="37"/>
        <v>0</v>
      </c>
      <c r="M131" s="1066">
        <f t="shared" si="42"/>
        <v>1.398875641955257</v>
      </c>
      <c r="N131" s="659">
        <f t="shared" si="38"/>
        <v>1.398875641955257</v>
      </c>
      <c r="O131" s="659">
        <f t="shared" si="38"/>
        <v>4.7947185085931598E-2</v>
      </c>
      <c r="P131" s="659">
        <f t="shared" si="38"/>
        <v>0</v>
      </c>
      <c r="Q131" s="659">
        <f t="shared" si="38"/>
        <v>0</v>
      </c>
      <c r="R131" s="659">
        <f t="shared" si="43"/>
        <v>1.4468228270411887</v>
      </c>
      <c r="S131" s="659">
        <f t="shared" si="39"/>
        <v>1.4468228270411887</v>
      </c>
      <c r="T131" s="659">
        <f t="shared" si="39"/>
        <v>-0.25582781491406836</v>
      </c>
      <c r="U131" s="659">
        <f t="shared" si="39"/>
        <v>0</v>
      </c>
      <c r="V131" s="659">
        <f t="shared" si="39"/>
        <v>0</v>
      </c>
      <c r="W131" s="1066">
        <f t="shared" si="44"/>
        <v>1.1909950121271202</v>
      </c>
    </row>
    <row r="132" spans="2:33" x14ac:dyDescent="0.3">
      <c r="B132" s="95">
        <f t="shared" si="45"/>
        <v>11</v>
      </c>
      <c r="C132" s="447" t="s">
        <v>259</v>
      </c>
      <c r="D132" s="659">
        <f t="shared" si="40"/>
        <v>0.72565669447441339</v>
      </c>
      <c r="E132" s="659">
        <f t="shared" si="40"/>
        <v>-9.8858762322716939E-2</v>
      </c>
      <c r="F132" s="659">
        <f t="shared" si="40"/>
        <v>0</v>
      </c>
      <c r="G132" s="659">
        <f t="shared" si="40"/>
        <v>0</v>
      </c>
      <c r="H132" s="659">
        <f t="shared" si="41"/>
        <v>0.62679793215169644</v>
      </c>
      <c r="I132" s="659">
        <f t="shared" si="37"/>
        <v>0.62679793215169655</v>
      </c>
      <c r="J132" s="659">
        <f t="shared" si="37"/>
        <v>-3.9970922213674771E-2</v>
      </c>
      <c r="K132" s="659">
        <f t="shared" si="37"/>
        <v>0</v>
      </c>
      <c r="L132" s="659">
        <f t="shared" si="37"/>
        <v>0</v>
      </c>
      <c r="M132" s="1066">
        <f t="shared" si="42"/>
        <v>0.58682700993802173</v>
      </c>
      <c r="N132" s="659">
        <f t="shared" si="38"/>
        <v>0.58682700993802173</v>
      </c>
      <c r="O132" s="659">
        <f t="shared" si="38"/>
        <v>5.5537297667283075E-2</v>
      </c>
      <c r="P132" s="659">
        <f t="shared" si="38"/>
        <v>0</v>
      </c>
      <c r="Q132" s="659">
        <f t="shared" si="38"/>
        <v>0</v>
      </c>
      <c r="R132" s="659">
        <f t="shared" si="43"/>
        <v>0.64236430760530483</v>
      </c>
      <c r="S132" s="659">
        <f t="shared" si="39"/>
        <v>0.64236430760530472</v>
      </c>
      <c r="T132" s="659">
        <f t="shared" si="39"/>
        <v>-3.8926969969343958E-2</v>
      </c>
      <c r="U132" s="659">
        <f t="shared" si="39"/>
        <v>0</v>
      </c>
      <c r="V132" s="659">
        <f t="shared" si="39"/>
        <v>-3.1649999999999994E-4</v>
      </c>
      <c r="W132" s="1066">
        <f t="shared" si="44"/>
        <v>0.6037538376359608</v>
      </c>
    </row>
    <row r="133" spans="2:33" x14ac:dyDescent="0.3">
      <c r="B133" s="95">
        <f t="shared" si="45"/>
        <v>12</v>
      </c>
      <c r="C133" s="447" t="s">
        <v>260</v>
      </c>
      <c r="D133" s="659">
        <f t="shared" si="40"/>
        <v>1.5339426557572016</v>
      </c>
      <c r="E133" s="659">
        <f t="shared" si="40"/>
        <v>0.24796237712156266</v>
      </c>
      <c r="F133" s="659">
        <f t="shared" si="40"/>
        <v>0</v>
      </c>
      <c r="G133" s="659">
        <f t="shared" si="40"/>
        <v>0</v>
      </c>
      <c r="H133" s="659">
        <f t="shared" si="41"/>
        <v>1.7819050328787642</v>
      </c>
      <c r="I133" s="659">
        <f t="shared" si="37"/>
        <v>1.7819050328787642</v>
      </c>
      <c r="J133" s="659">
        <f t="shared" si="37"/>
        <v>-0.24105210267843735</v>
      </c>
      <c r="K133" s="659">
        <f t="shared" si="37"/>
        <v>0</v>
      </c>
      <c r="L133" s="659">
        <f t="shared" si="37"/>
        <v>0</v>
      </c>
      <c r="M133" s="1066">
        <f t="shared" si="42"/>
        <v>1.5408529302003269</v>
      </c>
      <c r="N133" s="659">
        <f t="shared" si="38"/>
        <v>1.5408529302003267</v>
      </c>
      <c r="O133" s="659">
        <f t="shared" si="38"/>
        <v>-0.24105210267843735</v>
      </c>
      <c r="P133" s="659">
        <f t="shared" si="38"/>
        <v>0</v>
      </c>
      <c r="Q133" s="659">
        <f t="shared" si="38"/>
        <v>0</v>
      </c>
      <c r="R133" s="659">
        <f t="shared" si="43"/>
        <v>1.2998008275218893</v>
      </c>
      <c r="S133" s="659">
        <f t="shared" si="39"/>
        <v>1.2998008275218895</v>
      </c>
      <c r="T133" s="659">
        <f t="shared" si="39"/>
        <v>-0.1025158966293378</v>
      </c>
      <c r="U133" s="659">
        <f t="shared" si="39"/>
        <v>0</v>
      </c>
      <c r="V133" s="659">
        <f t="shared" si="39"/>
        <v>0</v>
      </c>
      <c r="W133" s="1066">
        <f t="shared" si="44"/>
        <v>1.1972849308925517</v>
      </c>
    </row>
    <row r="134" spans="2:33" x14ac:dyDescent="0.3">
      <c r="B134" s="95">
        <f t="shared" si="45"/>
        <v>13</v>
      </c>
      <c r="C134" s="467" t="s">
        <v>899</v>
      </c>
      <c r="D134" s="659">
        <f t="shared" si="40"/>
        <v>0</v>
      </c>
      <c r="E134" s="659">
        <f t="shared" si="40"/>
        <v>0</v>
      </c>
      <c r="F134" s="659">
        <f t="shared" si="40"/>
        <v>0</v>
      </c>
      <c r="G134" s="659">
        <f t="shared" si="40"/>
        <v>0</v>
      </c>
      <c r="H134" s="659">
        <f t="shared" si="41"/>
        <v>0</v>
      </c>
      <c r="I134" s="659">
        <f t="shared" si="37"/>
        <v>0</v>
      </c>
      <c r="J134" s="659">
        <f t="shared" si="37"/>
        <v>0</v>
      </c>
      <c r="K134" s="659">
        <f t="shared" si="37"/>
        <v>0</v>
      </c>
      <c r="L134" s="659">
        <f t="shared" si="37"/>
        <v>0</v>
      </c>
      <c r="M134" s="1066">
        <f t="shared" si="42"/>
        <v>0</v>
      </c>
      <c r="N134" s="659">
        <f t="shared" si="38"/>
        <v>0</v>
      </c>
      <c r="O134" s="659">
        <f t="shared" si="38"/>
        <v>0</v>
      </c>
      <c r="P134" s="659">
        <f t="shared" si="38"/>
        <v>0</v>
      </c>
      <c r="Q134" s="659">
        <f t="shared" si="38"/>
        <v>0</v>
      </c>
      <c r="R134" s="659">
        <f t="shared" si="43"/>
        <v>0</v>
      </c>
      <c r="S134" s="659">
        <f t="shared" si="39"/>
        <v>0</v>
      </c>
      <c r="T134" s="659">
        <f t="shared" si="39"/>
        <v>0</v>
      </c>
      <c r="U134" s="659">
        <f t="shared" si="39"/>
        <v>0</v>
      </c>
      <c r="V134" s="659">
        <f t="shared" si="39"/>
        <v>0</v>
      </c>
      <c r="W134" s="1066">
        <f t="shared" si="44"/>
        <v>0</v>
      </c>
    </row>
    <row r="135" spans="2:33" x14ac:dyDescent="0.3">
      <c r="B135" s="95">
        <f t="shared" si="45"/>
        <v>14</v>
      </c>
      <c r="C135" s="467" t="s">
        <v>900</v>
      </c>
      <c r="D135" s="659">
        <f t="shared" si="40"/>
        <v>0.34799868182206262</v>
      </c>
      <c r="E135" s="659">
        <f t="shared" si="40"/>
        <v>-6.2770961148700136E-2</v>
      </c>
      <c r="F135" s="659">
        <f t="shared" si="40"/>
        <v>0</v>
      </c>
      <c r="G135" s="659">
        <f t="shared" si="40"/>
        <v>0</v>
      </c>
      <c r="H135" s="659">
        <f t="shared" si="41"/>
        <v>0.28522772067336249</v>
      </c>
      <c r="I135" s="659">
        <f t="shared" si="37"/>
        <v>0.28522772067336244</v>
      </c>
      <c r="J135" s="659">
        <f t="shared" si="37"/>
        <v>-6.2770961148700136E-2</v>
      </c>
      <c r="K135" s="659">
        <f t="shared" si="37"/>
        <v>0</v>
      </c>
      <c r="L135" s="659">
        <f t="shared" si="37"/>
        <v>0</v>
      </c>
      <c r="M135" s="1066">
        <f t="shared" si="42"/>
        <v>0.22245675952466232</v>
      </c>
      <c r="N135" s="659">
        <f t="shared" si="38"/>
        <v>0.22245675952466232</v>
      </c>
      <c r="O135" s="659">
        <f t="shared" si="38"/>
        <v>4.5690388512998614E-3</v>
      </c>
      <c r="P135" s="659">
        <f t="shared" si="38"/>
        <v>0</v>
      </c>
      <c r="Q135" s="659">
        <f t="shared" si="38"/>
        <v>0</v>
      </c>
      <c r="R135" s="659">
        <f t="shared" si="43"/>
        <v>0.22702579837596218</v>
      </c>
      <c r="S135" s="659">
        <f t="shared" si="39"/>
        <v>0.22702579837596215</v>
      </c>
      <c r="T135" s="659">
        <f t="shared" si="39"/>
        <v>-1.2024294482033474E-2</v>
      </c>
      <c r="U135" s="659">
        <f t="shared" si="39"/>
        <v>0</v>
      </c>
      <c r="V135" s="659">
        <f t="shared" si="39"/>
        <v>-5.0000000000000001E-3</v>
      </c>
      <c r="W135" s="1066">
        <f t="shared" si="44"/>
        <v>0.2200015038939287</v>
      </c>
    </row>
    <row r="136" spans="2:33" x14ac:dyDescent="0.3">
      <c r="B136" s="95">
        <f t="shared" si="45"/>
        <v>15</v>
      </c>
      <c r="C136" s="467" t="s">
        <v>901</v>
      </c>
      <c r="D136" s="659">
        <f t="shared" si="40"/>
        <v>1.0457156164178374E-2</v>
      </c>
      <c r="E136" s="659">
        <f t="shared" si="40"/>
        <v>-3.6907609991217792E-3</v>
      </c>
      <c r="F136" s="659">
        <f t="shared" si="40"/>
        <v>0</v>
      </c>
      <c r="G136" s="659">
        <f t="shared" si="40"/>
        <v>0</v>
      </c>
      <c r="H136" s="659">
        <f t="shared" si="41"/>
        <v>6.7663951650565948E-3</v>
      </c>
      <c r="I136" s="659">
        <f t="shared" si="37"/>
        <v>6.7663951650565957E-3</v>
      </c>
      <c r="J136" s="659">
        <f t="shared" si="37"/>
        <v>-3.6907609991217792E-3</v>
      </c>
      <c r="K136" s="659">
        <f t="shared" si="37"/>
        <v>0</v>
      </c>
      <c r="L136" s="659">
        <f t="shared" si="37"/>
        <v>0</v>
      </c>
      <c r="M136" s="1066">
        <f t="shared" si="42"/>
        <v>3.0756341659348165E-3</v>
      </c>
      <c r="N136" s="659">
        <f t="shared" si="38"/>
        <v>3.0756341659348169E-3</v>
      </c>
      <c r="O136" s="659">
        <f t="shared" si="38"/>
        <v>-3.0866276342210837E-4</v>
      </c>
      <c r="P136" s="659">
        <f t="shared" si="38"/>
        <v>0</v>
      </c>
      <c r="Q136" s="659">
        <f t="shared" si="38"/>
        <v>0</v>
      </c>
      <c r="R136" s="659">
        <f t="shared" si="43"/>
        <v>2.7669714025127085E-3</v>
      </c>
      <c r="S136" s="659">
        <f t="shared" si="39"/>
        <v>2.7669714025127089E-3</v>
      </c>
      <c r="T136" s="659">
        <f t="shared" si="39"/>
        <v>-3.0866276342210843E-4</v>
      </c>
      <c r="U136" s="659">
        <f t="shared" si="39"/>
        <v>0</v>
      </c>
      <c r="V136" s="659">
        <f t="shared" si="39"/>
        <v>0</v>
      </c>
      <c r="W136" s="1066">
        <f t="shared" si="44"/>
        <v>2.4583086390906005E-3</v>
      </c>
    </row>
    <row r="137" spans="2:33" x14ac:dyDescent="0.3">
      <c r="B137" s="95">
        <f t="shared" si="45"/>
        <v>16</v>
      </c>
      <c r="C137" s="467" t="s">
        <v>852</v>
      </c>
      <c r="D137" s="659">
        <f t="shared" si="40"/>
        <v>0</v>
      </c>
      <c r="E137" s="659">
        <f t="shared" si="40"/>
        <v>0</v>
      </c>
      <c r="F137" s="659">
        <f t="shared" si="40"/>
        <v>0</v>
      </c>
      <c r="G137" s="659">
        <f t="shared" si="40"/>
        <v>0</v>
      </c>
      <c r="H137" s="659">
        <f t="shared" si="41"/>
        <v>0</v>
      </c>
      <c r="I137" s="659">
        <f t="shared" si="37"/>
        <v>0</v>
      </c>
      <c r="J137" s="659">
        <f t="shared" si="37"/>
        <v>0</v>
      </c>
      <c r="K137" s="659">
        <f t="shared" si="37"/>
        <v>0</v>
      </c>
      <c r="L137" s="659">
        <f t="shared" si="37"/>
        <v>0</v>
      </c>
      <c r="M137" s="1066">
        <f t="shared" si="42"/>
        <v>0</v>
      </c>
      <c r="N137" s="659">
        <f t="shared" si="38"/>
        <v>0</v>
      </c>
      <c r="O137" s="659">
        <f t="shared" si="38"/>
        <v>0</v>
      </c>
      <c r="P137" s="659">
        <f t="shared" si="38"/>
        <v>0</v>
      </c>
      <c r="Q137" s="659">
        <f t="shared" si="38"/>
        <v>0</v>
      </c>
      <c r="R137" s="659">
        <f t="shared" si="43"/>
        <v>0</v>
      </c>
      <c r="S137" s="659">
        <f t="shared" si="39"/>
        <v>0</v>
      </c>
      <c r="T137" s="659">
        <f t="shared" si="39"/>
        <v>0</v>
      </c>
      <c r="U137" s="659">
        <f t="shared" si="39"/>
        <v>0</v>
      </c>
      <c r="V137" s="659">
        <f t="shared" si="39"/>
        <v>0</v>
      </c>
      <c r="W137" s="1066">
        <f t="shared" si="44"/>
        <v>0</v>
      </c>
    </row>
    <row r="138" spans="2:33" x14ac:dyDescent="0.3">
      <c r="B138" s="95">
        <f t="shared" si="45"/>
        <v>17</v>
      </c>
      <c r="C138" s="467" t="s">
        <v>902</v>
      </c>
      <c r="D138" s="659">
        <f t="shared" si="40"/>
        <v>0</v>
      </c>
      <c r="E138" s="659">
        <f t="shared" si="40"/>
        <v>0</v>
      </c>
      <c r="F138" s="659">
        <f t="shared" si="40"/>
        <v>0</v>
      </c>
      <c r="G138" s="659">
        <f t="shared" si="40"/>
        <v>0</v>
      </c>
      <c r="H138" s="659">
        <f t="shared" si="41"/>
        <v>0</v>
      </c>
      <c r="I138" s="659">
        <f t="shared" ref="I138:L138" si="46">I30-I84</f>
        <v>0</v>
      </c>
      <c r="J138" s="659">
        <f t="shared" si="46"/>
        <v>0</v>
      </c>
      <c r="K138" s="659">
        <f t="shared" si="46"/>
        <v>0</v>
      </c>
      <c r="L138" s="659">
        <f t="shared" si="46"/>
        <v>0</v>
      </c>
      <c r="M138" s="1066">
        <f t="shared" si="42"/>
        <v>0</v>
      </c>
      <c r="N138" s="659">
        <f t="shared" ref="N138:Q138" si="47">N30-N84</f>
        <v>0</v>
      </c>
      <c r="O138" s="659">
        <f t="shared" si="47"/>
        <v>0</v>
      </c>
      <c r="P138" s="659">
        <f t="shared" si="47"/>
        <v>0</v>
      </c>
      <c r="Q138" s="659">
        <f t="shared" si="47"/>
        <v>0</v>
      </c>
      <c r="R138" s="659">
        <f t="shared" si="43"/>
        <v>0</v>
      </c>
      <c r="S138" s="659">
        <f t="shared" ref="S138:V138" si="48">S30-S84</f>
        <v>0</v>
      </c>
      <c r="T138" s="659">
        <f t="shared" si="48"/>
        <v>0</v>
      </c>
      <c r="U138" s="659">
        <f t="shared" si="48"/>
        <v>0</v>
      </c>
      <c r="V138" s="659">
        <f t="shared" si="48"/>
        <v>0</v>
      </c>
      <c r="W138" s="1066">
        <f t="shared" si="44"/>
        <v>0</v>
      </c>
    </row>
    <row r="139" spans="2:33" ht="16" x14ac:dyDescent="0.3">
      <c r="B139" s="83"/>
      <c r="C139" s="97" t="s">
        <v>270</v>
      </c>
      <c r="D139" s="1063">
        <f>SUM(D122:D137)</f>
        <v>1112.4229667608961</v>
      </c>
      <c r="E139" s="1063">
        <f t="shared" ref="E139:W139" si="49">SUM(E122:E137)</f>
        <v>-43.412166082250188</v>
      </c>
      <c r="F139" s="1063">
        <f t="shared" si="49"/>
        <v>0</v>
      </c>
      <c r="G139" s="1063">
        <f t="shared" si="49"/>
        <v>0</v>
      </c>
      <c r="H139" s="1063">
        <f t="shared" si="49"/>
        <v>1069.0108006786459</v>
      </c>
      <c r="I139" s="1063">
        <f t="shared" si="49"/>
        <v>1069.0108006786461</v>
      </c>
      <c r="J139" s="1063">
        <f t="shared" si="49"/>
        <v>-66.285483122062516</v>
      </c>
      <c r="K139" s="1063">
        <f t="shared" si="49"/>
        <v>0</v>
      </c>
      <c r="L139" s="1063">
        <f t="shared" si="49"/>
        <v>0</v>
      </c>
      <c r="M139" s="1063">
        <f t="shared" si="49"/>
        <v>1002.7253175565834</v>
      </c>
      <c r="N139" s="1063">
        <f t="shared" si="49"/>
        <v>1002.7253175565834</v>
      </c>
      <c r="O139" s="1063">
        <f t="shared" si="49"/>
        <v>-11.921525230280125</v>
      </c>
      <c r="P139" s="1063">
        <f t="shared" si="49"/>
        <v>0</v>
      </c>
      <c r="Q139" s="1063">
        <f t="shared" si="49"/>
        <v>0</v>
      </c>
      <c r="R139" s="1063">
        <f t="shared" si="49"/>
        <v>990.8037923263031</v>
      </c>
      <c r="S139" s="1063">
        <f t="shared" si="49"/>
        <v>990.8037923263031</v>
      </c>
      <c r="T139" s="1063">
        <f t="shared" si="49"/>
        <v>106.93181564736444</v>
      </c>
      <c r="U139" s="1063">
        <f t="shared" si="49"/>
        <v>0</v>
      </c>
      <c r="V139" s="1063">
        <f t="shared" si="49"/>
        <v>-2.8194581666666667</v>
      </c>
      <c r="W139" s="1063">
        <f t="shared" si="49"/>
        <v>1100.5550661403342</v>
      </c>
    </row>
    <row r="140" spans="2:33" ht="16" x14ac:dyDescent="0.3">
      <c r="B140" s="261"/>
      <c r="C140" s="263"/>
      <c r="D140" s="263"/>
      <c r="E140" s="263"/>
      <c r="F140" s="263"/>
      <c r="G140" s="263"/>
      <c r="H140" s="263"/>
      <c r="I140" s="261"/>
      <c r="J140" s="261"/>
      <c r="K140" s="261"/>
      <c r="L140" s="261"/>
      <c r="M140" s="261"/>
      <c r="N140" s="261"/>
      <c r="O140" s="261"/>
      <c r="P140" s="261"/>
      <c r="Q140" s="261"/>
      <c r="R140" s="261"/>
      <c r="S140" s="45"/>
      <c r="T140" s="45"/>
      <c r="U140" s="45"/>
      <c r="V140" s="45"/>
      <c r="W140" s="45"/>
      <c r="X140" s="45"/>
      <c r="Y140" s="45"/>
      <c r="Z140" s="45"/>
      <c r="AA140" s="45"/>
      <c r="AB140" s="45"/>
      <c r="AC140" s="45"/>
      <c r="AD140" s="45"/>
      <c r="AE140" s="45"/>
      <c r="AF140" s="45"/>
      <c r="AG140" s="45"/>
    </row>
    <row r="141" spans="2:33" ht="16" x14ac:dyDescent="0.3">
      <c r="B141" s="260" t="s">
        <v>600</v>
      </c>
      <c r="C141" s="265"/>
      <c r="D141" s="265"/>
      <c r="E141" s="265"/>
      <c r="F141" s="265"/>
      <c r="G141" s="263"/>
      <c r="H141" s="263"/>
      <c r="I141" s="261"/>
      <c r="J141" s="261"/>
      <c r="K141" s="261"/>
      <c r="L141" s="261"/>
      <c r="M141" s="261"/>
      <c r="N141" s="261"/>
      <c r="O141" s="261"/>
      <c r="P141" s="261"/>
      <c r="Q141" s="261"/>
      <c r="R141" s="261"/>
      <c r="S141" s="45"/>
      <c r="T141" s="45"/>
      <c r="U141" s="45"/>
      <c r="V141" s="45"/>
      <c r="W141" s="45"/>
      <c r="X141" s="45"/>
      <c r="Y141" s="45"/>
      <c r="Z141" s="45"/>
      <c r="AA141" s="45"/>
      <c r="AB141" s="45"/>
      <c r="AC141" s="45"/>
      <c r="AD141" s="45"/>
      <c r="AE141" s="45"/>
      <c r="AF141" s="45"/>
      <c r="AG141" s="45"/>
    </row>
    <row r="142" spans="2:33" ht="16" x14ac:dyDescent="0.3">
      <c r="B142" s="261"/>
      <c r="C142" s="263"/>
      <c r="D142" s="263"/>
      <c r="E142" s="263"/>
      <c r="F142" s="263"/>
      <c r="G142" s="263"/>
      <c r="H142" s="263"/>
      <c r="I142" s="261"/>
      <c r="J142" s="261"/>
      <c r="K142" s="261"/>
      <c r="L142" s="261"/>
      <c r="M142" s="261"/>
      <c r="N142" s="261"/>
      <c r="O142" s="261"/>
      <c r="P142" s="261"/>
      <c r="Q142" s="261"/>
      <c r="R142" s="261"/>
      <c r="S142" s="45"/>
      <c r="T142" s="45"/>
      <c r="U142" s="45"/>
      <c r="V142" s="45"/>
      <c r="W142" s="45"/>
      <c r="X142" s="45"/>
      <c r="Y142" s="45"/>
      <c r="Z142" s="45"/>
      <c r="AA142" s="45"/>
      <c r="AB142" s="45"/>
      <c r="AC142" s="45"/>
      <c r="AD142" s="45"/>
      <c r="AE142" s="45"/>
      <c r="AF142" s="45"/>
      <c r="AG142" s="45"/>
    </row>
    <row r="143" spans="2:33" ht="15" customHeight="1" x14ac:dyDescent="0.3">
      <c r="B143" s="261"/>
      <c r="C143" s="263"/>
      <c r="D143" s="8"/>
      <c r="E143" s="8"/>
      <c r="F143" s="8"/>
      <c r="G143" s="8"/>
      <c r="H143" s="8"/>
      <c r="I143" s="1"/>
      <c r="J143" s="44"/>
      <c r="K143" s="1"/>
      <c r="L143" s="1"/>
      <c r="M143" s="44"/>
      <c r="N143" s="44"/>
      <c r="O143" s="1"/>
      <c r="P143" s="1"/>
      <c r="Q143" s="1"/>
      <c r="AG143" s="258" t="s">
        <v>10</v>
      </c>
    </row>
    <row r="144" spans="2:33" ht="13.75" customHeight="1" x14ac:dyDescent="0.3">
      <c r="B144" s="1792" t="s">
        <v>339</v>
      </c>
      <c r="C144" s="1792" t="s">
        <v>36</v>
      </c>
      <c r="D144" s="1943" t="s">
        <v>969</v>
      </c>
      <c r="E144" s="1944"/>
      <c r="F144" s="1944"/>
      <c r="G144" s="1944"/>
      <c r="H144" s="1945"/>
      <c r="I144" s="1943" t="s">
        <v>970</v>
      </c>
      <c r="J144" s="1944"/>
      <c r="K144" s="1944"/>
      <c r="L144" s="1944"/>
      <c r="M144" s="1945"/>
      <c r="N144" s="1935" t="s">
        <v>971</v>
      </c>
      <c r="O144" s="1935"/>
      <c r="P144" s="1935"/>
      <c r="Q144" s="1935"/>
      <c r="R144" s="1935"/>
      <c r="S144" s="1935" t="s">
        <v>972</v>
      </c>
      <c r="T144" s="1935"/>
      <c r="U144" s="1935"/>
      <c r="V144" s="1935"/>
      <c r="W144" s="1935"/>
    </row>
    <row r="145" spans="2:23" x14ac:dyDescent="0.3">
      <c r="B145" s="1792"/>
      <c r="C145" s="1792"/>
      <c r="D145" s="1936" t="s">
        <v>21</v>
      </c>
      <c r="E145" s="1937"/>
      <c r="F145" s="1937"/>
      <c r="G145" s="1937"/>
      <c r="H145" s="1938"/>
      <c r="I145" s="1936" t="s">
        <v>21</v>
      </c>
      <c r="J145" s="1937"/>
      <c r="K145" s="1937"/>
      <c r="L145" s="1937"/>
      <c r="M145" s="1938"/>
      <c r="N145" s="1939" t="s">
        <v>21</v>
      </c>
      <c r="O145" s="1940"/>
      <c r="P145" s="1940"/>
      <c r="Q145" s="1940"/>
      <c r="R145" s="1940"/>
      <c r="S145" s="1939" t="s">
        <v>21</v>
      </c>
      <c r="T145" s="1940"/>
      <c r="U145" s="1940"/>
      <c r="V145" s="1940"/>
      <c r="W145" s="1940"/>
    </row>
    <row r="146" spans="2:23" ht="42" x14ac:dyDescent="0.3">
      <c r="B146" s="1792"/>
      <c r="C146" s="1792"/>
      <c r="D146" s="1090" t="s">
        <v>266</v>
      </c>
      <c r="E146" s="1090" t="s">
        <v>267</v>
      </c>
      <c r="F146" s="262" t="s">
        <v>273</v>
      </c>
      <c r="G146" s="1084" t="s">
        <v>587</v>
      </c>
      <c r="H146" s="1090" t="s">
        <v>269</v>
      </c>
      <c r="I146" s="1090" t="s">
        <v>266</v>
      </c>
      <c r="J146" s="1090" t="s">
        <v>267</v>
      </c>
      <c r="K146" s="1090" t="s">
        <v>268</v>
      </c>
      <c r="L146" s="1084" t="s">
        <v>587</v>
      </c>
      <c r="M146" s="1090" t="s">
        <v>269</v>
      </c>
      <c r="N146" s="1090" t="s">
        <v>266</v>
      </c>
      <c r="O146" s="1090" t="s">
        <v>267</v>
      </c>
      <c r="P146" s="1090" t="s">
        <v>268</v>
      </c>
      <c r="Q146" s="1084" t="s">
        <v>587</v>
      </c>
      <c r="R146" s="1090" t="s">
        <v>269</v>
      </c>
      <c r="S146" s="1090" t="s">
        <v>266</v>
      </c>
      <c r="T146" s="1090" t="s">
        <v>267</v>
      </c>
      <c r="U146" s="1090" t="s">
        <v>268</v>
      </c>
      <c r="V146" s="1084" t="s">
        <v>587</v>
      </c>
      <c r="W146" s="1090" t="s">
        <v>269</v>
      </c>
    </row>
    <row r="147" spans="2:23" ht="28" x14ac:dyDescent="0.3">
      <c r="B147" s="259"/>
      <c r="C147" s="259"/>
      <c r="D147" s="259" t="s">
        <v>663</v>
      </c>
      <c r="E147" s="259" t="s">
        <v>664</v>
      </c>
      <c r="F147" s="259" t="s">
        <v>665</v>
      </c>
      <c r="G147" s="259" t="s">
        <v>666</v>
      </c>
      <c r="H147" s="259" t="s">
        <v>667</v>
      </c>
      <c r="I147" s="259" t="s">
        <v>663</v>
      </c>
      <c r="J147" s="259" t="s">
        <v>664</v>
      </c>
      <c r="K147" s="259" t="s">
        <v>665</v>
      </c>
      <c r="L147" s="259" t="s">
        <v>666</v>
      </c>
      <c r="M147" s="259" t="s">
        <v>667</v>
      </c>
      <c r="N147" s="259" t="s">
        <v>663</v>
      </c>
      <c r="O147" s="259" t="s">
        <v>664</v>
      </c>
      <c r="P147" s="259" t="s">
        <v>665</v>
      </c>
      <c r="Q147" s="259" t="s">
        <v>666</v>
      </c>
      <c r="R147" s="259" t="s">
        <v>667</v>
      </c>
      <c r="S147" s="259" t="s">
        <v>663</v>
      </c>
      <c r="T147" s="259" t="s">
        <v>664</v>
      </c>
      <c r="U147" s="259" t="s">
        <v>665</v>
      </c>
      <c r="V147" s="259" t="s">
        <v>666</v>
      </c>
      <c r="W147" s="259" t="s">
        <v>667</v>
      </c>
    </row>
    <row r="148" spans="2:23" x14ac:dyDescent="0.3">
      <c r="B148" s="95">
        <v>1</v>
      </c>
      <c r="C148" s="447" t="s">
        <v>844</v>
      </c>
      <c r="D148" s="659">
        <f t="shared" ref="D148:G163" si="50">D40-D95</f>
        <v>4.5932641520774329</v>
      </c>
      <c r="E148" s="659">
        <f t="shared" si="50"/>
        <v>0</v>
      </c>
      <c r="F148" s="659">
        <f t="shared" si="50"/>
        <v>0</v>
      </c>
      <c r="G148" s="659">
        <f t="shared" si="50"/>
        <v>0</v>
      </c>
      <c r="H148" s="1066">
        <f>D148+E148-F148-G148</f>
        <v>4.5932641520774329</v>
      </c>
      <c r="I148" s="823">
        <f>H148</f>
        <v>4.5932641520774329</v>
      </c>
      <c r="J148" s="1074"/>
      <c r="K148" s="823"/>
      <c r="L148" s="1074"/>
      <c r="M148" s="823">
        <f>I148+J148-K148-L148</f>
        <v>4.5932641520774329</v>
      </c>
      <c r="N148" s="823">
        <f>M148</f>
        <v>4.5932641520774329</v>
      </c>
      <c r="O148" s="1074"/>
      <c r="P148" s="823"/>
      <c r="Q148" s="1074"/>
      <c r="R148" s="823">
        <f>N148+O148-P148-Q148</f>
        <v>4.5932641520774329</v>
      </c>
      <c r="S148" s="823">
        <f>R148</f>
        <v>4.5932641520774329</v>
      </c>
      <c r="T148" s="1074"/>
      <c r="U148" s="823"/>
      <c r="V148" s="1074"/>
      <c r="W148" s="823">
        <f>S148+T148-U148-V148</f>
        <v>4.5932641520774329</v>
      </c>
    </row>
    <row r="149" spans="2:23" x14ac:dyDescent="0.3">
      <c r="B149" s="95">
        <f>B148+1</f>
        <v>2</v>
      </c>
      <c r="C149" s="447" t="s">
        <v>845</v>
      </c>
      <c r="D149" s="659">
        <f t="shared" si="50"/>
        <v>49.371484973482254</v>
      </c>
      <c r="E149" s="659">
        <f t="shared" si="50"/>
        <v>2.4790898201171698</v>
      </c>
      <c r="F149" s="659">
        <f t="shared" si="50"/>
        <v>0</v>
      </c>
      <c r="G149" s="659">
        <f t="shared" si="50"/>
        <v>0</v>
      </c>
      <c r="H149" s="1066">
        <f t="shared" ref="H149:H164" si="51">D149+E149-F149-G149</f>
        <v>51.850574793599421</v>
      </c>
      <c r="I149" s="823">
        <f t="shared" ref="I149:I164" si="52">H149</f>
        <v>51.850574793599421</v>
      </c>
      <c r="J149" s="1074"/>
      <c r="K149" s="823"/>
      <c r="L149" s="1074"/>
      <c r="M149" s="823">
        <f t="shared" ref="M149:M164" si="53">I149+J149-K149-L149</f>
        <v>51.850574793599421</v>
      </c>
      <c r="N149" s="823">
        <f t="shared" ref="N149:N164" si="54">M149</f>
        <v>51.850574793599421</v>
      </c>
      <c r="O149" s="1074"/>
      <c r="P149" s="823"/>
      <c r="Q149" s="1074"/>
      <c r="R149" s="823">
        <f t="shared" ref="R149:R164" si="55">N149+O149-P149-Q149</f>
        <v>51.850574793599421</v>
      </c>
      <c r="S149" s="823">
        <f t="shared" ref="S149:S164" si="56">R149</f>
        <v>51.850574793599421</v>
      </c>
      <c r="T149" s="1074"/>
      <c r="U149" s="823"/>
      <c r="V149" s="1074"/>
      <c r="W149" s="823">
        <f t="shared" ref="W149:W164" si="57">S149+T149-U149-V149</f>
        <v>51.850574793599421</v>
      </c>
    </row>
    <row r="150" spans="2:23" x14ac:dyDescent="0.3">
      <c r="B150" s="95">
        <f t="shared" ref="B150:B164" si="58">B149+1</f>
        <v>3</v>
      </c>
      <c r="C150" s="447" t="s">
        <v>846</v>
      </c>
      <c r="D150" s="659">
        <f t="shared" si="50"/>
        <v>20.613665057005093</v>
      </c>
      <c r="E150" s="659">
        <f t="shared" si="50"/>
        <v>-1.6609778967343869</v>
      </c>
      <c r="F150" s="659">
        <f t="shared" si="50"/>
        <v>0</v>
      </c>
      <c r="G150" s="659">
        <f t="shared" si="50"/>
        <v>0</v>
      </c>
      <c r="H150" s="1066">
        <f t="shared" si="51"/>
        <v>18.952687160270706</v>
      </c>
      <c r="I150" s="823">
        <f t="shared" si="52"/>
        <v>18.952687160270706</v>
      </c>
      <c r="J150" s="1074"/>
      <c r="K150" s="823"/>
      <c r="L150" s="1074"/>
      <c r="M150" s="823">
        <f t="shared" si="53"/>
        <v>18.952687160270706</v>
      </c>
      <c r="N150" s="823">
        <f t="shared" si="54"/>
        <v>18.952687160270706</v>
      </c>
      <c r="O150" s="1074"/>
      <c r="P150" s="823"/>
      <c r="Q150" s="1074"/>
      <c r="R150" s="823">
        <f t="shared" si="55"/>
        <v>18.952687160270706</v>
      </c>
      <c r="S150" s="823">
        <f t="shared" si="56"/>
        <v>18.952687160270706</v>
      </c>
      <c r="T150" s="1074"/>
      <c r="U150" s="823"/>
      <c r="V150" s="1074"/>
      <c r="W150" s="823">
        <f t="shared" si="57"/>
        <v>18.952687160270706</v>
      </c>
    </row>
    <row r="151" spans="2:23" x14ac:dyDescent="0.3">
      <c r="B151" s="95">
        <f t="shared" si="58"/>
        <v>4</v>
      </c>
      <c r="C151" s="447" t="s">
        <v>847</v>
      </c>
      <c r="D151" s="659">
        <f t="shared" si="50"/>
        <v>53.249342993628332</v>
      </c>
      <c r="E151" s="659">
        <f t="shared" si="50"/>
        <v>-4.656562847637737</v>
      </c>
      <c r="F151" s="659">
        <f t="shared" si="50"/>
        <v>0</v>
      </c>
      <c r="G151" s="659">
        <f t="shared" si="50"/>
        <v>0</v>
      </c>
      <c r="H151" s="1066">
        <f t="shared" si="51"/>
        <v>48.592780145990595</v>
      </c>
      <c r="I151" s="823">
        <f t="shared" si="52"/>
        <v>48.592780145990595</v>
      </c>
      <c r="J151" s="1074"/>
      <c r="K151" s="823"/>
      <c r="L151" s="1074"/>
      <c r="M151" s="823">
        <f t="shared" si="53"/>
        <v>48.592780145990595</v>
      </c>
      <c r="N151" s="823">
        <f t="shared" si="54"/>
        <v>48.592780145990595</v>
      </c>
      <c r="O151" s="1074"/>
      <c r="P151" s="823"/>
      <c r="Q151" s="1074"/>
      <c r="R151" s="823">
        <f t="shared" si="55"/>
        <v>48.592780145990595</v>
      </c>
      <c r="S151" s="823">
        <f t="shared" si="56"/>
        <v>48.592780145990595</v>
      </c>
      <c r="T151" s="1074"/>
      <c r="U151" s="823"/>
      <c r="V151" s="1074"/>
      <c r="W151" s="823">
        <f t="shared" si="57"/>
        <v>48.592780145990595</v>
      </c>
    </row>
    <row r="152" spans="2:23" x14ac:dyDescent="0.3">
      <c r="B152" s="95">
        <f t="shared" si="58"/>
        <v>5</v>
      </c>
      <c r="C152" s="447" t="s">
        <v>848</v>
      </c>
      <c r="D152" s="659">
        <f t="shared" si="50"/>
        <v>53.357705372220934</v>
      </c>
      <c r="E152" s="659">
        <f t="shared" si="50"/>
        <v>8.7805741375867896</v>
      </c>
      <c r="F152" s="659">
        <f t="shared" si="50"/>
        <v>0</v>
      </c>
      <c r="G152" s="659">
        <f t="shared" si="50"/>
        <v>0</v>
      </c>
      <c r="H152" s="1066">
        <f t="shared" si="51"/>
        <v>62.138279509807724</v>
      </c>
      <c r="I152" s="823">
        <f t="shared" si="52"/>
        <v>62.138279509807724</v>
      </c>
      <c r="J152" s="1074"/>
      <c r="K152" s="823"/>
      <c r="L152" s="1074"/>
      <c r="M152" s="823">
        <f t="shared" si="53"/>
        <v>62.138279509807724</v>
      </c>
      <c r="N152" s="823">
        <f t="shared" si="54"/>
        <v>62.138279509807724</v>
      </c>
      <c r="O152" s="1074"/>
      <c r="P152" s="823"/>
      <c r="Q152" s="1074"/>
      <c r="R152" s="823">
        <f t="shared" si="55"/>
        <v>62.138279509807724</v>
      </c>
      <c r="S152" s="823">
        <f t="shared" si="56"/>
        <v>62.138279509807724</v>
      </c>
      <c r="T152" s="1074"/>
      <c r="U152" s="823"/>
      <c r="V152" s="1074"/>
      <c r="W152" s="823">
        <f t="shared" si="57"/>
        <v>62.138279509807724</v>
      </c>
    </row>
    <row r="153" spans="2:23" x14ac:dyDescent="0.3">
      <c r="B153" s="95">
        <f t="shared" si="58"/>
        <v>6</v>
      </c>
      <c r="C153" s="447" t="s">
        <v>255</v>
      </c>
      <c r="D153" s="659">
        <f t="shared" si="50"/>
        <v>906.02517345376828</v>
      </c>
      <c r="E153" s="659">
        <f t="shared" si="50"/>
        <v>27.988959522535353</v>
      </c>
      <c r="F153" s="659">
        <f t="shared" si="50"/>
        <v>0</v>
      </c>
      <c r="G153" s="659">
        <f t="shared" si="50"/>
        <v>0</v>
      </c>
      <c r="H153" s="1066">
        <f t="shared" si="51"/>
        <v>934.01413297630359</v>
      </c>
      <c r="I153" s="823">
        <f t="shared" si="52"/>
        <v>934.01413297630359</v>
      </c>
      <c r="J153" s="1074"/>
      <c r="K153" s="823"/>
      <c r="L153" s="1074"/>
      <c r="M153" s="823">
        <f t="shared" si="53"/>
        <v>934.01413297630359</v>
      </c>
      <c r="N153" s="823">
        <f t="shared" si="54"/>
        <v>934.01413297630359</v>
      </c>
      <c r="O153" s="1074"/>
      <c r="P153" s="823"/>
      <c r="Q153" s="1074"/>
      <c r="R153" s="823">
        <f t="shared" si="55"/>
        <v>934.01413297630359</v>
      </c>
      <c r="S153" s="823">
        <f t="shared" si="56"/>
        <v>934.01413297630359</v>
      </c>
      <c r="T153" s="1074"/>
      <c r="U153" s="823"/>
      <c r="V153" s="1074"/>
      <c r="W153" s="823">
        <f t="shared" si="57"/>
        <v>934.01413297630359</v>
      </c>
    </row>
    <row r="154" spans="2:23" x14ac:dyDescent="0.3">
      <c r="B154" s="95">
        <f t="shared" si="58"/>
        <v>7</v>
      </c>
      <c r="C154" s="447" t="s">
        <v>849</v>
      </c>
      <c r="D154" s="659">
        <f t="shared" si="50"/>
        <v>1.327594707559399</v>
      </c>
      <c r="E154" s="659">
        <f t="shared" si="50"/>
        <v>-0.10339836176345153</v>
      </c>
      <c r="F154" s="659">
        <f t="shared" si="50"/>
        <v>0</v>
      </c>
      <c r="G154" s="659">
        <f t="shared" si="50"/>
        <v>0</v>
      </c>
      <c r="H154" s="1066">
        <f t="shared" si="51"/>
        <v>1.2241963457959475</v>
      </c>
      <c r="I154" s="823">
        <f t="shared" si="52"/>
        <v>1.2241963457959475</v>
      </c>
      <c r="J154" s="1074"/>
      <c r="K154" s="823"/>
      <c r="L154" s="1074"/>
      <c r="M154" s="823">
        <f t="shared" si="53"/>
        <v>1.2241963457959475</v>
      </c>
      <c r="N154" s="823">
        <f t="shared" si="54"/>
        <v>1.2241963457959475</v>
      </c>
      <c r="O154" s="1074"/>
      <c r="P154" s="823"/>
      <c r="Q154" s="1074"/>
      <c r="R154" s="823">
        <f t="shared" si="55"/>
        <v>1.2241963457959475</v>
      </c>
      <c r="S154" s="823">
        <f t="shared" si="56"/>
        <v>1.2241963457959475</v>
      </c>
      <c r="T154" s="1074"/>
      <c r="U154" s="823"/>
      <c r="V154" s="1074"/>
      <c r="W154" s="823">
        <f t="shared" si="57"/>
        <v>1.2241963457959475</v>
      </c>
    </row>
    <row r="155" spans="2:23" x14ac:dyDescent="0.3">
      <c r="B155" s="95">
        <f t="shared" si="58"/>
        <v>8</v>
      </c>
      <c r="C155" s="447" t="s">
        <v>850</v>
      </c>
      <c r="D155" s="659">
        <f t="shared" si="50"/>
        <v>0.28605602666666669</v>
      </c>
      <c r="E155" s="659">
        <f t="shared" si="50"/>
        <v>1.6429066666666658E-3</v>
      </c>
      <c r="F155" s="659">
        <f t="shared" si="50"/>
        <v>0</v>
      </c>
      <c r="G155" s="659">
        <f t="shared" si="50"/>
        <v>0</v>
      </c>
      <c r="H155" s="1066">
        <f t="shared" si="51"/>
        <v>0.28769893333333335</v>
      </c>
      <c r="I155" s="823">
        <f t="shared" si="52"/>
        <v>0.28769893333333335</v>
      </c>
      <c r="J155" s="1074"/>
      <c r="K155" s="823"/>
      <c r="L155" s="1074"/>
      <c r="M155" s="823">
        <f t="shared" si="53"/>
        <v>0.28769893333333335</v>
      </c>
      <c r="N155" s="823">
        <f t="shared" si="54"/>
        <v>0.28769893333333335</v>
      </c>
      <c r="O155" s="1074"/>
      <c r="P155" s="823"/>
      <c r="Q155" s="1074"/>
      <c r="R155" s="823">
        <f t="shared" si="55"/>
        <v>0.28769893333333335</v>
      </c>
      <c r="S155" s="823">
        <f t="shared" si="56"/>
        <v>0.28769893333333335</v>
      </c>
      <c r="T155" s="1074"/>
      <c r="U155" s="823"/>
      <c r="V155" s="1074"/>
      <c r="W155" s="823">
        <f t="shared" si="57"/>
        <v>0.28769893333333335</v>
      </c>
    </row>
    <row r="156" spans="2:23" x14ac:dyDescent="0.3">
      <c r="B156" s="95">
        <f t="shared" si="58"/>
        <v>9</v>
      </c>
      <c r="C156" s="447" t="s">
        <v>851</v>
      </c>
      <c r="D156" s="659">
        <f t="shared" si="50"/>
        <v>8.5162858107374255</v>
      </c>
      <c r="E156" s="659">
        <f t="shared" si="50"/>
        <v>-0.6611027446477854</v>
      </c>
      <c r="F156" s="659">
        <f t="shared" si="50"/>
        <v>0</v>
      </c>
      <c r="G156" s="659">
        <f t="shared" si="50"/>
        <v>0</v>
      </c>
      <c r="H156" s="1066">
        <f t="shared" si="51"/>
        <v>7.8551830660896398</v>
      </c>
      <c r="I156" s="823">
        <f t="shared" si="52"/>
        <v>7.8551830660896398</v>
      </c>
      <c r="J156" s="1074"/>
      <c r="K156" s="823"/>
      <c r="L156" s="1074"/>
      <c r="M156" s="823">
        <f t="shared" si="53"/>
        <v>7.8551830660896398</v>
      </c>
      <c r="N156" s="823">
        <f t="shared" si="54"/>
        <v>7.8551830660896398</v>
      </c>
      <c r="O156" s="1074"/>
      <c r="P156" s="823"/>
      <c r="Q156" s="1074"/>
      <c r="R156" s="823">
        <f t="shared" si="55"/>
        <v>7.8551830660896398</v>
      </c>
      <c r="S156" s="823">
        <f t="shared" si="56"/>
        <v>7.8551830660896398</v>
      </c>
      <c r="T156" s="1074"/>
      <c r="U156" s="823"/>
      <c r="V156" s="1074"/>
      <c r="W156" s="823">
        <f t="shared" si="57"/>
        <v>7.8551830660896398</v>
      </c>
    </row>
    <row r="157" spans="2:23" x14ac:dyDescent="0.3">
      <c r="B157" s="95">
        <f t="shared" si="58"/>
        <v>10</v>
      </c>
      <c r="C157" s="447" t="s">
        <v>258</v>
      </c>
      <c r="D157" s="659">
        <f t="shared" si="50"/>
        <v>1.1909950121271202</v>
      </c>
      <c r="E157" s="659">
        <f t="shared" si="50"/>
        <v>-0.25582781491406836</v>
      </c>
      <c r="F157" s="659">
        <f t="shared" si="50"/>
        <v>0</v>
      </c>
      <c r="G157" s="659">
        <f t="shared" si="50"/>
        <v>0</v>
      </c>
      <c r="H157" s="1066">
        <f t="shared" si="51"/>
        <v>0.93516719721305186</v>
      </c>
      <c r="I157" s="823">
        <f t="shared" si="52"/>
        <v>0.93516719721305186</v>
      </c>
      <c r="J157" s="1074"/>
      <c r="K157" s="823"/>
      <c r="L157" s="1074"/>
      <c r="M157" s="823">
        <f t="shared" si="53"/>
        <v>0.93516719721305186</v>
      </c>
      <c r="N157" s="823">
        <f t="shared" si="54"/>
        <v>0.93516719721305186</v>
      </c>
      <c r="O157" s="1074"/>
      <c r="P157" s="823"/>
      <c r="Q157" s="1074"/>
      <c r="R157" s="823">
        <f t="shared" si="55"/>
        <v>0.93516719721305186</v>
      </c>
      <c r="S157" s="823">
        <f t="shared" si="56"/>
        <v>0.93516719721305186</v>
      </c>
      <c r="T157" s="1074"/>
      <c r="U157" s="823"/>
      <c r="V157" s="1074"/>
      <c r="W157" s="823">
        <f t="shared" si="57"/>
        <v>0.93516719721305186</v>
      </c>
    </row>
    <row r="158" spans="2:23" x14ac:dyDescent="0.3">
      <c r="B158" s="95">
        <f t="shared" si="58"/>
        <v>11</v>
      </c>
      <c r="C158" s="447" t="s">
        <v>259</v>
      </c>
      <c r="D158" s="659">
        <f t="shared" si="50"/>
        <v>0.60375383763596058</v>
      </c>
      <c r="E158" s="659">
        <f t="shared" si="50"/>
        <v>-4.1980844969343963E-2</v>
      </c>
      <c r="F158" s="659">
        <f t="shared" si="50"/>
        <v>0</v>
      </c>
      <c r="G158" s="659">
        <f t="shared" si="50"/>
        <v>0</v>
      </c>
      <c r="H158" s="1066">
        <f t="shared" si="51"/>
        <v>0.56177299266661662</v>
      </c>
      <c r="I158" s="823">
        <f t="shared" si="52"/>
        <v>0.56177299266661662</v>
      </c>
      <c r="J158" s="1074"/>
      <c r="K158" s="823"/>
      <c r="L158" s="1074"/>
      <c r="M158" s="823">
        <f t="shared" si="53"/>
        <v>0.56177299266661662</v>
      </c>
      <c r="N158" s="823">
        <f t="shared" si="54"/>
        <v>0.56177299266661662</v>
      </c>
      <c r="O158" s="1074"/>
      <c r="P158" s="823"/>
      <c r="Q158" s="1074"/>
      <c r="R158" s="823">
        <f t="shared" si="55"/>
        <v>0.56177299266661662</v>
      </c>
      <c r="S158" s="823">
        <f t="shared" si="56"/>
        <v>0.56177299266661662</v>
      </c>
      <c r="T158" s="1074"/>
      <c r="U158" s="823"/>
      <c r="V158" s="1074"/>
      <c r="W158" s="823">
        <f t="shared" si="57"/>
        <v>0.56177299266661662</v>
      </c>
    </row>
    <row r="159" spans="2:23" x14ac:dyDescent="0.3">
      <c r="B159" s="95">
        <f t="shared" si="58"/>
        <v>12</v>
      </c>
      <c r="C159" s="447" t="s">
        <v>260</v>
      </c>
      <c r="D159" s="659">
        <f t="shared" si="50"/>
        <v>1.1972849308925517</v>
      </c>
      <c r="E159" s="659">
        <f t="shared" si="50"/>
        <v>-0.10251589662933781</v>
      </c>
      <c r="F159" s="659">
        <f t="shared" si="50"/>
        <v>0</v>
      </c>
      <c r="G159" s="659">
        <f t="shared" si="50"/>
        <v>0</v>
      </c>
      <c r="H159" s="1066">
        <f t="shared" si="51"/>
        <v>1.0947690342632139</v>
      </c>
      <c r="I159" s="823">
        <f t="shared" si="52"/>
        <v>1.0947690342632139</v>
      </c>
      <c r="J159" s="1074"/>
      <c r="K159" s="823"/>
      <c r="L159" s="1074"/>
      <c r="M159" s="823">
        <f t="shared" si="53"/>
        <v>1.0947690342632139</v>
      </c>
      <c r="N159" s="823">
        <f t="shared" si="54"/>
        <v>1.0947690342632139</v>
      </c>
      <c r="O159" s="1074"/>
      <c r="P159" s="823"/>
      <c r="Q159" s="1074"/>
      <c r="R159" s="823">
        <f t="shared" si="55"/>
        <v>1.0947690342632139</v>
      </c>
      <c r="S159" s="823">
        <f t="shared" si="56"/>
        <v>1.0947690342632139</v>
      </c>
      <c r="T159" s="1074"/>
      <c r="U159" s="823"/>
      <c r="V159" s="1074"/>
      <c r="W159" s="823">
        <f t="shared" si="57"/>
        <v>1.0947690342632139</v>
      </c>
    </row>
    <row r="160" spans="2:23" x14ac:dyDescent="0.3">
      <c r="B160" s="95">
        <f t="shared" si="58"/>
        <v>13</v>
      </c>
      <c r="C160" s="467" t="s">
        <v>899</v>
      </c>
      <c r="D160" s="659">
        <f t="shared" si="50"/>
        <v>0</v>
      </c>
      <c r="E160" s="659">
        <f t="shared" si="50"/>
        <v>0</v>
      </c>
      <c r="F160" s="659">
        <f t="shared" si="50"/>
        <v>0</v>
      </c>
      <c r="G160" s="659">
        <f t="shared" si="50"/>
        <v>0</v>
      </c>
      <c r="H160" s="1066">
        <f t="shared" si="51"/>
        <v>0</v>
      </c>
      <c r="I160" s="823">
        <f t="shared" si="52"/>
        <v>0</v>
      </c>
      <c r="J160" s="1074"/>
      <c r="K160" s="823"/>
      <c r="L160" s="1074"/>
      <c r="M160" s="823">
        <f t="shared" si="53"/>
        <v>0</v>
      </c>
      <c r="N160" s="823">
        <f t="shared" si="54"/>
        <v>0</v>
      </c>
      <c r="O160" s="1074"/>
      <c r="P160" s="823"/>
      <c r="Q160" s="1074"/>
      <c r="R160" s="823">
        <f t="shared" si="55"/>
        <v>0</v>
      </c>
      <c r="S160" s="823">
        <f t="shared" si="56"/>
        <v>0</v>
      </c>
      <c r="T160" s="1074"/>
      <c r="U160" s="823"/>
      <c r="V160" s="1074"/>
      <c r="W160" s="823">
        <f t="shared" si="57"/>
        <v>0</v>
      </c>
    </row>
    <row r="161" spans="2:23" x14ac:dyDescent="0.3">
      <c r="B161" s="95">
        <f t="shared" si="58"/>
        <v>14</v>
      </c>
      <c r="C161" s="467" t="s">
        <v>900</v>
      </c>
      <c r="D161" s="659">
        <f t="shared" si="50"/>
        <v>0.2200015038939287</v>
      </c>
      <c r="E161" s="659">
        <f t="shared" si="50"/>
        <v>-3.744096114870013E-2</v>
      </c>
      <c r="F161" s="659">
        <f t="shared" si="50"/>
        <v>0</v>
      </c>
      <c r="G161" s="659">
        <f t="shared" si="50"/>
        <v>0</v>
      </c>
      <c r="H161" s="1066">
        <f t="shared" si="51"/>
        <v>0.18256054274522857</v>
      </c>
      <c r="I161" s="823">
        <f t="shared" si="52"/>
        <v>0.18256054274522857</v>
      </c>
      <c r="J161" s="1074"/>
      <c r="K161" s="823"/>
      <c r="L161" s="1074"/>
      <c r="M161" s="823">
        <f t="shared" si="53"/>
        <v>0.18256054274522857</v>
      </c>
      <c r="N161" s="823">
        <f t="shared" si="54"/>
        <v>0.18256054274522857</v>
      </c>
      <c r="O161" s="1074"/>
      <c r="P161" s="823"/>
      <c r="Q161" s="1074"/>
      <c r="R161" s="823">
        <f t="shared" si="55"/>
        <v>0.18256054274522857</v>
      </c>
      <c r="S161" s="823">
        <f t="shared" si="56"/>
        <v>0.18256054274522857</v>
      </c>
      <c r="T161" s="1074"/>
      <c r="U161" s="823"/>
      <c r="V161" s="1074"/>
      <c r="W161" s="823">
        <f t="shared" si="57"/>
        <v>0.18256054274522857</v>
      </c>
    </row>
    <row r="162" spans="2:23" x14ac:dyDescent="0.3">
      <c r="B162" s="95">
        <f t="shared" si="58"/>
        <v>15</v>
      </c>
      <c r="C162" s="467" t="s">
        <v>901</v>
      </c>
      <c r="D162" s="659">
        <f t="shared" si="50"/>
        <v>2.4583086390906009E-3</v>
      </c>
      <c r="E162" s="659">
        <f t="shared" si="50"/>
        <v>-3.0866276342210848E-4</v>
      </c>
      <c r="F162" s="659">
        <f t="shared" si="50"/>
        <v>0</v>
      </c>
      <c r="G162" s="659">
        <f t="shared" si="50"/>
        <v>0</v>
      </c>
      <c r="H162" s="1066">
        <f t="shared" si="51"/>
        <v>2.1496458756684925E-3</v>
      </c>
      <c r="I162" s="823">
        <f t="shared" si="52"/>
        <v>2.1496458756684925E-3</v>
      </c>
      <c r="J162" s="1074"/>
      <c r="K162" s="823"/>
      <c r="L162" s="1074"/>
      <c r="M162" s="823">
        <f t="shared" si="53"/>
        <v>2.1496458756684925E-3</v>
      </c>
      <c r="N162" s="823">
        <f t="shared" si="54"/>
        <v>2.1496458756684925E-3</v>
      </c>
      <c r="O162" s="1074"/>
      <c r="P162" s="823"/>
      <c r="Q162" s="1074"/>
      <c r="R162" s="823">
        <f t="shared" si="55"/>
        <v>2.1496458756684925E-3</v>
      </c>
      <c r="S162" s="823">
        <f t="shared" si="56"/>
        <v>2.1496458756684925E-3</v>
      </c>
      <c r="T162" s="1074"/>
      <c r="U162" s="823"/>
      <c r="V162" s="1074"/>
      <c r="W162" s="823">
        <f t="shared" si="57"/>
        <v>2.1496458756684925E-3</v>
      </c>
    </row>
    <row r="163" spans="2:23" x14ac:dyDescent="0.3">
      <c r="B163" s="95">
        <f t="shared" si="58"/>
        <v>16</v>
      </c>
      <c r="C163" s="467" t="s">
        <v>852</v>
      </c>
      <c r="D163" s="659">
        <f t="shared" si="50"/>
        <v>0</v>
      </c>
      <c r="E163" s="659">
        <f t="shared" si="50"/>
        <v>0</v>
      </c>
      <c r="F163" s="659">
        <f t="shared" si="50"/>
        <v>0</v>
      </c>
      <c r="G163" s="659">
        <f t="shared" si="50"/>
        <v>0</v>
      </c>
      <c r="H163" s="1066">
        <f t="shared" si="51"/>
        <v>0</v>
      </c>
      <c r="I163" s="823">
        <f t="shared" si="52"/>
        <v>0</v>
      </c>
      <c r="J163" s="1074"/>
      <c r="K163" s="823"/>
      <c r="L163" s="1074"/>
      <c r="M163" s="823">
        <f t="shared" si="53"/>
        <v>0</v>
      </c>
      <c r="N163" s="823">
        <f t="shared" si="54"/>
        <v>0</v>
      </c>
      <c r="O163" s="1074"/>
      <c r="P163" s="823"/>
      <c r="Q163" s="1074"/>
      <c r="R163" s="823">
        <f t="shared" si="55"/>
        <v>0</v>
      </c>
      <c r="S163" s="823">
        <f t="shared" si="56"/>
        <v>0</v>
      </c>
      <c r="T163" s="1074"/>
      <c r="U163" s="823"/>
      <c r="V163" s="1074"/>
      <c r="W163" s="823">
        <f t="shared" si="57"/>
        <v>0</v>
      </c>
    </row>
    <row r="164" spans="2:23" x14ac:dyDescent="0.3">
      <c r="B164" s="95">
        <f t="shared" si="58"/>
        <v>17</v>
      </c>
      <c r="C164" s="467" t="s">
        <v>902</v>
      </c>
      <c r="D164" s="659">
        <f t="shared" ref="D164:G164" si="59">D56-D111</f>
        <v>0</v>
      </c>
      <c r="E164" s="659">
        <f t="shared" si="59"/>
        <v>0</v>
      </c>
      <c r="F164" s="659">
        <f t="shared" si="59"/>
        <v>0</v>
      </c>
      <c r="G164" s="659">
        <f t="shared" si="59"/>
        <v>0</v>
      </c>
      <c r="H164" s="1066">
        <f t="shared" si="51"/>
        <v>0</v>
      </c>
      <c r="I164" s="823">
        <f t="shared" si="52"/>
        <v>0</v>
      </c>
      <c r="J164" s="1074"/>
      <c r="K164" s="823"/>
      <c r="L164" s="1074"/>
      <c r="M164" s="823">
        <f t="shared" si="53"/>
        <v>0</v>
      </c>
      <c r="N164" s="823">
        <f t="shared" si="54"/>
        <v>0</v>
      </c>
      <c r="O164" s="1074"/>
      <c r="P164" s="823"/>
      <c r="Q164" s="1074"/>
      <c r="R164" s="823">
        <f t="shared" si="55"/>
        <v>0</v>
      </c>
      <c r="S164" s="823">
        <f t="shared" si="56"/>
        <v>0</v>
      </c>
      <c r="T164" s="1074"/>
      <c r="U164" s="823"/>
      <c r="V164" s="1074"/>
      <c r="W164" s="823">
        <f t="shared" si="57"/>
        <v>0</v>
      </c>
    </row>
    <row r="165" spans="2:23" ht="16" x14ac:dyDescent="0.3">
      <c r="B165" s="83"/>
      <c r="C165" s="97" t="s">
        <v>270</v>
      </c>
      <c r="D165" s="1063">
        <f>SUM(D148:D163)</f>
        <v>1100.5550661403342</v>
      </c>
      <c r="E165" s="1063">
        <f>SUM(E148:E163)</f>
        <v>31.730150355697742</v>
      </c>
      <c r="F165" s="1063">
        <f>SUM(F148:F163)</f>
        <v>0</v>
      </c>
      <c r="G165" s="1063">
        <f>SUM(G148:G163)</f>
        <v>0</v>
      </c>
      <c r="H165" s="1063">
        <f>SUM(H148:H163)</f>
        <v>1132.2852164960323</v>
      </c>
      <c r="I165" s="1063">
        <f t="shared" ref="I165:W165" si="60">SUM(I148:I164)</f>
        <v>1132.2852164960323</v>
      </c>
      <c r="J165" s="1063">
        <f t="shared" si="60"/>
        <v>0</v>
      </c>
      <c r="K165" s="1063">
        <f t="shared" si="60"/>
        <v>0</v>
      </c>
      <c r="L165" s="1063">
        <f t="shared" si="60"/>
        <v>0</v>
      </c>
      <c r="M165" s="1063">
        <f t="shared" si="60"/>
        <v>1132.2852164960323</v>
      </c>
      <c r="N165" s="1063">
        <f t="shared" si="60"/>
        <v>1132.2852164960323</v>
      </c>
      <c r="O165" s="1063">
        <f t="shared" si="60"/>
        <v>0</v>
      </c>
      <c r="P165" s="1063">
        <f t="shared" si="60"/>
        <v>0</v>
      </c>
      <c r="Q165" s="1063">
        <f t="shared" si="60"/>
        <v>0</v>
      </c>
      <c r="R165" s="1063">
        <f t="shared" si="60"/>
        <v>1132.2852164960323</v>
      </c>
      <c r="S165" s="1063">
        <f t="shared" si="60"/>
        <v>1132.2852164960323</v>
      </c>
      <c r="T165" s="1063">
        <f t="shared" si="60"/>
        <v>0</v>
      </c>
      <c r="U165" s="1063">
        <f t="shared" si="60"/>
        <v>0</v>
      </c>
      <c r="V165" s="1063">
        <f t="shared" si="60"/>
        <v>0</v>
      </c>
      <c r="W165" s="1063">
        <f t="shared" si="60"/>
        <v>1132.2852164960323</v>
      </c>
    </row>
    <row r="166" spans="2:23" x14ac:dyDescent="0.3">
      <c r="B166" s="267"/>
      <c r="C166" s="79"/>
      <c r="D166" s="79"/>
      <c r="E166" s="79"/>
      <c r="F166" s="79"/>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D57" zoomScale="56" zoomScaleNormal="68" zoomScaleSheetLayoutView="70" workbookViewId="0">
      <selection activeCell="O68" sqref="O68:O84"/>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368" t="str">
        <f>Index!B2</f>
        <v xml:space="preserve">      Maharashtra State Power Generation Company Ltd.</v>
      </c>
      <c r="L4" s="364"/>
      <c r="M4" s="18"/>
      <c r="N4" s="18"/>
      <c r="O4" s="18"/>
      <c r="P4" s="18"/>
      <c r="Q4" s="18"/>
      <c r="R4" s="18"/>
    </row>
    <row r="5" spans="1:23" x14ac:dyDescent="0.3">
      <c r="B5" s="19"/>
      <c r="I5" s="65"/>
      <c r="J5" s="65"/>
      <c r="K5" s="364" t="str">
        <f>Index!B3</f>
        <v>MYT Petition Formats for Parli Units 6 &amp; 7</v>
      </c>
      <c r="L5" s="364"/>
      <c r="M5" s="65"/>
      <c r="N5" s="65"/>
      <c r="O5" s="65"/>
      <c r="P5" s="65"/>
      <c r="Q5" s="65"/>
      <c r="R5" s="65"/>
    </row>
    <row r="6" spans="1:23" x14ac:dyDescent="0.3">
      <c r="B6" s="18"/>
      <c r="I6" s="66"/>
      <c r="J6" s="67"/>
      <c r="K6" s="130" t="s">
        <v>1086</v>
      </c>
      <c r="L6" s="72"/>
      <c r="M6" s="67"/>
      <c r="N6" s="19"/>
      <c r="O6" s="18"/>
      <c r="P6" s="18"/>
      <c r="Q6" s="18"/>
      <c r="R6" s="18"/>
    </row>
    <row r="7" spans="1:23" x14ac:dyDescent="0.3">
      <c r="C7" s="19"/>
      <c r="D7" s="19"/>
      <c r="E7" s="19"/>
      <c r="F7" s="19"/>
      <c r="G7" s="19"/>
      <c r="H7" s="19"/>
      <c r="J7" s="6"/>
      <c r="M7" s="6"/>
      <c r="N7" s="6"/>
    </row>
    <row r="8" spans="1:23" x14ac:dyDescent="0.3">
      <c r="A8" s="5" t="s">
        <v>264</v>
      </c>
      <c r="B8" s="366" t="s">
        <v>265</v>
      </c>
      <c r="C8" s="366"/>
      <c r="D8" s="366"/>
      <c r="E8" s="366"/>
      <c r="F8" s="366"/>
      <c r="G8" s="366"/>
      <c r="H8" s="366"/>
      <c r="I8" s="1"/>
      <c r="J8" s="44"/>
      <c r="K8" s="1"/>
      <c r="L8" s="1"/>
      <c r="M8" s="44"/>
      <c r="N8" s="44"/>
      <c r="O8" s="1"/>
      <c r="P8" s="1"/>
      <c r="Q8" s="1"/>
      <c r="R8" s="250"/>
    </row>
    <row r="9" spans="1:23" x14ac:dyDescent="0.3">
      <c r="B9" s="257"/>
      <c r="C9" s="8"/>
      <c r="D9" s="8"/>
      <c r="E9" s="8"/>
      <c r="F9" s="8"/>
      <c r="G9" s="8"/>
      <c r="H9" s="8"/>
      <c r="I9" s="1"/>
      <c r="J9" s="44"/>
      <c r="K9" s="1"/>
      <c r="L9" s="1"/>
      <c r="M9" s="258" t="s">
        <v>10</v>
      </c>
      <c r="N9" s="44"/>
      <c r="O9" s="1"/>
      <c r="P9" s="1"/>
      <c r="Q9" s="1"/>
    </row>
    <row r="10" spans="1:23" ht="15.75" customHeight="1" x14ac:dyDescent="0.3">
      <c r="B10" s="1792" t="s">
        <v>339</v>
      </c>
      <c r="C10" s="1792" t="s">
        <v>36</v>
      </c>
      <c r="D10" s="1939" t="s">
        <v>506</v>
      </c>
      <c r="E10" s="1939"/>
      <c r="F10" s="1939"/>
      <c r="G10" s="1939"/>
      <c r="H10" s="1939"/>
      <c r="I10" s="1939" t="s">
        <v>507</v>
      </c>
      <c r="J10" s="1939"/>
      <c r="K10" s="1939"/>
      <c r="L10" s="1939"/>
      <c r="M10" s="1939"/>
      <c r="N10" s="1935" t="s">
        <v>508</v>
      </c>
      <c r="O10" s="1935"/>
      <c r="P10" s="1935"/>
      <c r="Q10" s="1935"/>
      <c r="R10" s="1935"/>
      <c r="S10" s="1935" t="s">
        <v>968</v>
      </c>
      <c r="T10" s="1935"/>
      <c r="U10" s="1935"/>
      <c r="V10" s="1935"/>
      <c r="W10" s="1935"/>
    </row>
    <row r="11" spans="1:23" ht="15.75" customHeight="1" x14ac:dyDescent="0.3">
      <c r="B11" s="1792"/>
      <c r="C11" s="1792"/>
      <c r="D11" s="1941" t="s">
        <v>7</v>
      </c>
      <c r="E11" s="1942"/>
      <c r="F11" s="1942"/>
      <c r="G11" s="1942"/>
      <c r="H11" s="1942"/>
      <c r="I11" s="1941" t="s">
        <v>7</v>
      </c>
      <c r="J11" s="1942"/>
      <c r="K11" s="1942"/>
      <c r="L11" s="1942"/>
      <c r="M11" s="1942"/>
      <c r="N11" s="1941" t="s">
        <v>12</v>
      </c>
      <c r="O11" s="1942"/>
      <c r="P11" s="1942"/>
      <c r="Q11" s="1942"/>
      <c r="R11" s="1942"/>
      <c r="S11" s="1939" t="s">
        <v>21</v>
      </c>
      <c r="T11" s="1940"/>
      <c r="U11" s="1940"/>
      <c r="V11" s="1940"/>
      <c r="W11" s="1940"/>
    </row>
    <row r="12" spans="1:23" s="35" customFormat="1" ht="42" x14ac:dyDescent="0.3">
      <c r="B12" s="1792"/>
      <c r="C12" s="1792"/>
      <c r="D12" s="365" t="s">
        <v>266</v>
      </c>
      <c r="E12" s="365" t="s">
        <v>267</v>
      </c>
      <c r="F12" s="365" t="s">
        <v>268</v>
      </c>
      <c r="G12" s="779" t="s">
        <v>587</v>
      </c>
      <c r="H12" s="365" t="s">
        <v>269</v>
      </c>
      <c r="I12" s="665" t="s">
        <v>266</v>
      </c>
      <c r="J12" s="665" t="s">
        <v>267</v>
      </c>
      <c r="K12" s="665" t="s">
        <v>268</v>
      </c>
      <c r="L12" s="665" t="s">
        <v>587</v>
      </c>
      <c r="M12" s="665" t="s">
        <v>269</v>
      </c>
      <c r="N12" s="367" t="s">
        <v>266</v>
      </c>
      <c r="O12" s="367" t="s">
        <v>267</v>
      </c>
      <c r="P12" s="367" t="s">
        <v>268</v>
      </c>
      <c r="Q12" s="365" t="s">
        <v>587</v>
      </c>
      <c r="R12" s="367" t="s">
        <v>269</v>
      </c>
      <c r="S12" s="367" t="s">
        <v>266</v>
      </c>
      <c r="T12" s="367" t="s">
        <v>267</v>
      </c>
      <c r="U12" s="367" t="s">
        <v>268</v>
      </c>
      <c r="V12" s="365" t="s">
        <v>587</v>
      </c>
      <c r="W12" s="367" t="s">
        <v>269</v>
      </c>
    </row>
    <row r="13" spans="1:23" s="36" customFormat="1" ht="28" x14ac:dyDescent="0.25">
      <c r="B13" s="259"/>
      <c r="C13" s="259"/>
      <c r="D13" s="259" t="s">
        <v>80</v>
      </c>
      <c r="E13" s="259" t="s">
        <v>81</v>
      </c>
      <c r="F13" s="259" t="s">
        <v>459</v>
      </c>
      <c r="G13" s="259" t="s">
        <v>390</v>
      </c>
      <c r="H13" s="259" t="s">
        <v>588</v>
      </c>
      <c r="I13" s="259" t="s">
        <v>408</v>
      </c>
      <c r="J13" s="259" t="s">
        <v>509</v>
      </c>
      <c r="K13" s="259" t="s">
        <v>409</v>
      </c>
      <c r="L13" s="259" t="s">
        <v>410</v>
      </c>
      <c r="M13" s="259" t="s">
        <v>653</v>
      </c>
      <c r="N13" s="259" t="s">
        <v>595</v>
      </c>
      <c r="O13" s="259" t="s">
        <v>596</v>
      </c>
      <c r="P13" s="259" t="s">
        <v>597</v>
      </c>
      <c r="Q13" s="259" t="s">
        <v>656</v>
      </c>
      <c r="R13" s="259" t="s">
        <v>657</v>
      </c>
      <c r="S13" s="259" t="s">
        <v>658</v>
      </c>
      <c r="T13" s="259" t="s">
        <v>659</v>
      </c>
      <c r="U13" s="259" t="s">
        <v>660</v>
      </c>
      <c r="V13" s="259" t="s">
        <v>661</v>
      </c>
      <c r="W13" s="259" t="s">
        <v>662</v>
      </c>
    </row>
    <row r="14" spans="1:23" s="419" customFormat="1" x14ac:dyDescent="0.3">
      <c r="B14" s="465">
        <v>1</v>
      </c>
      <c r="C14" s="467" t="s">
        <v>844</v>
      </c>
      <c r="D14" s="468">
        <v>3.7073555520774324</v>
      </c>
      <c r="E14" s="468">
        <v>0</v>
      </c>
      <c r="F14" s="468">
        <v>0</v>
      </c>
      <c r="G14" s="468"/>
      <c r="H14" s="468">
        <f>D14+E14-F14-G14</f>
        <v>3.7073555520774324</v>
      </c>
      <c r="I14" s="443">
        <f>H14</f>
        <v>3.7073555520774324</v>
      </c>
      <c r="J14" s="468">
        <v>0.88590860000000005</v>
      </c>
      <c r="K14" s="468">
        <v>0</v>
      </c>
      <c r="L14" s="468"/>
      <c r="M14" s="443">
        <f>I14+J14-K14-L14</f>
        <v>4.5932641520774329</v>
      </c>
      <c r="N14" s="468">
        <f>M14</f>
        <v>4.5932641520774329</v>
      </c>
      <c r="O14" s="468">
        <v>0</v>
      </c>
      <c r="P14" s="468">
        <v>0</v>
      </c>
      <c r="Q14" s="468"/>
      <c r="R14" s="468">
        <f>N14+O14-P14-Q14</f>
        <v>4.5932641520774329</v>
      </c>
      <c r="S14" s="443">
        <f>R14</f>
        <v>4.5932641520774329</v>
      </c>
      <c r="T14" s="1074">
        <v>0</v>
      </c>
      <c r="U14" s="823">
        <v>0</v>
      </c>
      <c r="V14" s="468"/>
      <c r="W14" s="443">
        <f>S14+T14-U14-V14</f>
        <v>4.5932641520774329</v>
      </c>
    </row>
    <row r="15" spans="1:23" s="419" customFormat="1" x14ac:dyDescent="0.3">
      <c r="B15" s="465">
        <f>B14+1</f>
        <v>2</v>
      </c>
      <c r="C15" s="467" t="s">
        <v>845</v>
      </c>
      <c r="D15" s="468">
        <v>162.92964288233262</v>
      </c>
      <c r="E15" s="468">
        <v>2.9588409999999998E-3</v>
      </c>
      <c r="F15" s="468">
        <v>0</v>
      </c>
      <c r="G15" s="468"/>
      <c r="H15" s="468">
        <f t="shared" ref="H15:H30" si="0">D15+E15-F15-G15</f>
        <v>162.93260172333262</v>
      </c>
      <c r="I15" s="443">
        <f t="shared" ref="I15:I30" si="1">H15</f>
        <v>162.93260172333262</v>
      </c>
      <c r="J15" s="468">
        <v>0</v>
      </c>
      <c r="K15" s="468">
        <v>0</v>
      </c>
      <c r="L15" s="468"/>
      <c r="M15" s="443">
        <f t="shared" ref="M15:M30" si="2">I15+J15-K15-L15</f>
        <v>162.93260172333262</v>
      </c>
      <c r="N15" s="468">
        <f t="shared" ref="N15:N30" si="3">M15</f>
        <v>162.93260172333262</v>
      </c>
      <c r="O15" s="468">
        <v>0</v>
      </c>
      <c r="P15" s="468">
        <v>0</v>
      </c>
      <c r="Q15" s="468"/>
      <c r="R15" s="468">
        <f t="shared" ref="R15:R30" si="4">N15+O15-P15-Q15</f>
        <v>162.93260172333262</v>
      </c>
      <c r="S15" s="443">
        <f t="shared" ref="S15:S30" si="5">R15</f>
        <v>162.93260172333262</v>
      </c>
      <c r="T15" s="1074">
        <v>0</v>
      </c>
      <c r="U15" s="823">
        <v>0</v>
      </c>
      <c r="V15" s="468"/>
      <c r="W15" s="443">
        <f t="shared" ref="W15:W25" si="6">S15+T15-U15-V15</f>
        <v>162.93260172333262</v>
      </c>
    </row>
    <row r="16" spans="1:23" s="419" customFormat="1" x14ac:dyDescent="0.3">
      <c r="B16" s="465">
        <f t="shared" ref="B16:B30" si="7">B15+1</f>
        <v>3</v>
      </c>
      <c r="C16" s="467" t="s">
        <v>846</v>
      </c>
      <c r="D16" s="468">
        <v>73.849999999999994</v>
      </c>
      <c r="E16" s="468">
        <v>0</v>
      </c>
      <c r="F16" s="469">
        <v>0</v>
      </c>
      <c r="G16" s="469"/>
      <c r="H16" s="468">
        <f t="shared" si="0"/>
        <v>73.849999999999994</v>
      </c>
      <c r="I16" s="443">
        <f t="shared" si="1"/>
        <v>73.849999999999994</v>
      </c>
      <c r="J16" s="468">
        <v>0</v>
      </c>
      <c r="K16" s="469">
        <v>0</v>
      </c>
      <c r="L16" s="469"/>
      <c r="M16" s="443">
        <f t="shared" si="2"/>
        <v>73.849999999999994</v>
      </c>
      <c r="N16" s="468">
        <f t="shared" si="3"/>
        <v>73.849999999999994</v>
      </c>
      <c r="O16" s="468">
        <v>0</v>
      </c>
      <c r="P16" s="469">
        <v>0</v>
      </c>
      <c r="Q16" s="468"/>
      <c r="R16" s="468">
        <f t="shared" si="4"/>
        <v>73.849999999999994</v>
      </c>
      <c r="S16" s="443">
        <f t="shared" si="5"/>
        <v>73.849999999999994</v>
      </c>
      <c r="T16" s="1074">
        <v>0</v>
      </c>
      <c r="U16" s="823">
        <v>0</v>
      </c>
      <c r="V16" s="468"/>
      <c r="W16" s="443">
        <f t="shared" si="6"/>
        <v>73.849999999999994</v>
      </c>
    </row>
    <row r="17" spans="2:23" s="419" customFormat="1" x14ac:dyDescent="0.3">
      <c r="B17" s="465">
        <f t="shared" si="7"/>
        <v>4</v>
      </c>
      <c r="C17" s="467" t="s">
        <v>847</v>
      </c>
      <c r="D17" s="468">
        <v>161.62690396140925</v>
      </c>
      <c r="E17" s="468">
        <v>0</v>
      </c>
      <c r="F17" s="469">
        <v>0</v>
      </c>
      <c r="G17" s="469"/>
      <c r="H17" s="468">
        <f t="shared" si="0"/>
        <v>161.62690396140925</v>
      </c>
      <c r="I17" s="443">
        <f t="shared" si="1"/>
        <v>161.62690396140925</v>
      </c>
      <c r="J17" s="468">
        <v>0</v>
      </c>
      <c r="K17" s="469">
        <v>0</v>
      </c>
      <c r="L17" s="469"/>
      <c r="M17" s="443">
        <f t="shared" si="2"/>
        <v>161.62690396140925</v>
      </c>
      <c r="N17" s="468">
        <f t="shared" si="3"/>
        <v>161.62690396140925</v>
      </c>
      <c r="O17" s="468">
        <v>0</v>
      </c>
      <c r="P17" s="469">
        <v>0</v>
      </c>
      <c r="Q17" s="468"/>
      <c r="R17" s="468">
        <f t="shared" si="4"/>
        <v>161.62690396140925</v>
      </c>
      <c r="S17" s="443">
        <f t="shared" si="5"/>
        <v>161.62690396140925</v>
      </c>
      <c r="T17" s="1074">
        <v>0</v>
      </c>
      <c r="U17" s="823">
        <v>0</v>
      </c>
      <c r="V17" s="468"/>
      <c r="W17" s="443">
        <f t="shared" si="6"/>
        <v>161.62690396140925</v>
      </c>
    </row>
    <row r="18" spans="2:23" s="419" customFormat="1" x14ac:dyDescent="0.3">
      <c r="B18" s="465">
        <f t="shared" si="7"/>
        <v>5</v>
      </c>
      <c r="C18" s="467" t="s">
        <v>848</v>
      </c>
      <c r="D18" s="468">
        <v>103.01609423411412</v>
      </c>
      <c r="E18" s="468">
        <v>0.35765140699999998</v>
      </c>
      <c r="F18" s="469">
        <v>0</v>
      </c>
      <c r="G18" s="469"/>
      <c r="H18" s="468">
        <f t="shared" si="0"/>
        <v>103.37374564111413</v>
      </c>
      <c r="I18" s="443">
        <f t="shared" si="1"/>
        <v>103.37374564111413</v>
      </c>
      <c r="J18" s="468">
        <v>0</v>
      </c>
      <c r="K18" s="469">
        <v>0</v>
      </c>
      <c r="L18" s="469"/>
      <c r="M18" s="443">
        <f t="shared" si="2"/>
        <v>103.37374564111413</v>
      </c>
      <c r="N18" s="468">
        <f t="shared" si="3"/>
        <v>103.37374564111413</v>
      </c>
      <c r="O18" s="468">
        <v>3.8863699999999999</v>
      </c>
      <c r="P18" s="469">
        <v>0</v>
      </c>
      <c r="Q18" s="468"/>
      <c r="R18" s="468">
        <f t="shared" si="4"/>
        <v>107.26011564111413</v>
      </c>
      <c r="S18" s="443">
        <f t="shared" si="5"/>
        <v>107.26011564111413</v>
      </c>
      <c r="T18" s="1074">
        <v>1.7399999999999998</v>
      </c>
      <c r="U18" s="823">
        <v>0</v>
      </c>
      <c r="V18" s="468"/>
      <c r="W18" s="443">
        <f t="shared" si="6"/>
        <v>109.00011564111412</v>
      </c>
    </row>
    <row r="19" spans="2:23" s="11" customFormat="1" x14ac:dyDescent="0.3">
      <c r="B19" s="465">
        <f t="shared" si="7"/>
        <v>6</v>
      </c>
      <c r="C19" s="467" t="s">
        <v>255</v>
      </c>
      <c r="D19" s="468">
        <v>2515.8707559328059</v>
      </c>
      <c r="E19" s="468">
        <v>33.466184237999997</v>
      </c>
      <c r="F19" s="468">
        <v>0</v>
      </c>
      <c r="G19" s="468"/>
      <c r="H19" s="468">
        <f t="shared" si="0"/>
        <v>2549.336940170806</v>
      </c>
      <c r="I19" s="443">
        <f t="shared" si="1"/>
        <v>2549.336940170806</v>
      </c>
      <c r="J19" s="468">
        <v>6.9788741320000005</v>
      </c>
      <c r="K19" s="468">
        <v>0</v>
      </c>
      <c r="L19" s="468"/>
      <c r="M19" s="443">
        <f t="shared" si="2"/>
        <v>2556.3158143028058</v>
      </c>
      <c r="N19" s="468">
        <f t="shared" si="3"/>
        <v>2556.3158143028058</v>
      </c>
      <c r="O19" s="468">
        <v>62.002000000000002</v>
      </c>
      <c r="P19" s="468">
        <v>0</v>
      </c>
      <c r="Q19" s="468"/>
      <c r="R19" s="468">
        <f t="shared" si="4"/>
        <v>2618.3178143028058</v>
      </c>
      <c r="S19" s="443">
        <f t="shared" si="5"/>
        <v>2618.3178143028058</v>
      </c>
      <c r="T19" s="1074">
        <v>52.24666666666667</v>
      </c>
      <c r="U19" s="823">
        <v>0</v>
      </c>
      <c r="V19" s="468"/>
      <c r="W19" s="443">
        <f t="shared" si="6"/>
        <v>2670.5644809694722</v>
      </c>
    </row>
    <row r="20" spans="2:23" s="11" customFormat="1" x14ac:dyDescent="0.3">
      <c r="B20" s="465">
        <f t="shared" si="7"/>
        <v>7</v>
      </c>
      <c r="C20" s="467" t="s">
        <v>849</v>
      </c>
      <c r="D20" s="468">
        <v>5.0409049482966299</v>
      </c>
      <c r="E20" s="468">
        <v>0</v>
      </c>
      <c r="F20" s="787">
        <v>0</v>
      </c>
      <c r="G20" s="468"/>
      <c r="H20" s="468">
        <f t="shared" si="0"/>
        <v>5.0409049482966299</v>
      </c>
      <c r="I20" s="443">
        <f t="shared" si="1"/>
        <v>5.0409049482966299</v>
      </c>
      <c r="J20" s="468">
        <v>0</v>
      </c>
      <c r="K20" s="787">
        <v>0</v>
      </c>
      <c r="L20" s="468"/>
      <c r="M20" s="443">
        <f t="shared" si="2"/>
        <v>5.0409049482966299</v>
      </c>
      <c r="N20" s="468">
        <f t="shared" si="3"/>
        <v>5.0409049482966299</v>
      </c>
      <c r="O20" s="468">
        <v>0</v>
      </c>
      <c r="P20" s="787">
        <v>0</v>
      </c>
      <c r="Q20" s="468"/>
      <c r="R20" s="468">
        <f t="shared" si="4"/>
        <v>5.0409049482966299</v>
      </c>
      <c r="S20" s="443">
        <f t="shared" si="5"/>
        <v>5.0409049482966299</v>
      </c>
      <c r="T20" s="1074">
        <v>0</v>
      </c>
      <c r="U20" s="823">
        <v>0</v>
      </c>
      <c r="V20" s="468"/>
      <c r="W20" s="443">
        <f t="shared" si="6"/>
        <v>5.0409049482966299</v>
      </c>
    </row>
    <row r="21" spans="2:23" s="11" customFormat="1" x14ac:dyDescent="0.3">
      <c r="B21" s="465">
        <f t="shared" si="7"/>
        <v>8</v>
      </c>
      <c r="C21" s="467" t="s">
        <v>850</v>
      </c>
      <c r="D21" s="468">
        <v>0</v>
      </c>
      <c r="E21" s="468">
        <v>0</v>
      </c>
      <c r="F21" s="468">
        <v>0</v>
      </c>
      <c r="G21" s="468"/>
      <c r="H21" s="468">
        <f t="shared" si="0"/>
        <v>0</v>
      </c>
      <c r="I21" s="443">
        <f t="shared" si="1"/>
        <v>0</v>
      </c>
      <c r="J21" s="468">
        <v>0</v>
      </c>
      <c r="K21" s="468">
        <v>0</v>
      </c>
      <c r="L21" s="468"/>
      <c r="M21" s="443">
        <f t="shared" si="2"/>
        <v>0</v>
      </c>
      <c r="N21" s="468">
        <f t="shared" si="3"/>
        <v>0</v>
      </c>
      <c r="O21" s="468">
        <v>0.28170000000000001</v>
      </c>
      <c r="P21" s="468">
        <v>0</v>
      </c>
      <c r="Q21" s="468"/>
      <c r="R21" s="468">
        <f t="shared" si="4"/>
        <v>0.28170000000000001</v>
      </c>
      <c r="S21" s="443">
        <f t="shared" si="5"/>
        <v>0.28170000000000001</v>
      </c>
      <c r="T21" s="1074">
        <v>0</v>
      </c>
      <c r="U21" s="823">
        <v>0</v>
      </c>
      <c r="V21" s="468"/>
      <c r="W21" s="443">
        <f t="shared" si="6"/>
        <v>0.28170000000000001</v>
      </c>
    </row>
    <row r="22" spans="2:23" s="11" customFormat="1" x14ac:dyDescent="0.3">
      <c r="B22" s="465">
        <f t="shared" si="7"/>
        <v>9</v>
      </c>
      <c r="C22" s="467" t="s">
        <v>851</v>
      </c>
      <c r="D22" s="468">
        <v>32.510099787069834</v>
      </c>
      <c r="E22" s="468">
        <v>0</v>
      </c>
      <c r="F22" s="468">
        <v>0</v>
      </c>
      <c r="G22" s="468"/>
      <c r="H22" s="468">
        <f t="shared" si="0"/>
        <v>32.510099787069834</v>
      </c>
      <c r="I22" s="443">
        <f t="shared" si="1"/>
        <v>32.510099787069834</v>
      </c>
      <c r="J22" s="468">
        <v>0</v>
      </c>
      <c r="K22" s="468">
        <v>0</v>
      </c>
      <c r="L22" s="468"/>
      <c r="M22" s="443">
        <f t="shared" si="2"/>
        <v>32.510099787069834</v>
      </c>
      <c r="N22" s="468">
        <f t="shared" si="3"/>
        <v>32.510099787069834</v>
      </c>
      <c r="O22" s="468">
        <v>0</v>
      </c>
      <c r="P22" s="468">
        <v>0</v>
      </c>
      <c r="Q22" s="468"/>
      <c r="R22" s="468">
        <f t="shared" si="4"/>
        <v>32.510099787069834</v>
      </c>
      <c r="S22" s="443">
        <f t="shared" si="5"/>
        <v>32.510099787069834</v>
      </c>
      <c r="T22" s="1074">
        <v>0</v>
      </c>
      <c r="U22" s="823">
        <v>0</v>
      </c>
      <c r="V22" s="468"/>
      <c r="W22" s="443">
        <f t="shared" si="6"/>
        <v>32.510099787069834</v>
      </c>
    </row>
    <row r="23" spans="2:23" s="11" customFormat="1" x14ac:dyDescent="0.3">
      <c r="B23" s="465">
        <f t="shared" si="7"/>
        <v>10</v>
      </c>
      <c r="C23" s="467" t="s">
        <v>258</v>
      </c>
      <c r="D23" s="468">
        <v>2.4029243675165093</v>
      </c>
      <c r="E23" s="468">
        <v>0</v>
      </c>
      <c r="F23" s="468">
        <v>0</v>
      </c>
      <c r="G23" s="468"/>
      <c r="H23" s="468">
        <f t="shared" si="0"/>
        <v>2.4029243675165093</v>
      </c>
      <c r="I23" s="443">
        <f t="shared" si="1"/>
        <v>2.4029243675165093</v>
      </c>
      <c r="J23" s="468">
        <v>0</v>
      </c>
      <c r="K23" s="468">
        <v>0</v>
      </c>
      <c r="L23" s="468"/>
      <c r="M23" s="443">
        <f t="shared" si="2"/>
        <v>2.4029243675165093</v>
      </c>
      <c r="N23" s="468">
        <f t="shared" si="3"/>
        <v>2.4029243675165093</v>
      </c>
      <c r="O23" s="468">
        <v>0.28999999999999998</v>
      </c>
      <c r="P23" s="468">
        <v>0</v>
      </c>
      <c r="Q23" s="468"/>
      <c r="R23" s="468">
        <f t="shared" si="4"/>
        <v>2.6929243675165093</v>
      </c>
      <c r="S23" s="443">
        <f t="shared" si="5"/>
        <v>2.6929243675165093</v>
      </c>
      <c r="T23" s="1074">
        <v>0</v>
      </c>
      <c r="U23" s="823">
        <v>0</v>
      </c>
      <c r="V23" s="468"/>
      <c r="W23" s="443">
        <f t="shared" si="6"/>
        <v>2.6929243675165093</v>
      </c>
    </row>
    <row r="24" spans="2:23" s="11" customFormat="1" x14ac:dyDescent="0.3">
      <c r="B24" s="465">
        <f t="shared" si="7"/>
        <v>11</v>
      </c>
      <c r="C24" s="467" t="s">
        <v>259</v>
      </c>
      <c r="D24" s="468">
        <v>1.8655546968833641</v>
      </c>
      <c r="E24" s="468">
        <v>1.9859399999999999E-2</v>
      </c>
      <c r="F24" s="468">
        <v>0</v>
      </c>
      <c r="G24" s="468"/>
      <c r="H24" s="468">
        <f t="shared" si="0"/>
        <v>1.8854140968833641</v>
      </c>
      <c r="I24" s="443">
        <f t="shared" si="1"/>
        <v>1.8854140968833641</v>
      </c>
      <c r="J24" s="468">
        <v>0</v>
      </c>
      <c r="K24" s="468">
        <v>0</v>
      </c>
      <c r="L24" s="468"/>
      <c r="M24" s="443">
        <f t="shared" si="2"/>
        <v>1.8854140968833641</v>
      </c>
      <c r="N24" s="468">
        <f t="shared" si="3"/>
        <v>1.8854140968833641</v>
      </c>
      <c r="O24" s="468">
        <v>0.18060000000000001</v>
      </c>
      <c r="P24" s="468">
        <v>0</v>
      </c>
      <c r="Q24" s="468"/>
      <c r="R24" s="468">
        <f t="shared" si="4"/>
        <v>2.066014096883364</v>
      </c>
      <c r="S24" s="443">
        <f t="shared" si="5"/>
        <v>2.066014096883364</v>
      </c>
      <c r="T24" s="1074">
        <v>0</v>
      </c>
      <c r="U24" s="823">
        <v>0</v>
      </c>
      <c r="V24" s="468"/>
      <c r="W24" s="443">
        <f t="shared" si="6"/>
        <v>2.066014096883364</v>
      </c>
    </row>
    <row r="25" spans="2:23" s="11" customFormat="1" x14ac:dyDescent="0.3">
      <c r="B25" s="465">
        <f t="shared" si="7"/>
        <v>12</v>
      </c>
      <c r="C25" s="467" t="s">
        <v>260</v>
      </c>
      <c r="D25" s="468">
        <v>3.3340780897067512</v>
      </c>
      <c r="E25" s="468">
        <v>0.47401199999999999</v>
      </c>
      <c r="F25" s="468">
        <v>0</v>
      </c>
      <c r="G25" s="468"/>
      <c r="H25" s="468">
        <f t="shared" si="0"/>
        <v>3.8080900897067513</v>
      </c>
      <c r="I25" s="443">
        <f t="shared" si="1"/>
        <v>3.8080900897067513</v>
      </c>
      <c r="J25" s="468">
        <v>0</v>
      </c>
      <c r="K25" s="468">
        <v>0</v>
      </c>
      <c r="L25" s="468"/>
      <c r="M25" s="443">
        <f t="shared" si="2"/>
        <v>3.8080900897067513</v>
      </c>
      <c r="N25" s="468">
        <f t="shared" si="3"/>
        <v>3.8080900897067513</v>
      </c>
      <c r="O25" s="468">
        <v>0</v>
      </c>
      <c r="P25" s="468">
        <v>0</v>
      </c>
      <c r="Q25" s="468"/>
      <c r="R25" s="468">
        <f t="shared" si="4"/>
        <v>3.8080900897067513</v>
      </c>
      <c r="S25" s="443">
        <f t="shared" si="5"/>
        <v>3.8080900897067513</v>
      </c>
      <c r="T25" s="1074">
        <v>0</v>
      </c>
      <c r="U25" s="823">
        <v>0</v>
      </c>
      <c r="V25" s="468"/>
      <c r="W25" s="443">
        <f t="shared" si="6"/>
        <v>3.8080900897067513</v>
      </c>
    </row>
    <row r="26" spans="2:23" s="11" customFormat="1" x14ac:dyDescent="0.3">
      <c r="B26" s="465">
        <f t="shared" si="7"/>
        <v>13</v>
      </c>
      <c r="C26" s="467" t="s">
        <v>899</v>
      </c>
      <c r="D26" s="468">
        <v>0</v>
      </c>
      <c r="E26" s="468">
        <v>0</v>
      </c>
      <c r="F26" s="468">
        <v>0</v>
      </c>
      <c r="G26" s="468"/>
      <c r="H26" s="468">
        <f t="shared" si="0"/>
        <v>0</v>
      </c>
      <c r="I26" s="443">
        <f t="shared" si="1"/>
        <v>0</v>
      </c>
      <c r="J26" s="468">
        <v>0</v>
      </c>
      <c r="K26" s="468">
        <v>0</v>
      </c>
      <c r="L26" s="468"/>
      <c r="M26" s="443">
        <f t="shared" si="2"/>
        <v>0</v>
      </c>
      <c r="N26" s="468">
        <f t="shared" si="3"/>
        <v>0</v>
      </c>
      <c r="O26" s="468">
        <v>0</v>
      </c>
      <c r="P26" s="468">
        <v>0</v>
      </c>
      <c r="Q26" s="468"/>
      <c r="R26" s="468">
        <f t="shared" si="4"/>
        <v>0</v>
      </c>
      <c r="S26" s="443">
        <f t="shared" si="5"/>
        <v>0</v>
      </c>
      <c r="T26" s="1074">
        <v>0</v>
      </c>
      <c r="U26" s="823">
        <v>0</v>
      </c>
      <c r="V26" s="468"/>
      <c r="W26" s="443">
        <f t="shared" ref="W26:W30" si="8">S26+T26-U26-V26</f>
        <v>0</v>
      </c>
    </row>
    <row r="27" spans="2:23" s="11" customFormat="1" x14ac:dyDescent="0.3">
      <c r="B27" s="465">
        <f t="shared" si="7"/>
        <v>14</v>
      </c>
      <c r="C27" s="467" t="s">
        <v>900</v>
      </c>
      <c r="D27" s="468">
        <v>0.41847307432466763</v>
      </c>
      <c r="E27" s="468">
        <v>0</v>
      </c>
      <c r="F27" s="468">
        <v>0</v>
      </c>
      <c r="G27" s="468"/>
      <c r="H27" s="468">
        <f t="shared" si="0"/>
        <v>0.41847307432466763</v>
      </c>
      <c r="I27" s="443">
        <f t="shared" si="1"/>
        <v>0.41847307432466763</v>
      </c>
      <c r="J27" s="468">
        <v>0</v>
      </c>
      <c r="K27" s="468">
        <v>0</v>
      </c>
      <c r="L27" s="468"/>
      <c r="M27" s="443">
        <f t="shared" si="2"/>
        <v>0.41847307432466763</v>
      </c>
      <c r="N27" s="468">
        <f t="shared" si="3"/>
        <v>0.41847307432466763</v>
      </c>
      <c r="O27" s="468">
        <v>7.2800000000000004E-2</v>
      </c>
      <c r="P27" s="468">
        <v>0</v>
      </c>
      <c r="Q27" s="468"/>
      <c r="R27" s="468">
        <f t="shared" si="4"/>
        <v>0.4912730743246676</v>
      </c>
      <c r="S27" s="443">
        <f t="shared" si="5"/>
        <v>0.4912730743246676</v>
      </c>
      <c r="T27" s="1074">
        <v>0</v>
      </c>
      <c r="U27" s="823">
        <v>0</v>
      </c>
      <c r="V27" s="468"/>
      <c r="W27" s="443">
        <f t="shared" si="8"/>
        <v>0.4912730743246676</v>
      </c>
    </row>
    <row r="28" spans="2:23" s="11" customFormat="1" x14ac:dyDescent="0.3">
      <c r="B28" s="465">
        <f t="shared" si="7"/>
        <v>15</v>
      </c>
      <c r="C28" s="467" t="s">
        <v>901</v>
      </c>
      <c r="D28" s="468">
        <v>1.2302536663739264E-2</v>
      </c>
      <c r="E28" s="468">
        <v>0</v>
      </c>
      <c r="F28" s="468">
        <v>0</v>
      </c>
      <c r="G28" s="468"/>
      <c r="H28" s="468">
        <f t="shared" si="0"/>
        <v>1.2302536663739264E-2</v>
      </c>
      <c r="I28" s="443">
        <f t="shared" si="1"/>
        <v>1.2302536663739264E-2</v>
      </c>
      <c r="J28" s="468">
        <v>0</v>
      </c>
      <c r="K28" s="468">
        <v>0</v>
      </c>
      <c r="L28" s="468"/>
      <c r="M28" s="443">
        <f t="shared" si="2"/>
        <v>1.2302536663739264E-2</v>
      </c>
      <c r="N28" s="468">
        <f t="shared" si="3"/>
        <v>1.2302536663739264E-2</v>
      </c>
      <c r="O28" s="468">
        <v>0</v>
      </c>
      <c r="P28" s="468">
        <v>0</v>
      </c>
      <c r="Q28" s="468"/>
      <c r="R28" s="468">
        <f t="shared" si="4"/>
        <v>1.2302536663739264E-2</v>
      </c>
      <c r="S28" s="443">
        <f t="shared" si="5"/>
        <v>1.2302536663739264E-2</v>
      </c>
      <c r="T28" s="1074">
        <v>0</v>
      </c>
      <c r="U28" s="823">
        <v>0</v>
      </c>
      <c r="V28" s="468"/>
      <c r="W28" s="443">
        <f t="shared" si="8"/>
        <v>1.2302536663739264E-2</v>
      </c>
    </row>
    <row r="29" spans="2:23" s="11" customFormat="1" x14ac:dyDescent="0.3">
      <c r="B29" s="465">
        <f t="shared" si="7"/>
        <v>16</v>
      </c>
      <c r="C29" s="467" t="s">
        <v>852</v>
      </c>
      <c r="D29" s="468">
        <v>0</v>
      </c>
      <c r="E29" s="468">
        <v>0</v>
      </c>
      <c r="F29" s="468">
        <v>0</v>
      </c>
      <c r="G29" s="468"/>
      <c r="H29" s="468">
        <f t="shared" si="0"/>
        <v>0</v>
      </c>
      <c r="I29" s="443">
        <f t="shared" si="1"/>
        <v>0</v>
      </c>
      <c r="J29" s="468">
        <v>0</v>
      </c>
      <c r="K29" s="468">
        <v>0</v>
      </c>
      <c r="L29" s="468"/>
      <c r="M29" s="443">
        <f t="shared" si="2"/>
        <v>0</v>
      </c>
      <c r="N29" s="468">
        <f t="shared" si="3"/>
        <v>0</v>
      </c>
      <c r="O29" s="468">
        <v>0</v>
      </c>
      <c r="P29" s="468">
        <v>0</v>
      </c>
      <c r="Q29" s="468"/>
      <c r="R29" s="468">
        <f t="shared" si="4"/>
        <v>0</v>
      </c>
      <c r="S29" s="443">
        <f t="shared" si="5"/>
        <v>0</v>
      </c>
      <c r="T29" s="1074">
        <v>0</v>
      </c>
      <c r="U29" s="823">
        <v>0</v>
      </c>
      <c r="V29" s="468"/>
      <c r="W29" s="443">
        <f t="shared" si="8"/>
        <v>0</v>
      </c>
    </row>
    <row r="30" spans="2:23" s="11" customFormat="1" x14ac:dyDescent="0.3">
      <c r="B30" s="465">
        <f t="shared" si="7"/>
        <v>17</v>
      </c>
      <c r="C30" s="467" t="s">
        <v>902</v>
      </c>
      <c r="D30" s="468">
        <v>0</v>
      </c>
      <c r="E30" s="468">
        <v>0</v>
      </c>
      <c r="F30" s="468">
        <v>0</v>
      </c>
      <c r="G30" s="468"/>
      <c r="H30" s="468">
        <f t="shared" si="0"/>
        <v>0</v>
      </c>
      <c r="I30" s="443">
        <f t="shared" si="1"/>
        <v>0</v>
      </c>
      <c r="J30" s="468">
        <v>0</v>
      </c>
      <c r="K30" s="468">
        <v>0</v>
      </c>
      <c r="L30" s="468"/>
      <c r="M30" s="443">
        <f t="shared" si="2"/>
        <v>0</v>
      </c>
      <c r="N30" s="468">
        <f t="shared" si="3"/>
        <v>0</v>
      </c>
      <c r="O30" s="468">
        <v>0</v>
      </c>
      <c r="P30" s="468">
        <v>0</v>
      </c>
      <c r="Q30" s="468"/>
      <c r="R30" s="468">
        <f t="shared" si="4"/>
        <v>0</v>
      </c>
      <c r="S30" s="443">
        <f t="shared" si="5"/>
        <v>0</v>
      </c>
      <c r="T30" s="1074">
        <v>0</v>
      </c>
      <c r="U30" s="823">
        <v>0</v>
      </c>
      <c r="V30" s="468"/>
      <c r="W30" s="443">
        <f t="shared" si="8"/>
        <v>0</v>
      </c>
    </row>
    <row r="31" spans="2:23" s="1" customFormat="1" ht="16" x14ac:dyDescent="0.3">
      <c r="B31" s="83"/>
      <c r="C31" s="97" t="s">
        <v>270</v>
      </c>
      <c r="D31" s="348">
        <f>SUM(D14:D30)</f>
        <v>3066.5850900632008</v>
      </c>
      <c r="E31" s="348">
        <f>SUM(E14:E30)</f>
        <v>34.320665886</v>
      </c>
      <c r="F31" s="348">
        <f t="shared" ref="F31:M31" si="9">SUM(F14:F30)</f>
        <v>0</v>
      </c>
      <c r="G31" s="348">
        <f t="shared" si="9"/>
        <v>0</v>
      </c>
      <c r="H31" s="348">
        <f t="shared" si="9"/>
        <v>3100.9057559492003</v>
      </c>
      <c r="I31" s="348">
        <f t="shared" si="9"/>
        <v>3100.9057559492003</v>
      </c>
      <c r="J31" s="348">
        <f t="shared" si="9"/>
        <v>7.8647827320000001</v>
      </c>
      <c r="K31" s="348">
        <f t="shared" si="9"/>
        <v>0</v>
      </c>
      <c r="L31" s="348">
        <f t="shared" si="9"/>
        <v>0</v>
      </c>
      <c r="M31" s="348">
        <f t="shared" si="9"/>
        <v>3108.7705386812004</v>
      </c>
      <c r="N31" s="348">
        <f t="shared" ref="N31:W31" si="10">SUM(N14:N30)</f>
        <v>3108.7705386812004</v>
      </c>
      <c r="O31" s="348">
        <f t="shared" si="10"/>
        <v>66.713470000000015</v>
      </c>
      <c r="P31" s="348">
        <f t="shared" si="10"/>
        <v>0</v>
      </c>
      <c r="Q31" s="348">
        <f t="shared" si="10"/>
        <v>0</v>
      </c>
      <c r="R31" s="348">
        <f t="shared" si="10"/>
        <v>3175.4840086812005</v>
      </c>
      <c r="S31" s="348">
        <f t="shared" si="10"/>
        <v>3175.4840086812005</v>
      </c>
      <c r="T31" s="348">
        <f t="shared" si="10"/>
        <v>53.986666666666672</v>
      </c>
      <c r="U31" s="348">
        <f t="shared" si="10"/>
        <v>0</v>
      </c>
      <c r="V31" s="348">
        <f t="shared" si="10"/>
        <v>0</v>
      </c>
      <c r="W31" s="348">
        <f t="shared" si="10"/>
        <v>3229.4706753478667</v>
      </c>
    </row>
    <row r="32" spans="2:23" s="1" customFormat="1" x14ac:dyDescent="0.3">
      <c r="B32" s="366"/>
      <c r="C32" s="8"/>
      <c r="D32" s="8"/>
      <c r="E32" s="8"/>
      <c r="F32" s="8"/>
      <c r="G32" s="8"/>
      <c r="H32" s="8"/>
      <c r="J32" s="44"/>
      <c r="M32" s="44"/>
      <c r="N32" s="44"/>
    </row>
    <row r="33" spans="1:33" x14ac:dyDescent="0.3">
      <c r="B33" s="1946" t="s">
        <v>598</v>
      </c>
      <c r="C33" s="1946"/>
      <c r="D33" s="1946"/>
      <c r="E33" s="1946"/>
      <c r="F33" s="1946"/>
      <c r="G33" s="1946"/>
      <c r="H33" s="8"/>
      <c r="I33" s="1"/>
      <c r="J33" s="44"/>
      <c r="K33" s="1"/>
      <c r="L33" s="1"/>
      <c r="M33" s="44"/>
      <c r="N33" s="44"/>
      <c r="O33" s="1"/>
      <c r="P33" s="1"/>
      <c r="Q33" s="1"/>
      <c r="R33" s="1"/>
    </row>
    <row r="34" spans="1:33" x14ac:dyDescent="0.3">
      <c r="B34" s="366"/>
      <c r="C34" s="8"/>
      <c r="D34" s="8"/>
      <c r="E34" s="8"/>
      <c r="F34" s="8"/>
      <c r="G34" s="8"/>
      <c r="H34" s="8"/>
      <c r="I34" s="1"/>
      <c r="J34" s="44"/>
      <c r="K34" s="1"/>
      <c r="L34" s="1"/>
      <c r="M34" s="44"/>
      <c r="N34" s="44"/>
      <c r="O34" s="1"/>
      <c r="P34" s="1"/>
      <c r="Q34" s="1"/>
      <c r="R34" s="1"/>
    </row>
    <row r="35" spans="1:33" ht="15.75" customHeight="1" x14ac:dyDescent="0.3">
      <c r="B35" s="366"/>
      <c r="C35" s="8"/>
      <c r="D35" s="8"/>
      <c r="E35" s="8"/>
      <c r="F35" s="8"/>
      <c r="G35" s="8"/>
      <c r="H35" s="8"/>
      <c r="I35" s="1"/>
      <c r="J35" s="44"/>
      <c r="K35" s="1"/>
      <c r="L35" s="1"/>
      <c r="M35" s="44"/>
      <c r="N35" s="44"/>
      <c r="O35" s="1"/>
      <c r="P35" s="1"/>
      <c r="Q35" s="1"/>
      <c r="AG35" s="258" t="s">
        <v>10</v>
      </c>
    </row>
    <row r="36" spans="1:33" ht="15.75" customHeight="1" x14ac:dyDescent="0.3">
      <c r="B36" s="1792" t="s">
        <v>339</v>
      </c>
      <c r="C36" s="1792" t="s">
        <v>36</v>
      </c>
      <c r="D36" s="1943" t="s">
        <v>969</v>
      </c>
      <c r="E36" s="1944"/>
      <c r="F36" s="1944"/>
      <c r="G36" s="1944"/>
      <c r="H36" s="1945"/>
      <c r="I36" s="1943" t="s">
        <v>970</v>
      </c>
      <c r="J36" s="1944"/>
      <c r="K36" s="1944"/>
      <c r="L36" s="1944"/>
      <c r="M36" s="1945"/>
      <c r="N36" s="1935" t="s">
        <v>971</v>
      </c>
      <c r="O36" s="1935"/>
      <c r="P36" s="1935"/>
      <c r="Q36" s="1935"/>
      <c r="R36" s="1935"/>
      <c r="S36" s="1935" t="s">
        <v>972</v>
      </c>
      <c r="T36" s="1935"/>
      <c r="U36" s="1935"/>
      <c r="V36" s="1935"/>
      <c r="W36" s="1935"/>
    </row>
    <row r="37" spans="1:33" s="35" customFormat="1" x14ac:dyDescent="0.3">
      <c r="B37" s="1792"/>
      <c r="C37" s="1792"/>
      <c r="D37" s="1936" t="s">
        <v>21</v>
      </c>
      <c r="E37" s="1937"/>
      <c r="F37" s="1937"/>
      <c r="G37" s="1937"/>
      <c r="H37" s="1938"/>
      <c r="I37" s="1936" t="s">
        <v>21</v>
      </c>
      <c r="J37" s="1937"/>
      <c r="K37" s="1937"/>
      <c r="L37" s="1937"/>
      <c r="M37" s="1938"/>
      <c r="N37" s="1939" t="s">
        <v>21</v>
      </c>
      <c r="O37" s="1940"/>
      <c r="P37" s="1940"/>
      <c r="Q37" s="1940"/>
      <c r="R37" s="1940"/>
      <c r="S37" s="1939" t="s">
        <v>21</v>
      </c>
      <c r="T37" s="1940"/>
      <c r="U37" s="1940"/>
      <c r="V37" s="1940"/>
      <c r="W37" s="1940"/>
    </row>
    <row r="38" spans="1:33" s="36" customFormat="1" ht="42" x14ac:dyDescent="0.25">
      <c r="B38" s="1792"/>
      <c r="C38" s="1792"/>
      <c r="D38" s="1098" t="s">
        <v>266</v>
      </c>
      <c r="E38" s="1098" t="s">
        <v>267</v>
      </c>
      <c r="F38" s="1098" t="s">
        <v>268</v>
      </c>
      <c r="G38" s="1097" t="s">
        <v>587</v>
      </c>
      <c r="H38" s="1098" t="s">
        <v>269</v>
      </c>
      <c r="I38" s="1098" t="s">
        <v>266</v>
      </c>
      <c r="J38" s="1098" t="s">
        <v>267</v>
      </c>
      <c r="K38" s="1098" t="s">
        <v>268</v>
      </c>
      <c r="L38" s="1097" t="s">
        <v>587</v>
      </c>
      <c r="M38" s="1098" t="s">
        <v>269</v>
      </c>
      <c r="N38" s="671" t="s">
        <v>266</v>
      </c>
      <c r="O38" s="671" t="s">
        <v>267</v>
      </c>
      <c r="P38" s="671" t="s">
        <v>268</v>
      </c>
      <c r="Q38" s="665" t="s">
        <v>587</v>
      </c>
      <c r="R38" s="671" t="s">
        <v>269</v>
      </c>
      <c r="S38" s="671" t="s">
        <v>266</v>
      </c>
      <c r="T38" s="671" t="s">
        <v>267</v>
      </c>
      <c r="U38" s="671" t="s">
        <v>268</v>
      </c>
      <c r="V38" s="665" t="s">
        <v>587</v>
      </c>
      <c r="W38" s="671" t="s">
        <v>269</v>
      </c>
    </row>
    <row r="39" spans="1:33" s="6" customFormat="1" ht="28" x14ac:dyDescent="0.3">
      <c r="B39" s="259"/>
      <c r="C39" s="259"/>
      <c r="D39" s="259" t="s">
        <v>663</v>
      </c>
      <c r="E39" s="259" t="s">
        <v>664</v>
      </c>
      <c r="F39" s="259" t="s">
        <v>665</v>
      </c>
      <c r="G39" s="259" t="s">
        <v>666</v>
      </c>
      <c r="H39" s="259" t="s">
        <v>667</v>
      </c>
      <c r="I39" s="259" t="s">
        <v>663</v>
      </c>
      <c r="J39" s="259" t="s">
        <v>664</v>
      </c>
      <c r="K39" s="259" t="s">
        <v>665</v>
      </c>
      <c r="L39" s="259" t="s">
        <v>666</v>
      </c>
      <c r="M39" s="259" t="s">
        <v>667</v>
      </c>
      <c r="N39" s="259" t="s">
        <v>663</v>
      </c>
      <c r="O39" s="259" t="s">
        <v>664</v>
      </c>
      <c r="P39" s="259" t="s">
        <v>665</v>
      </c>
      <c r="Q39" s="259" t="s">
        <v>666</v>
      </c>
      <c r="R39" s="259" t="s">
        <v>667</v>
      </c>
      <c r="S39" s="259" t="s">
        <v>663</v>
      </c>
      <c r="T39" s="259" t="s">
        <v>664</v>
      </c>
      <c r="U39" s="259" t="s">
        <v>665</v>
      </c>
      <c r="V39" s="259" t="s">
        <v>666</v>
      </c>
      <c r="W39" s="259" t="s">
        <v>667</v>
      </c>
    </row>
    <row r="40" spans="1:33" s="419" customFormat="1" x14ac:dyDescent="0.3">
      <c r="B40" s="465">
        <v>1</v>
      </c>
      <c r="C40" s="467" t="s">
        <v>844</v>
      </c>
      <c r="D40" s="443">
        <f t="shared" ref="D40:D56" si="11">W14</f>
        <v>4.5932641520774329</v>
      </c>
      <c r="E40" s="1074">
        <v>0</v>
      </c>
      <c r="F40" s="823">
        <v>0</v>
      </c>
      <c r="G40" s="468"/>
      <c r="H40" s="443">
        <f>D40+E40-F40-G40</f>
        <v>4.5932641520774329</v>
      </c>
      <c r="I40" s="443">
        <f>H40</f>
        <v>4.5932641520774329</v>
      </c>
      <c r="J40" s="1074">
        <v>0</v>
      </c>
      <c r="K40" s="823">
        <v>0</v>
      </c>
      <c r="L40" s="468"/>
      <c r="M40" s="443">
        <f>I40+J40-K40-L40</f>
        <v>4.5932641520774329</v>
      </c>
      <c r="N40" s="443">
        <f>M40</f>
        <v>4.5932641520774329</v>
      </c>
      <c r="O40" s="1074">
        <v>0</v>
      </c>
      <c r="P40" s="823">
        <v>0</v>
      </c>
      <c r="Q40" s="468"/>
      <c r="R40" s="443">
        <f>N40+O40-P40-Q40</f>
        <v>4.5932641520774329</v>
      </c>
      <c r="S40" s="443">
        <f>R40</f>
        <v>4.5932641520774329</v>
      </c>
      <c r="T40" s="1074">
        <v>0</v>
      </c>
      <c r="U40" s="823">
        <v>0</v>
      </c>
      <c r="V40" s="468"/>
      <c r="W40" s="443">
        <f>S40+T40-U40-V40</f>
        <v>4.5932641520774329</v>
      </c>
    </row>
    <row r="41" spans="1:33" s="419" customFormat="1" x14ac:dyDescent="0.3">
      <c r="B41" s="465">
        <f>B40+1</f>
        <v>2</v>
      </c>
      <c r="C41" s="467" t="s">
        <v>845</v>
      </c>
      <c r="D41" s="443">
        <f t="shared" si="11"/>
        <v>162.93260172333262</v>
      </c>
      <c r="E41" s="1074">
        <v>0</v>
      </c>
      <c r="F41" s="823">
        <v>0</v>
      </c>
      <c r="G41" s="468"/>
      <c r="H41" s="443">
        <f t="shared" ref="H41:H56" si="12">D41+E41-F41-G41</f>
        <v>162.93260172333262</v>
      </c>
      <c r="I41" s="443">
        <f t="shared" ref="I41:I56" si="13">H41</f>
        <v>162.93260172333262</v>
      </c>
      <c r="J41" s="1074">
        <v>0</v>
      </c>
      <c r="K41" s="823">
        <v>0</v>
      </c>
      <c r="L41" s="468"/>
      <c r="M41" s="443">
        <f t="shared" ref="M41:M56" si="14">I41+J41-K41-L41</f>
        <v>162.93260172333262</v>
      </c>
      <c r="N41" s="443">
        <f t="shared" ref="N41:N56" si="15">M41</f>
        <v>162.93260172333262</v>
      </c>
      <c r="O41" s="1074">
        <v>0</v>
      </c>
      <c r="P41" s="823">
        <v>0</v>
      </c>
      <c r="Q41" s="468"/>
      <c r="R41" s="443">
        <f t="shared" ref="R41:R56" si="16">N41+O41-P41-Q41</f>
        <v>162.93260172333262</v>
      </c>
      <c r="S41" s="443">
        <f t="shared" ref="S41:S56" si="17">R41</f>
        <v>162.93260172333262</v>
      </c>
      <c r="T41" s="1074">
        <v>0</v>
      </c>
      <c r="U41" s="823">
        <v>0</v>
      </c>
      <c r="V41" s="468"/>
      <c r="W41" s="443">
        <f t="shared" ref="W41:W56" si="18">S41+T41-U41-V41</f>
        <v>162.93260172333262</v>
      </c>
    </row>
    <row r="42" spans="1:33" s="11" customFormat="1" x14ac:dyDescent="0.3">
      <c r="A42" s="419"/>
      <c r="B42" s="465">
        <f t="shared" ref="B42:B56" si="19">B41+1</f>
        <v>3</v>
      </c>
      <c r="C42" s="467" t="s">
        <v>846</v>
      </c>
      <c r="D42" s="443">
        <f t="shared" si="11"/>
        <v>73.849999999999994</v>
      </c>
      <c r="E42" s="1074">
        <v>0</v>
      </c>
      <c r="F42" s="823">
        <v>0</v>
      </c>
      <c r="G42" s="468"/>
      <c r="H42" s="443">
        <f t="shared" si="12"/>
        <v>73.849999999999994</v>
      </c>
      <c r="I42" s="443">
        <f t="shared" si="13"/>
        <v>73.849999999999994</v>
      </c>
      <c r="J42" s="1074">
        <v>0</v>
      </c>
      <c r="K42" s="823">
        <v>0</v>
      </c>
      <c r="L42" s="468"/>
      <c r="M42" s="443">
        <f t="shared" si="14"/>
        <v>73.849999999999994</v>
      </c>
      <c r="N42" s="443">
        <f t="shared" si="15"/>
        <v>73.849999999999994</v>
      </c>
      <c r="O42" s="1074">
        <v>0</v>
      </c>
      <c r="P42" s="823">
        <v>0</v>
      </c>
      <c r="Q42" s="468"/>
      <c r="R42" s="443">
        <f t="shared" si="16"/>
        <v>73.849999999999994</v>
      </c>
      <c r="S42" s="443">
        <f t="shared" si="17"/>
        <v>73.849999999999994</v>
      </c>
      <c r="T42" s="1074">
        <v>0</v>
      </c>
      <c r="U42" s="823">
        <v>0</v>
      </c>
      <c r="V42" s="468"/>
      <c r="W42" s="443">
        <f t="shared" si="18"/>
        <v>73.849999999999994</v>
      </c>
    </row>
    <row r="43" spans="1:33" s="11" customFormat="1" x14ac:dyDescent="0.3">
      <c r="A43" s="419"/>
      <c r="B43" s="465">
        <f t="shared" si="19"/>
        <v>4</v>
      </c>
      <c r="C43" s="467" t="s">
        <v>847</v>
      </c>
      <c r="D43" s="443">
        <f t="shared" si="11"/>
        <v>161.62690396140925</v>
      </c>
      <c r="E43" s="1074">
        <v>0</v>
      </c>
      <c r="F43" s="823">
        <v>0</v>
      </c>
      <c r="G43" s="468"/>
      <c r="H43" s="443">
        <f t="shared" si="12"/>
        <v>161.62690396140925</v>
      </c>
      <c r="I43" s="443">
        <f t="shared" si="13"/>
        <v>161.62690396140925</v>
      </c>
      <c r="J43" s="1074">
        <v>0</v>
      </c>
      <c r="K43" s="823">
        <v>0</v>
      </c>
      <c r="L43" s="468"/>
      <c r="M43" s="443">
        <f t="shared" si="14"/>
        <v>161.62690396140925</v>
      </c>
      <c r="N43" s="443">
        <f t="shared" si="15"/>
        <v>161.62690396140925</v>
      </c>
      <c r="O43" s="1074">
        <v>0</v>
      </c>
      <c r="P43" s="823">
        <v>0</v>
      </c>
      <c r="Q43" s="468"/>
      <c r="R43" s="443">
        <f t="shared" si="16"/>
        <v>161.62690396140925</v>
      </c>
      <c r="S43" s="443">
        <f t="shared" si="17"/>
        <v>161.62690396140925</v>
      </c>
      <c r="T43" s="1074">
        <v>0</v>
      </c>
      <c r="U43" s="823">
        <v>0</v>
      </c>
      <c r="V43" s="468"/>
      <c r="W43" s="443">
        <f t="shared" si="18"/>
        <v>161.62690396140925</v>
      </c>
    </row>
    <row r="44" spans="1:33" s="11" customFormat="1" x14ac:dyDescent="0.3">
      <c r="A44" s="419"/>
      <c r="B44" s="465">
        <f t="shared" si="19"/>
        <v>5</v>
      </c>
      <c r="C44" s="467" t="s">
        <v>848</v>
      </c>
      <c r="D44" s="443">
        <f t="shared" si="11"/>
        <v>109.00011564111412</v>
      </c>
      <c r="E44" s="1074">
        <v>0</v>
      </c>
      <c r="F44" s="823">
        <v>0</v>
      </c>
      <c r="G44" s="468"/>
      <c r="H44" s="443">
        <f t="shared" si="12"/>
        <v>109.00011564111412</v>
      </c>
      <c r="I44" s="443">
        <f t="shared" si="13"/>
        <v>109.00011564111412</v>
      </c>
      <c r="J44" s="1074">
        <v>0</v>
      </c>
      <c r="K44" s="823">
        <v>0</v>
      </c>
      <c r="L44" s="468"/>
      <c r="M44" s="443">
        <f t="shared" si="14"/>
        <v>109.00011564111412</v>
      </c>
      <c r="N44" s="443">
        <f t="shared" si="15"/>
        <v>109.00011564111412</v>
      </c>
      <c r="O44" s="1074">
        <v>0</v>
      </c>
      <c r="P44" s="823">
        <v>0</v>
      </c>
      <c r="Q44" s="468"/>
      <c r="R44" s="443">
        <f t="shared" si="16"/>
        <v>109.00011564111412</v>
      </c>
      <c r="S44" s="443">
        <f t="shared" si="17"/>
        <v>109.00011564111412</v>
      </c>
      <c r="T44" s="1074">
        <v>0</v>
      </c>
      <c r="U44" s="823">
        <v>0</v>
      </c>
      <c r="V44" s="468"/>
      <c r="W44" s="443">
        <f t="shared" si="18"/>
        <v>109.00011564111412</v>
      </c>
    </row>
    <row r="45" spans="1:33" s="11" customFormat="1" x14ac:dyDescent="0.3">
      <c r="A45" s="419"/>
      <c r="B45" s="465">
        <f t="shared" si="19"/>
        <v>6</v>
      </c>
      <c r="C45" s="467" t="s">
        <v>255</v>
      </c>
      <c r="D45" s="443">
        <f t="shared" si="11"/>
        <v>2670.5644809694722</v>
      </c>
      <c r="E45" s="1074">
        <v>0</v>
      </c>
      <c r="F45" s="823">
        <v>0</v>
      </c>
      <c r="G45" s="468"/>
      <c r="H45" s="443">
        <f t="shared" si="12"/>
        <v>2670.5644809694722</v>
      </c>
      <c r="I45" s="443">
        <f t="shared" si="13"/>
        <v>2670.5644809694722</v>
      </c>
      <c r="J45" s="1074">
        <v>0</v>
      </c>
      <c r="K45" s="823">
        <v>0</v>
      </c>
      <c r="L45" s="468"/>
      <c r="M45" s="443">
        <f t="shared" si="14"/>
        <v>2670.5644809694722</v>
      </c>
      <c r="N45" s="443">
        <f t="shared" si="15"/>
        <v>2670.5644809694722</v>
      </c>
      <c r="O45" s="1074">
        <v>0</v>
      </c>
      <c r="P45" s="823">
        <v>0</v>
      </c>
      <c r="Q45" s="468"/>
      <c r="R45" s="443">
        <f t="shared" si="16"/>
        <v>2670.5644809694722</v>
      </c>
      <c r="S45" s="443">
        <f t="shared" si="17"/>
        <v>2670.5644809694722</v>
      </c>
      <c r="T45" s="1074">
        <v>0</v>
      </c>
      <c r="U45" s="823">
        <v>0</v>
      </c>
      <c r="V45" s="468"/>
      <c r="W45" s="443">
        <f t="shared" si="18"/>
        <v>2670.5644809694722</v>
      </c>
    </row>
    <row r="46" spans="1:33" s="11" customFormat="1" x14ac:dyDescent="0.3">
      <c r="A46" s="419"/>
      <c r="B46" s="465">
        <f t="shared" si="19"/>
        <v>7</v>
      </c>
      <c r="C46" s="467" t="s">
        <v>849</v>
      </c>
      <c r="D46" s="443">
        <f t="shared" si="11"/>
        <v>5.0409049482966299</v>
      </c>
      <c r="E46" s="1074">
        <v>0</v>
      </c>
      <c r="F46" s="823">
        <v>0</v>
      </c>
      <c r="G46" s="468"/>
      <c r="H46" s="443">
        <f t="shared" si="12"/>
        <v>5.0409049482966299</v>
      </c>
      <c r="I46" s="443">
        <f t="shared" si="13"/>
        <v>5.0409049482966299</v>
      </c>
      <c r="J46" s="1074">
        <v>0</v>
      </c>
      <c r="K46" s="823">
        <v>0</v>
      </c>
      <c r="L46" s="468"/>
      <c r="M46" s="443">
        <f t="shared" si="14"/>
        <v>5.0409049482966299</v>
      </c>
      <c r="N46" s="443">
        <f t="shared" si="15"/>
        <v>5.0409049482966299</v>
      </c>
      <c r="O46" s="1074">
        <v>0</v>
      </c>
      <c r="P46" s="823">
        <v>0</v>
      </c>
      <c r="Q46" s="468"/>
      <c r="R46" s="443">
        <f t="shared" si="16"/>
        <v>5.0409049482966299</v>
      </c>
      <c r="S46" s="443">
        <f t="shared" si="17"/>
        <v>5.0409049482966299</v>
      </c>
      <c r="T46" s="1074">
        <v>0</v>
      </c>
      <c r="U46" s="823">
        <v>0</v>
      </c>
      <c r="V46" s="468"/>
      <c r="W46" s="443">
        <f t="shared" si="18"/>
        <v>5.0409049482966299</v>
      </c>
    </row>
    <row r="47" spans="1:33" s="11" customFormat="1" x14ac:dyDescent="0.3">
      <c r="A47" s="419"/>
      <c r="B47" s="465">
        <f t="shared" si="19"/>
        <v>8</v>
      </c>
      <c r="C47" s="467" t="s">
        <v>850</v>
      </c>
      <c r="D47" s="443">
        <f t="shared" si="11"/>
        <v>0.28170000000000001</v>
      </c>
      <c r="E47" s="1074">
        <v>0</v>
      </c>
      <c r="F47" s="823">
        <v>0</v>
      </c>
      <c r="G47" s="468"/>
      <c r="H47" s="443">
        <f t="shared" si="12"/>
        <v>0.28170000000000001</v>
      </c>
      <c r="I47" s="443">
        <f t="shared" si="13"/>
        <v>0.28170000000000001</v>
      </c>
      <c r="J47" s="1074">
        <v>0</v>
      </c>
      <c r="K47" s="823">
        <v>0</v>
      </c>
      <c r="L47" s="468"/>
      <c r="M47" s="443">
        <f t="shared" si="14"/>
        <v>0.28170000000000001</v>
      </c>
      <c r="N47" s="443">
        <f t="shared" si="15"/>
        <v>0.28170000000000001</v>
      </c>
      <c r="O47" s="1074">
        <v>0</v>
      </c>
      <c r="P47" s="823">
        <v>0</v>
      </c>
      <c r="Q47" s="468"/>
      <c r="R47" s="443">
        <f t="shared" si="16"/>
        <v>0.28170000000000001</v>
      </c>
      <c r="S47" s="443">
        <f t="shared" si="17"/>
        <v>0.28170000000000001</v>
      </c>
      <c r="T47" s="1074">
        <v>0</v>
      </c>
      <c r="U47" s="823">
        <v>0</v>
      </c>
      <c r="V47" s="468"/>
      <c r="W47" s="443">
        <f t="shared" si="18"/>
        <v>0.28170000000000001</v>
      </c>
    </row>
    <row r="48" spans="1:33" s="11" customFormat="1" x14ac:dyDescent="0.3">
      <c r="A48" s="419"/>
      <c r="B48" s="465">
        <f t="shared" si="19"/>
        <v>9</v>
      </c>
      <c r="C48" s="467" t="s">
        <v>851</v>
      </c>
      <c r="D48" s="443">
        <f t="shared" si="11"/>
        <v>32.510099787069834</v>
      </c>
      <c r="E48" s="1074">
        <v>0</v>
      </c>
      <c r="F48" s="823">
        <v>0</v>
      </c>
      <c r="G48" s="468"/>
      <c r="H48" s="443">
        <f t="shared" si="12"/>
        <v>32.510099787069834</v>
      </c>
      <c r="I48" s="443">
        <f t="shared" si="13"/>
        <v>32.510099787069834</v>
      </c>
      <c r="J48" s="1074">
        <v>0</v>
      </c>
      <c r="K48" s="823">
        <v>0</v>
      </c>
      <c r="L48" s="468"/>
      <c r="M48" s="443">
        <f t="shared" si="14"/>
        <v>32.510099787069834</v>
      </c>
      <c r="N48" s="443">
        <f t="shared" si="15"/>
        <v>32.510099787069834</v>
      </c>
      <c r="O48" s="1074">
        <v>0</v>
      </c>
      <c r="P48" s="823">
        <v>0</v>
      </c>
      <c r="Q48" s="468"/>
      <c r="R48" s="443">
        <f t="shared" si="16"/>
        <v>32.510099787069834</v>
      </c>
      <c r="S48" s="443">
        <f t="shared" si="17"/>
        <v>32.510099787069834</v>
      </c>
      <c r="T48" s="1074">
        <v>0</v>
      </c>
      <c r="U48" s="823">
        <v>0</v>
      </c>
      <c r="V48" s="468"/>
      <c r="W48" s="443">
        <f t="shared" si="18"/>
        <v>32.510099787069834</v>
      </c>
    </row>
    <row r="49" spans="1:23" s="11" customFormat="1" x14ac:dyDescent="0.3">
      <c r="A49" s="419"/>
      <c r="B49" s="465">
        <f t="shared" si="19"/>
        <v>10</v>
      </c>
      <c r="C49" s="467" t="s">
        <v>258</v>
      </c>
      <c r="D49" s="443">
        <f t="shared" si="11"/>
        <v>2.6929243675165093</v>
      </c>
      <c r="E49" s="1074">
        <v>0</v>
      </c>
      <c r="F49" s="823">
        <v>0</v>
      </c>
      <c r="G49" s="468"/>
      <c r="H49" s="443">
        <f t="shared" si="12"/>
        <v>2.6929243675165093</v>
      </c>
      <c r="I49" s="443">
        <f t="shared" si="13"/>
        <v>2.6929243675165093</v>
      </c>
      <c r="J49" s="1074">
        <v>0</v>
      </c>
      <c r="K49" s="823">
        <v>0</v>
      </c>
      <c r="L49" s="468"/>
      <c r="M49" s="443">
        <f t="shared" si="14"/>
        <v>2.6929243675165093</v>
      </c>
      <c r="N49" s="443">
        <f t="shared" si="15"/>
        <v>2.6929243675165093</v>
      </c>
      <c r="O49" s="1074">
        <v>0</v>
      </c>
      <c r="P49" s="823">
        <v>0</v>
      </c>
      <c r="Q49" s="468"/>
      <c r="R49" s="443">
        <f t="shared" si="16"/>
        <v>2.6929243675165093</v>
      </c>
      <c r="S49" s="443">
        <f t="shared" si="17"/>
        <v>2.6929243675165093</v>
      </c>
      <c r="T49" s="1074">
        <v>0</v>
      </c>
      <c r="U49" s="823">
        <v>0</v>
      </c>
      <c r="V49" s="468"/>
      <c r="W49" s="443">
        <f t="shared" si="18"/>
        <v>2.6929243675165093</v>
      </c>
    </row>
    <row r="50" spans="1:23" s="11" customFormat="1" x14ac:dyDescent="0.3">
      <c r="A50" s="419"/>
      <c r="B50" s="465">
        <f t="shared" si="19"/>
        <v>11</v>
      </c>
      <c r="C50" s="467" t="s">
        <v>259</v>
      </c>
      <c r="D50" s="443">
        <f t="shared" si="11"/>
        <v>2.066014096883364</v>
      </c>
      <c r="E50" s="1074">
        <v>0</v>
      </c>
      <c r="F50" s="823">
        <v>0</v>
      </c>
      <c r="G50" s="468"/>
      <c r="H50" s="443">
        <f t="shared" si="12"/>
        <v>2.066014096883364</v>
      </c>
      <c r="I50" s="443">
        <f t="shared" si="13"/>
        <v>2.066014096883364</v>
      </c>
      <c r="J50" s="1074">
        <v>0</v>
      </c>
      <c r="K50" s="823">
        <v>0</v>
      </c>
      <c r="L50" s="468"/>
      <c r="M50" s="443">
        <f t="shared" si="14"/>
        <v>2.066014096883364</v>
      </c>
      <c r="N50" s="443">
        <f t="shared" si="15"/>
        <v>2.066014096883364</v>
      </c>
      <c r="O50" s="1074">
        <v>0</v>
      </c>
      <c r="P50" s="823">
        <v>0</v>
      </c>
      <c r="Q50" s="468"/>
      <c r="R50" s="443">
        <f t="shared" si="16"/>
        <v>2.066014096883364</v>
      </c>
      <c r="S50" s="443">
        <f t="shared" si="17"/>
        <v>2.066014096883364</v>
      </c>
      <c r="T50" s="1074">
        <v>0</v>
      </c>
      <c r="U50" s="823">
        <v>0</v>
      </c>
      <c r="V50" s="468"/>
      <c r="W50" s="443">
        <f t="shared" si="18"/>
        <v>2.066014096883364</v>
      </c>
    </row>
    <row r="51" spans="1:23" s="2" customFormat="1" x14ac:dyDescent="0.3">
      <c r="A51" s="419"/>
      <c r="B51" s="465">
        <f t="shared" si="19"/>
        <v>12</v>
      </c>
      <c r="C51" s="467" t="s">
        <v>260</v>
      </c>
      <c r="D51" s="443">
        <f t="shared" si="11"/>
        <v>3.8080900897067513</v>
      </c>
      <c r="E51" s="1074">
        <v>0</v>
      </c>
      <c r="F51" s="823">
        <v>0</v>
      </c>
      <c r="G51" s="468"/>
      <c r="H51" s="443">
        <f t="shared" si="12"/>
        <v>3.8080900897067513</v>
      </c>
      <c r="I51" s="443">
        <f t="shared" si="13"/>
        <v>3.8080900897067513</v>
      </c>
      <c r="J51" s="1074">
        <v>0</v>
      </c>
      <c r="K51" s="823">
        <v>0</v>
      </c>
      <c r="L51" s="468"/>
      <c r="M51" s="443">
        <f t="shared" si="14"/>
        <v>3.8080900897067513</v>
      </c>
      <c r="N51" s="443">
        <f t="shared" si="15"/>
        <v>3.8080900897067513</v>
      </c>
      <c r="O51" s="1074">
        <v>0</v>
      </c>
      <c r="P51" s="823">
        <v>0</v>
      </c>
      <c r="Q51" s="468"/>
      <c r="R51" s="443">
        <f t="shared" si="16"/>
        <v>3.8080900897067513</v>
      </c>
      <c r="S51" s="443">
        <f t="shared" si="17"/>
        <v>3.8080900897067513</v>
      </c>
      <c r="T51" s="1074">
        <v>0</v>
      </c>
      <c r="U51" s="823">
        <v>0</v>
      </c>
      <c r="V51" s="468"/>
      <c r="W51" s="443">
        <f t="shared" si="18"/>
        <v>3.8080900897067513</v>
      </c>
    </row>
    <row r="52" spans="1:23" s="2" customFormat="1" x14ac:dyDescent="0.3">
      <c r="A52" s="419"/>
      <c r="B52" s="465">
        <f t="shared" si="19"/>
        <v>13</v>
      </c>
      <c r="C52" s="467" t="s">
        <v>899</v>
      </c>
      <c r="D52" s="443">
        <f t="shared" si="11"/>
        <v>0</v>
      </c>
      <c r="E52" s="1074">
        <v>0</v>
      </c>
      <c r="F52" s="823">
        <v>0</v>
      </c>
      <c r="G52" s="468"/>
      <c r="H52" s="443">
        <f t="shared" si="12"/>
        <v>0</v>
      </c>
      <c r="I52" s="443">
        <f t="shared" si="13"/>
        <v>0</v>
      </c>
      <c r="J52" s="1074">
        <v>0</v>
      </c>
      <c r="K52" s="823">
        <v>0</v>
      </c>
      <c r="L52" s="468"/>
      <c r="M52" s="443">
        <f t="shared" si="14"/>
        <v>0</v>
      </c>
      <c r="N52" s="443">
        <f t="shared" si="15"/>
        <v>0</v>
      </c>
      <c r="O52" s="1074">
        <v>0</v>
      </c>
      <c r="P52" s="823">
        <v>0</v>
      </c>
      <c r="Q52" s="468"/>
      <c r="R52" s="443">
        <f t="shared" si="16"/>
        <v>0</v>
      </c>
      <c r="S52" s="443">
        <f t="shared" si="17"/>
        <v>0</v>
      </c>
      <c r="T52" s="1074">
        <v>0</v>
      </c>
      <c r="U52" s="823">
        <v>0</v>
      </c>
      <c r="V52" s="468"/>
      <c r="W52" s="443">
        <f t="shared" si="18"/>
        <v>0</v>
      </c>
    </row>
    <row r="53" spans="1:23" s="2" customFormat="1" x14ac:dyDescent="0.3">
      <c r="A53" s="419"/>
      <c r="B53" s="465">
        <f t="shared" si="19"/>
        <v>14</v>
      </c>
      <c r="C53" s="467" t="s">
        <v>900</v>
      </c>
      <c r="D53" s="443">
        <f t="shared" si="11"/>
        <v>0.4912730743246676</v>
      </c>
      <c r="E53" s="1074">
        <v>0</v>
      </c>
      <c r="F53" s="823">
        <v>0</v>
      </c>
      <c r="G53" s="468"/>
      <c r="H53" s="443">
        <f t="shared" si="12"/>
        <v>0.4912730743246676</v>
      </c>
      <c r="I53" s="443">
        <f t="shared" si="13"/>
        <v>0.4912730743246676</v>
      </c>
      <c r="J53" s="1074">
        <v>0</v>
      </c>
      <c r="K53" s="823">
        <v>0</v>
      </c>
      <c r="L53" s="468"/>
      <c r="M53" s="443">
        <f t="shared" si="14"/>
        <v>0.4912730743246676</v>
      </c>
      <c r="N53" s="443">
        <f t="shared" si="15"/>
        <v>0.4912730743246676</v>
      </c>
      <c r="O53" s="1074">
        <v>0</v>
      </c>
      <c r="P53" s="823">
        <v>0</v>
      </c>
      <c r="Q53" s="468"/>
      <c r="R53" s="443">
        <f t="shared" si="16"/>
        <v>0.4912730743246676</v>
      </c>
      <c r="S53" s="443">
        <f t="shared" si="17"/>
        <v>0.4912730743246676</v>
      </c>
      <c r="T53" s="1074">
        <v>0</v>
      </c>
      <c r="U53" s="823">
        <v>0</v>
      </c>
      <c r="V53" s="468"/>
      <c r="W53" s="443">
        <f t="shared" si="18"/>
        <v>0.4912730743246676</v>
      </c>
    </row>
    <row r="54" spans="1:23" s="2" customFormat="1" x14ac:dyDescent="0.3">
      <c r="A54" s="419"/>
      <c r="B54" s="465">
        <f t="shared" si="19"/>
        <v>15</v>
      </c>
      <c r="C54" s="467" t="s">
        <v>901</v>
      </c>
      <c r="D54" s="443">
        <f t="shared" si="11"/>
        <v>1.2302536663739264E-2</v>
      </c>
      <c r="E54" s="1074">
        <v>0</v>
      </c>
      <c r="F54" s="823">
        <v>0</v>
      </c>
      <c r="G54" s="468"/>
      <c r="H54" s="443">
        <f t="shared" si="12"/>
        <v>1.2302536663739264E-2</v>
      </c>
      <c r="I54" s="443">
        <f t="shared" si="13"/>
        <v>1.2302536663739264E-2</v>
      </c>
      <c r="J54" s="1074">
        <v>0</v>
      </c>
      <c r="K54" s="823">
        <v>0</v>
      </c>
      <c r="L54" s="468"/>
      <c r="M54" s="443">
        <f t="shared" si="14"/>
        <v>1.2302536663739264E-2</v>
      </c>
      <c r="N54" s="443">
        <f t="shared" si="15"/>
        <v>1.2302536663739264E-2</v>
      </c>
      <c r="O54" s="1074">
        <v>0</v>
      </c>
      <c r="P54" s="823">
        <v>0</v>
      </c>
      <c r="Q54" s="468"/>
      <c r="R54" s="443">
        <f t="shared" si="16"/>
        <v>1.2302536663739264E-2</v>
      </c>
      <c r="S54" s="443">
        <f t="shared" si="17"/>
        <v>1.2302536663739264E-2</v>
      </c>
      <c r="T54" s="1074">
        <v>0</v>
      </c>
      <c r="U54" s="823">
        <v>0</v>
      </c>
      <c r="V54" s="468"/>
      <c r="W54" s="443">
        <f t="shared" si="18"/>
        <v>1.2302536663739264E-2</v>
      </c>
    </row>
    <row r="55" spans="1:23" s="2" customFormat="1" x14ac:dyDescent="0.3">
      <c r="A55" s="419"/>
      <c r="B55" s="465">
        <f t="shared" si="19"/>
        <v>16</v>
      </c>
      <c r="C55" s="467" t="s">
        <v>852</v>
      </c>
      <c r="D55" s="443">
        <f t="shared" si="11"/>
        <v>0</v>
      </c>
      <c r="E55" s="1074">
        <v>0</v>
      </c>
      <c r="F55" s="823">
        <v>0</v>
      </c>
      <c r="G55" s="468"/>
      <c r="H55" s="443">
        <f t="shared" si="12"/>
        <v>0</v>
      </c>
      <c r="I55" s="443">
        <f t="shared" si="13"/>
        <v>0</v>
      </c>
      <c r="J55" s="1074">
        <v>0</v>
      </c>
      <c r="K55" s="823">
        <v>0</v>
      </c>
      <c r="L55" s="468"/>
      <c r="M55" s="443">
        <f t="shared" si="14"/>
        <v>0</v>
      </c>
      <c r="N55" s="443">
        <f t="shared" si="15"/>
        <v>0</v>
      </c>
      <c r="O55" s="1074">
        <v>0</v>
      </c>
      <c r="P55" s="823">
        <v>0</v>
      </c>
      <c r="Q55" s="468"/>
      <c r="R55" s="443">
        <f t="shared" si="16"/>
        <v>0</v>
      </c>
      <c r="S55" s="443">
        <f t="shared" si="17"/>
        <v>0</v>
      </c>
      <c r="T55" s="1074">
        <v>0</v>
      </c>
      <c r="U55" s="823">
        <v>0</v>
      </c>
      <c r="V55" s="468"/>
      <c r="W55" s="443">
        <f t="shared" si="18"/>
        <v>0</v>
      </c>
    </row>
    <row r="56" spans="1:23" s="2" customFormat="1" x14ac:dyDescent="0.3">
      <c r="A56" s="419"/>
      <c r="B56" s="465">
        <f t="shared" si="19"/>
        <v>17</v>
      </c>
      <c r="C56" s="467" t="s">
        <v>902</v>
      </c>
      <c r="D56" s="443">
        <f t="shared" si="11"/>
        <v>0</v>
      </c>
      <c r="E56" s="1074">
        <v>0</v>
      </c>
      <c r="F56" s="823">
        <v>0</v>
      </c>
      <c r="G56" s="468"/>
      <c r="H56" s="443">
        <f t="shared" si="12"/>
        <v>0</v>
      </c>
      <c r="I56" s="443">
        <f t="shared" si="13"/>
        <v>0</v>
      </c>
      <c r="J56" s="1074">
        <v>0</v>
      </c>
      <c r="K56" s="823">
        <v>0</v>
      </c>
      <c r="L56" s="468"/>
      <c r="M56" s="443">
        <f t="shared" si="14"/>
        <v>0</v>
      </c>
      <c r="N56" s="443">
        <f t="shared" si="15"/>
        <v>0</v>
      </c>
      <c r="O56" s="1074">
        <v>0</v>
      </c>
      <c r="P56" s="823">
        <v>0</v>
      </c>
      <c r="Q56" s="468"/>
      <c r="R56" s="443">
        <f t="shared" si="16"/>
        <v>0</v>
      </c>
      <c r="S56" s="443">
        <f t="shared" si="17"/>
        <v>0</v>
      </c>
      <c r="T56" s="1074">
        <v>0</v>
      </c>
      <c r="U56" s="823">
        <v>0</v>
      </c>
      <c r="V56" s="468"/>
      <c r="W56" s="443">
        <f t="shared" si="18"/>
        <v>0</v>
      </c>
    </row>
    <row r="57" spans="1:23" s="1" customFormat="1" ht="16" x14ac:dyDescent="0.3">
      <c r="B57" s="83"/>
      <c r="C57" s="97" t="s">
        <v>270</v>
      </c>
      <c r="D57" s="348">
        <f>SUM(D40:D56)</f>
        <v>3229.4706753478667</v>
      </c>
      <c r="E57" s="348">
        <f>SUM(E40:E56)</f>
        <v>0</v>
      </c>
      <c r="F57" s="348">
        <f>SUM(F40:F56)</f>
        <v>0</v>
      </c>
      <c r="G57" s="348">
        <f>SUM(G40:G56)</f>
        <v>0</v>
      </c>
      <c r="H57" s="348">
        <f>SUM(H40:H56)</f>
        <v>3229.4706753478667</v>
      </c>
      <c r="I57" s="348">
        <f t="shared" ref="I57:M57" si="20">SUM(I40:I56)</f>
        <v>3229.4706753478667</v>
      </c>
      <c r="J57" s="348">
        <f t="shared" si="20"/>
        <v>0</v>
      </c>
      <c r="K57" s="348">
        <f t="shared" si="20"/>
        <v>0</v>
      </c>
      <c r="L57" s="348">
        <f t="shared" si="20"/>
        <v>0</v>
      </c>
      <c r="M57" s="348">
        <f t="shared" si="20"/>
        <v>3229.4706753478667</v>
      </c>
      <c r="N57" s="348">
        <f t="shared" ref="N57:W57" si="21">SUM(N40:N56)</f>
        <v>3229.4706753478667</v>
      </c>
      <c r="O57" s="348">
        <f t="shared" si="21"/>
        <v>0</v>
      </c>
      <c r="P57" s="348">
        <f t="shared" si="21"/>
        <v>0</v>
      </c>
      <c r="Q57" s="348">
        <f t="shared" si="21"/>
        <v>0</v>
      </c>
      <c r="R57" s="348">
        <f t="shared" si="21"/>
        <v>3229.4706753478667</v>
      </c>
      <c r="S57" s="348">
        <f t="shared" si="21"/>
        <v>3229.4706753478667</v>
      </c>
      <c r="T57" s="348">
        <f t="shared" si="21"/>
        <v>0</v>
      </c>
      <c r="U57" s="348">
        <f t="shared" si="21"/>
        <v>0</v>
      </c>
      <c r="V57" s="348">
        <f t="shared" si="21"/>
        <v>0</v>
      </c>
      <c r="W57" s="348">
        <f t="shared" si="21"/>
        <v>3229.4706753478667</v>
      </c>
    </row>
    <row r="58" spans="1:23" s="1" customFormat="1" ht="16" x14ac:dyDescent="0.3">
      <c r="B58" s="261"/>
      <c r="C58" s="261"/>
      <c r="D58" s="261"/>
      <c r="E58" s="261"/>
      <c r="F58" s="261"/>
      <c r="G58" s="261"/>
      <c r="H58" s="261"/>
      <c r="I58" s="261"/>
      <c r="J58" s="261"/>
      <c r="K58" s="261"/>
      <c r="L58" s="261"/>
      <c r="M58" s="261"/>
      <c r="N58" s="261"/>
      <c r="O58" s="261"/>
    </row>
    <row r="59" spans="1:23" ht="16" x14ac:dyDescent="0.3">
      <c r="B59" s="261"/>
      <c r="C59" s="261"/>
      <c r="D59" s="261"/>
      <c r="E59" s="261"/>
      <c r="F59" s="261"/>
      <c r="G59" s="261"/>
      <c r="H59" s="261"/>
      <c r="I59" s="261"/>
      <c r="J59" s="261"/>
      <c r="K59" s="261"/>
      <c r="L59" s="261"/>
      <c r="M59" s="261"/>
      <c r="N59" s="261"/>
      <c r="O59" s="261"/>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66" t="s">
        <v>271</v>
      </c>
      <c r="C61" s="1"/>
      <c r="D61" s="1"/>
      <c r="E61" s="1"/>
      <c r="F61" s="1"/>
      <c r="G61" s="1"/>
      <c r="H61" s="1"/>
      <c r="I61" s="1"/>
      <c r="J61" s="1"/>
      <c r="K61" s="1"/>
      <c r="L61" s="1"/>
      <c r="M61" s="1"/>
      <c r="N61" s="1"/>
      <c r="O61" s="1"/>
      <c r="P61" s="1"/>
      <c r="Q61" s="1"/>
      <c r="R61" s="1"/>
    </row>
    <row r="62" spans="1:23" x14ac:dyDescent="0.3">
      <c r="B62" s="366"/>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8" t="s">
        <v>10</v>
      </c>
      <c r="N63" s="44"/>
      <c r="O63" s="1"/>
      <c r="P63" s="1"/>
      <c r="Q63" s="1"/>
    </row>
    <row r="64" spans="1:23" ht="15" customHeight="1" x14ac:dyDescent="0.3">
      <c r="B64" s="1792" t="s">
        <v>339</v>
      </c>
      <c r="C64" s="1792" t="s">
        <v>36</v>
      </c>
      <c r="D64" s="1936" t="s">
        <v>506</v>
      </c>
      <c r="E64" s="1937"/>
      <c r="F64" s="1937"/>
      <c r="G64" s="1937"/>
      <c r="H64" s="1938"/>
      <c r="I64" s="1939" t="s">
        <v>507</v>
      </c>
      <c r="J64" s="1939"/>
      <c r="K64" s="1939"/>
      <c r="L64" s="1939"/>
      <c r="M64" s="1939"/>
      <c r="N64" s="1935" t="s">
        <v>508</v>
      </c>
      <c r="O64" s="1935"/>
      <c r="P64" s="1935"/>
      <c r="Q64" s="1935"/>
      <c r="R64" s="1935"/>
      <c r="S64" s="1935" t="s">
        <v>968</v>
      </c>
      <c r="T64" s="1935"/>
      <c r="U64" s="1935"/>
      <c r="V64" s="1935"/>
      <c r="W64" s="1935"/>
    </row>
    <row r="65" spans="1:25" x14ac:dyDescent="0.3">
      <c r="B65" s="1792"/>
      <c r="C65" s="1792"/>
      <c r="D65" s="1941" t="s">
        <v>7</v>
      </c>
      <c r="E65" s="1942"/>
      <c r="F65" s="1942"/>
      <c r="G65" s="1942"/>
      <c r="H65" s="1942"/>
      <c r="I65" s="1941" t="s">
        <v>7</v>
      </c>
      <c r="J65" s="1942"/>
      <c r="K65" s="1942"/>
      <c r="L65" s="1942"/>
      <c r="M65" s="1942"/>
      <c r="N65" s="1941" t="s">
        <v>12</v>
      </c>
      <c r="O65" s="1942"/>
      <c r="P65" s="1942"/>
      <c r="Q65" s="1942"/>
      <c r="R65" s="1942"/>
      <c r="S65" s="1939" t="s">
        <v>21</v>
      </c>
      <c r="T65" s="1940"/>
      <c r="U65" s="1940"/>
      <c r="V65" s="1940"/>
      <c r="W65" s="1940"/>
    </row>
    <row r="66" spans="1:25" ht="56" x14ac:dyDescent="0.3">
      <c r="A66" s="5" t="s">
        <v>811</v>
      </c>
      <c r="B66" s="1792"/>
      <c r="C66" s="1792"/>
      <c r="D66" s="367" t="s">
        <v>272</v>
      </c>
      <c r="E66" s="367" t="s">
        <v>267</v>
      </c>
      <c r="F66" s="262" t="s">
        <v>273</v>
      </c>
      <c r="G66" s="365" t="s">
        <v>587</v>
      </c>
      <c r="H66" s="367" t="s">
        <v>274</v>
      </c>
      <c r="I66" s="671" t="s">
        <v>272</v>
      </c>
      <c r="J66" s="671" t="s">
        <v>267</v>
      </c>
      <c r="K66" s="262" t="s">
        <v>273</v>
      </c>
      <c r="L66" s="665" t="s">
        <v>587</v>
      </c>
      <c r="M66" s="671" t="s">
        <v>274</v>
      </c>
      <c r="N66" s="367" t="s">
        <v>272</v>
      </c>
      <c r="O66" s="367" t="s">
        <v>267</v>
      </c>
      <c r="P66" s="262" t="s">
        <v>273</v>
      </c>
      <c r="Q66" s="365" t="s">
        <v>587</v>
      </c>
      <c r="R66" s="367" t="s">
        <v>274</v>
      </c>
      <c r="S66" s="367" t="s">
        <v>272</v>
      </c>
      <c r="T66" s="367" t="s">
        <v>267</v>
      </c>
      <c r="U66" s="262" t="s">
        <v>273</v>
      </c>
      <c r="V66" s="365" t="s">
        <v>587</v>
      </c>
      <c r="W66" s="367" t="s">
        <v>274</v>
      </c>
    </row>
    <row r="67" spans="1:25" ht="28" x14ac:dyDescent="0.3">
      <c r="B67" s="259"/>
      <c r="C67" s="259"/>
      <c r="D67" s="259" t="s">
        <v>80</v>
      </c>
      <c r="E67" s="259" t="s">
        <v>81</v>
      </c>
      <c r="F67" s="259" t="s">
        <v>459</v>
      </c>
      <c r="G67" s="259" t="s">
        <v>390</v>
      </c>
      <c r="H67" s="259" t="s">
        <v>588</v>
      </c>
      <c r="I67" s="259" t="s">
        <v>408</v>
      </c>
      <c r="J67" s="259" t="s">
        <v>509</v>
      </c>
      <c r="K67" s="259" t="s">
        <v>409</v>
      </c>
      <c r="L67" s="259" t="s">
        <v>410</v>
      </c>
      <c r="M67" s="259" t="s">
        <v>653</v>
      </c>
      <c r="N67" s="259" t="s">
        <v>595</v>
      </c>
      <c r="O67" s="259" t="s">
        <v>596</v>
      </c>
      <c r="P67" s="259" t="s">
        <v>597</v>
      </c>
      <c r="Q67" s="259" t="s">
        <v>656</v>
      </c>
      <c r="R67" s="259" t="s">
        <v>657</v>
      </c>
      <c r="S67" s="259" t="s">
        <v>658</v>
      </c>
      <c r="T67" s="259" t="s">
        <v>659</v>
      </c>
      <c r="U67" s="259" t="s">
        <v>660</v>
      </c>
      <c r="V67" s="259" t="s">
        <v>661</v>
      </c>
      <c r="W67" s="259" t="s">
        <v>662</v>
      </c>
    </row>
    <row r="68" spans="1:25" x14ac:dyDescent="0.3">
      <c r="A68" s="457">
        <v>0</v>
      </c>
      <c r="B68" s="95">
        <v>1</v>
      </c>
      <c r="C68" s="447" t="s">
        <v>844</v>
      </c>
      <c r="D68" s="349">
        <v>0</v>
      </c>
      <c r="E68" s="659">
        <f t="shared" ref="E68:E80" si="22">IF((IFERROR(D68/((D14+E14)*90%),0))&lt;70%,MIN((MAX((D14+E14)*90%-D68,0)),(D14+E14/2)*$Y68),MAX((E14+D14)*90%-D68,0)/E$86)</f>
        <v>0</v>
      </c>
      <c r="F68" s="349">
        <f>IFERROR(IF(D68=0,0,D68/D14*F14),0)</f>
        <v>0</v>
      </c>
      <c r="G68" s="350"/>
      <c r="H68" s="349">
        <f>D68+E68-F68-G68</f>
        <v>0</v>
      </c>
      <c r="I68" s="346">
        <f>H68</f>
        <v>0</v>
      </c>
      <c r="J68" s="659">
        <f>IF((IFERROR(I68/((I14+J14)*90%),0))&lt;70%,MIN((MAX((I14+J14)*90%-I68,0)),(I14+J14/2)*$A68),MAX((J14+I14)*90%-I68,0)/J$86)</f>
        <v>0</v>
      </c>
      <c r="K68" s="349">
        <f>IFERROR(IF(I68=0,0,I68/I14*K14),0)</f>
        <v>0</v>
      </c>
      <c r="L68" s="350"/>
      <c r="M68" s="346">
        <f t="shared" ref="M68:M79" si="23">I68+J68-K68-L68</f>
        <v>0</v>
      </c>
      <c r="N68" s="349">
        <f>M68</f>
        <v>0</v>
      </c>
      <c r="O68" s="659">
        <f t="shared" ref="O68:O80" si="24">IF((IFERROR(N68/((N14+O14)*90%),0))&lt;70%,MIN((MAX((N14+O14)*90%-N68,0)),(N14+O14/2)*$A95),MAX((O14+N14)*90%-N68,0)/O$86)</f>
        <v>0</v>
      </c>
      <c r="P68" s="349">
        <f t="shared" ref="P68:P84" si="25">IFERROR(IF(N68=0,0,N68/N14*P14),0)</f>
        <v>0</v>
      </c>
      <c r="Q68" s="350"/>
      <c r="R68" s="349">
        <f>N68+O68-P68-Q68</f>
        <v>0</v>
      </c>
      <c r="S68" s="346">
        <f>R68</f>
        <v>0</v>
      </c>
      <c r="T68" s="659">
        <f t="shared" ref="T68:T80" si="26">IF((IFERROR(S68/((S14+T14)*90%),0))&lt;70%,MIN((MAX((S14+T14)*90%-S68,0)),(S14+T14/2)*$A95),MAX((T14+S14)*90%-S68,0)/T$86)</f>
        <v>0</v>
      </c>
      <c r="U68" s="349">
        <f t="shared" ref="U68:U84" si="27">IFERROR(IF(S68=0,0,S68/S14*U14),0)</f>
        <v>0</v>
      </c>
      <c r="V68" s="350"/>
      <c r="W68" s="346">
        <f>S68+T68-U68-V68</f>
        <v>0</v>
      </c>
      <c r="Y68" s="658">
        <v>0</v>
      </c>
    </row>
    <row r="69" spans="1:25" x14ac:dyDescent="0.3">
      <c r="A69" s="457">
        <v>3.3399999999999999E-2</v>
      </c>
      <c r="B69" s="95">
        <f>B68+1</f>
        <v>2</v>
      </c>
      <c r="C69" s="447" t="s">
        <v>845</v>
      </c>
      <c r="D69" s="349">
        <v>94.370731007610786</v>
      </c>
      <c r="E69" s="659">
        <f t="shared" si="22"/>
        <v>5.4418994849146092</v>
      </c>
      <c r="F69" s="349">
        <f t="shared" ref="F69:F84" si="28">IFERROR(IF(D69=0,0,D69/D15*F15),0)</f>
        <v>0</v>
      </c>
      <c r="G69" s="350"/>
      <c r="H69" s="782">
        <f>D69+E69-F69-G69</f>
        <v>99.8126304925254</v>
      </c>
      <c r="I69" s="346">
        <f t="shared" ref="I69:I79" si="29">H69</f>
        <v>99.8126304925254</v>
      </c>
      <c r="J69" s="659">
        <f t="shared" ref="J69:J84" si="30">IF((IFERROR(I69/((I15+J15)*90%),0))&lt;70%,MIN((MAX((I15+J15)*90%-I69,0)),(I15+J15/2)*$A69),MAX((J15+I15)*90%-I69,0)/J$86)</f>
        <v>5.4419488975593096</v>
      </c>
      <c r="K69" s="349">
        <f t="shared" ref="K69:K84" si="31">IFERROR(IF(I69=0,0,I69/I15*K15),0)</f>
        <v>0</v>
      </c>
      <c r="L69" s="350"/>
      <c r="M69" s="346">
        <f t="shared" si="23"/>
        <v>105.25457939008471</v>
      </c>
      <c r="N69" s="349">
        <f t="shared" ref="N69:N84" si="32">M69</f>
        <v>105.25457939008471</v>
      </c>
      <c r="O69" s="659">
        <f t="shared" si="24"/>
        <v>4.1532686798828298</v>
      </c>
      <c r="P69" s="349">
        <f t="shared" si="25"/>
        <v>0</v>
      </c>
      <c r="Q69" s="350"/>
      <c r="R69" s="349">
        <f t="shared" ref="R69:R79" si="33">N69+O69-P69-Q69</f>
        <v>109.40784806996754</v>
      </c>
      <c r="S69" s="346">
        <f t="shared" ref="S69:S79" si="34">R69</f>
        <v>109.40784806996754</v>
      </c>
      <c r="T69" s="659">
        <f t="shared" si="26"/>
        <v>4.1532686798828298</v>
      </c>
      <c r="U69" s="349">
        <f t="shared" si="27"/>
        <v>0</v>
      </c>
      <c r="V69" s="350"/>
      <c r="W69" s="346">
        <f t="shared" ref="W69:W79" si="35">S69+T69-U69-V69</f>
        <v>113.56111674985037</v>
      </c>
      <c r="Y69" s="658">
        <v>3.3399999999999999E-2</v>
      </c>
    </row>
    <row r="70" spans="1:25" x14ac:dyDescent="0.3">
      <c r="A70" s="457">
        <v>5.28E-2</v>
      </c>
      <c r="B70" s="95">
        <f t="shared" ref="B70:B84" si="36">B69+1</f>
        <v>3</v>
      </c>
      <c r="C70" s="447" t="s">
        <v>846</v>
      </c>
      <c r="D70" s="349">
        <v>44.354121252791742</v>
      </c>
      <c r="E70" s="659">
        <f t="shared" si="22"/>
        <v>3.8992799999999996</v>
      </c>
      <c r="F70" s="349">
        <f t="shared" si="28"/>
        <v>0</v>
      </c>
      <c r="G70" s="350"/>
      <c r="H70" s="349">
        <f t="shared" ref="H70:H84" si="37">D70+E70-F70-G70</f>
        <v>48.25340125279174</v>
      </c>
      <c r="I70" s="346">
        <f t="shared" si="29"/>
        <v>48.25340125279174</v>
      </c>
      <c r="J70" s="659">
        <f t="shared" si="30"/>
        <v>1.6609778967343869</v>
      </c>
      <c r="K70" s="349">
        <f t="shared" si="31"/>
        <v>0</v>
      </c>
      <c r="L70" s="350"/>
      <c r="M70" s="346">
        <f t="shared" si="23"/>
        <v>49.914379149526127</v>
      </c>
      <c r="N70" s="349">
        <f t="shared" si="32"/>
        <v>49.914379149526127</v>
      </c>
      <c r="O70" s="659">
        <f t="shared" si="24"/>
        <v>1.6609778967343869</v>
      </c>
      <c r="P70" s="349">
        <f t="shared" si="25"/>
        <v>0</v>
      </c>
      <c r="Q70" s="350"/>
      <c r="R70" s="349">
        <f t="shared" si="33"/>
        <v>51.575357046260514</v>
      </c>
      <c r="S70" s="346">
        <f t="shared" si="34"/>
        <v>51.575357046260514</v>
      </c>
      <c r="T70" s="659">
        <f t="shared" si="26"/>
        <v>1.6609778967343869</v>
      </c>
      <c r="U70" s="349">
        <f t="shared" si="27"/>
        <v>0</v>
      </c>
      <c r="V70" s="350"/>
      <c r="W70" s="346">
        <f t="shared" si="35"/>
        <v>53.236334942994901</v>
      </c>
      <c r="Y70" s="658">
        <v>5.28E-2</v>
      </c>
    </row>
    <row r="71" spans="1:25" x14ac:dyDescent="0.3">
      <c r="A71" s="457">
        <v>5.28E-2</v>
      </c>
      <c r="B71" s="95">
        <f t="shared" si="36"/>
        <v>4</v>
      </c>
      <c r="C71" s="447" t="s">
        <v>847</v>
      </c>
      <c r="D71" s="349">
        <v>78.119296532655966</v>
      </c>
      <c r="E71" s="659">
        <f t="shared" si="22"/>
        <v>8.533900529162409</v>
      </c>
      <c r="F71" s="349">
        <f t="shared" si="28"/>
        <v>0</v>
      </c>
      <c r="G71" s="350"/>
      <c r="H71" s="349">
        <f t="shared" si="37"/>
        <v>86.653197061818375</v>
      </c>
      <c r="I71" s="346">
        <f t="shared" si="29"/>
        <v>86.653197061818375</v>
      </c>
      <c r="J71" s="659">
        <f t="shared" si="30"/>
        <v>8.533900529162409</v>
      </c>
      <c r="K71" s="349">
        <f t="shared" si="31"/>
        <v>0</v>
      </c>
      <c r="L71" s="350"/>
      <c r="M71" s="346">
        <f t="shared" si="23"/>
        <v>95.187097590980784</v>
      </c>
      <c r="N71" s="349">
        <f t="shared" si="32"/>
        <v>95.187097590980784</v>
      </c>
      <c r="O71" s="659">
        <f t="shared" si="24"/>
        <v>8.533900529162409</v>
      </c>
      <c r="P71" s="349">
        <f t="shared" si="25"/>
        <v>0</v>
      </c>
      <c r="Q71" s="350"/>
      <c r="R71" s="349">
        <f t="shared" si="33"/>
        <v>103.72099812014319</v>
      </c>
      <c r="S71" s="346">
        <f t="shared" si="34"/>
        <v>103.72099812014319</v>
      </c>
      <c r="T71" s="659">
        <f t="shared" si="26"/>
        <v>4.6565628476377361</v>
      </c>
      <c r="U71" s="349">
        <f t="shared" si="27"/>
        <v>0</v>
      </c>
      <c r="V71" s="350"/>
      <c r="W71" s="346">
        <f t="shared" si="35"/>
        <v>108.37756096778092</v>
      </c>
      <c r="Y71" s="658">
        <v>5.28E-2</v>
      </c>
    </row>
    <row r="72" spans="1:25" x14ac:dyDescent="0.3">
      <c r="A72" s="457">
        <v>3.3399999999999999E-2</v>
      </c>
      <c r="B72" s="95">
        <f t="shared" si="36"/>
        <v>5</v>
      </c>
      <c r="C72" s="447" t="s">
        <v>848</v>
      </c>
      <c r="D72" s="349">
        <v>52.443885492737245</v>
      </c>
      <c r="E72" s="659">
        <f t="shared" si="22"/>
        <v>3.4467103259163112</v>
      </c>
      <c r="F72" s="349">
        <f t="shared" si="28"/>
        <v>0</v>
      </c>
      <c r="G72" s="350"/>
      <c r="H72" s="349">
        <f t="shared" si="37"/>
        <v>55.890595818653559</v>
      </c>
      <c r="I72" s="346">
        <f t="shared" si="29"/>
        <v>55.890595818653559</v>
      </c>
      <c r="J72" s="659">
        <f t="shared" si="30"/>
        <v>3.4526831044132118</v>
      </c>
      <c r="K72" s="349">
        <f t="shared" si="31"/>
        <v>0</v>
      </c>
      <c r="L72" s="350"/>
      <c r="M72" s="346">
        <f t="shared" si="23"/>
        <v>59.343278923066769</v>
      </c>
      <c r="N72" s="349">
        <f t="shared" si="32"/>
        <v>59.343278923066769</v>
      </c>
      <c r="O72" s="659">
        <f t="shared" si="24"/>
        <v>3.5175854834132116</v>
      </c>
      <c r="P72" s="349">
        <f t="shared" si="25"/>
        <v>0</v>
      </c>
      <c r="Q72" s="350"/>
      <c r="R72" s="349">
        <f t="shared" si="33"/>
        <v>62.860864406479983</v>
      </c>
      <c r="S72" s="346">
        <f t="shared" si="34"/>
        <v>62.860864406479983</v>
      </c>
      <c r="T72" s="659">
        <f t="shared" si="26"/>
        <v>3.611545862413212</v>
      </c>
      <c r="U72" s="349">
        <f t="shared" si="27"/>
        <v>0</v>
      </c>
      <c r="V72" s="350"/>
      <c r="W72" s="346">
        <f t="shared" si="35"/>
        <v>66.472410268893199</v>
      </c>
      <c r="Y72" s="658">
        <v>3.3399999999999999E-2</v>
      </c>
    </row>
    <row r="73" spans="1:25" x14ac:dyDescent="0.3">
      <c r="A73" s="457">
        <v>5.28E-2</v>
      </c>
      <c r="B73" s="95">
        <f t="shared" si="36"/>
        <v>6</v>
      </c>
      <c r="C73" s="447" t="s">
        <v>255</v>
      </c>
      <c r="D73" s="349">
        <v>1658.52451797303</v>
      </c>
      <c r="E73" s="659">
        <f t="shared" si="22"/>
        <v>53.147638146543123</v>
      </c>
      <c r="F73" s="349">
        <f>IFERROR(IF(D73=0,0,D73/D19*F19),0)</f>
        <v>0</v>
      </c>
      <c r="G73" s="350"/>
      <c r="H73" s="349">
        <f t="shared" si="37"/>
        <v>1711.6721561195732</v>
      </c>
      <c r="I73" s="346">
        <f t="shared" si="29"/>
        <v>1711.6721561195732</v>
      </c>
      <c r="J73" s="659">
        <f t="shared" si="30"/>
        <v>53.720491757827958</v>
      </c>
      <c r="K73" s="349">
        <f t="shared" si="31"/>
        <v>0</v>
      </c>
      <c r="L73" s="350"/>
      <c r="M73" s="346">
        <f t="shared" si="23"/>
        <v>1765.392647877401</v>
      </c>
      <c r="N73" s="349">
        <f t="shared" si="32"/>
        <v>1765.392647877401</v>
      </c>
      <c r="O73" s="659">
        <f t="shared" si="24"/>
        <v>59.320617410838707</v>
      </c>
      <c r="P73" s="349">
        <f t="shared" si="25"/>
        <v>0</v>
      </c>
      <c r="Q73" s="350"/>
      <c r="R73" s="349">
        <f t="shared" si="33"/>
        <v>1824.7132652882397</v>
      </c>
      <c r="S73" s="346">
        <f t="shared" si="34"/>
        <v>1824.7132652882397</v>
      </c>
      <c r="T73" s="659">
        <f t="shared" si="26"/>
        <v>64.566042227464635</v>
      </c>
      <c r="U73" s="349">
        <f t="shared" si="27"/>
        <v>0</v>
      </c>
      <c r="V73" s="350"/>
      <c r="W73" s="346">
        <f t="shared" si="35"/>
        <v>1889.2793075157042</v>
      </c>
      <c r="Y73" s="658">
        <v>5.28E-2</v>
      </c>
    </row>
    <row r="74" spans="1:25" x14ac:dyDescent="0.3">
      <c r="A74" s="457">
        <v>0.18</v>
      </c>
      <c r="B74" s="95">
        <f t="shared" si="36"/>
        <v>7</v>
      </c>
      <c r="C74" s="447" t="s">
        <v>849</v>
      </c>
      <c r="D74" s="349">
        <v>2.4957522647534831</v>
      </c>
      <c r="E74" s="659">
        <f t="shared" si="22"/>
        <v>0.90736289069339338</v>
      </c>
      <c r="F74" s="349">
        <f t="shared" si="28"/>
        <v>0</v>
      </c>
      <c r="G74" s="350"/>
      <c r="H74" s="349">
        <f t="shared" si="37"/>
        <v>3.4031151554468764</v>
      </c>
      <c r="I74" s="346">
        <f t="shared" si="29"/>
        <v>3.4031151554468764</v>
      </c>
      <c r="J74" s="659">
        <f t="shared" si="30"/>
        <v>0.10339836176345153</v>
      </c>
      <c r="K74" s="349">
        <f t="shared" si="31"/>
        <v>0</v>
      </c>
      <c r="L74" s="350"/>
      <c r="M74" s="346">
        <f t="shared" si="23"/>
        <v>3.5065135172103279</v>
      </c>
      <c r="N74" s="349">
        <f t="shared" si="32"/>
        <v>3.5065135172103279</v>
      </c>
      <c r="O74" s="659">
        <f t="shared" si="24"/>
        <v>0.10339836176345153</v>
      </c>
      <c r="P74" s="349">
        <f t="shared" si="25"/>
        <v>0</v>
      </c>
      <c r="Q74" s="350"/>
      <c r="R74" s="349">
        <f t="shared" si="33"/>
        <v>3.6099118789737794</v>
      </c>
      <c r="S74" s="346">
        <f t="shared" si="34"/>
        <v>3.6099118789737794</v>
      </c>
      <c r="T74" s="659">
        <f t="shared" si="26"/>
        <v>0.10339836176345153</v>
      </c>
      <c r="U74" s="349">
        <f t="shared" si="27"/>
        <v>0</v>
      </c>
      <c r="V74" s="350"/>
      <c r="W74" s="346">
        <f t="shared" si="35"/>
        <v>3.7133102407372309</v>
      </c>
      <c r="Y74" s="658">
        <v>0.18</v>
      </c>
    </row>
    <row r="75" spans="1:25" x14ac:dyDescent="0.3">
      <c r="A75" s="457">
        <v>5.28E-2</v>
      </c>
      <c r="B75" s="95">
        <f t="shared" si="36"/>
        <v>8</v>
      </c>
      <c r="C75" s="447" t="s">
        <v>850</v>
      </c>
      <c r="D75" s="349">
        <v>0</v>
      </c>
      <c r="E75" s="659">
        <f t="shared" si="22"/>
        <v>0</v>
      </c>
      <c r="F75" s="349">
        <f t="shared" si="28"/>
        <v>0</v>
      </c>
      <c r="G75" s="350"/>
      <c r="H75" s="349">
        <f t="shared" si="37"/>
        <v>0</v>
      </c>
      <c r="I75" s="346">
        <f t="shared" si="29"/>
        <v>0</v>
      </c>
      <c r="J75" s="659">
        <f t="shared" si="30"/>
        <v>0</v>
      </c>
      <c r="K75" s="349">
        <f t="shared" si="31"/>
        <v>0</v>
      </c>
      <c r="L75" s="350"/>
      <c r="M75" s="346">
        <f t="shared" si="23"/>
        <v>0</v>
      </c>
      <c r="N75" s="349">
        <f t="shared" si="32"/>
        <v>0</v>
      </c>
      <c r="O75" s="659">
        <f t="shared" si="24"/>
        <v>7.4368799999999999E-3</v>
      </c>
      <c r="P75" s="349">
        <f t="shared" si="25"/>
        <v>0</v>
      </c>
      <c r="Q75" s="350"/>
      <c r="R75" s="349">
        <f t="shared" si="33"/>
        <v>7.4368799999999999E-3</v>
      </c>
      <c r="S75" s="346">
        <f t="shared" si="34"/>
        <v>7.4368799999999999E-3</v>
      </c>
      <c r="T75" s="659">
        <f t="shared" si="26"/>
        <v>1.487376E-2</v>
      </c>
      <c r="U75" s="349">
        <f t="shared" si="27"/>
        <v>0</v>
      </c>
      <c r="V75" s="350"/>
      <c r="W75" s="346">
        <f t="shared" si="35"/>
        <v>2.231064E-2</v>
      </c>
      <c r="Y75" s="658">
        <v>5.28E-2</v>
      </c>
    </row>
    <row r="76" spans="1:25" x14ac:dyDescent="0.3">
      <c r="A76" s="457">
        <v>5.28E-2</v>
      </c>
      <c r="B76" s="95">
        <f t="shared" si="36"/>
        <v>9</v>
      </c>
      <c r="C76" s="447" t="s">
        <v>851</v>
      </c>
      <c r="D76" s="349">
        <v>20.293972473631765</v>
      </c>
      <c r="E76" s="659">
        <f t="shared" si="22"/>
        <v>1.7165332687572872</v>
      </c>
      <c r="F76" s="349">
        <f t="shared" si="28"/>
        <v>0</v>
      </c>
      <c r="G76" s="350"/>
      <c r="H76" s="349">
        <f t="shared" si="37"/>
        <v>22.010505742389054</v>
      </c>
      <c r="I76" s="346">
        <f t="shared" si="29"/>
        <v>22.010505742389054</v>
      </c>
      <c r="J76" s="659">
        <f t="shared" si="30"/>
        <v>0.66110274464778518</v>
      </c>
      <c r="K76" s="349">
        <f t="shared" si="31"/>
        <v>0</v>
      </c>
      <c r="L76" s="350"/>
      <c r="M76" s="346">
        <f t="shared" si="23"/>
        <v>22.671608487036838</v>
      </c>
      <c r="N76" s="349">
        <f t="shared" si="32"/>
        <v>22.671608487036838</v>
      </c>
      <c r="O76" s="659">
        <f t="shared" si="24"/>
        <v>0.66110274464778529</v>
      </c>
      <c r="P76" s="349">
        <f t="shared" si="25"/>
        <v>0</v>
      </c>
      <c r="Q76" s="350"/>
      <c r="R76" s="349">
        <f t="shared" si="33"/>
        <v>23.332711231684623</v>
      </c>
      <c r="S76" s="346">
        <f t="shared" si="34"/>
        <v>23.332711231684623</v>
      </c>
      <c r="T76" s="659">
        <f t="shared" si="26"/>
        <v>0.66110274464778529</v>
      </c>
      <c r="U76" s="349">
        <f t="shared" si="27"/>
        <v>0</v>
      </c>
      <c r="V76" s="350"/>
      <c r="W76" s="346">
        <f t="shared" si="35"/>
        <v>23.993813976332408</v>
      </c>
      <c r="Y76" s="658">
        <v>5.28E-2</v>
      </c>
    </row>
    <row r="77" spans="1:25" x14ac:dyDescent="0.3">
      <c r="A77" s="457">
        <v>9.5000000000000001E-2</v>
      </c>
      <c r="B77" s="95">
        <f t="shared" si="36"/>
        <v>10</v>
      </c>
      <c r="C77" s="447" t="s">
        <v>258</v>
      </c>
      <c r="D77" s="349">
        <v>0.54749309573311544</v>
      </c>
      <c r="E77" s="659">
        <f t="shared" si="22"/>
        <v>0.22827781491406837</v>
      </c>
      <c r="F77" s="349">
        <f t="shared" si="28"/>
        <v>0</v>
      </c>
      <c r="G77" s="350"/>
      <c r="H77" s="349">
        <f t="shared" si="37"/>
        <v>0.77577091064718384</v>
      </c>
      <c r="I77" s="346">
        <f t="shared" si="29"/>
        <v>0.77577091064718384</v>
      </c>
      <c r="J77" s="659">
        <f t="shared" si="30"/>
        <v>0.22827781491406837</v>
      </c>
      <c r="K77" s="349">
        <f t="shared" si="31"/>
        <v>0</v>
      </c>
      <c r="L77" s="350"/>
      <c r="M77" s="346">
        <f t="shared" si="23"/>
        <v>1.0040487255612522</v>
      </c>
      <c r="N77" s="349">
        <f t="shared" si="32"/>
        <v>1.0040487255612522</v>
      </c>
      <c r="O77" s="659">
        <f t="shared" si="24"/>
        <v>0.24205281491406838</v>
      </c>
      <c r="P77" s="349">
        <f t="shared" si="25"/>
        <v>0</v>
      </c>
      <c r="Q77" s="350"/>
      <c r="R77" s="349">
        <f t="shared" si="33"/>
        <v>1.2461015404753206</v>
      </c>
      <c r="S77" s="346">
        <f t="shared" si="34"/>
        <v>1.2461015404753206</v>
      </c>
      <c r="T77" s="659">
        <f t="shared" si="26"/>
        <v>0.25582781491406836</v>
      </c>
      <c r="U77" s="349">
        <f t="shared" si="27"/>
        <v>0</v>
      </c>
      <c r="V77" s="350"/>
      <c r="W77" s="346">
        <f t="shared" si="35"/>
        <v>1.5019293553893891</v>
      </c>
      <c r="Y77" s="658">
        <v>9.5000000000000001E-2</v>
      </c>
    </row>
    <row r="78" spans="1:25" x14ac:dyDescent="0.3">
      <c r="A78" s="457">
        <v>6.3299999999999995E-2</v>
      </c>
      <c r="B78" s="95">
        <f t="shared" si="36"/>
        <v>11</v>
      </c>
      <c r="C78" s="447" t="s">
        <v>259</v>
      </c>
      <c r="D78" s="349">
        <v>1.1398980024089507</v>
      </c>
      <c r="E78" s="659">
        <f t="shared" si="22"/>
        <v>0.11871816232271694</v>
      </c>
      <c r="F78" s="349">
        <f t="shared" si="28"/>
        <v>0</v>
      </c>
      <c r="G78" s="350"/>
      <c r="H78" s="349">
        <f t="shared" si="37"/>
        <v>1.2586161647316676</v>
      </c>
      <c r="I78" s="346">
        <f t="shared" si="29"/>
        <v>1.2586161647316676</v>
      </c>
      <c r="J78" s="659">
        <f t="shared" si="30"/>
        <v>3.9970922213674771E-2</v>
      </c>
      <c r="K78" s="349">
        <f t="shared" si="31"/>
        <v>0</v>
      </c>
      <c r="L78" s="350"/>
      <c r="M78" s="346">
        <f t="shared" si="23"/>
        <v>1.2985870869453424</v>
      </c>
      <c r="N78" s="349">
        <f t="shared" si="32"/>
        <v>1.2985870869453424</v>
      </c>
      <c r="O78" s="659">
        <f t="shared" si="24"/>
        <v>0.12506270233271694</v>
      </c>
      <c r="P78" s="349">
        <f t="shared" si="25"/>
        <v>0</v>
      </c>
      <c r="Q78" s="350"/>
      <c r="R78" s="349">
        <f t="shared" si="33"/>
        <v>1.4236497892780593</v>
      </c>
      <c r="S78" s="346">
        <f t="shared" si="34"/>
        <v>1.4236497892780593</v>
      </c>
      <c r="T78" s="659">
        <f t="shared" si="26"/>
        <v>4.8610469969343963E-2</v>
      </c>
      <c r="U78" s="349">
        <f t="shared" si="27"/>
        <v>0</v>
      </c>
      <c r="V78" s="350"/>
      <c r="W78" s="346">
        <f t="shared" si="35"/>
        <v>1.4722602592474032</v>
      </c>
      <c r="Y78" s="658">
        <v>6.3299999999999995E-2</v>
      </c>
    </row>
    <row r="79" spans="1:25" x14ac:dyDescent="0.3">
      <c r="A79" s="457">
        <v>6.3299999999999995E-2</v>
      </c>
      <c r="B79" s="95">
        <f t="shared" si="36"/>
        <v>12</v>
      </c>
      <c r="C79" s="447" t="s">
        <v>260</v>
      </c>
      <c r="D79" s="349">
        <v>1.8001354339495497</v>
      </c>
      <c r="E79" s="659">
        <f t="shared" si="22"/>
        <v>0.22604962287843733</v>
      </c>
      <c r="F79" s="349">
        <f t="shared" si="28"/>
        <v>0</v>
      </c>
      <c r="G79" s="351"/>
      <c r="H79" s="349">
        <f t="shared" si="37"/>
        <v>2.0261850568279871</v>
      </c>
      <c r="I79" s="346">
        <f t="shared" si="29"/>
        <v>2.0261850568279871</v>
      </c>
      <c r="J79" s="659">
        <f t="shared" si="30"/>
        <v>0.24105210267843735</v>
      </c>
      <c r="K79" s="349">
        <f t="shared" si="31"/>
        <v>0</v>
      </c>
      <c r="L79" s="350"/>
      <c r="M79" s="346">
        <f t="shared" si="23"/>
        <v>2.2672371595064247</v>
      </c>
      <c r="N79" s="349">
        <f t="shared" si="32"/>
        <v>2.2672371595064247</v>
      </c>
      <c r="O79" s="659">
        <f t="shared" si="24"/>
        <v>0.24105210267843735</v>
      </c>
      <c r="P79" s="349">
        <f t="shared" si="25"/>
        <v>0</v>
      </c>
      <c r="Q79" s="350"/>
      <c r="R79" s="349">
        <f t="shared" si="33"/>
        <v>2.5082892621848618</v>
      </c>
      <c r="S79" s="346">
        <f t="shared" si="34"/>
        <v>2.5082892621848618</v>
      </c>
      <c r="T79" s="659">
        <f t="shared" si="26"/>
        <v>0.1025158966293378</v>
      </c>
      <c r="U79" s="349">
        <f t="shared" si="27"/>
        <v>0</v>
      </c>
      <c r="V79" s="350"/>
      <c r="W79" s="346">
        <f t="shared" si="35"/>
        <v>2.6108051588141996</v>
      </c>
      <c r="Y79" s="658">
        <v>6.3299999999999995E-2</v>
      </c>
    </row>
    <row r="80" spans="1:25" x14ac:dyDescent="0.3">
      <c r="A80" s="457">
        <v>6.3299999999999995E-2</v>
      </c>
      <c r="B80" s="95">
        <f t="shared" si="36"/>
        <v>13</v>
      </c>
      <c r="C80" s="467" t="s">
        <v>899</v>
      </c>
      <c r="D80" s="349">
        <v>0</v>
      </c>
      <c r="E80" s="659">
        <f t="shared" si="22"/>
        <v>0</v>
      </c>
      <c r="F80" s="349">
        <f t="shared" si="28"/>
        <v>0</v>
      </c>
      <c r="G80" s="351"/>
      <c r="H80" s="349">
        <f t="shared" si="37"/>
        <v>0</v>
      </c>
      <c r="I80" s="346">
        <f t="shared" ref="I80:I84" si="38">H80</f>
        <v>0</v>
      </c>
      <c r="J80" s="659">
        <f t="shared" si="30"/>
        <v>0</v>
      </c>
      <c r="K80" s="349">
        <f t="shared" si="31"/>
        <v>0</v>
      </c>
      <c r="L80" s="350"/>
      <c r="M80" s="346">
        <f t="shared" ref="M80:M84" si="39">I80+J80-K80-L80</f>
        <v>0</v>
      </c>
      <c r="N80" s="349">
        <f t="shared" si="32"/>
        <v>0</v>
      </c>
      <c r="O80" s="659">
        <f t="shared" si="24"/>
        <v>0</v>
      </c>
      <c r="P80" s="349">
        <f t="shared" si="25"/>
        <v>0</v>
      </c>
      <c r="Q80" s="350"/>
      <c r="R80" s="349">
        <f t="shared" ref="R80:R84" si="40">N80+O80-P80-Q80</f>
        <v>0</v>
      </c>
      <c r="S80" s="346">
        <f t="shared" ref="S80:S84" si="41">R80</f>
        <v>0</v>
      </c>
      <c r="T80" s="659">
        <f t="shared" si="26"/>
        <v>0</v>
      </c>
      <c r="U80" s="349">
        <f t="shared" si="27"/>
        <v>0</v>
      </c>
      <c r="V80" s="350"/>
      <c r="W80" s="346">
        <f t="shared" ref="W80:W84" si="42">S80+T80-U80-V80</f>
        <v>0</v>
      </c>
      <c r="Y80" s="658">
        <v>6.3299999999999995E-2</v>
      </c>
    </row>
    <row r="81" spans="1:33" x14ac:dyDescent="0.3">
      <c r="A81" s="457">
        <v>0.15</v>
      </c>
      <c r="B81" s="95">
        <f t="shared" si="36"/>
        <v>14</v>
      </c>
      <c r="C81" s="467" t="s">
        <v>900</v>
      </c>
      <c r="D81" s="349">
        <v>7.0474392502605038E-2</v>
      </c>
      <c r="E81" s="659">
        <f>IF((IFERROR(D81/((D27+E27)*100%),0))&lt;70%,MIN((MAX((D27+E27)*100%-D81,0)),(D27+E27/2)*$Y81),MAX((E27+D27)*100%-D81,0)/E$86)</f>
        <v>6.2770961148700136E-2</v>
      </c>
      <c r="F81" s="349">
        <f t="shared" si="28"/>
        <v>0</v>
      </c>
      <c r="G81" s="351"/>
      <c r="H81" s="349">
        <f t="shared" si="37"/>
        <v>0.13324535365130519</v>
      </c>
      <c r="I81" s="346">
        <f t="shared" si="38"/>
        <v>0.13324535365130519</v>
      </c>
      <c r="J81" s="659">
        <f>IF((IFERROR(I81/((I27+J27)*100%),0))&lt;70%,MIN((MAX((I27+J27)*100%-I81,0)),(I27+J27/2)*$A81),MAX((J27+I27)*100%-I81,0)/J$86)</f>
        <v>6.2770961148700136E-2</v>
      </c>
      <c r="K81" s="349">
        <f t="shared" si="31"/>
        <v>0</v>
      </c>
      <c r="L81" s="350"/>
      <c r="M81" s="346">
        <f t="shared" si="39"/>
        <v>0.19601631480000531</v>
      </c>
      <c r="N81" s="349">
        <f t="shared" si="32"/>
        <v>0.19601631480000531</v>
      </c>
      <c r="O81" s="659">
        <f>IF((IFERROR(N81/((N27+O27)*100%),0))&lt;70%,MIN((MAX((N27+O27)*100%-N81,0)),(N27+O27/2)*$A108),MAX((O27+N27)*100%-N81,0)/O$86)</f>
        <v>6.8230961148700142E-2</v>
      </c>
      <c r="P81" s="349">
        <f t="shared" si="25"/>
        <v>0</v>
      </c>
      <c r="Q81" s="350"/>
      <c r="R81" s="349">
        <f t="shared" si="40"/>
        <v>0.26424727594870545</v>
      </c>
      <c r="S81" s="346">
        <f t="shared" si="41"/>
        <v>0.26424727594870545</v>
      </c>
      <c r="T81" s="659">
        <f>IF((IFERROR(S81/((S27+T27)*100%),0))&lt;70%,MIN((MAX((S27+T27)*100%-S81,0)),(S27+T27/2)*$A108),MAX((T27+S27)*100%-S81,0)/T$86)</f>
        <v>7.3690961148700135E-2</v>
      </c>
      <c r="U81" s="349">
        <f t="shared" si="27"/>
        <v>0</v>
      </c>
      <c r="V81" s="350"/>
      <c r="W81" s="346">
        <f t="shared" si="42"/>
        <v>0.33793823709740556</v>
      </c>
      <c r="Y81" s="658">
        <v>0.15</v>
      </c>
    </row>
    <row r="82" spans="1:33" x14ac:dyDescent="0.3">
      <c r="A82" s="457">
        <v>0.3</v>
      </c>
      <c r="B82" s="95">
        <f t="shared" si="36"/>
        <v>15</v>
      </c>
      <c r="C82" s="467" t="s">
        <v>901</v>
      </c>
      <c r="D82" s="349">
        <v>1.8453804995608896E-3</v>
      </c>
      <c r="E82" s="659">
        <f>IF((IFERROR(D82/((D28+E28)*100%),0))&lt;70%,MIN((MAX((D28+E28)*100%-D82,0)),(D28+E28/2)*$Y82),MAX((E28+D28)*100%-D82,0)/E$86)</f>
        <v>3.6907609991217792E-3</v>
      </c>
      <c r="F82" s="349">
        <f t="shared" si="28"/>
        <v>0</v>
      </c>
      <c r="G82" s="351"/>
      <c r="H82" s="349">
        <f t="shared" si="37"/>
        <v>5.5361414986826686E-3</v>
      </c>
      <c r="I82" s="346">
        <f t="shared" si="38"/>
        <v>5.5361414986826686E-3</v>
      </c>
      <c r="J82" s="659">
        <f>IF((IFERROR(I82/((I28+J28)*100%),0))&lt;70%,MIN((MAX((I28+J28)*100%-I82,0)),(I28+J28/2)*$A82),MAX((J28+I28)*100%-I82,0)/J$86)</f>
        <v>3.6907609991217792E-3</v>
      </c>
      <c r="K82" s="349">
        <f t="shared" si="31"/>
        <v>0</v>
      </c>
      <c r="L82" s="350"/>
      <c r="M82" s="346">
        <f t="shared" si="39"/>
        <v>9.2269024978044473E-3</v>
      </c>
      <c r="N82" s="349">
        <f t="shared" si="32"/>
        <v>9.2269024978044473E-3</v>
      </c>
      <c r="O82" s="659">
        <f>IF((IFERROR(N82/((N28+O28)*100%),0))&lt;70%,MIN((MAX((N28+O28)*100%-N82,0)),(N28+O28/2)*$A109),MAX((O28+N28)*100%-N82,0)/O$86)</f>
        <v>3.0866276342210837E-4</v>
      </c>
      <c r="P82" s="349">
        <f t="shared" si="25"/>
        <v>0</v>
      </c>
      <c r="Q82" s="350"/>
      <c r="R82" s="349">
        <f t="shared" si="40"/>
        <v>9.5355652612265553E-3</v>
      </c>
      <c r="S82" s="346">
        <f t="shared" si="41"/>
        <v>9.5355652612265553E-3</v>
      </c>
      <c r="T82" s="659">
        <f>IF((IFERROR(S82/((S28+T28)*100%),0))&lt;70%,MIN((MAX((S28+T28)*100%-S82,0)),(S28+T28/2)*$A109),MAX((T28+S28)*100%-S82,0)/T$86)</f>
        <v>3.0866276342210843E-4</v>
      </c>
      <c r="U82" s="349">
        <f t="shared" si="27"/>
        <v>0</v>
      </c>
      <c r="V82" s="350"/>
      <c r="W82" s="346">
        <f t="shared" si="42"/>
        <v>9.8442280246486633E-3</v>
      </c>
      <c r="Y82" s="658">
        <v>0.3</v>
      </c>
    </row>
    <row r="83" spans="1:33" x14ac:dyDescent="0.3">
      <c r="A83" s="457">
        <v>0.3</v>
      </c>
      <c r="B83" s="95">
        <f t="shared" si="36"/>
        <v>16</v>
      </c>
      <c r="C83" s="467" t="s">
        <v>852</v>
      </c>
      <c r="D83" s="468">
        <v>0</v>
      </c>
      <c r="E83" s="659">
        <f>IF((IFERROR(D83/((D29+E29)*100%),0))&lt;70%,MIN((MAX((D29+E29)*100%-D83,0)),(D29+E29/2)*$Y83),MAX((E29+D29)*100%-D83,0)/E$86)</f>
        <v>0</v>
      </c>
      <c r="F83" s="349">
        <f t="shared" si="28"/>
        <v>0</v>
      </c>
      <c r="G83" s="350"/>
      <c r="H83" s="349">
        <f t="shared" si="37"/>
        <v>0</v>
      </c>
      <c r="I83" s="346">
        <f t="shared" si="38"/>
        <v>0</v>
      </c>
      <c r="J83" s="659">
        <f>IF((IFERROR(I83/((I29+J29)*100%),0))&lt;70%,MIN((MAX((I29+J29)*100%-I83,0)),(I29+J29/2)*$A83),MAX((J29+I29)*100%-I83,0)/J$86)</f>
        <v>0</v>
      </c>
      <c r="K83" s="349">
        <f t="shared" si="31"/>
        <v>0</v>
      </c>
      <c r="L83" s="350"/>
      <c r="M83" s="346">
        <f t="shared" si="39"/>
        <v>0</v>
      </c>
      <c r="N83" s="349">
        <f t="shared" si="32"/>
        <v>0</v>
      </c>
      <c r="O83" s="659">
        <f>IF((IFERROR(N83/((N29+O29)*100%),0))&lt;70%,MIN((MAX((N29+O29)*100%-N83,0)),(N29+O29/2)*$A110),MAX((O29+N29)*100%-N83,0)/O$86)</f>
        <v>0</v>
      </c>
      <c r="P83" s="349">
        <f t="shared" si="25"/>
        <v>0</v>
      </c>
      <c r="Q83" s="350"/>
      <c r="R83" s="349">
        <f t="shared" si="40"/>
        <v>0</v>
      </c>
      <c r="S83" s="346">
        <f t="shared" si="41"/>
        <v>0</v>
      </c>
      <c r="T83" s="659">
        <f>IF((IFERROR(S83/((S29+T29)*100%),0))&lt;70%,MIN((MAX((S29+T29)*100%-S83,0)),(S29+T29/2)*$A110),MAX((T29+S29)*100%-S83,0)/T$86)</f>
        <v>0</v>
      </c>
      <c r="U83" s="349">
        <f t="shared" si="27"/>
        <v>0</v>
      </c>
      <c r="V83" s="350"/>
      <c r="W83" s="346">
        <f t="shared" si="42"/>
        <v>0</v>
      </c>
      <c r="Y83" s="658">
        <v>0.3</v>
      </c>
    </row>
    <row r="84" spans="1:33" x14ac:dyDescent="0.3">
      <c r="A84" s="457">
        <v>3.3399999999999999E-2</v>
      </c>
      <c r="B84" s="95">
        <f t="shared" si="36"/>
        <v>17</v>
      </c>
      <c r="C84" s="467" t="s">
        <v>902</v>
      </c>
      <c r="D84" s="349">
        <v>0</v>
      </c>
      <c r="E84" s="659">
        <f>IF((IFERROR(D84/((D30+E30)*90%),0))&lt;70%,MIN((MAX((D30+E30)*90%-D84,0)),(D30+E30/2)*$Y84),MAX((E30+D30)*90%-D84,0)/E$86)</f>
        <v>0</v>
      </c>
      <c r="F84" s="349">
        <f t="shared" si="28"/>
        <v>0</v>
      </c>
      <c r="G84" s="350"/>
      <c r="H84" s="349">
        <f t="shared" si="37"/>
        <v>0</v>
      </c>
      <c r="I84" s="346">
        <f t="shared" si="38"/>
        <v>0</v>
      </c>
      <c r="J84" s="659">
        <f t="shared" si="30"/>
        <v>0</v>
      </c>
      <c r="K84" s="349">
        <f t="shared" si="31"/>
        <v>0</v>
      </c>
      <c r="L84" s="350"/>
      <c r="M84" s="346">
        <f t="shared" si="39"/>
        <v>0</v>
      </c>
      <c r="N84" s="349">
        <f t="shared" si="32"/>
        <v>0</v>
      </c>
      <c r="O84" s="659">
        <f>IF((IFERROR(N84/((N30+O30)*90%),0))&lt;70%,MIN((MAX((N30+O30)*90%-N84,0)),(N30+O30/2)*$A111),MAX((O30+N30)*90%-N84,0)/O$86)</f>
        <v>0</v>
      </c>
      <c r="P84" s="349">
        <f t="shared" si="25"/>
        <v>0</v>
      </c>
      <c r="Q84" s="350"/>
      <c r="R84" s="349">
        <f t="shared" si="40"/>
        <v>0</v>
      </c>
      <c r="S84" s="346">
        <f t="shared" si="41"/>
        <v>0</v>
      </c>
      <c r="T84" s="659">
        <f>IF((IFERROR(S84/((S30+T30)*90%),0))&lt;70%,MIN((MAX((S30+T30)*90%-S84,0)),(S30+T30/2)*$A111),MAX((T30+S30)*90%-S84,0)/T$86)</f>
        <v>0</v>
      </c>
      <c r="U84" s="349">
        <f t="shared" si="27"/>
        <v>0</v>
      </c>
      <c r="V84" s="350"/>
      <c r="W84" s="346">
        <f t="shared" si="42"/>
        <v>0</v>
      </c>
      <c r="Y84" s="658">
        <v>3.3399999999999999E-2</v>
      </c>
    </row>
    <row r="85" spans="1:33" ht="16" x14ac:dyDescent="0.3">
      <c r="A85" s="458"/>
      <c r="B85" s="83"/>
      <c r="C85" s="97" t="s">
        <v>270</v>
      </c>
      <c r="D85" s="348">
        <f>SUM(D68:D84)</f>
        <v>1954.162123302305</v>
      </c>
      <c r="E85" s="348">
        <f>SUM(E68:E84)</f>
        <v>77.732831968250181</v>
      </c>
      <c r="F85" s="348">
        <f t="shared" ref="F85:M85" si="43">SUM(F68:F84)</f>
        <v>0</v>
      </c>
      <c r="G85" s="348">
        <f t="shared" si="43"/>
        <v>0</v>
      </c>
      <c r="H85" s="348">
        <f t="shared" si="43"/>
        <v>2031.8949552705549</v>
      </c>
      <c r="I85" s="348">
        <f t="shared" si="43"/>
        <v>2031.8949552705549</v>
      </c>
      <c r="J85" s="348">
        <f t="shared" si="43"/>
        <v>74.150265854062511</v>
      </c>
      <c r="K85" s="348">
        <f t="shared" si="43"/>
        <v>0</v>
      </c>
      <c r="L85" s="348">
        <f t="shared" si="43"/>
        <v>0</v>
      </c>
      <c r="M85" s="348">
        <f t="shared" si="43"/>
        <v>2106.0452211246175</v>
      </c>
      <c r="N85" s="348">
        <f t="shared" ref="N85:W85" si="44">SUM(N68:N84)</f>
        <v>2106.0452211246175</v>
      </c>
      <c r="O85" s="348">
        <f t="shared" si="44"/>
        <v>78.63499523028014</v>
      </c>
      <c r="P85" s="348">
        <f t="shared" si="44"/>
        <v>0</v>
      </c>
      <c r="Q85" s="348">
        <f t="shared" si="44"/>
        <v>0</v>
      </c>
      <c r="R85" s="348">
        <f t="shared" si="44"/>
        <v>2184.6802163548973</v>
      </c>
      <c r="S85" s="348">
        <f t="shared" si="44"/>
        <v>2184.6802163548973</v>
      </c>
      <c r="T85" s="348">
        <f t="shared" si="44"/>
        <v>79.908726185968916</v>
      </c>
      <c r="U85" s="348">
        <f t="shared" si="44"/>
        <v>0</v>
      </c>
      <c r="V85" s="348">
        <f t="shared" si="44"/>
        <v>0</v>
      </c>
      <c r="W85" s="348">
        <f t="shared" si="44"/>
        <v>2264.5889425408664</v>
      </c>
    </row>
    <row r="86" spans="1:33" ht="16" x14ac:dyDescent="0.3">
      <c r="A86" s="458"/>
      <c r="B86" s="261"/>
      <c r="C86" s="263" t="s">
        <v>812</v>
      </c>
      <c r="D86" s="479"/>
      <c r="E86" s="480">
        <v>11.964383561643835</v>
      </c>
      <c r="F86" s="479">
        <f>E85-F85</f>
        <v>77.732831968250181</v>
      </c>
      <c r="G86" s="479"/>
      <c r="H86" s="479"/>
      <c r="I86" s="481"/>
      <c r="J86" s="480">
        <f>E86-1</f>
        <v>10.964383561643835</v>
      </c>
      <c r="K86" s="481"/>
      <c r="L86" s="481"/>
      <c r="M86" s="481"/>
      <c r="N86" s="479"/>
      <c r="O86" s="480">
        <f>J86-1</f>
        <v>9.9643835616438352</v>
      </c>
      <c r="P86" s="479"/>
      <c r="Q86" s="479"/>
      <c r="R86" s="479"/>
      <c r="S86" s="481"/>
      <c r="T86" s="480">
        <f>O86-1</f>
        <v>8.9643835616438352</v>
      </c>
      <c r="U86" s="481"/>
      <c r="V86" s="481"/>
      <c r="W86" s="481"/>
      <c r="X86" s="45"/>
      <c r="Y86" s="45"/>
      <c r="Z86" s="45"/>
      <c r="AA86" s="45"/>
      <c r="AB86" s="45"/>
      <c r="AC86" s="45"/>
      <c r="AD86" s="45"/>
      <c r="AE86" s="45"/>
      <c r="AF86" s="45"/>
      <c r="AG86" s="45"/>
    </row>
    <row r="87" spans="1:33" ht="16" x14ac:dyDescent="0.3">
      <c r="A87" s="458"/>
      <c r="B87" s="260" t="s">
        <v>599</v>
      </c>
      <c r="C87" s="264"/>
      <c r="D87" s="265"/>
      <c r="E87" s="265"/>
      <c r="F87" s="265"/>
      <c r="G87" s="265"/>
      <c r="H87" s="265"/>
      <c r="I87" s="266"/>
      <c r="J87" s="266"/>
      <c r="K87" s="261"/>
      <c r="L87" s="261"/>
      <c r="M87" s="261"/>
      <c r="N87" s="261"/>
      <c r="O87" s="261"/>
      <c r="P87" s="261"/>
      <c r="Q87" s="261"/>
      <c r="R87" s="261"/>
      <c r="S87" s="45"/>
      <c r="T87" s="45"/>
      <c r="U87" s="45"/>
      <c r="V87" s="45"/>
      <c r="W87" s="45"/>
      <c r="X87" s="45"/>
      <c r="Y87" s="45"/>
      <c r="Z87" s="45"/>
      <c r="AA87" s="45"/>
      <c r="AB87" s="45"/>
      <c r="AC87" s="45"/>
      <c r="AD87" s="45"/>
      <c r="AE87" s="45"/>
      <c r="AF87" s="45"/>
      <c r="AG87" s="45"/>
    </row>
    <row r="88" spans="1:33" ht="16" x14ac:dyDescent="0.3">
      <c r="A88" s="458"/>
      <c r="B88" s="260" t="s">
        <v>717</v>
      </c>
      <c r="C88" s="264"/>
      <c r="D88" s="265"/>
      <c r="E88" s="265"/>
      <c r="F88" s="265"/>
      <c r="G88" s="265"/>
      <c r="H88" s="265"/>
      <c r="I88" s="266"/>
      <c r="J88" s="266"/>
      <c r="K88" s="261"/>
      <c r="L88" s="261"/>
      <c r="M88" s="261"/>
      <c r="N88" s="261"/>
      <c r="O88" s="261"/>
      <c r="P88" s="261"/>
      <c r="Q88" s="261"/>
      <c r="R88" s="261"/>
      <c r="S88" s="45"/>
      <c r="T88" s="45"/>
      <c r="U88" s="45"/>
      <c r="V88" s="45"/>
      <c r="W88" s="45"/>
      <c r="X88" s="45"/>
      <c r="Y88" s="45"/>
      <c r="Z88" s="45"/>
      <c r="AA88" s="45"/>
      <c r="AB88" s="45"/>
      <c r="AC88" s="45"/>
      <c r="AD88" s="45"/>
      <c r="AE88" s="45"/>
      <c r="AF88" s="45"/>
      <c r="AG88" s="45"/>
    </row>
    <row r="89" spans="1:33" ht="15" customHeight="1" x14ac:dyDescent="0.3">
      <c r="A89" s="458"/>
      <c r="B89" s="261"/>
      <c r="C89" s="263"/>
      <c r="D89" s="263"/>
      <c r="E89" s="263"/>
      <c r="F89" s="263"/>
      <c r="G89" s="263"/>
      <c r="H89" s="263"/>
      <c r="I89" s="261"/>
      <c r="J89" s="261"/>
      <c r="K89" s="261"/>
      <c r="L89" s="261"/>
      <c r="M89" s="261"/>
      <c r="N89" s="261"/>
      <c r="O89" s="261"/>
      <c r="P89" s="261"/>
      <c r="Q89" s="261"/>
      <c r="R89" s="261"/>
    </row>
    <row r="90" spans="1:33" ht="16" x14ac:dyDescent="0.3">
      <c r="A90" s="458"/>
      <c r="B90" s="261"/>
      <c r="C90" s="263"/>
      <c r="D90" s="8"/>
      <c r="E90" s="8"/>
      <c r="F90" s="8"/>
      <c r="G90" s="8"/>
      <c r="H90" s="8"/>
      <c r="I90" s="1"/>
      <c r="J90" s="44"/>
      <c r="K90" s="1"/>
      <c r="L90" s="1"/>
      <c r="M90" s="44"/>
      <c r="N90" s="44"/>
      <c r="O90" s="1"/>
      <c r="P90" s="1"/>
      <c r="Q90" s="1"/>
      <c r="AG90" s="258" t="s">
        <v>10</v>
      </c>
    </row>
    <row r="91" spans="1:33" ht="13.75" customHeight="1" x14ac:dyDescent="0.3">
      <c r="A91" s="458"/>
      <c r="B91" s="1792" t="s">
        <v>339</v>
      </c>
      <c r="C91" s="1792" t="s">
        <v>36</v>
      </c>
      <c r="D91" s="1943" t="s">
        <v>969</v>
      </c>
      <c r="E91" s="1944"/>
      <c r="F91" s="1944"/>
      <c r="G91" s="1944"/>
      <c r="H91" s="1945"/>
      <c r="I91" s="1943" t="s">
        <v>970</v>
      </c>
      <c r="J91" s="1944"/>
      <c r="K91" s="1944"/>
      <c r="L91" s="1944"/>
      <c r="M91" s="1945"/>
      <c r="N91" s="1935" t="s">
        <v>971</v>
      </c>
      <c r="O91" s="1935"/>
      <c r="P91" s="1935"/>
      <c r="Q91" s="1935"/>
      <c r="R91" s="1935"/>
      <c r="S91" s="1935" t="s">
        <v>972</v>
      </c>
      <c r="T91" s="1935"/>
      <c r="U91" s="1935"/>
      <c r="V91" s="1935"/>
      <c r="W91" s="1935"/>
    </row>
    <row r="92" spans="1:33" x14ac:dyDescent="0.3">
      <c r="A92" s="458"/>
      <c r="B92" s="1792"/>
      <c r="C92" s="1792"/>
      <c r="D92" s="1936" t="s">
        <v>21</v>
      </c>
      <c r="E92" s="1937"/>
      <c r="F92" s="1937"/>
      <c r="G92" s="1937"/>
      <c r="H92" s="1938"/>
      <c r="I92" s="1936" t="s">
        <v>21</v>
      </c>
      <c r="J92" s="1937"/>
      <c r="K92" s="1937"/>
      <c r="L92" s="1937"/>
      <c r="M92" s="1938"/>
      <c r="N92" s="1939" t="s">
        <v>21</v>
      </c>
      <c r="O92" s="1940"/>
      <c r="P92" s="1940"/>
      <c r="Q92" s="1940"/>
      <c r="R92" s="1940"/>
      <c r="S92" s="1939" t="s">
        <v>21</v>
      </c>
      <c r="T92" s="1940"/>
      <c r="U92" s="1940"/>
      <c r="V92" s="1940"/>
      <c r="W92" s="1940"/>
    </row>
    <row r="93" spans="1:33" ht="56" x14ac:dyDescent="0.3">
      <c r="A93" s="458"/>
      <c r="B93" s="1792"/>
      <c r="C93" s="1792"/>
      <c r="D93" s="1098" t="s">
        <v>272</v>
      </c>
      <c r="E93" s="1098" t="s">
        <v>267</v>
      </c>
      <c r="F93" s="262" t="s">
        <v>273</v>
      </c>
      <c r="G93" s="1097" t="s">
        <v>587</v>
      </c>
      <c r="H93" s="1098" t="s">
        <v>274</v>
      </c>
      <c r="I93" s="1098" t="s">
        <v>266</v>
      </c>
      <c r="J93" s="1098" t="s">
        <v>267</v>
      </c>
      <c r="K93" s="1098" t="s">
        <v>268</v>
      </c>
      <c r="L93" s="1097" t="s">
        <v>587</v>
      </c>
      <c r="M93" s="1098" t="s">
        <v>269</v>
      </c>
      <c r="N93" s="671" t="s">
        <v>266</v>
      </c>
      <c r="O93" s="671" t="s">
        <v>267</v>
      </c>
      <c r="P93" s="671" t="s">
        <v>268</v>
      </c>
      <c r="Q93" s="665" t="s">
        <v>587</v>
      </c>
      <c r="R93" s="671" t="s">
        <v>269</v>
      </c>
      <c r="S93" s="671" t="s">
        <v>266</v>
      </c>
      <c r="T93" s="671" t="s">
        <v>267</v>
      </c>
      <c r="U93" s="671" t="s">
        <v>268</v>
      </c>
      <c r="V93" s="665" t="s">
        <v>587</v>
      </c>
      <c r="W93" s="671" t="s">
        <v>269</v>
      </c>
    </row>
    <row r="94" spans="1:33" ht="28" x14ac:dyDescent="0.3">
      <c r="A94" s="458"/>
      <c r="B94" s="259"/>
      <c r="C94" s="259"/>
      <c r="D94" s="259" t="s">
        <v>663</v>
      </c>
      <c r="E94" s="259" t="s">
        <v>664</v>
      </c>
      <c r="F94" s="259" t="s">
        <v>665</v>
      </c>
      <c r="G94" s="259" t="s">
        <v>666</v>
      </c>
      <c r="H94" s="259" t="s">
        <v>667</v>
      </c>
      <c r="I94" s="259" t="s">
        <v>663</v>
      </c>
      <c r="J94" s="259" t="s">
        <v>664</v>
      </c>
      <c r="K94" s="259" t="s">
        <v>665</v>
      </c>
      <c r="L94" s="259" t="s">
        <v>666</v>
      </c>
      <c r="M94" s="259" t="s">
        <v>667</v>
      </c>
      <c r="N94" s="259" t="s">
        <v>663</v>
      </c>
      <c r="O94" s="259" t="s">
        <v>664</v>
      </c>
      <c r="P94" s="259" t="s">
        <v>665</v>
      </c>
      <c r="Q94" s="259" t="s">
        <v>666</v>
      </c>
      <c r="R94" s="259" t="s">
        <v>667</v>
      </c>
      <c r="S94" s="259" t="s">
        <v>663</v>
      </c>
      <c r="T94" s="259" t="s">
        <v>664</v>
      </c>
      <c r="U94" s="259" t="s">
        <v>665</v>
      </c>
      <c r="V94" s="259" t="s">
        <v>666</v>
      </c>
      <c r="W94" s="259" t="s">
        <v>667</v>
      </c>
    </row>
    <row r="95" spans="1:33" x14ac:dyDescent="0.3">
      <c r="A95" s="457">
        <f>A68</f>
        <v>0</v>
      </c>
      <c r="B95" s="95">
        <v>1</v>
      </c>
      <c r="C95" s="447" t="s">
        <v>844</v>
      </c>
      <c r="D95" s="346">
        <f t="shared" ref="D95:D111" si="45">W68</f>
        <v>0</v>
      </c>
      <c r="E95" s="659">
        <f>IF((IFERROR(D95/((D40+E40)*90%),0))&lt;70%,MIN((MAX((D40+E40)*90%-D95,0)),(D40+E40/2)*$A95),MAX((E40+D40)*90%-D95,0)/E$113)</f>
        <v>0</v>
      </c>
      <c r="F95" s="349">
        <f t="shared" ref="F95:F111" si="46">IFERROR(IF(D95=0,0,D95/D40*F40),0)</f>
        <v>0</v>
      </c>
      <c r="G95" s="350"/>
      <c r="H95" s="346">
        <f>D95+E95-F95-G95</f>
        <v>0</v>
      </c>
      <c r="I95" s="443">
        <f>H95</f>
        <v>0</v>
      </c>
      <c r="J95" s="659">
        <f t="shared" ref="J95:J107" si="47">IF((IFERROR(I95/((I40+J40)*90%),0))&lt;70%,MIN((MAX((I40+J40)*90%-I95,0)),(I40+J40/2)*$A95),MAX((J40+I40)*90%-I95,0)/J$113)</f>
        <v>0</v>
      </c>
      <c r="K95" s="349">
        <f t="shared" ref="K95:K111" si="48">IFERROR(IF(I95=0,0,I95/I40*K40),0)</f>
        <v>0</v>
      </c>
      <c r="L95" s="468"/>
      <c r="M95" s="443">
        <f>I95+J95-K95-L95</f>
        <v>0</v>
      </c>
      <c r="N95" s="443">
        <f>M95</f>
        <v>0</v>
      </c>
      <c r="O95" s="659">
        <f t="shared" ref="O95:O107" si="49">IF((IFERROR(N95/((N40+O40)*90%),0))&lt;70%,MIN((MAX((N40+O40)*90%-N95,0)),(N40+O40/2)*$A95),MAX((O40+N40)*90%-N95,0)/O$113)</f>
        <v>0</v>
      </c>
      <c r="P95" s="349">
        <f t="shared" ref="P95:P111" si="50">IFERROR(IF(N95=0,0,N95/N40*P40),0)</f>
        <v>0</v>
      </c>
      <c r="Q95" s="468"/>
      <c r="R95" s="443">
        <f>N95+O95-P95-Q95</f>
        <v>0</v>
      </c>
      <c r="S95" s="443">
        <f>R95</f>
        <v>0</v>
      </c>
      <c r="T95" s="659">
        <f t="shared" ref="T95:T107" si="51">IF((IFERROR(S95/((S40+T40)*90%),0))&lt;70%,MIN((MAX((S40+T40)*90%-S95,0)),(S40+T40/2)*$A95),MAX((T40+S40)*90%-S95,0)/T$113)</f>
        <v>0</v>
      </c>
      <c r="U95" s="349">
        <f t="shared" ref="U95:U111" si="52">IFERROR(IF(S95=0,0,S95/S40*U40),0)</f>
        <v>0</v>
      </c>
      <c r="V95" s="468"/>
      <c r="W95" s="443">
        <f>S95+T95-U95-V95</f>
        <v>0</v>
      </c>
    </row>
    <row r="96" spans="1:33" x14ac:dyDescent="0.3">
      <c r="A96" s="457">
        <f t="shared" ref="A96:A111" si="53">A69</f>
        <v>3.3399999999999999E-2</v>
      </c>
      <c r="B96" s="95">
        <f>B95+1</f>
        <v>2</v>
      </c>
      <c r="C96" s="447" t="s">
        <v>845</v>
      </c>
      <c r="D96" s="346">
        <f t="shared" si="45"/>
        <v>113.56111674985037</v>
      </c>
      <c r="E96" s="659">
        <f t="shared" ref="E96:E107" si="54">IF((IFERROR(D96/((D41+E41)*90%),0))&lt;70%,MIN((MAX((D41+E41)*90%-D96,0)),(D41+E41/2)*$A96),MAX((E41+D41)*90%-D96,0)/E$113)</f>
        <v>4.1532686798828307</v>
      </c>
      <c r="F96" s="349">
        <f t="shared" si="46"/>
        <v>0</v>
      </c>
      <c r="G96" s="350"/>
      <c r="H96" s="346">
        <f t="shared" ref="H96:H106" si="55">D96+E96-F96-G96</f>
        <v>117.7143854297332</v>
      </c>
      <c r="I96" s="443">
        <f t="shared" ref="I96:I111" si="56">H96</f>
        <v>117.7143854297332</v>
      </c>
      <c r="J96" s="659">
        <f t="shared" si="47"/>
        <v>4.1532686798828307</v>
      </c>
      <c r="K96" s="349">
        <f t="shared" si="48"/>
        <v>0</v>
      </c>
      <c r="L96" s="468"/>
      <c r="M96" s="443">
        <f t="shared" ref="M96:M111" si="57">I96+J96-K96-L96</f>
        <v>121.86765410961603</v>
      </c>
      <c r="N96" s="443">
        <f t="shared" ref="N96:N111" si="58">M96</f>
        <v>121.86765410961603</v>
      </c>
      <c r="O96" s="659">
        <f t="shared" si="49"/>
        <v>4.1532686798828307</v>
      </c>
      <c r="P96" s="349">
        <f t="shared" si="50"/>
        <v>0</v>
      </c>
      <c r="Q96" s="468"/>
      <c r="R96" s="443">
        <f t="shared" ref="R96:R111" si="59">N96+O96-P96-Q96</f>
        <v>126.02092278949885</v>
      </c>
      <c r="S96" s="443">
        <f t="shared" ref="S96:S111" si="60">R96</f>
        <v>126.02092278949885</v>
      </c>
      <c r="T96" s="659">
        <f t="shared" si="51"/>
        <v>4.1532686798828315</v>
      </c>
      <c r="U96" s="349">
        <f t="shared" si="52"/>
        <v>0</v>
      </c>
      <c r="V96" s="468"/>
      <c r="W96" s="443">
        <f t="shared" ref="W96:W111" si="61">S96+T96-U96-V96</f>
        <v>130.1741914693817</v>
      </c>
    </row>
    <row r="97" spans="1:23" x14ac:dyDescent="0.3">
      <c r="A97" s="457">
        <f t="shared" si="53"/>
        <v>5.28E-2</v>
      </c>
      <c r="B97" s="95">
        <f t="shared" ref="B97:B111" si="62">B96+1</f>
        <v>3</v>
      </c>
      <c r="C97" s="447" t="s">
        <v>846</v>
      </c>
      <c r="D97" s="346">
        <f t="shared" si="45"/>
        <v>53.236334942994901</v>
      </c>
      <c r="E97" s="659">
        <f t="shared" si="54"/>
        <v>1.6609778967343869</v>
      </c>
      <c r="F97" s="349">
        <f t="shared" si="46"/>
        <v>0</v>
      </c>
      <c r="G97" s="350"/>
      <c r="H97" s="346">
        <f t="shared" si="55"/>
        <v>54.897312839729288</v>
      </c>
      <c r="I97" s="443">
        <f t="shared" si="56"/>
        <v>54.897312839729288</v>
      </c>
      <c r="J97" s="659">
        <f t="shared" si="47"/>
        <v>1.6609778967343869</v>
      </c>
      <c r="K97" s="349">
        <f t="shared" si="48"/>
        <v>0</v>
      </c>
      <c r="L97" s="468"/>
      <c r="M97" s="443">
        <f t="shared" si="57"/>
        <v>56.558290736463675</v>
      </c>
      <c r="N97" s="443">
        <f t="shared" si="58"/>
        <v>56.558290736463675</v>
      </c>
      <c r="O97" s="659">
        <f t="shared" si="49"/>
        <v>1.6609778967343867</v>
      </c>
      <c r="P97" s="349">
        <f t="shared" si="50"/>
        <v>0</v>
      </c>
      <c r="Q97" s="468"/>
      <c r="R97" s="443">
        <f t="shared" si="59"/>
        <v>58.219268633198062</v>
      </c>
      <c r="S97" s="443">
        <f t="shared" si="60"/>
        <v>58.219268633198062</v>
      </c>
      <c r="T97" s="659">
        <f t="shared" si="51"/>
        <v>1.6609778967343867</v>
      </c>
      <c r="U97" s="349">
        <f t="shared" si="52"/>
        <v>0</v>
      </c>
      <c r="V97" s="468"/>
      <c r="W97" s="443">
        <f t="shared" si="61"/>
        <v>59.88024652993245</v>
      </c>
    </row>
    <row r="98" spans="1:23" x14ac:dyDescent="0.3">
      <c r="A98" s="457">
        <f t="shared" si="53"/>
        <v>5.28E-2</v>
      </c>
      <c r="B98" s="95">
        <f t="shared" si="62"/>
        <v>4</v>
      </c>
      <c r="C98" s="447" t="s">
        <v>847</v>
      </c>
      <c r="D98" s="346">
        <f t="shared" si="45"/>
        <v>108.37756096778092</v>
      </c>
      <c r="E98" s="659">
        <f t="shared" si="54"/>
        <v>4.656562847637737</v>
      </c>
      <c r="F98" s="349">
        <f t="shared" si="46"/>
        <v>0</v>
      </c>
      <c r="G98" s="350"/>
      <c r="H98" s="346">
        <f t="shared" si="55"/>
        <v>113.03412381541867</v>
      </c>
      <c r="I98" s="443">
        <f t="shared" si="56"/>
        <v>113.03412381541867</v>
      </c>
      <c r="J98" s="659">
        <f t="shared" si="47"/>
        <v>4.6565628476377361</v>
      </c>
      <c r="K98" s="349">
        <f t="shared" si="48"/>
        <v>0</v>
      </c>
      <c r="L98" s="468"/>
      <c r="M98" s="443">
        <f t="shared" si="57"/>
        <v>117.6906866630564</v>
      </c>
      <c r="N98" s="443">
        <f t="shared" si="58"/>
        <v>117.6906866630564</v>
      </c>
      <c r="O98" s="659">
        <f t="shared" si="49"/>
        <v>4.656562847637737</v>
      </c>
      <c r="P98" s="349">
        <f t="shared" si="50"/>
        <v>0</v>
      </c>
      <c r="Q98" s="468"/>
      <c r="R98" s="443">
        <f t="shared" si="59"/>
        <v>122.34724951069413</v>
      </c>
      <c r="S98" s="443">
        <f t="shared" si="60"/>
        <v>122.34724951069413</v>
      </c>
      <c r="T98" s="659">
        <f t="shared" si="51"/>
        <v>4.6565628476377388</v>
      </c>
      <c r="U98" s="349">
        <f t="shared" si="52"/>
        <v>0</v>
      </c>
      <c r="V98" s="468"/>
      <c r="W98" s="443">
        <f t="shared" si="61"/>
        <v>127.00381235833187</v>
      </c>
    </row>
    <row r="99" spans="1:23" x14ac:dyDescent="0.3">
      <c r="A99" s="457">
        <f t="shared" si="53"/>
        <v>3.3399999999999999E-2</v>
      </c>
      <c r="B99" s="95">
        <f t="shared" si="62"/>
        <v>5</v>
      </c>
      <c r="C99" s="447" t="s">
        <v>848</v>
      </c>
      <c r="D99" s="346">
        <f t="shared" si="45"/>
        <v>66.472410268893199</v>
      </c>
      <c r="E99" s="659">
        <f t="shared" si="54"/>
        <v>3.6406038624132115</v>
      </c>
      <c r="F99" s="349">
        <f t="shared" si="46"/>
        <v>0</v>
      </c>
      <c r="G99" s="350"/>
      <c r="H99" s="346">
        <f t="shared" si="55"/>
        <v>70.113014131306414</v>
      </c>
      <c r="I99" s="443">
        <f t="shared" si="56"/>
        <v>70.113014131306414</v>
      </c>
      <c r="J99" s="659">
        <f t="shared" si="47"/>
        <v>4.0186026082530093</v>
      </c>
      <c r="K99" s="349">
        <f t="shared" si="48"/>
        <v>0</v>
      </c>
      <c r="L99" s="468"/>
      <c r="M99" s="443">
        <f t="shared" si="57"/>
        <v>74.131616739559419</v>
      </c>
      <c r="N99" s="443">
        <f t="shared" si="58"/>
        <v>74.131616739559419</v>
      </c>
      <c r="O99" s="659">
        <f t="shared" si="49"/>
        <v>4.0186026082530102</v>
      </c>
      <c r="P99" s="349">
        <f t="shared" si="50"/>
        <v>0</v>
      </c>
      <c r="Q99" s="468"/>
      <c r="R99" s="443">
        <f t="shared" si="59"/>
        <v>78.150219347812424</v>
      </c>
      <c r="S99" s="443">
        <f t="shared" si="60"/>
        <v>78.150219347812424</v>
      </c>
      <c r="T99" s="659">
        <f t="shared" si="51"/>
        <v>4.0186026082530111</v>
      </c>
      <c r="U99" s="349">
        <f t="shared" si="52"/>
        <v>0</v>
      </c>
      <c r="V99" s="468"/>
      <c r="W99" s="443">
        <f t="shared" si="61"/>
        <v>82.168821956065429</v>
      </c>
    </row>
    <row r="100" spans="1:23" x14ac:dyDescent="0.3">
      <c r="A100" s="457">
        <f t="shared" si="53"/>
        <v>5.28E-2</v>
      </c>
      <c r="B100" s="95">
        <f t="shared" si="62"/>
        <v>6</v>
      </c>
      <c r="C100" s="447" t="s">
        <v>255</v>
      </c>
      <c r="D100" s="346">
        <f t="shared" si="45"/>
        <v>1889.2793075157042</v>
      </c>
      <c r="E100" s="659">
        <f t="shared" si="54"/>
        <v>64.566042227464635</v>
      </c>
      <c r="F100" s="349">
        <f t="shared" si="46"/>
        <v>0</v>
      </c>
      <c r="G100" s="350"/>
      <c r="H100" s="346">
        <f t="shared" si="55"/>
        <v>1953.8453497431688</v>
      </c>
      <c r="I100" s="443">
        <f t="shared" si="56"/>
        <v>1953.8453497431688</v>
      </c>
      <c r="J100" s="659">
        <f t="shared" si="47"/>
        <v>64.566042227464649</v>
      </c>
      <c r="K100" s="349">
        <f t="shared" si="48"/>
        <v>0</v>
      </c>
      <c r="L100" s="468"/>
      <c r="M100" s="443">
        <f t="shared" si="57"/>
        <v>2018.4113919706333</v>
      </c>
      <c r="N100" s="443">
        <f t="shared" si="58"/>
        <v>2018.4113919706333</v>
      </c>
      <c r="O100" s="659">
        <f t="shared" si="49"/>
        <v>64.566042227464663</v>
      </c>
      <c r="P100" s="349">
        <f t="shared" si="50"/>
        <v>0</v>
      </c>
      <c r="Q100" s="468"/>
      <c r="R100" s="443">
        <f t="shared" si="59"/>
        <v>2082.9774341980979</v>
      </c>
      <c r="S100" s="443">
        <f t="shared" si="60"/>
        <v>2082.9774341980979</v>
      </c>
      <c r="T100" s="659">
        <f t="shared" si="51"/>
        <v>64.566042227464692</v>
      </c>
      <c r="U100" s="349">
        <f t="shared" si="52"/>
        <v>0</v>
      </c>
      <c r="V100" s="468"/>
      <c r="W100" s="443">
        <f t="shared" si="61"/>
        <v>2147.5434764255624</v>
      </c>
    </row>
    <row r="101" spans="1:23" x14ac:dyDescent="0.3">
      <c r="A101" s="457">
        <f t="shared" si="53"/>
        <v>0.18</v>
      </c>
      <c r="B101" s="95">
        <f t="shared" si="62"/>
        <v>7</v>
      </c>
      <c r="C101" s="447" t="s">
        <v>849</v>
      </c>
      <c r="D101" s="346">
        <f t="shared" si="45"/>
        <v>3.7133102407372309</v>
      </c>
      <c r="E101" s="659">
        <f t="shared" si="54"/>
        <v>0.10339836176345153</v>
      </c>
      <c r="F101" s="349">
        <f t="shared" si="46"/>
        <v>0</v>
      </c>
      <c r="G101" s="350"/>
      <c r="H101" s="346">
        <f t="shared" si="55"/>
        <v>3.8167086025006824</v>
      </c>
      <c r="I101" s="443">
        <f t="shared" si="56"/>
        <v>3.8167086025006824</v>
      </c>
      <c r="J101" s="659">
        <f t="shared" si="47"/>
        <v>0.10339836176345153</v>
      </c>
      <c r="K101" s="349">
        <f t="shared" si="48"/>
        <v>0</v>
      </c>
      <c r="L101" s="468"/>
      <c r="M101" s="443">
        <f t="shared" si="57"/>
        <v>3.920106964264134</v>
      </c>
      <c r="N101" s="443">
        <f t="shared" si="58"/>
        <v>3.920106964264134</v>
      </c>
      <c r="O101" s="659">
        <f t="shared" si="49"/>
        <v>0.10339836176345153</v>
      </c>
      <c r="P101" s="349">
        <f t="shared" si="50"/>
        <v>0</v>
      </c>
      <c r="Q101" s="468"/>
      <c r="R101" s="443">
        <f t="shared" si="59"/>
        <v>4.0235053260275855</v>
      </c>
      <c r="S101" s="443">
        <f t="shared" si="60"/>
        <v>4.0235053260275855</v>
      </c>
      <c r="T101" s="659">
        <f t="shared" si="51"/>
        <v>0.10339836176345153</v>
      </c>
      <c r="U101" s="349">
        <f t="shared" si="52"/>
        <v>0</v>
      </c>
      <c r="V101" s="468"/>
      <c r="W101" s="443">
        <f t="shared" si="61"/>
        <v>4.126903687791037</v>
      </c>
    </row>
    <row r="102" spans="1:23" x14ac:dyDescent="0.3">
      <c r="A102" s="457">
        <f t="shared" si="53"/>
        <v>5.28E-2</v>
      </c>
      <c r="B102" s="95">
        <f t="shared" si="62"/>
        <v>8</v>
      </c>
      <c r="C102" s="447" t="s">
        <v>850</v>
      </c>
      <c r="D102" s="346">
        <f t="shared" si="45"/>
        <v>2.231064E-2</v>
      </c>
      <c r="E102" s="659">
        <f t="shared" si="54"/>
        <v>1.487376E-2</v>
      </c>
      <c r="F102" s="349">
        <f t="shared" si="46"/>
        <v>0</v>
      </c>
      <c r="G102" s="350"/>
      <c r="H102" s="346">
        <f t="shared" si="55"/>
        <v>3.7184399999999999E-2</v>
      </c>
      <c r="I102" s="443">
        <f t="shared" si="56"/>
        <v>3.7184399999999999E-2</v>
      </c>
      <c r="J102" s="659">
        <f t="shared" si="47"/>
        <v>1.487376E-2</v>
      </c>
      <c r="K102" s="349">
        <f t="shared" si="48"/>
        <v>0</v>
      </c>
      <c r="L102" s="468"/>
      <c r="M102" s="443">
        <f t="shared" si="57"/>
        <v>5.2058159999999999E-2</v>
      </c>
      <c r="N102" s="443">
        <f t="shared" si="58"/>
        <v>5.2058159999999999E-2</v>
      </c>
      <c r="O102" s="659">
        <f t="shared" si="49"/>
        <v>1.487376E-2</v>
      </c>
      <c r="P102" s="349">
        <f t="shared" si="50"/>
        <v>0</v>
      </c>
      <c r="Q102" s="468"/>
      <c r="R102" s="443">
        <f t="shared" si="59"/>
        <v>6.6931920000000006E-2</v>
      </c>
      <c r="S102" s="443">
        <f t="shared" si="60"/>
        <v>6.6931920000000006E-2</v>
      </c>
      <c r="T102" s="659">
        <f t="shared" si="51"/>
        <v>1.487376E-2</v>
      </c>
      <c r="U102" s="349">
        <f t="shared" si="52"/>
        <v>0</v>
      </c>
      <c r="V102" s="468"/>
      <c r="W102" s="443">
        <f t="shared" si="61"/>
        <v>8.1805680000000006E-2</v>
      </c>
    </row>
    <row r="103" spans="1:23" x14ac:dyDescent="0.3">
      <c r="A103" s="457">
        <f t="shared" si="53"/>
        <v>5.28E-2</v>
      </c>
      <c r="B103" s="95">
        <f t="shared" si="62"/>
        <v>9</v>
      </c>
      <c r="C103" s="447" t="s">
        <v>851</v>
      </c>
      <c r="D103" s="346">
        <f t="shared" si="45"/>
        <v>23.993813976332408</v>
      </c>
      <c r="E103" s="659">
        <f t="shared" si="54"/>
        <v>0.6611027446477854</v>
      </c>
      <c r="F103" s="349">
        <f t="shared" si="46"/>
        <v>0</v>
      </c>
      <c r="G103" s="350"/>
      <c r="H103" s="346">
        <f t="shared" si="55"/>
        <v>24.654916720980193</v>
      </c>
      <c r="I103" s="443">
        <f t="shared" si="56"/>
        <v>24.654916720980193</v>
      </c>
      <c r="J103" s="659">
        <f t="shared" si="47"/>
        <v>0.6611027446477854</v>
      </c>
      <c r="K103" s="349">
        <f t="shared" si="48"/>
        <v>0</v>
      </c>
      <c r="L103" s="468"/>
      <c r="M103" s="443">
        <f t="shared" si="57"/>
        <v>25.316019465627978</v>
      </c>
      <c r="N103" s="443">
        <f t="shared" si="58"/>
        <v>25.316019465627978</v>
      </c>
      <c r="O103" s="659">
        <f t="shared" si="49"/>
        <v>0.66110274464778551</v>
      </c>
      <c r="P103" s="349">
        <f t="shared" si="50"/>
        <v>0</v>
      </c>
      <c r="Q103" s="468"/>
      <c r="R103" s="443">
        <f t="shared" si="59"/>
        <v>25.977122210275763</v>
      </c>
      <c r="S103" s="443">
        <f t="shared" si="60"/>
        <v>25.977122210275763</v>
      </c>
      <c r="T103" s="659">
        <f t="shared" si="51"/>
        <v>0.66110274464778562</v>
      </c>
      <c r="U103" s="349">
        <f t="shared" si="52"/>
        <v>0</v>
      </c>
      <c r="V103" s="468"/>
      <c r="W103" s="443">
        <f t="shared" si="61"/>
        <v>26.638224954923547</v>
      </c>
    </row>
    <row r="104" spans="1:23" x14ac:dyDescent="0.3">
      <c r="A104" s="457">
        <f t="shared" si="53"/>
        <v>9.5000000000000001E-2</v>
      </c>
      <c r="B104" s="95">
        <f t="shared" si="62"/>
        <v>10</v>
      </c>
      <c r="C104" s="447" t="s">
        <v>258</v>
      </c>
      <c r="D104" s="346">
        <f t="shared" si="45"/>
        <v>1.5019293553893891</v>
      </c>
      <c r="E104" s="659">
        <f t="shared" si="54"/>
        <v>0.25582781491406836</v>
      </c>
      <c r="F104" s="349">
        <f t="shared" si="46"/>
        <v>0</v>
      </c>
      <c r="G104" s="350"/>
      <c r="H104" s="346">
        <f t="shared" si="55"/>
        <v>1.7577571703034574</v>
      </c>
      <c r="I104" s="443">
        <f t="shared" si="56"/>
        <v>1.7577571703034574</v>
      </c>
      <c r="J104" s="659">
        <f t="shared" si="47"/>
        <v>9.5611442788517464E-2</v>
      </c>
      <c r="K104" s="349">
        <f t="shared" si="48"/>
        <v>0</v>
      </c>
      <c r="L104" s="468"/>
      <c r="M104" s="443">
        <f t="shared" si="57"/>
        <v>1.8533686130919749</v>
      </c>
      <c r="N104" s="443">
        <f t="shared" si="58"/>
        <v>1.8533686130919749</v>
      </c>
      <c r="O104" s="659">
        <f t="shared" si="49"/>
        <v>9.5611442788517451E-2</v>
      </c>
      <c r="P104" s="349">
        <f t="shared" si="50"/>
        <v>0</v>
      </c>
      <c r="Q104" s="468"/>
      <c r="R104" s="443">
        <f t="shared" si="59"/>
        <v>1.9489800558804924</v>
      </c>
      <c r="S104" s="443">
        <f t="shared" si="60"/>
        <v>1.9489800558804924</v>
      </c>
      <c r="T104" s="659">
        <f t="shared" si="51"/>
        <v>9.5611442788517437E-2</v>
      </c>
      <c r="U104" s="349">
        <f t="shared" si="52"/>
        <v>0</v>
      </c>
      <c r="V104" s="468"/>
      <c r="W104" s="443">
        <f t="shared" si="61"/>
        <v>2.0445914986690097</v>
      </c>
    </row>
    <row r="105" spans="1:23" x14ac:dyDescent="0.3">
      <c r="A105" s="457">
        <f t="shared" si="53"/>
        <v>6.3299999999999995E-2</v>
      </c>
      <c r="B105" s="95">
        <f t="shared" si="62"/>
        <v>11</v>
      </c>
      <c r="C105" s="447" t="s">
        <v>259</v>
      </c>
      <c r="D105" s="346">
        <f t="shared" si="45"/>
        <v>1.4722602592474032</v>
      </c>
      <c r="E105" s="659">
        <f t="shared" si="54"/>
        <v>4.8610469969343963E-2</v>
      </c>
      <c r="F105" s="349">
        <f t="shared" si="46"/>
        <v>0</v>
      </c>
      <c r="G105" s="350"/>
      <c r="H105" s="346">
        <f t="shared" si="55"/>
        <v>1.5208707292167472</v>
      </c>
      <c r="I105" s="443">
        <f t="shared" si="56"/>
        <v>1.5208707292167472</v>
      </c>
      <c r="J105" s="659">
        <f t="shared" si="47"/>
        <v>4.861046996934397E-2</v>
      </c>
      <c r="K105" s="349">
        <f t="shared" si="48"/>
        <v>0</v>
      </c>
      <c r="L105" s="468"/>
      <c r="M105" s="443">
        <f t="shared" si="57"/>
        <v>1.5694811991860911</v>
      </c>
      <c r="N105" s="443">
        <f t="shared" si="58"/>
        <v>1.5694811991860911</v>
      </c>
      <c r="O105" s="659">
        <f t="shared" si="49"/>
        <v>4.8610469969343977E-2</v>
      </c>
      <c r="P105" s="349">
        <f t="shared" si="50"/>
        <v>0</v>
      </c>
      <c r="Q105" s="468"/>
      <c r="R105" s="443">
        <f t="shared" si="59"/>
        <v>1.618091669155435</v>
      </c>
      <c r="S105" s="443">
        <f t="shared" si="60"/>
        <v>1.618091669155435</v>
      </c>
      <c r="T105" s="659">
        <f t="shared" si="51"/>
        <v>4.861046996934399E-2</v>
      </c>
      <c r="U105" s="349">
        <f t="shared" si="52"/>
        <v>0</v>
      </c>
      <c r="V105" s="468"/>
      <c r="W105" s="443">
        <f t="shared" si="61"/>
        <v>1.6667021391247789</v>
      </c>
    </row>
    <row r="106" spans="1:23" x14ac:dyDescent="0.3">
      <c r="A106" s="457">
        <f t="shared" si="53"/>
        <v>6.3299999999999995E-2</v>
      </c>
      <c r="B106" s="95">
        <f t="shared" si="62"/>
        <v>12</v>
      </c>
      <c r="C106" s="447" t="s">
        <v>260</v>
      </c>
      <c r="D106" s="346">
        <f t="shared" si="45"/>
        <v>2.6108051588141996</v>
      </c>
      <c r="E106" s="659">
        <f t="shared" si="54"/>
        <v>0.10251589662933781</v>
      </c>
      <c r="F106" s="349">
        <f t="shared" si="46"/>
        <v>0</v>
      </c>
      <c r="G106" s="350"/>
      <c r="H106" s="346">
        <f t="shared" si="55"/>
        <v>2.7133210554435374</v>
      </c>
      <c r="I106" s="443">
        <f t="shared" si="56"/>
        <v>2.7133210554435374</v>
      </c>
      <c r="J106" s="659">
        <f t="shared" si="47"/>
        <v>0.10251589662933781</v>
      </c>
      <c r="K106" s="349">
        <f t="shared" si="48"/>
        <v>0</v>
      </c>
      <c r="L106" s="468"/>
      <c r="M106" s="443">
        <f t="shared" si="57"/>
        <v>2.8158369520728752</v>
      </c>
      <c r="N106" s="443">
        <f t="shared" si="58"/>
        <v>2.8158369520728752</v>
      </c>
      <c r="O106" s="659">
        <f t="shared" si="49"/>
        <v>0.10251589662933781</v>
      </c>
      <c r="P106" s="349">
        <f t="shared" si="50"/>
        <v>0</v>
      </c>
      <c r="Q106" s="468"/>
      <c r="R106" s="443">
        <f t="shared" si="59"/>
        <v>2.918352848702213</v>
      </c>
      <c r="S106" s="443">
        <f t="shared" si="60"/>
        <v>2.918352848702213</v>
      </c>
      <c r="T106" s="659">
        <f t="shared" si="51"/>
        <v>0.10251589662933781</v>
      </c>
      <c r="U106" s="349">
        <f t="shared" si="52"/>
        <v>0</v>
      </c>
      <c r="V106" s="468"/>
      <c r="W106" s="443">
        <f t="shared" si="61"/>
        <v>3.0208687453315508</v>
      </c>
    </row>
    <row r="107" spans="1:23" x14ac:dyDescent="0.3">
      <c r="A107" s="457">
        <f t="shared" si="53"/>
        <v>6.3299999999999995E-2</v>
      </c>
      <c r="B107" s="95">
        <f t="shared" si="62"/>
        <v>13</v>
      </c>
      <c r="C107" s="467" t="s">
        <v>899</v>
      </c>
      <c r="D107" s="346">
        <f t="shared" si="45"/>
        <v>0</v>
      </c>
      <c r="E107" s="659">
        <f t="shared" si="54"/>
        <v>0</v>
      </c>
      <c r="F107" s="349">
        <f t="shared" si="46"/>
        <v>0</v>
      </c>
      <c r="G107" s="350"/>
      <c r="H107" s="346">
        <f t="shared" ref="H107:H111" si="63">D107+E107-F107-G107</f>
        <v>0</v>
      </c>
      <c r="I107" s="443">
        <f t="shared" si="56"/>
        <v>0</v>
      </c>
      <c r="J107" s="659">
        <f t="shared" si="47"/>
        <v>0</v>
      </c>
      <c r="K107" s="349">
        <f t="shared" si="48"/>
        <v>0</v>
      </c>
      <c r="L107" s="468"/>
      <c r="M107" s="443">
        <f t="shared" si="57"/>
        <v>0</v>
      </c>
      <c r="N107" s="443">
        <f t="shared" si="58"/>
        <v>0</v>
      </c>
      <c r="O107" s="659">
        <f t="shared" si="49"/>
        <v>0</v>
      </c>
      <c r="P107" s="349">
        <f t="shared" si="50"/>
        <v>0</v>
      </c>
      <c r="Q107" s="468"/>
      <c r="R107" s="443">
        <f t="shared" si="59"/>
        <v>0</v>
      </c>
      <c r="S107" s="443">
        <f t="shared" si="60"/>
        <v>0</v>
      </c>
      <c r="T107" s="659">
        <f t="shared" si="51"/>
        <v>0</v>
      </c>
      <c r="U107" s="349">
        <f t="shared" si="52"/>
        <v>0</v>
      </c>
      <c r="V107" s="468"/>
      <c r="W107" s="443">
        <f t="shared" si="61"/>
        <v>0</v>
      </c>
    </row>
    <row r="108" spans="1:23" x14ac:dyDescent="0.3">
      <c r="A108" s="457">
        <f t="shared" si="53"/>
        <v>0.15</v>
      </c>
      <c r="B108" s="95">
        <f t="shared" si="62"/>
        <v>14</v>
      </c>
      <c r="C108" s="467" t="s">
        <v>900</v>
      </c>
      <c r="D108" s="346">
        <f t="shared" si="45"/>
        <v>0.33793823709740556</v>
      </c>
      <c r="E108" s="659">
        <f>IF((IFERROR(D108/((D53+E53)*100%),0))&lt;70%,MIN((MAX((D53+E53)*100%-D108,0)),(D53+E53/2)*$A108),MAX((E53+D53)*100%-D108,0)/E$113)</f>
        <v>7.3690961148700135E-2</v>
      </c>
      <c r="F108" s="349">
        <f t="shared" si="46"/>
        <v>0</v>
      </c>
      <c r="G108" s="350"/>
      <c r="H108" s="346">
        <f t="shared" si="63"/>
        <v>0.41162919824610567</v>
      </c>
      <c r="I108" s="443">
        <f t="shared" si="56"/>
        <v>0.41162919824610567</v>
      </c>
      <c r="J108" s="659">
        <f>IF((IFERROR(I108/((I53+J53)*100%),0))&lt;70%,MIN((MAX((I53+J53)*100%-I108,0)),(I53+J53/2)*$A108),MAX((J53+I53)*100%-I108,0)/J$113)</f>
        <v>1.1435883071862749E-2</v>
      </c>
      <c r="K108" s="349">
        <f t="shared" si="48"/>
        <v>0</v>
      </c>
      <c r="L108" s="468"/>
      <c r="M108" s="443">
        <f t="shared" si="57"/>
        <v>0.42306508131796844</v>
      </c>
      <c r="N108" s="443">
        <f t="shared" si="58"/>
        <v>0.42306508131796844</v>
      </c>
      <c r="O108" s="659">
        <f>IF((IFERROR(N108/((N53+O53)*100%),0))&lt;70%,MIN((MAX((N53+O53)*100%-N108,0)),(N53+O53/2)*$A108),MAX((O53+N53)*100%-N108,0)/O$113)</f>
        <v>1.1435883071862746E-2</v>
      </c>
      <c r="P108" s="349">
        <f t="shared" si="50"/>
        <v>0</v>
      </c>
      <c r="Q108" s="468"/>
      <c r="R108" s="443">
        <f t="shared" si="59"/>
        <v>0.43450096438983121</v>
      </c>
      <c r="S108" s="443">
        <f t="shared" si="60"/>
        <v>0.43450096438983121</v>
      </c>
      <c r="T108" s="659">
        <f>IF((IFERROR(S108/((S53+T53)*100%),0))&lt;70%,MIN((MAX((S53+T53)*100%-S108,0)),(S53+T53/2)*$A108),MAX((T53+S53)*100%-S108,0)/T$113)</f>
        <v>1.1435883071862739E-2</v>
      </c>
      <c r="U108" s="349">
        <f t="shared" si="52"/>
        <v>0</v>
      </c>
      <c r="V108" s="468"/>
      <c r="W108" s="443">
        <f t="shared" si="61"/>
        <v>0.44593684746169393</v>
      </c>
    </row>
    <row r="109" spans="1:23" x14ac:dyDescent="0.3">
      <c r="A109" s="457">
        <f t="shared" si="53"/>
        <v>0.3</v>
      </c>
      <c r="B109" s="95">
        <f t="shared" si="62"/>
        <v>15</v>
      </c>
      <c r="C109" s="467" t="s">
        <v>901</v>
      </c>
      <c r="D109" s="346">
        <f t="shared" si="45"/>
        <v>9.8442280246486633E-3</v>
      </c>
      <c r="E109" s="659">
        <f>IF((IFERROR(D109/((D54+E54)*100%),0))&lt;70%,MIN((MAX((D54+E54)*100%-D109,0)),(D54+E54/2)*$A109),MAX((E54+D54)*100%-D109,0)/E$113)</f>
        <v>3.0866276342210848E-4</v>
      </c>
      <c r="F109" s="349">
        <f t="shared" si="46"/>
        <v>0</v>
      </c>
      <c r="G109" s="350"/>
      <c r="H109" s="346">
        <f t="shared" si="63"/>
        <v>1.0152890788070771E-2</v>
      </c>
      <c r="I109" s="443">
        <f t="shared" si="56"/>
        <v>1.0152890788070771E-2</v>
      </c>
      <c r="J109" s="659">
        <f>IF((IFERROR(I109/((I54+J54)*100%),0))&lt;70%,MIN((MAX((I54+J54)*100%-I109,0)),(I54+J54/2)*$A109),MAX((J54+I54)*100%-I109,0)/J$113)</f>
        <v>3.0866276342210859E-4</v>
      </c>
      <c r="K109" s="349">
        <f t="shared" si="48"/>
        <v>0</v>
      </c>
      <c r="L109" s="468"/>
      <c r="M109" s="443">
        <f t="shared" si="57"/>
        <v>1.0461553551492879E-2</v>
      </c>
      <c r="N109" s="443">
        <f t="shared" si="58"/>
        <v>1.0461553551492879E-2</v>
      </c>
      <c r="O109" s="659">
        <f>IF((IFERROR(N109/((N54+O54)*100%),0))&lt;70%,MIN((MAX((N54+O54)*100%-N109,0)),(N54+O54/2)*$A109),MAX((O54+N54)*100%-N109,0)/O$113)</f>
        <v>3.0866276342210864E-4</v>
      </c>
      <c r="P109" s="349">
        <f t="shared" si="50"/>
        <v>0</v>
      </c>
      <c r="Q109" s="468"/>
      <c r="R109" s="443">
        <f t="shared" si="59"/>
        <v>1.0770216314914987E-2</v>
      </c>
      <c r="S109" s="443">
        <f t="shared" si="60"/>
        <v>1.0770216314914987E-2</v>
      </c>
      <c r="T109" s="659">
        <f>IF((IFERROR(S109/((S54+T54)*100%),0))&lt;70%,MIN((MAX((S54+T54)*100%-S109,0)),(S54+T54/2)*$A109),MAX((T54+S54)*100%-S109,0)/T$113)</f>
        <v>3.0866276342210881E-4</v>
      </c>
      <c r="U109" s="349">
        <f t="shared" si="52"/>
        <v>0</v>
      </c>
      <c r="V109" s="468"/>
      <c r="W109" s="443">
        <f t="shared" si="61"/>
        <v>1.1078879078337095E-2</v>
      </c>
    </row>
    <row r="110" spans="1:23" x14ac:dyDescent="0.3">
      <c r="A110" s="457">
        <f t="shared" si="53"/>
        <v>0.3</v>
      </c>
      <c r="B110" s="95">
        <f t="shared" si="62"/>
        <v>16</v>
      </c>
      <c r="C110" s="467" t="s">
        <v>852</v>
      </c>
      <c r="D110" s="346">
        <f t="shared" si="45"/>
        <v>0</v>
      </c>
      <c r="E110" s="659">
        <f>IF((IFERROR(D110/((D55+E55)*100%),0))&lt;70%,MIN((MAX((D55+E55)*100%-D110,0)),(D55+E55/2)*$A110),MAX((E55+D55)*100%-D110,0)/E$113)</f>
        <v>0</v>
      </c>
      <c r="F110" s="349">
        <f t="shared" si="46"/>
        <v>0</v>
      </c>
      <c r="G110" s="350"/>
      <c r="H110" s="346">
        <f t="shared" si="63"/>
        <v>0</v>
      </c>
      <c r="I110" s="443">
        <f t="shared" si="56"/>
        <v>0</v>
      </c>
      <c r="J110" s="659">
        <f>IF((IFERROR(I110/((I55+J55)*100%),0))&lt;70%,MIN((MAX((I55+J55)*100%-I110,0)),(I55+J55/2)*$A110),MAX((J55+I55)*100%-I110,0)/J$113)</f>
        <v>0</v>
      </c>
      <c r="K110" s="349">
        <f t="shared" si="48"/>
        <v>0</v>
      </c>
      <c r="L110" s="468"/>
      <c r="M110" s="443">
        <f t="shared" si="57"/>
        <v>0</v>
      </c>
      <c r="N110" s="443">
        <f t="shared" si="58"/>
        <v>0</v>
      </c>
      <c r="O110" s="659">
        <f>IF((IFERROR(N110/((N55+O55)*100%),0))&lt;70%,MIN((MAX((N55+O55)*100%-N110,0)),(N55+O55/2)*$A110),MAX((O55+N55)*100%-N110,0)/O$113)</f>
        <v>0</v>
      </c>
      <c r="P110" s="349">
        <f t="shared" si="50"/>
        <v>0</v>
      </c>
      <c r="Q110" s="468"/>
      <c r="R110" s="443">
        <f t="shared" si="59"/>
        <v>0</v>
      </c>
      <c r="S110" s="443">
        <f t="shared" si="60"/>
        <v>0</v>
      </c>
      <c r="T110" s="659">
        <f>IF((IFERROR(S110/((S55+T55)*100%),0))&lt;70%,MIN((MAX((S55+T55)*100%-S110,0)),(S55+T55/2)*$A110),MAX((T55+S55)*100%-S110,0)/T$113)</f>
        <v>0</v>
      </c>
      <c r="U110" s="349">
        <f t="shared" si="52"/>
        <v>0</v>
      </c>
      <c r="V110" s="468"/>
      <c r="W110" s="443">
        <f t="shared" si="61"/>
        <v>0</v>
      </c>
    </row>
    <row r="111" spans="1:23" x14ac:dyDescent="0.3">
      <c r="A111" s="457">
        <f t="shared" si="53"/>
        <v>3.3399999999999999E-2</v>
      </c>
      <c r="B111" s="95">
        <f t="shared" si="62"/>
        <v>17</v>
      </c>
      <c r="C111" s="467" t="s">
        <v>902</v>
      </c>
      <c r="D111" s="346">
        <f t="shared" si="45"/>
        <v>0</v>
      </c>
      <c r="E111" s="659">
        <f>IF((IFERROR(D111/((D56+E56)*90%),0))&lt;70%,MIN((MAX((D56+E56)*90%-D111,0)),(D56+E56/2)*$A111),MAX((E56+D56)*90%-D111,0)/E$113)</f>
        <v>0</v>
      </c>
      <c r="F111" s="349">
        <f t="shared" si="46"/>
        <v>0</v>
      </c>
      <c r="G111" s="350"/>
      <c r="H111" s="346">
        <f t="shared" si="63"/>
        <v>0</v>
      </c>
      <c r="I111" s="443">
        <f t="shared" si="56"/>
        <v>0</v>
      </c>
      <c r="J111" s="659">
        <f>IF((IFERROR(I111/((I56+J56)*90%),0))&lt;70%,MIN((MAX((I56+J56)*90%-I111,0)),(I56+J56/2)*$A111),MAX((J56+I56)*90%-I111,0)/J$113)</f>
        <v>0</v>
      </c>
      <c r="K111" s="349">
        <f t="shared" si="48"/>
        <v>0</v>
      </c>
      <c r="L111" s="468"/>
      <c r="M111" s="443">
        <f t="shared" si="57"/>
        <v>0</v>
      </c>
      <c r="N111" s="443">
        <f t="shared" si="58"/>
        <v>0</v>
      </c>
      <c r="O111" s="659">
        <f>IF((IFERROR(N111/((N56+O56)*90%),0))&lt;70%,MIN((MAX((N56+O56)*90%-N111,0)),(N56+O56/2)*$A111),MAX((O56+N56)*90%-N111,0)/O$113)</f>
        <v>0</v>
      </c>
      <c r="P111" s="349">
        <f t="shared" si="50"/>
        <v>0</v>
      </c>
      <c r="Q111" s="468"/>
      <c r="R111" s="443">
        <f t="shared" si="59"/>
        <v>0</v>
      </c>
      <c r="S111" s="443">
        <f t="shared" si="60"/>
        <v>0</v>
      </c>
      <c r="T111" s="659">
        <f>IF((IFERROR(S111/((S56+T56)*90%),0))&lt;70%,MIN((MAX((S56+T56)*90%-S111,0)),(S56+T56/2)*$A111),MAX((T56+S56)*90%-S111,0)/T$113)</f>
        <v>0</v>
      </c>
      <c r="U111" s="349">
        <f t="shared" si="52"/>
        <v>0</v>
      </c>
      <c r="V111" s="468"/>
      <c r="W111" s="443">
        <f t="shared" si="61"/>
        <v>0</v>
      </c>
    </row>
    <row r="112" spans="1:23" ht="16" x14ac:dyDescent="0.3">
      <c r="B112" s="83"/>
      <c r="C112" s="97" t="s">
        <v>270</v>
      </c>
      <c r="D112" s="348">
        <f t="shared" ref="D112:W112" si="64">SUM(D95:D111)</f>
        <v>2264.5889425408664</v>
      </c>
      <c r="E112" s="348">
        <f t="shared" si="64"/>
        <v>79.937784185968923</v>
      </c>
      <c r="F112" s="348">
        <f t="shared" si="64"/>
        <v>0</v>
      </c>
      <c r="G112" s="348">
        <f t="shared" si="64"/>
        <v>0</v>
      </c>
      <c r="H112" s="348">
        <f t="shared" si="64"/>
        <v>2344.5267267268346</v>
      </c>
      <c r="I112" s="348">
        <f t="shared" si="64"/>
        <v>2344.5267267268346</v>
      </c>
      <c r="J112" s="348">
        <f t="shared" si="64"/>
        <v>80.093311481606349</v>
      </c>
      <c r="K112" s="348">
        <f t="shared" si="64"/>
        <v>0</v>
      </c>
      <c r="L112" s="348">
        <f t="shared" si="64"/>
        <v>0</v>
      </c>
      <c r="M112" s="348">
        <f t="shared" si="64"/>
        <v>2424.6200382084412</v>
      </c>
      <c r="N112" s="348">
        <f t="shared" si="64"/>
        <v>2424.6200382084412</v>
      </c>
      <c r="O112" s="348">
        <f t="shared" si="64"/>
        <v>80.093311481606378</v>
      </c>
      <c r="P112" s="348">
        <f t="shared" si="64"/>
        <v>0</v>
      </c>
      <c r="Q112" s="348">
        <f t="shared" si="64"/>
        <v>0</v>
      </c>
      <c r="R112" s="348">
        <f t="shared" si="64"/>
        <v>2504.7133496900478</v>
      </c>
      <c r="S112" s="348">
        <f t="shared" si="64"/>
        <v>2504.7133496900478</v>
      </c>
      <c r="T112" s="348">
        <f t="shared" si="64"/>
        <v>80.093311481606406</v>
      </c>
      <c r="U112" s="348">
        <f t="shared" si="64"/>
        <v>0</v>
      </c>
      <c r="V112" s="348">
        <f t="shared" si="64"/>
        <v>0</v>
      </c>
      <c r="W112" s="348">
        <f t="shared" si="64"/>
        <v>2584.806661171654</v>
      </c>
    </row>
    <row r="113" spans="2:20" ht="16" x14ac:dyDescent="0.3">
      <c r="B113" s="261"/>
      <c r="C113" s="263"/>
      <c r="D113" s="481"/>
      <c r="E113" s="480">
        <f>T86-1</f>
        <v>7.9643835616438352</v>
      </c>
      <c r="F113" s="481"/>
      <c r="G113" s="481"/>
      <c r="H113" s="481"/>
      <c r="J113" s="480">
        <f>E113-1</f>
        <v>6.9643835616438352</v>
      </c>
      <c r="O113" s="480">
        <f>J113-1</f>
        <v>5.9643835616438352</v>
      </c>
      <c r="T113" s="480">
        <f>O113-1</f>
        <v>4.9643835616438352</v>
      </c>
    </row>
    <row r="114" spans="2:20" x14ac:dyDescent="0.3">
      <c r="B114" s="1"/>
      <c r="C114" s="1"/>
      <c r="D114" s="1"/>
      <c r="E114" s="1"/>
      <c r="F114" s="1"/>
      <c r="G114" s="1"/>
      <c r="H114" s="1"/>
      <c r="I114" s="1"/>
      <c r="J114" s="1"/>
      <c r="K114" s="1"/>
      <c r="L114" s="1"/>
      <c r="M114" s="1"/>
      <c r="N114" s="1"/>
      <c r="O114" s="1"/>
      <c r="P114" s="1"/>
      <c r="Q114" s="1"/>
      <c r="R114" s="1"/>
    </row>
    <row r="115" spans="2:20" x14ac:dyDescent="0.3">
      <c r="B115" s="366" t="s">
        <v>340</v>
      </c>
      <c r="C115" s="1"/>
      <c r="D115" s="1"/>
      <c r="E115" s="1"/>
      <c r="F115" s="1"/>
      <c r="G115" s="1"/>
      <c r="H115" s="1"/>
      <c r="I115" s="1"/>
      <c r="J115" s="1"/>
      <c r="K115" s="1"/>
      <c r="L115" s="1"/>
      <c r="M115" s="1"/>
      <c r="N115" s="1"/>
      <c r="O115" s="1"/>
      <c r="P115" s="1"/>
      <c r="Q115" s="1"/>
      <c r="R115" s="1"/>
    </row>
    <row r="116" spans="2:20" x14ac:dyDescent="0.3">
      <c r="B116" s="366"/>
      <c r="C116" s="1"/>
      <c r="D116" s="1"/>
      <c r="E116" s="1"/>
      <c r="F116" s="1"/>
      <c r="G116" s="1"/>
      <c r="H116" s="1"/>
      <c r="I116" s="1"/>
      <c r="J116" s="1"/>
      <c r="K116" s="1"/>
      <c r="L116" s="1"/>
      <c r="M116" s="1"/>
      <c r="N116" s="1"/>
      <c r="O116" s="1"/>
      <c r="P116" s="1"/>
      <c r="Q116" s="1"/>
      <c r="R116" s="1"/>
    </row>
    <row r="117" spans="2:20" x14ac:dyDescent="0.3">
      <c r="B117" s="1"/>
      <c r="C117" s="1"/>
      <c r="D117" s="8"/>
      <c r="E117" s="8"/>
      <c r="F117" s="8"/>
      <c r="G117" s="8"/>
      <c r="H117" s="8"/>
      <c r="I117" s="1"/>
      <c r="J117" s="44"/>
      <c r="K117" s="1"/>
      <c r="L117" s="1"/>
      <c r="M117" s="258" t="s">
        <v>10</v>
      </c>
      <c r="O117" s="1"/>
      <c r="P117" s="1"/>
      <c r="Q117" s="1"/>
    </row>
    <row r="118" spans="2:20" ht="15" customHeight="1" x14ac:dyDescent="0.3">
      <c r="B118" s="1792" t="s">
        <v>339</v>
      </c>
      <c r="C118" s="1792" t="s">
        <v>36</v>
      </c>
      <c r="D118" s="1936" t="s">
        <v>506</v>
      </c>
      <c r="E118" s="1937"/>
      <c r="F118" s="1937"/>
      <c r="G118" s="1937"/>
      <c r="H118" s="1938"/>
      <c r="I118" s="1939" t="s">
        <v>507</v>
      </c>
      <c r="J118" s="1939"/>
      <c r="K118" s="1939"/>
      <c r="L118" s="1939"/>
      <c r="M118" s="1939"/>
      <c r="N118" s="1847"/>
      <c r="O118" s="1847"/>
      <c r="P118" s="1847"/>
      <c r="Q118" s="1847"/>
      <c r="R118" s="1847"/>
    </row>
    <row r="119" spans="2:20" x14ac:dyDescent="0.3">
      <c r="B119" s="1792"/>
      <c r="C119" s="1792"/>
      <c r="D119" s="1941" t="s">
        <v>7</v>
      </c>
      <c r="E119" s="1942"/>
      <c r="F119" s="1942"/>
      <c r="G119" s="1942"/>
      <c r="H119" s="1942"/>
      <c r="I119" s="1941" t="s">
        <v>7</v>
      </c>
      <c r="J119" s="1942"/>
      <c r="K119" s="1942"/>
      <c r="L119" s="1942"/>
      <c r="M119" s="1942"/>
      <c r="N119" s="1947"/>
      <c r="O119" s="1948"/>
      <c r="P119" s="1948"/>
      <c r="Q119" s="1948"/>
      <c r="R119" s="1948"/>
    </row>
    <row r="120" spans="2:20" ht="42" x14ac:dyDescent="0.3">
      <c r="B120" s="1792"/>
      <c r="C120" s="1792"/>
      <c r="D120" s="367" t="s">
        <v>266</v>
      </c>
      <c r="E120" s="367" t="s">
        <v>267</v>
      </c>
      <c r="F120" s="262" t="s">
        <v>273</v>
      </c>
      <c r="G120" s="365" t="s">
        <v>587</v>
      </c>
      <c r="H120" s="367" t="s">
        <v>269</v>
      </c>
      <c r="I120" s="671" t="s">
        <v>266</v>
      </c>
      <c r="J120" s="671" t="s">
        <v>267</v>
      </c>
      <c r="K120" s="262" t="s">
        <v>273</v>
      </c>
      <c r="L120" s="665" t="s">
        <v>587</v>
      </c>
      <c r="M120" s="671" t="s">
        <v>269</v>
      </c>
      <c r="N120" s="678"/>
      <c r="O120" s="678"/>
      <c r="P120" s="679"/>
      <c r="Q120" s="668"/>
      <c r="R120" s="678"/>
    </row>
    <row r="121" spans="2:20" x14ac:dyDescent="0.3">
      <c r="B121" s="259"/>
      <c r="C121" s="259"/>
      <c r="D121" s="259" t="s">
        <v>80</v>
      </c>
      <c r="E121" s="259" t="s">
        <v>81</v>
      </c>
      <c r="F121" s="259" t="s">
        <v>459</v>
      </c>
      <c r="G121" s="259" t="s">
        <v>390</v>
      </c>
      <c r="H121" s="259" t="s">
        <v>588</v>
      </c>
      <c r="I121" s="259" t="s">
        <v>408</v>
      </c>
      <c r="J121" s="259" t="s">
        <v>509</v>
      </c>
      <c r="K121" s="259" t="s">
        <v>409</v>
      </c>
      <c r="L121" s="259" t="s">
        <v>410</v>
      </c>
      <c r="M121" s="259" t="s">
        <v>653</v>
      </c>
      <c r="N121" s="676"/>
      <c r="O121" s="676"/>
      <c r="P121" s="676"/>
      <c r="Q121" s="676"/>
      <c r="R121" s="676"/>
    </row>
    <row r="122" spans="2:20" x14ac:dyDescent="0.3">
      <c r="B122" s="95">
        <v>1</v>
      </c>
      <c r="C122" s="447" t="s">
        <v>844</v>
      </c>
      <c r="D122" s="349">
        <f t="shared" ref="D122:G133" si="65">D14-D68</f>
        <v>3.7073555520774324</v>
      </c>
      <c r="E122" s="349">
        <f t="shared" si="65"/>
        <v>0</v>
      </c>
      <c r="F122" s="349">
        <f t="shared" si="65"/>
        <v>0</v>
      </c>
      <c r="G122" s="349">
        <f t="shared" si="65"/>
        <v>0</v>
      </c>
      <c r="H122" s="349">
        <f>D122+E122-F122-G122</f>
        <v>3.7073555520774324</v>
      </c>
      <c r="I122" s="349">
        <f t="shared" ref="I122:L133" si="66">I14-I68</f>
        <v>3.7073555520774324</v>
      </c>
      <c r="J122" s="349">
        <f t="shared" si="66"/>
        <v>0.88590860000000005</v>
      </c>
      <c r="K122" s="349">
        <f t="shared" si="66"/>
        <v>0</v>
      </c>
      <c r="L122" s="349">
        <f t="shared" si="66"/>
        <v>0</v>
      </c>
      <c r="M122" s="346">
        <f>I122+J122-K122-L122</f>
        <v>4.5932641520774329</v>
      </c>
      <c r="N122" s="675"/>
      <c r="O122" s="675"/>
      <c r="P122" s="675"/>
      <c r="Q122" s="675"/>
      <c r="R122" s="674"/>
    </row>
    <row r="123" spans="2:20" x14ac:dyDescent="0.3">
      <c r="B123" s="95">
        <f>B122+1</f>
        <v>2</v>
      </c>
      <c r="C123" s="447" t="s">
        <v>845</v>
      </c>
      <c r="D123" s="349">
        <f t="shared" si="65"/>
        <v>68.558911874721829</v>
      </c>
      <c r="E123" s="349">
        <f t="shared" si="65"/>
        <v>-5.4389406439146093</v>
      </c>
      <c r="F123" s="349">
        <f t="shared" si="65"/>
        <v>0</v>
      </c>
      <c r="G123" s="349">
        <f t="shared" si="65"/>
        <v>0</v>
      </c>
      <c r="H123" s="349">
        <f t="shared" ref="H123:H133" si="67">D123+E123-F123-G123</f>
        <v>63.119971230807224</v>
      </c>
      <c r="I123" s="349">
        <f t="shared" si="66"/>
        <v>63.119971230807224</v>
      </c>
      <c r="J123" s="349">
        <f t="shared" si="66"/>
        <v>-5.4419488975593096</v>
      </c>
      <c r="K123" s="349">
        <f t="shared" si="66"/>
        <v>0</v>
      </c>
      <c r="L123" s="349">
        <f t="shared" si="66"/>
        <v>0</v>
      </c>
      <c r="M123" s="346">
        <f t="shared" ref="M123:M133" si="68">I123+J123-K123-L123</f>
        <v>57.678022333247917</v>
      </c>
      <c r="N123" s="675"/>
      <c r="O123" s="675"/>
      <c r="P123" s="675"/>
      <c r="Q123" s="675"/>
      <c r="R123" s="674"/>
    </row>
    <row r="124" spans="2:20" x14ac:dyDescent="0.3">
      <c r="B124" s="95">
        <f t="shared" ref="B124:B138" si="69">B123+1</f>
        <v>3</v>
      </c>
      <c r="C124" s="447" t="s">
        <v>846</v>
      </c>
      <c r="D124" s="349">
        <f t="shared" si="65"/>
        <v>29.495878747208252</v>
      </c>
      <c r="E124" s="349">
        <f t="shared" si="65"/>
        <v>-3.8992799999999996</v>
      </c>
      <c r="F124" s="349">
        <f t="shared" si="65"/>
        <v>0</v>
      </c>
      <c r="G124" s="349">
        <f t="shared" si="65"/>
        <v>0</v>
      </c>
      <c r="H124" s="349">
        <f t="shared" si="67"/>
        <v>25.596598747208251</v>
      </c>
      <c r="I124" s="349">
        <f t="shared" si="66"/>
        <v>25.596598747208255</v>
      </c>
      <c r="J124" s="349">
        <f t="shared" si="66"/>
        <v>-1.6609778967343869</v>
      </c>
      <c r="K124" s="349">
        <f t="shared" si="66"/>
        <v>0</v>
      </c>
      <c r="L124" s="349">
        <f t="shared" si="66"/>
        <v>0</v>
      </c>
      <c r="M124" s="346">
        <f t="shared" si="68"/>
        <v>23.935620850473867</v>
      </c>
      <c r="N124" s="675"/>
      <c r="O124" s="675"/>
      <c r="P124" s="675"/>
      <c r="Q124" s="675"/>
      <c r="R124" s="674"/>
    </row>
    <row r="125" spans="2:20" x14ac:dyDescent="0.3">
      <c r="B125" s="95">
        <f t="shared" si="69"/>
        <v>4</v>
      </c>
      <c r="C125" s="447" t="s">
        <v>847</v>
      </c>
      <c r="D125" s="349">
        <f t="shared" si="65"/>
        <v>83.507607428753289</v>
      </c>
      <c r="E125" s="349">
        <f t="shared" si="65"/>
        <v>-8.533900529162409</v>
      </c>
      <c r="F125" s="349">
        <f t="shared" si="65"/>
        <v>0</v>
      </c>
      <c r="G125" s="349">
        <f t="shared" si="65"/>
        <v>0</v>
      </c>
      <c r="H125" s="349">
        <f t="shared" si="67"/>
        <v>74.97370689959088</v>
      </c>
      <c r="I125" s="349">
        <f t="shared" si="66"/>
        <v>74.97370689959088</v>
      </c>
      <c r="J125" s="349">
        <f t="shared" si="66"/>
        <v>-8.533900529162409</v>
      </c>
      <c r="K125" s="349">
        <f t="shared" si="66"/>
        <v>0</v>
      </c>
      <c r="L125" s="349">
        <f t="shared" si="66"/>
        <v>0</v>
      </c>
      <c r="M125" s="346">
        <f t="shared" si="68"/>
        <v>66.439806370428471</v>
      </c>
      <c r="N125" s="675"/>
      <c r="O125" s="675"/>
      <c r="P125" s="675"/>
      <c r="Q125" s="675"/>
      <c r="R125" s="674"/>
    </row>
    <row r="126" spans="2:20" x14ac:dyDescent="0.3">
      <c r="B126" s="95">
        <f t="shared" si="69"/>
        <v>5</v>
      </c>
      <c r="C126" s="447" t="s">
        <v>848</v>
      </c>
      <c r="D126" s="349">
        <f t="shared" si="65"/>
        <v>50.572208741376876</v>
      </c>
      <c r="E126" s="349">
        <f t="shared" si="65"/>
        <v>-3.0890589189163111</v>
      </c>
      <c r="F126" s="349">
        <f t="shared" si="65"/>
        <v>0</v>
      </c>
      <c r="G126" s="349">
        <f t="shared" si="65"/>
        <v>0</v>
      </c>
      <c r="H126" s="349">
        <f t="shared" si="67"/>
        <v>47.483149822460568</v>
      </c>
      <c r="I126" s="349">
        <f t="shared" si="66"/>
        <v>47.483149822460568</v>
      </c>
      <c r="J126" s="349">
        <f t="shared" si="66"/>
        <v>-3.4526831044132118</v>
      </c>
      <c r="K126" s="349">
        <f t="shared" si="66"/>
        <v>0</v>
      </c>
      <c r="L126" s="349">
        <f t="shared" si="66"/>
        <v>0</v>
      </c>
      <c r="M126" s="346">
        <f t="shared" si="68"/>
        <v>44.030466718047357</v>
      </c>
      <c r="N126" s="675"/>
      <c r="O126" s="675"/>
      <c r="P126" s="675"/>
      <c r="Q126" s="675"/>
      <c r="R126" s="674"/>
    </row>
    <row r="127" spans="2:20" x14ac:dyDescent="0.3">
      <c r="B127" s="95">
        <f t="shared" si="69"/>
        <v>6</v>
      </c>
      <c r="C127" s="447" t="s">
        <v>255</v>
      </c>
      <c r="D127" s="349">
        <f t="shared" si="65"/>
        <v>857.34623795977586</v>
      </c>
      <c r="E127" s="349">
        <f t="shared" si="65"/>
        <v>-19.681453908543126</v>
      </c>
      <c r="F127" s="349">
        <f t="shared" si="65"/>
        <v>0</v>
      </c>
      <c r="G127" s="349">
        <f t="shared" si="65"/>
        <v>0</v>
      </c>
      <c r="H127" s="349">
        <f t="shared" si="67"/>
        <v>837.66478405123269</v>
      </c>
      <c r="I127" s="349">
        <f t="shared" si="66"/>
        <v>837.6647840512328</v>
      </c>
      <c r="J127" s="349">
        <f t="shared" si="66"/>
        <v>-46.741617625827956</v>
      </c>
      <c r="K127" s="349">
        <f t="shared" si="66"/>
        <v>0</v>
      </c>
      <c r="L127" s="349">
        <f t="shared" si="66"/>
        <v>0</v>
      </c>
      <c r="M127" s="346">
        <f t="shared" si="68"/>
        <v>790.92316642540482</v>
      </c>
      <c r="N127" s="675"/>
      <c r="O127" s="675"/>
      <c r="P127" s="675"/>
      <c r="Q127" s="675"/>
      <c r="R127" s="674"/>
    </row>
    <row r="128" spans="2:20" x14ac:dyDescent="0.3">
      <c r="B128" s="95">
        <f t="shared" si="69"/>
        <v>7</v>
      </c>
      <c r="C128" s="447" t="s">
        <v>849</v>
      </c>
      <c r="D128" s="349">
        <f t="shared" si="65"/>
        <v>2.5451526835431468</v>
      </c>
      <c r="E128" s="349">
        <f t="shared" si="65"/>
        <v>-0.90736289069339338</v>
      </c>
      <c r="F128" s="349">
        <f t="shared" si="65"/>
        <v>0</v>
      </c>
      <c r="G128" s="349">
        <f t="shared" si="65"/>
        <v>0</v>
      </c>
      <c r="H128" s="349">
        <f t="shared" si="67"/>
        <v>1.6377897928497536</v>
      </c>
      <c r="I128" s="349">
        <f t="shared" si="66"/>
        <v>1.6377897928497536</v>
      </c>
      <c r="J128" s="349">
        <f t="shared" si="66"/>
        <v>-0.10339836176345153</v>
      </c>
      <c r="K128" s="349">
        <f t="shared" si="66"/>
        <v>0</v>
      </c>
      <c r="L128" s="349">
        <f t="shared" si="66"/>
        <v>0</v>
      </c>
      <c r="M128" s="346">
        <f t="shared" si="68"/>
        <v>1.534391431086302</v>
      </c>
      <c r="N128" s="675"/>
      <c r="O128" s="675"/>
      <c r="P128" s="675"/>
      <c r="Q128" s="675"/>
      <c r="R128" s="674"/>
    </row>
    <row r="129" spans="2:33" x14ac:dyDescent="0.3">
      <c r="B129" s="95">
        <f t="shared" si="69"/>
        <v>8</v>
      </c>
      <c r="C129" s="447" t="s">
        <v>850</v>
      </c>
      <c r="D129" s="349">
        <f t="shared" si="65"/>
        <v>0</v>
      </c>
      <c r="E129" s="349">
        <f t="shared" si="65"/>
        <v>0</v>
      </c>
      <c r="F129" s="349">
        <f t="shared" si="65"/>
        <v>0</v>
      </c>
      <c r="G129" s="349">
        <f t="shared" si="65"/>
        <v>0</v>
      </c>
      <c r="H129" s="349">
        <f t="shared" si="67"/>
        <v>0</v>
      </c>
      <c r="I129" s="349">
        <f t="shared" si="66"/>
        <v>0</v>
      </c>
      <c r="J129" s="349">
        <f t="shared" si="66"/>
        <v>0</v>
      </c>
      <c r="K129" s="349">
        <f t="shared" si="66"/>
        <v>0</v>
      </c>
      <c r="L129" s="349">
        <f t="shared" si="66"/>
        <v>0</v>
      </c>
      <c r="M129" s="346">
        <f t="shared" si="68"/>
        <v>0</v>
      </c>
      <c r="N129" s="675"/>
      <c r="O129" s="675"/>
      <c r="P129" s="675"/>
      <c r="Q129" s="675"/>
      <c r="R129" s="674"/>
    </row>
    <row r="130" spans="2:33" x14ac:dyDescent="0.3">
      <c r="B130" s="95">
        <f t="shared" si="69"/>
        <v>9</v>
      </c>
      <c r="C130" s="447" t="s">
        <v>851</v>
      </c>
      <c r="D130" s="349">
        <f t="shared" si="65"/>
        <v>12.216127313438069</v>
      </c>
      <c r="E130" s="349">
        <f t="shared" si="65"/>
        <v>-1.7165332687572872</v>
      </c>
      <c r="F130" s="349">
        <f t="shared" si="65"/>
        <v>0</v>
      </c>
      <c r="G130" s="349">
        <f t="shared" si="65"/>
        <v>0</v>
      </c>
      <c r="H130" s="349">
        <f t="shared" si="67"/>
        <v>10.499594044680782</v>
      </c>
      <c r="I130" s="349">
        <f t="shared" si="66"/>
        <v>10.49959404468078</v>
      </c>
      <c r="J130" s="349">
        <f t="shared" si="66"/>
        <v>-0.66110274464778518</v>
      </c>
      <c r="K130" s="349">
        <f t="shared" si="66"/>
        <v>0</v>
      </c>
      <c r="L130" s="349">
        <f t="shared" si="66"/>
        <v>0</v>
      </c>
      <c r="M130" s="346">
        <f t="shared" si="68"/>
        <v>9.8384913000329952</v>
      </c>
      <c r="N130" s="675"/>
      <c r="O130" s="675"/>
      <c r="P130" s="675"/>
      <c r="Q130" s="675"/>
      <c r="R130" s="674"/>
    </row>
    <row r="131" spans="2:33" x14ac:dyDescent="0.3">
      <c r="B131" s="95">
        <f t="shared" si="69"/>
        <v>10</v>
      </c>
      <c r="C131" s="447" t="s">
        <v>258</v>
      </c>
      <c r="D131" s="349">
        <f t="shared" si="65"/>
        <v>1.8554312717833938</v>
      </c>
      <c r="E131" s="349">
        <f t="shared" si="65"/>
        <v>-0.22827781491406837</v>
      </c>
      <c r="F131" s="349">
        <f t="shared" si="65"/>
        <v>0</v>
      </c>
      <c r="G131" s="349">
        <f t="shared" si="65"/>
        <v>0</v>
      </c>
      <c r="H131" s="349">
        <f t="shared" si="67"/>
        <v>1.6271534568693256</v>
      </c>
      <c r="I131" s="349">
        <f t="shared" si="66"/>
        <v>1.6271534568693253</v>
      </c>
      <c r="J131" s="349">
        <f t="shared" si="66"/>
        <v>-0.22827781491406837</v>
      </c>
      <c r="K131" s="349">
        <f t="shared" si="66"/>
        <v>0</v>
      </c>
      <c r="L131" s="349">
        <f t="shared" si="66"/>
        <v>0</v>
      </c>
      <c r="M131" s="346">
        <f t="shared" si="68"/>
        <v>1.398875641955257</v>
      </c>
      <c r="N131" s="675"/>
      <c r="O131" s="675"/>
      <c r="P131" s="675"/>
      <c r="Q131" s="675"/>
      <c r="R131" s="674"/>
    </row>
    <row r="132" spans="2:33" x14ac:dyDescent="0.3">
      <c r="B132" s="95">
        <f t="shared" si="69"/>
        <v>11</v>
      </c>
      <c r="C132" s="447" t="s">
        <v>259</v>
      </c>
      <c r="D132" s="349">
        <f t="shared" si="65"/>
        <v>0.72565669447441339</v>
      </c>
      <c r="E132" s="349">
        <f t="shared" si="65"/>
        <v>-9.8858762322716939E-2</v>
      </c>
      <c r="F132" s="349">
        <f t="shared" si="65"/>
        <v>0</v>
      </c>
      <c r="G132" s="349">
        <f t="shared" si="65"/>
        <v>0</v>
      </c>
      <c r="H132" s="349">
        <f t="shared" si="67"/>
        <v>0.62679793215169644</v>
      </c>
      <c r="I132" s="349">
        <f t="shared" si="66"/>
        <v>0.62679793215169655</v>
      </c>
      <c r="J132" s="349">
        <f t="shared" si="66"/>
        <v>-3.9970922213674771E-2</v>
      </c>
      <c r="K132" s="349">
        <f t="shared" si="66"/>
        <v>0</v>
      </c>
      <c r="L132" s="349">
        <f t="shared" si="66"/>
        <v>0</v>
      </c>
      <c r="M132" s="346">
        <f t="shared" si="68"/>
        <v>0.58682700993802173</v>
      </c>
      <c r="N132" s="675"/>
      <c r="O132" s="675"/>
      <c r="P132" s="675"/>
      <c r="Q132" s="675"/>
      <c r="R132" s="674"/>
    </row>
    <row r="133" spans="2:33" x14ac:dyDescent="0.3">
      <c r="B133" s="95">
        <f t="shared" si="69"/>
        <v>12</v>
      </c>
      <c r="C133" s="447" t="s">
        <v>260</v>
      </c>
      <c r="D133" s="349">
        <f t="shared" si="65"/>
        <v>1.5339426557572016</v>
      </c>
      <c r="E133" s="349">
        <f t="shared" si="65"/>
        <v>0.24796237712156266</v>
      </c>
      <c r="F133" s="349">
        <f t="shared" si="65"/>
        <v>0</v>
      </c>
      <c r="G133" s="349">
        <f t="shared" si="65"/>
        <v>0</v>
      </c>
      <c r="H133" s="349">
        <f t="shared" si="67"/>
        <v>1.7819050328787642</v>
      </c>
      <c r="I133" s="349">
        <f t="shared" si="66"/>
        <v>1.7819050328787642</v>
      </c>
      <c r="J133" s="349">
        <f t="shared" si="66"/>
        <v>-0.24105210267843735</v>
      </c>
      <c r="K133" s="349">
        <f t="shared" si="66"/>
        <v>0</v>
      </c>
      <c r="L133" s="349">
        <f t="shared" si="66"/>
        <v>0</v>
      </c>
      <c r="M133" s="346">
        <f t="shared" si="68"/>
        <v>1.5408529302003269</v>
      </c>
      <c r="N133" s="675"/>
      <c r="O133" s="675"/>
      <c r="P133" s="675"/>
      <c r="Q133" s="675"/>
      <c r="R133" s="674"/>
    </row>
    <row r="134" spans="2:33" x14ac:dyDescent="0.3">
      <c r="B134" s="95">
        <f t="shared" si="69"/>
        <v>13</v>
      </c>
      <c r="C134" s="467" t="s">
        <v>899</v>
      </c>
      <c r="D134" s="349">
        <f t="shared" ref="D134:G134" si="70">D26-D80</f>
        <v>0</v>
      </c>
      <c r="E134" s="349">
        <f t="shared" si="70"/>
        <v>0</v>
      </c>
      <c r="F134" s="349">
        <f t="shared" si="70"/>
        <v>0</v>
      </c>
      <c r="G134" s="349">
        <f t="shared" si="70"/>
        <v>0</v>
      </c>
      <c r="H134" s="349">
        <f t="shared" ref="H134:H138" si="71">D134+E134-F134-G134</f>
        <v>0</v>
      </c>
      <c r="I134" s="349">
        <f t="shared" ref="I134:L134" si="72">I26-I80</f>
        <v>0</v>
      </c>
      <c r="J134" s="349">
        <f t="shared" si="72"/>
        <v>0</v>
      </c>
      <c r="K134" s="349">
        <f t="shared" si="72"/>
        <v>0</v>
      </c>
      <c r="L134" s="349">
        <f t="shared" si="72"/>
        <v>0</v>
      </c>
      <c r="M134" s="346">
        <f t="shared" ref="M134:M138" si="73">I134+J134-K134-L134</f>
        <v>0</v>
      </c>
      <c r="N134" s="675"/>
      <c r="O134" s="675"/>
      <c r="P134" s="675"/>
      <c r="Q134" s="675"/>
      <c r="R134" s="674"/>
    </row>
    <row r="135" spans="2:33" x14ac:dyDescent="0.3">
      <c r="B135" s="95">
        <f t="shared" si="69"/>
        <v>14</v>
      </c>
      <c r="C135" s="467" t="s">
        <v>900</v>
      </c>
      <c r="D135" s="349">
        <f t="shared" ref="D135:G135" si="74">D27-D81</f>
        <v>0.34799868182206262</v>
      </c>
      <c r="E135" s="349">
        <f t="shared" si="74"/>
        <v>-6.2770961148700136E-2</v>
      </c>
      <c r="F135" s="349">
        <f t="shared" si="74"/>
        <v>0</v>
      </c>
      <c r="G135" s="349">
        <f t="shared" si="74"/>
        <v>0</v>
      </c>
      <c r="H135" s="349">
        <f t="shared" si="71"/>
        <v>0.28522772067336249</v>
      </c>
      <c r="I135" s="349">
        <f t="shared" ref="I135:L135" si="75">I27-I81</f>
        <v>0.28522772067336244</v>
      </c>
      <c r="J135" s="349">
        <f t="shared" si="75"/>
        <v>-6.2770961148700136E-2</v>
      </c>
      <c r="K135" s="349">
        <f t="shared" si="75"/>
        <v>0</v>
      </c>
      <c r="L135" s="349">
        <f t="shared" si="75"/>
        <v>0</v>
      </c>
      <c r="M135" s="346">
        <f t="shared" si="73"/>
        <v>0.22245675952466232</v>
      </c>
      <c r="N135" s="675"/>
      <c r="O135" s="675"/>
      <c r="P135" s="675"/>
      <c r="Q135" s="675"/>
      <c r="R135" s="674"/>
    </row>
    <row r="136" spans="2:33" x14ac:dyDescent="0.3">
      <c r="B136" s="95">
        <f t="shared" si="69"/>
        <v>15</v>
      </c>
      <c r="C136" s="467" t="s">
        <v>901</v>
      </c>
      <c r="D136" s="349">
        <f t="shared" ref="D136:G136" si="76">D28-D82</f>
        <v>1.0457156164178374E-2</v>
      </c>
      <c r="E136" s="349">
        <f t="shared" si="76"/>
        <v>-3.6907609991217792E-3</v>
      </c>
      <c r="F136" s="349">
        <f t="shared" si="76"/>
        <v>0</v>
      </c>
      <c r="G136" s="349">
        <f t="shared" si="76"/>
        <v>0</v>
      </c>
      <c r="H136" s="349">
        <f t="shared" si="71"/>
        <v>6.7663951650565948E-3</v>
      </c>
      <c r="I136" s="349">
        <f t="shared" ref="I136:L136" si="77">I28-I82</f>
        <v>6.7663951650565957E-3</v>
      </c>
      <c r="J136" s="349">
        <f t="shared" si="77"/>
        <v>-3.6907609991217792E-3</v>
      </c>
      <c r="K136" s="349">
        <f t="shared" si="77"/>
        <v>0</v>
      </c>
      <c r="L136" s="349">
        <f t="shared" si="77"/>
        <v>0</v>
      </c>
      <c r="M136" s="346">
        <f t="shared" si="73"/>
        <v>3.0756341659348165E-3</v>
      </c>
      <c r="N136" s="675"/>
      <c r="O136" s="675"/>
      <c r="P136" s="675"/>
      <c r="Q136" s="675"/>
      <c r="R136" s="674"/>
    </row>
    <row r="137" spans="2:33" x14ac:dyDescent="0.3">
      <c r="B137" s="95">
        <f t="shared" si="69"/>
        <v>16</v>
      </c>
      <c r="C137" s="467" t="s">
        <v>852</v>
      </c>
      <c r="D137" s="349">
        <f t="shared" ref="D137:G137" si="78">D29-D83</f>
        <v>0</v>
      </c>
      <c r="E137" s="349">
        <f t="shared" si="78"/>
        <v>0</v>
      </c>
      <c r="F137" s="349">
        <f t="shared" si="78"/>
        <v>0</v>
      </c>
      <c r="G137" s="349">
        <f t="shared" si="78"/>
        <v>0</v>
      </c>
      <c r="H137" s="349">
        <f t="shared" si="71"/>
        <v>0</v>
      </c>
      <c r="I137" s="349">
        <f t="shared" ref="I137:L137" si="79">I29-I83</f>
        <v>0</v>
      </c>
      <c r="J137" s="349">
        <f t="shared" si="79"/>
        <v>0</v>
      </c>
      <c r="K137" s="349">
        <f t="shared" si="79"/>
        <v>0</v>
      </c>
      <c r="L137" s="349">
        <f t="shared" si="79"/>
        <v>0</v>
      </c>
      <c r="M137" s="346">
        <f t="shared" si="73"/>
        <v>0</v>
      </c>
      <c r="N137" s="675"/>
      <c r="O137" s="675"/>
      <c r="P137" s="675"/>
      <c r="Q137" s="675"/>
      <c r="R137" s="674"/>
    </row>
    <row r="138" spans="2:33" x14ac:dyDescent="0.3">
      <c r="B138" s="95">
        <f t="shared" si="69"/>
        <v>17</v>
      </c>
      <c r="C138" s="467" t="s">
        <v>902</v>
      </c>
      <c r="D138" s="349">
        <f t="shared" ref="D138:G138" si="80">D30-D84</f>
        <v>0</v>
      </c>
      <c r="E138" s="349">
        <f t="shared" si="80"/>
        <v>0</v>
      </c>
      <c r="F138" s="349">
        <f t="shared" si="80"/>
        <v>0</v>
      </c>
      <c r="G138" s="349">
        <f t="shared" si="80"/>
        <v>0</v>
      </c>
      <c r="H138" s="349">
        <f t="shared" si="71"/>
        <v>0</v>
      </c>
      <c r="I138" s="349">
        <f t="shared" ref="I138:L138" si="81">I30-I84</f>
        <v>0</v>
      </c>
      <c r="J138" s="349">
        <f t="shared" si="81"/>
        <v>0</v>
      </c>
      <c r="K138" s="349">
        <f t="shared" si="81"/>
        <v>0</v>
      </c>
      <c r="L138" s="349">
        <f t="shared" si="81"/>
        <v>0</v>
      </c>
      <c r="M138" s="346">
        <f t="shared" si="73"/>
        <v>0</v>
      </c>
      <c r="N138" s="675"/>
      <c r="O138" s="675"/>
      <c r="P138" s="675"/>
      <c r="Q138" s="675"/>
      <c r="R138" s="674"/>
    </row>
    <row r="139" spans="2:33" ht="16" x14ac:dyDescent="0.3">
      <c r="B139" s="83"/>
      <c r="C139" s="97" t="s">
        <v>270</v>
      </c>
      <c r="D139" s="348">
        <f>SUM(D122:D137)</f>
        <v>1112.4229667608961</v>
      </c>
      <c r="E139" s="348">
        <f t="shared" ref="E139:M139" si="82">SUM(E122:E137)</f>
        <v>-43.412166082250188</v>
      </c>
      <c r="F139" s="348">
        <f t="shared" si="82"/>
        <v>0</v>
      </c>
      <c r="G139" s="348">
        <f t="shared" si="82"/>
        <v>0</v>
      </c>
      <c r="H139" s="348">
        <f t="shared" si="82"/>
        <v>1069.0108006786459</v>
      </c>
      <c r="I139" s="348">
        <f t="shared" si="82"/>
        <v>1069.0108006786461</v>
      </c>
      <c r="J139" s="348">
        <f t="shared" si="82"/>
        <v>-66.285483122062516</v>
      </c>
      <c r="K139" s="348">
        <f t="shared" si="82"/>
        <v>0</v>
      </c>
      <c r="L139" s="348">
        <f t="shared" si="82"/>
        <v>0</v>
      </c>
      <c r="M139" s="348">
        <f t="shared" si="82"/>
        <v>1002.7253175565834</v>
      </c>
      <c r="N139" s="677"/>
      <c r="O139" s="677"/>
      <c r="P139" s="677"/>
      <c r="Q139" s="677"/>
      <c r="R139" s="677"/>
    </row>
    <row r="140" spans="2:33" ht="16" x14ac:dyDescent="0.3">
      <c r="B140" s="261"/>
      <c r="C140" s="263"/>
      <c r="D140" s="263"/>
      <c r="E140" s="263"/>
      <c r="F140" s="263"/>
      <c r="G140" s="263"/>
      <c r="H140" s="263"/>
      <c r="I140" s="261"/>
      <c r="J140" s="261"/>
      <c r="K140" s="261"/>
      <c r="L140" s="261"/>
      <c r="M140" s="261"/>
      <c r="N140" s="261"/>
      <c r="O140" s="261"/>
      <c r="P140" s="261"/>
      <c r="Q140" s="261"/>
      <c r="R140" s="261"/>
      <c r="S140" s="45"/>
      <c r="T140" s="45"/>
      <c r="U140" s="45"/>
      <c r="V140" s="45"/>
      <c r="W140" s="45"/>
      <c r="X140" s="45"/>
      <c r="Y140" s="45"/>
      <c r="Z140" s="45"/>
      <c r="AA140" s="45"/>
      <c r="AB140" s="45"/>
      <c r="AC140" s="45"/>
      <c r="AD140" s="45"/>
      <c r="AE140" s="45"/>
      <c r="AF140" s="45"/>
      <c r="AG140" s="45"/>
    </row>
    <row r="141" spans="2:33" ht="16" x14ac:dyDescent="0.3">
      <c r="B141" s="260" t="s">
        <v>600</v>
      </c>
      <c r="C141" s="265"/>
      <c r="D141" s="265"/>
      <c r="E141" s="265"/>
      <c r="F141" s="265"/>
      <c r="G141" s="263"/>
      <c r="H141" s="263"/>
      <c r="I141" s="261"/>
      <c r="J141" s="261"/>
      <c r="K141" s="261"/>
      <c r="L141" s="261"/>
      <c r="M141" s="261"/>
      <c r="N141" s="261"/>
      <c r="O141" s="261"/>
      <c r="P141" s="261"/>
      <c r="Q141" s="261"/>
      <c r="R141" s="261"/>
      <c r="S141" s="45"/>
      <c r="T141" s="45"/>
      <c r="U141" s="45"/>
      <c r="V141" s="45"/>
      <c r="W141" s="45"/>
      <c r="X141" s="45"/>
      <c r="Y141" s="45"/>
      <c r="Z141" s="45"/>
      <c r="AA141" s="45"/>
      <c r="AB141" s="45"/>
      <c r="AC141" s="45"/>
      <c r="AD141" s="45"/>
      <c r="AE141" s="45"/>
      <c r="AF141" s="45"/>
      <c r="AG141" s="45"/>
    </row>
    <row r="142" spans="2:33" ht="16" x14ac:dyDescent="0.3">
      <c r="B142" s="261"/>
      <c r="C142" s="263"/>
      <c r="D142" s="263"/>
      <c r="E142" s="263"/>
      <c r="F142" s="263"/>
      <c r="G142" s="263"/>
      <c r="H142" s="263"/>
      <c r="I142" s="261"/>
      <c r="J142" s="261"/>
      <c r="K142" s="261"/>
      <c r="L142" s="261"/>
      <c r="M142" s="261"/>
      <c r="N142" s="261"/>
      <c r="O142" s="261"/>
      <c r="P142" s="261"/>
      <c r="Q142" s="261"/>
      <c r="R142" s="261"/>
      <c r="S142" s="45"/>
      <c r="T142" s="45"/>
      <c r="U142" s="45"/>
      <c r="V142" s="45"/>
      <c r="W142" s="45"/>
      <c r="X142" s="45"/>
      <c r="Y142" s="45"/>
      <c r="Z142" s="45"/>
      <c r="AA142" s="45"/>
      <c r="AB142" s="45"/>
      <c r="AC142" s="45"/>
      <c r="AD142" s="45"/>
      <c r="AE142" s="45"/>
      <c r="AF142" s="45"/>
      <c r="AG142" s="45"/>
    </row>
    <row r="143" spans="2:33" ht="15" customHeight="1" x14ac:dyDescent="0.3">
      <c r="B143" s="261"/>
      <c r="C143" s="263"/>
      <c r="D143" s="8"/>
      <c r="E143" s="8"/>
      <c r="F143" s="8"/>
      <c r="G143" s="8"/>
      <c r="H143" s="8"/>
      <c r="I143" s="1"/>
      <c r="J143" s="44"/>
      <c r="K143" s="1"/>
      <c r="L143" s="1"/>
      <c r="M143" s="44"/>
      <c r="N143" s="44"/>
      <c r="O143" s="1"/>
      <c r="P143" s="1"/>
      <c r="Q143" s="1"/>
      <c r="AG143" s="258" t="s">
        <v>10</v>
      </c>
    </row>
    <row r="144" spans="2:33" ht="13.75" customHeight="1" x14ac:dyDescent="0.3">
      <c r="B144" s="1792" t="s">
        <v>339</v>
      </c>
      <c r="C144" s="1792" t="s">
        <v>36</v>
      </c>
      <c r="D144" s="1935" t="s">
        <v>508</v>
      </c>
      <c r="E144" s="1935"/>
      <c r="F144" s="1935"/>
      <c r="G144" s="1935"/>
      <c r="H144" s="1935"/>
      <c r="I144" s="1935" t="s">
        <v>968</v>
      </c>
      <c r="J144" s="1935"/>
      <c r="K144" s="1935"/>
      <c r="L144" s="1935"/>
      <c r="M144" s="1935"/>
      <c r="N144" s="1943" t="s">
        <v>969</v>
      </c>
      <c r="O144" s="1944"/>
      <c r="P144" s="1944"/>
      <c r="Q144" s="1944"/>
      <c r="R144" s="1945"/>
      <c r="S144" s="1935" t="s">
        <v>970</v>
      </c>
      <c r="T144" s="1935"/>
      <c r="U144" s="1935"/>
      <c r="V144" s="1935"/>
      <c r="W144" s="1935"/>
      <c r="X144" s="1935" t="s">
        <v>971</v>
      </c>
      <c r="Y144" s="1935"/>
      <c r="Z144" s="1935"/>
      <c r="AA144" s="1935"/>
      <c r="AB144" s="1935"/>
      <c r="AC144" s="1935" t="s">
        <v>972</v>
      </c>
      <c r="AD144" s="1935"/>
      <c r="AE144" s="1935"/>
      <c r="AF144" s="1935"/>
      <c r="AG144" s="1935"/>
    </row>
    <row r="145" spans="2:33" x14ac:dyDescent="0.3">
      <c r="B145" s="1792"/>
      <c r="C145" s="1792"/>
      <c r="D145" s="1939" t="s">
        <v>12</v>
      </c>
      <c r="E145" s="1940"/>
      <c r="F145" s="1940"/>
      <c r="G145" s="1940"/>
      <c r="H145" s="1940"/>
      <c r="I145" s="1939" t="s">
        <v>21</v>
      </c>
      <c r="J145" s="1940"/>
      <c r="K145" s="1940"/>
      <c r="L145" s="1940"/>
      <c r="M145" s="1940"/>
      <c r="N145" s="1936" t="s">
        <v>21</v>
      </c>
      <c r="O145" s="1937"/>
      <c r="P145" s="1937"/>
      <c r="Q145" s="1937"/>
      <c r="R145" s="1938"/>
      <c r="S145" s="1939" t="s">
        <v>21</v>
      </c>
      <c r="T145" s="1940"/>
      <c r="U145" s="1940"/>
      <c r="V145" s="1940"/>
      <c r="W145" s="1940"/>
      <c r="X145" s="1939" t="s">
        <v>21</v>
      </c>
      <c r="Y145" s="1940"/>
      <c r="Z145" s="1940"/>
      <c r="AA145" s="1940"/>
      <c r="AB145" s="1940"/>
      <c r="AC145" s="1939" t="s">
        <v>21</v>
      </c>
      <c r="AD145" s="1940"/>
      <c r="AE145" s="1940"/>
      <c r="AF145" s="1940"/>
      <c r="AG145" s="1940"/>
    </row>
    <row r="146" spans="2:33" ht="42" x14ac:dyDescent="0.3">
      <c r="B146" s="1792"/>
      <c r="C146" s="1792"/>
      <c r="D146" s="367" t="s">
        <v>266</v>
      </c>
      <c r="E146" s="367" t="s">
        <v>267</v>
      </c>
      <c r="F146" s="262" t="s">
        <v>273</v>
      </c>
      <c r="G146" s="365" t="s">
        <v>587</v>
      </c>
      <c r="H146" s="367" t="s">
        <v>269</v>
      </c>
      <c r="I146" s="367" t="s">
        <v>266</v>
      </c>
      <c r="J146" s="367" t="s">
        <v>267</v>
      </c>
      <c r="K146" s="262" t="s">
        <v>273</v>
      </c>
      <c r="L146" s="365" t="s">
        <v>587</v>
      </c>
      <c r="M146" s="367" t="s">
        <v>269</v>
      </c>
      <c r="N146" s="671" t="s">
        <v>266</v>
      </c>
      <c r="O146" s="671" t="s">
        <v>267</v>
      </c>
      <c r="P146" s="262" t="s">
        <v>273</v>
      </c>
      <c r="Q146" s="665" t="s">
        <v>587</v>
      </c>
      <c r="R146" s="671" t="s">
        <v>269</v>
      </c>
      <c r="S146" s="671" t="s">
        <v>266</v>
      </c>
      <c r="T146" s="671" t="s">
        <v>267</v>
      </c>
      <c r="U146" s="671" t="s">
        <v>268</v>
      </c>
      <c r="V146" s="665" t="s">
        <v>587</v>
      </c>
      <c r="W146" s="671" t="s">
        <v>269</v>
      </c>
      <c r="X146" s="671" t="s">
        <v>266</v>
      </c>
      <c r="Y146" s="671" t="s">
        <v>267</v>
      </c>
      <c r="Z146" s="671" t="s">
        <v>268</v>
      </c>
      <c r="AA146" s="665" t="s">
        <v>587</v>
      </c>
      <c r="AB146" s="671" t="s">
        <v>269</v>
      </c>
      <c r="AC146" s="671" t="s">
        <v>266</v>
      </c>
      <c r="AD146" s="671" t="s">
        <v>267</v>
      </c>
      <c r="AE146" s="671" t="s">
        <v>268</v>
      </c>
      <c r="AF146" s="665" t="s">
        <v>587</v>
      </c>
      <c r="AG146" s="671" t="s">
        <v>269</v>
      </c>
    </row>
    <row r="147" spans="2:33" ht="28" x14ac:dyDescent="0.3">
      <c r="B147" s="259"/>
      <c r="C147" s="259"/>
      <c r="D147" s="259" t="s">
        <v>595</v>
      </c>
      <c r="E147" s="259" t="s">
        <v>596</v>
      </c>
      <c r="F147" s="259" t="s">
        <v>597</v>
      </c>
      <c r="G147" s="259" t="s">
        <v>656</v>
      </c>
      <c r="H147" s="259" t="s">
        <v>657</v>
      </c>
      <c r="I147" s="259" t="s">
        <v>658</v>
      </c>
      <c r="J147" s="259" t="s">
        <v>659</v>
      </c>
      <c r="K147" s="259" t="s">
        <v>660</v>
      </c>
      <c r="L147" s="259" t="s">
        <v>661</v>
      </c>
      <c r="M147" s="259" t="s">
        <v>662</v>
      </c>
      <c r="N147" s="259" t="s">
        <v>663</v>
      </c>
      <c r="O147" s="259" t="s">
        <v>664</v>
      </c>
      <c r="P147" s="259" t="s">
        <v>665</v>
      </c>
      <c r="Q147" s="259" t="s">
        <v>666</v>
      </c>
      <c r="R147" s="259" t="s">
        <v>667</v>
      </c>
      <c r="S147" s="259" t="s">
        <v>663</v>
      </c>
      <c r="T147" s="259" t="s">
        <v>664</v>
      </c>
      <c r="U147" s="259" t="s">
        <v>665</v>
      </c>
      <c r="V147" s="259" t="s">
        <v>666</v>
      </c>
      <c r="W147" s="259" t="s">
        <v>667</v>
      </c>
      <c r="X147" s="259" t="s">
        <v>663</v>
      </c>
      <c r="Y147" s="259" t="s">
        <v>664</v>
      </c>
      <c r="Z147" s="259" t="s">
        <v>665</v>
      </c>
      <c r="AA147" s="259" t="s">
        <v>666</v>
      </c>
      <c r="AB147" s="259" t="s">
        <v>667</v>
      </c>
      <c r="AC147" s="259" t="s">
        <v>663</v>
      </c>
      <c r="AD147" s="259" t="s">
        <v>664</v>
      </c>
      <c r="AE147" s="259" t="s">
        <v>665</v>
      </c>
      <c r="AF147" s="259" t="s">
        <v>666</v>
      </c>
      <c r="AG147" s="259" t="s">
        <v>667</v>
      </c>
    </row>
    <row r="148" spans="2:33" x14ac:dyDescent="0.3">
      <c r="B148" s="95">
        <v>1</v>
      </c>
      <c r="C148" s="447" t="s">
        <v>844</v>
      </c>
      <c r="D148" s="349">
        <f t="shared" ref="D148:D164" si="83">N14-N68</f>
        <v>4.5932641520774329</v>
      </c>
      <c r="E148" s="349">
        <f t="shared" ref="E148:E164" si="84">O14-O68</f>
        <v>0</v>
      </c>
      <c r="F148" s="349">
        <f t="shared" ref="F148:F164" si="85">P14-P68</f>
        <v>0</v>
      </c>
      <c r="G148" s="349">
        <f t="shared" ref="G148:G164" si="86">Q14-Q68</f>
        <v>0</v>
      </c>
      <c r="H148" s="349">
        <f>D148+E148-F148-G148</f>
        <v>4.5932641520774329</v>
      </c>
      <c r="I148" s="349">
        <f t="shared" ref="I148:I164" si="87">S14-S68</f>
        <v>4.5932641520774329</v>
      </c>
      <c r="J148" s="349">
        <f t="shared" ref="J148:J164" si="88">T14-T68</f>
        <v>0</v>
      </c>
      <c r="K148" s="349">
        <f t="shared" ref="K148:K164" si="89">U14-U68</f>
        <v>0</v>
      </c>
      <c r="L148" s="349">
        <f t="shared" ref="L148:L164" si="90">V14-V68</f>
        <v>0</v>
      </c>
      <c r="M148" s="346">
        <f>I148+J148-K148-L148</f>
        <v>4.5932641520774329</v>
      </c>
      <c r="N148" s="349">
        <f t="shared" ref="N148:N164" si="91">D40-D95</f>
        <v>4.5932641520774329</v>
      </c>
      <c r="O148" s="349">
        <f t="shared" ref="O148:O164" si="92">E40-E95</f>
        <v>0</v>
      </c>
      <c r="P148" s="349">
        <f t="shared" ref="P148:P164" si="93">F40-F95</f>
        <v>0</v>
      </c>
      <c r="Q148" s="349">
        <f t="shared" ref="Q148:Q164" si="94">G40-G95</f>
        <v>0</v>
      </c>
      <c r="R148" s="346">
        <f>N148+O148-P148-Q148</f>
        <v>4.5932641520774329</v>
      </c>
      <c r="S148" s="443">
        <f>R148</f>
        <v>4.5932641520774329</v>
      </c>
      <c r="T148" s="468"/>
      <c r="U148" s="443"/>
      <c r="V148" s="468"/>
      <c r="W148" s="443">
        <f>S148+T148-U148-V148</f>
        <v>4.5932641520774329</v>
      </c>
      <c r="X148" s="443">
        <f>W148</f>
        <v>4.5932641520774329</v>
      </c>
      <c r="Y148" s="468"/>
      <c r="Z148" s="443"/>
      <c r="AA148" s="468"/>
      <c r="AB148" s="443">
        <f>X148+Y148-Z148-AA148</f>
        <v>4.5932641520774329</v>
      </c>
      <c r="AC148" s="443">
        <f>AB148</f>
        <v>4.5932641520774329</v>
      </c>
      <c r="AD148" s="468"/>
      <c r="AE148" s="443"/>
      <c r="AF148" s="468"/>
      <c r="AG148" s="443">
        <f>AC148+AD148-AE148-AF148</f>
        <v>4.5932641520774329</v>
      </c>
    </row>
    <row r="149" spans="2:33" x14ac:dyDescent="0.3">
      <c r="B149" s="95">
        <f>B148+1</f>
        <v>2</v>
      </c>
      <c r="C149" s="447" t="s">
        <v>845</v>
      </c>
      <c r="D149" s="349">
        <f t="shared" si="83"/>
        <v>57.67802233324791</v>
      </c>
      <c r="E149" s="349">
        <f t="shared" si="84"/>
        <v>-4.1532686798828298</v>
      </c>
      <c r="F149" s="349">
        <f t="shared" si="85"/>
        <v>0</v>
      </c>
      <c r="G149" s="349">
        <f t="shared" si="86"/>
        <v>0</v>
      </c>
      <c r="H149" s="349">
        <f t="shared" ref="H149:H159" si="95">D149+E149-F149-G149</f>
        <v>53.524753653365082</v>
      </c>
      <c r="I149" s="349">
        <f t="shared" si="87"/>
        <v>53.524753653365082</v>
      </c>
      <c r="J149" s="349">
        <f t="shared" si="88"/>
        <v>-4.1532686798828298</v>
      </c>
      <c r="K149" s="349">
        <f t="shared" si="89"/>
        <v>0</v>
      </c>
      <c r="L149" s="349">
        <f t="shared" si="90"/>
        <v>0</v>
      </c>
      <c r="M149" s="346">
        <f t="shared" ref="M149:M159" si="96">I149+J149-K149-L149</f>
        <v>49.371484973482254</v>
      </c>
      <c r="N149" s="349">
        <f t="shared" si="91"/>
        <v>49.371484973482254</v>
      </c>
      <c r="O149" s="349">
        <f t="shared" si="92"/>
        <v>-4.1532686798828307</v>
      </c>
      <c r="P149" s="349">
        <f t="shared" si="93"/>
        <v>0</v>
      </c>
      <c r="Q149" s="349">
        <f t="shared" si="94"/>
        <v>0</v>
      </c>
      <c r="R149" s="346">
        <f t="shared" ref="R149:R159" si="97">N149+O149-P149-Q149</f>
        <v>45.218216293599426</v>
      </c>
      <c r="S149" s="443">
        <f t="shared" ref="S149:S164" si="98">R149</f>
        <v>45.218216293599426</v>
      </c>
      <c r="T149" s="468"/>
      <c r="U149" s="443"/>
      <c r="V149" s="468"/>
      <c r="W149" s="443">
        <f t="shared" ref="W149:W164" si="99">S149+T149-U149-V149</f>
        <v>45.218216293599426</v>
      </c>
      <c r="X149" s="443">
        <f t="shared" ref="X149:X164" si="100">W149</f>
        <v>45.218216293599426</v>
      </c>
      <c r="Y149" s="468"/>
      <c r="Z149" s="443"/>
      <c r="AA149" s="468"/>
      <c r="AB149" s="443">
        <f t="shared" ref="AB149:AB164" si="101">X149+Y149-Z149-AA149</f>
        <v>45.218216293599426</v>
      </c>
      <c r="AC149" s="443">
        <f t="shared" ref="AC149:AC164" si="102">AB149</f>
        <v>45.218216293599426</v>
      </c>
      <c r="AD149" s="468"/>
      <c r="AE149" s="443"/>
      <c r="AF149" s="468"/>
      <c r="AG149" s="443">
        <f t="shared" ref="AG149:AG164" si="103">AC149+AD149-AE149-AF149</f>
        <v>45.218216293599426</v>
      </c>
    </row>
    <row r="150" spans="2:33" x14ac:dyDescent="0.3">
      <c r="B150" s="95">
        <f t="shared" ref="B150:B164" si="104">B149+1</f>
        <v>3</v>
      </c>
      <c r="C150" s="447" t="s">
        <v>846</v>
      </c>
      <c r="D150" s="349">
        <f t="shared" si="83"/>
        <v>23.935620850473867</v>
      </c>
      <c r="E150" s="349">
        <f t="shared" si="84"/>
        <v>-1.6609778967343869</v>
      </c>
      <c r="F150" s="349">
        <f t="shared" si="85"/>
        <v>0</v>
      </c>
      <c r="G150" s="349">
        <f t="shared" si="86"/>
        <v>0</v>
      </c>
      <c r="H150" s="349">
        <f t="shared" si="95"/>
        <v>22.27464295373948</v>
      </c>
      <c r="I150" s="349">
        <f t="shared" si="87"/>
        <v>22.27464295373948</v>
      </c>
      <c r="J150" s="349">
        <f t="shared" si="88"/>
        <v>-1.6609778967343869</v>
      </c>
      <c r="K150" s="349">
        <f t="shared" si="89"/>
        <v>0</v>
      </c>
      <c r="L150" s="349">
        <f t="shared" si="90"/>
        <v>0</v>
      </c>
      <c r="M150" s="346">
        <f t="shared" si="96"/>
        <v>20.613665057005093</v>
      </c>
      <c r="N150" s="349">
        <f t="shared" si="91"/>
        <v>20.613665057005093</v>
      </c>
      <c r="O150" s="349">
        <f t="shared" si="92"/>
        <v>-1.6609778967343869</v>
      </c>
      <c r="P150" s="349">
        <f t="shared" si="93"/>
        <v>0</v>
      </c>
      <c r="Q150" s="349">
        <f t="shared" si="94"/>
        <v>0</v>
      </c>
      <c r="R150" s="346">
        <f t="shared" si="97"/>
        <v>18.952687160270706</v>
      </c>
      <c r="S150" s="443">
        <f t="shared" si="98"/>
        <v>18.952687160270706</v>
      </c>
      <c r="T150" s="468"/>
      <c r="U150" s="443"/>
      <c r="V150" s="468"/>
      <c r="W150" s="443">
        <f t="shared" si="99"/>
        <v>18.952687160270706</v>
      </c>
      <c r="X150" s="443">
        <f t="shared" si="100"/>
        <v>18.952687160270706</v>
      </c>
      <c r="Y150" s="468"/>
      <c r="Z150" s="443"/>
      <c r="AA150" s="468"/>
      <c r="AB150" s="443">
        <f t="shared" si="101"/>
        <v>18.952687160270706</v>
      </c>
      <c r="AC150" s="443">
        <f t="shared" si="102"/>
        <v>18.952687160270706</v>
      </c>
      <c r="AD150" s="468"/>
      <c r="AE150" s="443"/>
      <c r="AF150" s="468"/>
      <c r="AG150" s="443">
        <f t="shared" si="103"/>
        <v>18.952687160270706</v>
      </c>
    </row>
    <row r="151" spans="2:33" x14ac:dyDescent="0.3">
      <c r="B151" s="95">
        <f t="shared" si="104"/>
        <v>4</v>
      </c>
      <c r="C151" s="447" t="s">
        <v>847</v>
      </c>
      <c r="D151" s="349">
        <f t="shared" si="83"/>
        <v>66.439806370428471</v>
      </c>
      <c r="E151" s="349">
        <f t="shared" si="84"/>
        <v>-8.533900529162409</v>
      </c>
      <c r="F151" s="349">
        <f t="shared" si="85"/>
        <v>0</v>
      </c>
      <c r="G151" s="349">
        <f t="shared" si="86"/>
        <v>0</v>
      </c>
      <c r="H151" s="349">
        <f t="shared" si="95"/>
        <v>57.905905841266062</v>
      </c>
      <c r="I151" s="349">
        <f t="shared" si="87"/>
        <v>57.905905841266062</v>
      </c>
      <c r="J151" s="349">
        <f t="shared" si="88"/>
        <v>-4.6565628476377361</v>
      </c>
      <c r="K151" s="349">
        <f t="shared" si="89"/>
        <v>0</v>
      </c>
      <c r="L151" s="349">
        <f t="shared" si="90"/>
        <v>0</v>
      </c>
      <c r="M151" s="346">
        <f t="shared" si="96"/>
        <v>53.249342993628325</v>
      </c>
      <c r="N151" s="349">
        <f t="shared" si="91"/>
        <v>53.249342993628332</v>
      </c>
      <c r="O151" s="349">
        <f t="shared" si="92"/>
        <v>-4.656562847637737</v>
      </c>
      <c r="P151" s="349">
        <f t="shared" si="93"/>
        <v>0</v>
      </c>
      <c r="Q151" s="349">
        <f t="shared" si="94"/>
        <v>0</v>
      </c>
      <c r="R151" s="346">
        <f t="shared" si="97"/>
        <v>48.592780145990595</v>
      </c>
      <c r="S151" s="443">
        <f t="shared" si="98"/>
        <v>48.592780145990595</v>
      </c>
      <c r="T151" s="468"/>
      <c r="U151" s="443"/>
      <c r="V151" s="468"/>
      <c r="W151" s="443">
        <f t="shared" si="99"/>
        <v>48.592780145990595</v>
      </c>
      <c r="X151" s="443">
        <f t="shared" si="100"/>
        <v>48.592780145990595</v>
      </c>
      <c r="Y151" s="468"/>
      <c r="Z151" s="443"/>
      <c r="AA151" s="468"/>
      <c r="AB151" s="443">
        <f t="shared" si="101"/>
        <v>48.592780145990595</v>
      </c>
      <c r="AC151" s="443">
        <f t="shared" si="102"/>
        <v>48.592780145990595</v>
      </c>
      <c r="AD151" s="468"/>
      <c r="AE151" s="443"/>
      <c r="AF151" s="468"/>
      <c r="AG151" s="443">
        <f t="shared" si="103"/>
        <v>48.592780145990595</v>
      </c>
    </row>
    <row r="152" spans="2:33" x14ac:dyDescent="0.3">
      <c r="B152" s="95">
        <f t="shared" si="104"/>
        <v>5</v>
      </c>
      <c r="C152" s="447" t="s">
        <v>848</v>
      </c>
      <c r="D152" s="349">
        <f t="shared" si="83"/>
        <v>44.030466718047357</v>
      </c>
      <c r="E152" s="349">
        <f t="shared" si="84"/>
        <v>0.36878451658678824</v>
      </c>
      <c r="F152" s="349">
        <f t="shared" si="85"/>
        <v>0</v>
      </c>
      <c r="G152" s="349">
        <f t="shared" si="86"/>
        <v>0</v>
      </c>
      <c r="H152" s="349">
        <f t="shared" si="95"/>
        <v>44.399251234634143</v>
      </c>
      <c r="I152" s="349">
        <f t="shared" si="87"/>
        <v>44.399251234634143</v>
      </c>
      <c r="J152" s="349">
        <f t="shared" si="88"/>
        <v>-1.8715458624132122</v>
      </c>
      <c r="K152" s="349">
        <f t="shared" si="89"/>
        <v>0</v>
      </c>
      <c r="L152" s="349">
        <f t="shared" si="90"/>
        <v>0</v>
      </c>
      <c r="M152" s="346">
        <f t="shared" si="96"/>
        <v>42.527705372220929</v>
      </c>
      <c r="N152" s="349">
        <f t="shared" si="91"/>
        <v>42.527705372220922</v>
      </c>
      <c r="O152" s="349">
        <f t="shared" si="92"/>
        <v>-3.6406038624132115</v>
      </c>
      <c r="P152" s="349">
        <f t="shared" si="93"/>
        <v>0</v>
      </c>
      <c r="Q152" s="349">
        <f t="shared" si="94"/>
        <v>0</v>
      </c>
      <c r="R152" s="346">
        <f t="shared" si="97"/>
        <v>38.887101509807707</v>
      </c>
      <c r="S152" s="443">
        <f t="shared" si="98"/>
        <v>38.887101509807707</v>
      </c>
      <c r="T152" s="468"/>
      <c r="U152" s="443"/>
      <c r="V152" s="468"/>
      <c r="W152" s="443">
        <f t="shared" si="99"/>
        <v>38.887101509807707</v>
      </c>
      <c r="X152" s="443">
        <f t="shared" si="100"/>
        <v>38.887101509807707</v>
      </c>
      <c r="Y152" s="468"/>
      <c r="Z152" s="443"/>
      <c r="AA152" s="468"/>
      <c r="AB152" s="443">
        <f t="shared" si="101"/>
        <v>38.887101509807707</v>
      </c>
      <c r="AC152" s="443">
        <f t="shared" si="102"/>
        <v>38.887101509807707</v>
      </c>
      <c r="AD152" s="468"/>
      <c r="AE152" s="443"/>
      <c r="AF152" s="468"/>
      <c r="AG152" s="443">
        <f t="shared" si="103"/>
        <v>38.887101509807707</v>
      </c>
    </row>
    <row r="153" spans="2:33" x14ac:dyDescent="0.3">
      <c r="B153" s="95">
        <f t="shared" si="104"/>
        <v>6</v>
      </c>
      <c r="C153" s="447" t="s">
        <v>255</v>
      </c>
      <c r="D153" s="349">
        <f t="shared" si="83"/>
        <v>790.92316642540482</v>
      </c>
      <c r="E153" s="349">
        <f t="shared" si="84"/>
        <v>2.681382589161295</v>
      </c>
      <c r="F153" s="349">
        <f t="shared" si="85"/>
        <v>0</v>
      </c>
      <c r="G153" s="349">
        <f t="shared" si="86"/>
        <v>0</v>
      </c>
      <c r="H153" s="349">
        <f t="shared" si="95"/>
        <v>793.60454901456615</v>
      </c>
      <c r="I153" s="349">
        <f t="shared" si="87"/>
        <v>793.60454901456615</v>
      </c>
      <c r="J153" s="349">
        <f t="shared" si="88"/>
        <v>-12.319375560797965</v>
      </c>
      <c r="K153" s="349">
        <f t="shared" si="89"/>
        <v>0</v>
      </c>
      <c r="L153" s="349">
        <f t="shared" si="90"/>
        <v>0</v>
      </c>
      <c r="M153" s="346">
        <f t="shared" si="96"/>
        <v>781.28517345376815</v>
      </c>
      <c r="N153" s="349">
        <f t="shared" si="91"/>
        <v>781.28517345376804</v>
      </c>
      <c r="O153" s="349">
        <f t="shared" si="92"/>
        <v>-64.566042227464635</v>
      </c>
      <c r="P153" s="349">
        <f t="shared" si="93"/>
        <v>0</v>
      </c>
      <c r="Q153" s="349">
        <f t="shared" si="94"/>
        <v>0</v>
      </c>
      <c r="R153" s="346">
        <f t="shared" si="97"/>
        <v>716.71913122630338</v>
      </c>
      <c r="S153" s="443">
        <f t="shared" si="98"/>
        <v>716.71913122630338</v>
      </c>
      <c r="T153" s="468"/>
      <c r="U153" s="443"/>
      <c r="V153" s="468"/>
      <c r="W153" s="443">
        <f t="shared" si="99"/>
        <v>716.71913122630338</v>
      </c>
      <c r="X153" s="443">
        <f t="shared" si="100"/>
        <v>716.71913122630338</v>
      </c>
      <c r="Y153" s="468"/>
      <c r="Z153" s="443"/>
      <c r="AA153" s="468"/>
      <c r="AB153" s="443">
        <f t="shared" si="101"/>
        <v>716.71913122630338</v>
      </c>
      <c r="AC153" s="443">
        <f t="shared" si="102"/>
        <v>716.71913122630338</v>
      </c>
      <c r="AD153" s="468"/>
      <c r="AE153" s="443"/>
      <c r="AF153" s="468"/>
      <c r="AG153" s="443">
        <f t="shared" si="103"/>
        <v>716.71913122630338</v>
      </c>
    </row>
    <row r="154" spans="2:33" x14ac:dyDescent="0.3">
      <c r="B154" s="95">
        <f t="shared" si="104"/>
        <v>7</v>
      </c>
      <c r="C154" s="447" t="s">
        <v>849</v>
      </c>
      <c r="D154" s="349">
        <f t="shared" si="83"/>
        <v>1.534391431086302</v>
      </c>
      <c r="E154" s="349">
        <f t="shared" si="84"/>
        <v>-0.10339836176345153</v>
      </c>
      <c r="F154" s="349">
        <f t="shared" si="85"/>
        <v>0</v>
      </c>
      <c r="G154" s="349">
        <f t="shared" si="86"/>
        <v>0</v>
      </c>
      <c r="H154" s="349">
        <f t="shared" si="95"/>
        <v>1.4309930693228505</v>
      </c>
      <c r="I154" s="349">
        <f t="shared" si="87"/>
        <v>1.4309930693228505</v>
      </c>
      <c r="J154" s="349">
        <f t="shared" si="88"/>
        <v>-0.10339836176345153</v>
      </c>
      <c r="K154" s="349">
        <f t="shared" si="89"/>
        <v>0</v>
      </c>
      <c r="L154" s="349">
        <f t="shared" si="90"/>
        <v>0</v>
      </c>
      <c r="M154" s="346">
        <f t="shared" si="96"/>
        <v>1.327594707559399</v>
      </c>
      <c r="N154" s="349">
        <f t="shared" si="91"/>
        <v>1.327594707559399</v>
      </c>
      <c r="O154" s="349">
        <f t="shared" si="92"/>
        <v>-0.10339836176345153</v>
      </c>
      <c r="P154" s="349">
        <f t="shared" si="93"/>
        <v>0</v>
      </c>
      <c r="Q154" s="349">
        <f t="shared" si="94"/>
        <v>0</v>
      </c>
      <c r="R154" s="346">
        <f t="shared" si="97"/>
        <v>1.2241963457959475</v>
      </c>
      <c r="S154" s="443">
        <f t="shared" si="98"/>
        <v>1.2241963457959475</v>
      </c>
      <c r="T154" s="468"/>
      <c r="U154" s="443"/>
      <c r="V154" s="468"/>
      <c r="W154" s="443">
        <f t="shared" si="99"/>
        <v>1.2241963457959475</v>
      </c>
      <c r="X154" s="443">
        <f t="shared" si="100"/>
        <v>1.2241963457959475</v>
      </c>
      <c r="Y154" s="468"/>
      <c r="Z154" s="443"/>
      <c r="AA154" s="468"/>
      <c r="AB154" s="443">
        <f t="shared" si="101"/>
        <v>1.2241963457959475</v>
      </c>
      <c r="AC154" s="443">
        <f t="shared" si="102"/>
        <v>1.2241963457959475</v>
      </c>
      <c r="AD154" s="468"/>
      <c r="AE154" s="443"/>
      <c r="AF154" s="468"/>
      <c r="AG154" s="443">
        <f t="shared" si="103"/>
        <v>1.2241963457959475</v>
      </c>
    </row>
    <row r="155" spans="2:33" x14ac:dyDescent="0.3">
      <c r="B155" s="95">
        <f t="shared" si="104"/>
        <v>8</v>
      </c>
      <c r="C155" s="447" t="s">
        <v>850</v>
      </c>
      <c r="D155" s="349">
        <f t="shared" si="83"/>
        <v>0</v>
      </c>
      <c r="E155" s="349">
        <f t="shared" si="84"/>
        <v>0.27426312000000003</v>
      </c>
      <c r="F155" s="349">
        <f t="shared" si="85"/>
        <v>0</v>
      </c>
      <c r="G155" s="349">
        <f t="shared" si="86"/>
        <v>0</v>
      </c>
      <c r="H155" s="349">
        <f t="shared" si="95"/>
        <v>0.27426312000000003</v>
      </c>
      <c r="I155" s="349">
        <f t="shared" si="87"/>
        <v>0.27426312000000003</v>
      </c>
      <c r="J155" s="349">
        <f t="shared" si="88"/>
        <v>-1.487376E-2</v>
      </c>
      <c r="K155" s="349">
        <f t="shared" si="89"/>
        <v>0</v>
      </c>
      <c r="L155" s="349">
        <f t="shared" si="90"/>
        <v>0</v>
      </c>
      <c r="M155" s="346">
        <f t="shared" si="96"/>
        <v>0.25938936000000001</v>
      </c>
      <c r="N155" s="349">
        <f t="shared" si="91"/>
        <v>0.25938936000000001</v>
      </c>
      <c r="O155" s="349">
        <f t="shared" si="92"/>
        <v>-1.487376E-2</v>
      </c>
      <c r="P155" s="349">
        <f t="shared" si="93"/>
        <v>0</v>
      </c>
      <c r="Q155" s="349">
        <f t="shared" si="94"/>
        <v>0</v>
      </c>
      <c r="R155" s="346">
        <f t="shared" si="97"/>
        <v>0.2445156</v>
      </c>
      <c r="S155" s="443">
        <f t="shared" si="98"/>
        <v>0.2445156</v>
      </c>
      <c r="T155" s="468"/>
      <c r="U155" s="443"/>
      <c r="V155" s="468"/>
      <c r="W155" s="443">
        <f t="shared" si="99"/>
        <v>0.2445156</v>
      </c>
      <c r="X155" s="443">
        <f t="shared" si="100"/>
        <v>0.2445156</v>
      </c>
      <c r="Y155" s="468"/>
      <c r="Z155" s="443"/>
      <c r="AA155" s="468"/>
      <c r="AB155" s="443">
        <f t="shared" si="101"/>
        <v>0.2445156</v>
      </c>
      <c r="AC155" s="443">
        <f t="shared" si="102"/>
        <v>0.2445156</v>
      </c>
      <c r="AD155" s="468"/>
      <c r="AE155" s="443"/>
      <c r="AF155" s="468"/>
      <c r="AG155" s="443">
        <f t="shared" si="103"/>
        <v>0.2445156</v>
      </c>
    </row>
    <row r="156" spans="2:33" x14ac:dyDescent="0.3">
      <c r="B156" s="95">
        <f t="shared" si="104"/>
        <v>9</v>
      </c>
      <c r="C156" s="447" t="s">
        <v>851</v>
      </c>
      <c r="D156" s="349">
        <f t="shared" si="83"/>
        <v>9.8384913000329952</v>
      </c>
      <c r="E156" s="349">
        <f t="shared" si="84"/>
        <v>-0.66110274464778529</v>
      </c>
      <c r="F156" s="349">
        <f t="shared" si="85"/>
        <v>0</v>
      </c>
      <c r="G156" s="349">
        <f t="shared" si="86"/>
        <v>0</v>
      </c>
      <c r="H156" s="349">
        <f t="shared" si="95"/>
        <v>9.1773885553852104</v>
      </c>
      <c r="I156" s="349">
        <f t="shared" si="87"/>
        <v>9.1773885553852104</v>
      </c>
      <c r="J156" s="349">
        <f t="shared" si="88"/>
        <v>-0.66110274464778529</v>
      </c>
      <c r="K156" s="349">
        <f t="shared" si="89"/>
        <v>0</v>
      </c>
      <c r="L156" s="349">
        <f t="shared" si="90"/>
        <v>0</v>
      </c>
      <c r="M156" s="346">
        <f t="shared" si="96"/>
        <v>8.5162858107374255</v>
      </c>
      <c r="N156" s="349">
        <f t="shared" si="91"/>
        <v>8.5162858107374255</v>
      </c>
      <c r="O156" s="349">
        <f t="shared" si="92"/>
        <v>-0.6611027446477854</v>
      </c>
      <c r="P156" s="349">
        <f t="shared" si="93"/>
        <v>0</v>
      </c>
      <c r="Q156" s="349">
        <f t="shared" si="94"/>
        <v>0</v>
      </c>
      <c r="R156" s="346">
        <f t="shared" si="97"/>
        <v>7.8551830660896398</v>
      </c>
      <c r="S156" s="443">
        <f t="shared" si="98"/>
        <v>7.8551830660896398</v>
      </c>
      <c r="T156" s="468"/>
      <c r="U156" s="443"/>
      <c r="V156" s="468"/>
      <c r="W156" s="443">
        <f t="shared" si="99"/>
        <v>7.8551830660896398</v>
      </c>
      <c r="X156" s="443">
        <f t="shared" si="100"/>
        <v>7.8551830660896398</v>
      </c>
      <c r="Y156" s="468"/>
      <c r="Z156" s="443"/>
      <c r="AA156" s="468"/>
      <c r="AB156" s="443">
        <f t="shared" si="101"/>
        <v>7.8551830660896398</v>
      </c>
      <c r="AC156" s="443">
        <f t="shared" si="102"/>
        <v>7.8551830660896398</v>
      </c>
      <c r="AD156" s="468"/>
      <c r="AE156" s="443"/>
      <c r="AF156" s="468"/>
      <c r="AG156" s="443">
        <f t="shared" si="103"/>
        <v>7.8551830660896398</v>
      </c>
    </row>
    <row r="157" spans="2:33" x14ac:dyDescent="0.3">
      <c r="B157" s="95">
        <f t="shared" si="104"/>
        <v>10</v>
      </c>
      <c r="C157" s="447" t="s">
        <v>258</v>
      </c>
      <c r="D157" s="349">
        <f t="shared" si="83"/>
        <v>1.398875641955257</v>
      </c>
      <c r="E157" s="349">
        <f t="shared" si="84"/>
        <v>4.7947185085931598E-2</v>
      </c>
      <c r="F157" s="349">
        <f t="shared" si="85"/>
        <v>0</v>
      </c>
      <c r="G157" s="349">
        <f t="shared" si="86"/>
        <v>0</v>
      </c>
      <c r="H157" s="349">
        <f t="shared" si="95"/>
        <v>1.4468228270411887</v>
      </c>
      <c r="I157" s="349">
        <f t="shared" si="87"/>
        <v>1.4468228270411887</v>
      </c>
      <c r="J157" s="349">
        <f t="shared" si="88"/>
        <v>-0.25582781491406836</v>
      </c>
      <c r="K157" s="349">
        <f t="shared" si="89"/>
        <v>0</v>
      </c>
      <c r="L157" s="349">
        <f t="shared" si="90"/>
        <v>0</v>
      </c>
      <c r="M157" s="346">
        <f t="shared" si="96"/>
        <v>1.1909950121271202</v>
      </c>
      <c r="N157" s="349">
        <f t="shared" si="91"/>
        <v>1.1909950121271202</v>
      </c>
      <c r="O157" s="349">
        <f t="shared" si="92"/>
        <v>-0.25582781491406836</v>
      </c>
      <c r="P157" s="349">
        <f t="shared" si="93"/>
        <v>0</v>
      </c>
      <c r="Q157" s="349">
        <f t="shared" si="94"/>
        <v>0</v>
      </c>
      <c r="R157" s="346">
        <f t="shared" si="97"/>
        <v>0.93516719721305186</v>
      </c>
      <c r="S157" s="443">
        <f t="shared" si="98"/>
        <v>0.93516719721305186</v>
      </c>
      <c r="T157" s="468"/>
      <c r="U157" s="443"/>
      <c r="V157" s="468"/>
      <c r="W157" s="443">
        <f t="shared" si="99"/>
        <v>0.93516719721305186</v>
      </c>
      <c r="X157" s="443">
        <f t="shared" si="100"/>
        <v>0.93516719721305186</v>
      </c>
      <c r="Y157" s="468"/>
      <c r="Z157" s="443"/>
      <c r="AA157" s="468"/>
      <c r="AB157" s="443">
        <f t="shared" si="101"/>
        <v>0.93516719721305186</v>
      </c>
      <c r="AC157" s="443">
        <f t="shared" si="102"/>
        <v>0.93516719721305186</v>
      </c>
      <c r="AD157" s="468"/>
      <c r="AE157" s="443"/>
      <c r="AF157" s="468"/>
      <c r="AG157" s="443">
        <f t="shared" si="103"/>
        <v>0.93516719721305186</v>
      </c>
    </row>
    <row r="158" spans="2:33" x14ac:dyDescent="0.3">
      <c r="B158" s="95">
        <f t="shared" si="104"/>
        <v>11</v>
      </c>
      <c r="C158" s="447" t="s">
        <v>259</v>
      </c>
      <c r="D158" s="349">
        <f t="shared" si="83"/>
        <v>0.58682700993802173</v>
      </c>
      <c r="E158" s="349">
        <f t="shared" si="84"/>
        <v>5.5537297667283075E-2</v>
      </c>
      <c r="F158" s="349">
        <f t="shared" si="85"/>
        <v>0</v>
      </c>
      <c r="G158" s="349">
        <f t="shared" si="86"/>
        <v>0</v>
      </c>
      <c r="H158" s="349">
        <f t="shared" si="95"/>
        <v>0.64236430760530483</v>
      </c>
      <c r="I158" s="349">
        <f t="shared" si="87"/>
        <v>0.64236430760530472</v>
      </c>
      <c r="J158" s="349">
        <f t="shared" si="88"/>
        <v>-4.8610469969343963E-2</v>
      </c>
      <c r="K158" s="349">
        <f t="shared" si="89"/>
        <v>0</v>
      </c>
      <c r="L158" s="349">
        <f t="shared" si="90"/>
        <v>0</v>
      </c>
      <c r="M158" s="346">
        <f t="shared" si="96"/>
        <v>0.59375383763596079</v>
      </c>
      <c r="N158" s="349">
        <f t="shared" si="91"/>
        <v>0.59375383763596079</v>
      </c>
      <c r="O158" s="349">
        <f t="shared" si="92"/>
        <v>-4.8610469969343963E-2</v>
      </c>
      <c r="P158" s="349">
        <f t="shared" si="93"/>
        <v>0</v>
      </c>
      <c r="Q158" s="349">
        <f t="shared" si="94"/>
        <v>0</v>
      </c>
      <c r="R158" s="346">
        <f t="shared" si="97"/>
        <v>0.54514336766661686</v>
      </c>
      <c r="S158" s="443">
        <f t="shared" si="98"/>
        <v>0.54514336766661686</v>
      </c>
      <c r="T158" s="468"/>
      <c r="U158" s="443"/>
      <c r="V158" s="468"/>
      <c r="W158" s="443">
        <f t="shared" si="99"/>
        <v>0.54514336766661686</v>
      </c>
      <c r="X158" s="443">
        <f t="shared" si="100"/>
        <v>0.54514336766661686</v>
      </c>
      <c r="Y158" s="468"/>
      <c r="Z158" s="443"/>
      <c r="AA158" s="468"/>
      <c r="AB158" s="443">
        <f t="shared" si="101"/>
        <v>0.54514336766661686</v>
      </c>
      <c r="AC158" s="443">
        <f t="shared" si="102"/>
        <v>0.54514336766661686</v>
      </c>
      <c r="AD158" s="468"/>
      <c r="AE158" s="443"/>
      <c r="AF158" s="468"/>
      <c r="AG158" s="443">
        <f t="shared" si="103"/>
        <v>0.54514336766661686</v>
      </c>
    </row>
    <row r="159" spans="2:33" x14ac:dyDescent="0.3">
      <c r="B159" s="95">
        <f t="shared" si="104"/>
        <v>12</v>
      </c>
      <c r="C159" s="447" t="s">
        <v>260</v>
      </c>
      <c r="D159" s="349">
        <f t="shared" si="83"/>
        <v>1.5408529302003267</v>
      </c>
      <c r="E159" s="349">
        <f t="shared" si="84"/>
        <v>-0.24105210267843735</v>
      </c>
      <c r="F159" s="349">
        <f t="shared" si="85"/>
        <v>0</v>
      </c>
      <c r="G159" s="349">
        <f t="shared" si="86"/>
        <v>0</v>
      </c>
      <c r="H159" s="349">
        <f t="shared" si="95"/>
        <v>1.2998008275218893</v>
      </c>
      <c r="I159" s="349">
        <f t="shared" si="87"/>
        <v>1.2998008275218895</v>
      </c>
      <c r="J159" s="349">
        <f t="shared" si="88"/>
        <v>-0.1025158966293378</v>
      </c>
      <c r="K159" s="349">
        <f t="shared" si="89"/>
        <v>0</v>
      </c>
      <c r="L159" s="349">
        <f t="shared" si="90"/>
        <v>0</v>
      </c>
      <c r="M159" s="346">
        <f t="shared" si="96"/>
        <v>1.1972849308925517</v>
      </c>
      <c r="N159" s="349">
        <f t="shared" si="91"/>
        <v>1.1972849308925517</v>
      </c>
      <c r="O159" s="349">
        <f t="shared" si="92"/>
        <v>-0.10251589662933781</v>
      </c>
      <c r="P159" s="349">
        <f t="shared" si="93"/>
        <v>0</v>
      </c>
      <c r="Q159" s="349">
        <f t="shared" si="94"/>
        <v>0</v>
      </c>
      <c r="R159" s="346">
        <f t="shared" si="97"/>
        <v>1.0947690342632139</v>
      </c>
      <c r="S159" s="443">
        <f t="shared" si="98"/>
        <v>1.0947690342632139</v>
      </c>
      <c r="T159" s="468"/>
      <c r="U159" s="443"/>
      <c r="V159" s="468"/>
      <c r="W159" s="443">
        <f t="shared" si="99"/>
        <v>1.0947690342632139</v>
      </c>
      <c r="X159" s="443">
        <f t="shared" si="100"/>
        <v>1.0947690342632139</v>
      </c>
      <c r="Y159" s="468"/>
      <c r="Z159" s="443"/>
      <c r="AA159" s="468"/>
      <c r="AB159" s="443">
        <f t="shared" si="101"/>
        <v>1.0947690342632139</v>
      </c>
      <c r="AC159" s="443">
        <f t="shared" si="102"/>
        <v>1.0947690342632139</v>
      </c>
      <c r="AD159" s="468"/>
      <c r="AE159" s="443"/>
      <c r="AF159" s="468"/>
      <c r="AG159" s="443">
        <f t="shared" si="103"/>
        <v>1.0947690342632139</v>
      </c>
    </row>
    <row r="160" spans="2:33" x14ac:dyDescent="0.3">
      <c r="B160" s="95">
        <f t="shared" si="104"/>
        <v>13</v>
      </c>
      <c r="C160" s="467" t="s">
        <v>899</v>
      </c>
      <c r="D160" s="349">
        <f t="shared" si="83"/>
        <v>0</v>
      </c>
      <c r="E160" s="349">
        <f t="shared" si="84"/>
        <v>0</v>
      </c>
      <c r="F160" s="349">
        <f t="shared" si="85"/>
        <v>0</v>
      </c>
      <c r="G160" s="349">
        <f t="shared" si="86"/>
        <v>0</v>
      </c>
      <c r="H160" s="349">
        <f t="shared" ref="H160:H164" si="105">D160+E160-F160-G160</f>
        <v>0</v>
      </c>
      <c r="I160" s="349">
        <f t="shared" si="87"/>
        <v>0</v>
      </c>
      <c r="J160" s="349">
        <f t="shared" si="88"/>
        <v>0</v>
      </c>
      <c r="K160" s="349">
        <f t="shared" si="89"/>
        <v>0</v>
      </c>
      <c r="L160" s="349">
        <f t="shared" si="90"/>
        <v>0</v>
      </c>
      <c r="M160" s="346">
        <f t="shared" ref="M160:M164" si="106">I160+J160-K160-L160</f>
        <v>0</v>
      </c>
      <c r="N160" s="349">
        <f t="shared" si="91"/>
        <v>0</v>
      </c>
      <c r="O160" s="349">
        <f t="shared" si="92"/>
        <v>0</v>
      </c>
      <c r="P160" s="349">
        <f t="shared" si="93"/>
        <v>0</v>
      </c>
      <c r="Q160" s="349">
        <f t="shared" si="94"/>
        <v>0</v>
      </c>
      <c r="R160" s="346">
        <f t="shared" ref="R160:R164" si="107">N160+O160-P160-Q160</f>
        <v>0</v>
      </c>
      <c r="S160" s="443">
        <f t="shared" si="98"/>
        <v>0</v>
      </c>
      <c r="T160" s="468"/>
      <c r="U160" s="443"/>
      <c r="V160" s="468"/>
      <c r="W160" s="443">
        <f t="shared" si="99"/>
        <v>0</v>
      </c>
      <c r="X160" s="443">
        <f t="shared" si="100"/>
        <v>0</v>
      </c>
      <c r="Y160" s="468"/>
      <c r="Z160" s="443"/>
      <c r="AA160" s="468"/>
      <c r="AB160" s="443">
        <f t="shared" si="101"/>
        <v>0</v>
      </c>
      <c r="AC160" s="443">
        <f t="shared" si="102"/>
        <v>0</v>
      </c>
      <c r="AD160" s="468"/>
      <c r="AE160" s="443"/>
      <c r="AF160" s="468"/>
      <c r="AG160" s="443">
        <f t="shared" si="103"/>
        <v>0</v>
      </c>
    </row>
    <row r="161" spans="2:33" x14ac:dyDescent="0.3">
      <c r="B161" s="95">
        <f t="shared" si="104"/>
        <v>14</v>
      </c>
      <c r="C161" s="467" t="s">
        <v>900</v>
      </c>
      <c r="D161" s="349">
        <f t="shared" si="83"/>
        <v>0.22245675952466232</v>
      </c>
      <c r="E161" s="349">
        <f t="shared" si="84"/>
        <v>4.5690388512998614E-3</v>
      </c>
      <c r="F161" s="349">
        <f t="shared" si="85"/>
        <v>0</v>
      </c>
      <c r="G161" s="349">
        <f t="shared" si="86"/>
        <v>0</v>
      </c>
      <c r="H161" s="349">
        <f t="shared" si="105"/>
        <v>0.22702579837596218</v>
      </c>
      <c r="I161" s="349">
        <f t="shared" si="87"/>
        <v>0.22702579837596215</v>
      </c>
      <c r="J161" s="349">
        <f t="shared" si="88"/>
        <v>-7.3690961148700135E-2</v>
      </c>
      <c r="K161" s="349">
        <f t="shared" si="89"/>
        <v>0</v>
      </c>
      <c r="L161" s="349">
        <f t="shared" si="90"/>
        <v>0</v>
      </c>
      <c r="M161" s="346">
        <f t="shared" si="106"/>
        <v>0.15333483722726202</v>
      </c>
      <c r="N161" s="349">
        <f t="shared" si="91"/>
        <v>0.15333483722726204</v>
      </c>
      <c r="O161" s="349">
        <f t="shared" si="92"/>
        <v>-7.3690961148700135E-2</v>
      </c>
      <c r="P161" s="349">
        <f t="shared" si="93"/>
        <v>0</v>
      </c>
      <c r="Q161" s="349">
        <f t="shared" si="94"/>
        <v>0</v>
      </c>
      <c r="R161" s="346">
        <f t="shared" si="107"/>
        <v>7.9643876078561909E-2</v>
      </c>
      <c r="S161" s="443">
        <f t="shared" si="98"/>
        <v>7.9643876078561909E-2</v>
      </c>
      <c r="T161" s="468"/>
      <c r="U161" s="443"/>
      <c r="V161" s="468"/>
      <c r="W161" s="443">
        <f t="shared" si="99"/>
        <v>7.9643876078561909E-2</v>
      </c>
      <c r="X161" s="443">
        <f t="shared" si="100"/>
        <v>7.9643876078561909E-2</v>
      </c>
      <c r="Y161" s="468"/>
      <c r="Z161" s="443"/>
      <c r="AA161" s="468"/>
      <c r="AB161" s="443">
        <f t="shared" si="101"/>
        <v>7.9643876078561909E-2</v>
      </c>
      <c r="AC161" s="443">
        <f t="shared" si="102"/>
        <v>7.9643876078561909E-2</v>
      </c>
      <c r="AD161" s="468"/>
      <c r="AE161" s="443"/>
      <c r="AF161" s="468"/>
      <c r="AG161" s="443">
        <f t="shared" si="103"/>
        <v>7.9643876078561909E-2</v>
      </c>
    </row>
    <row r="162" spans="2:33" x14ac:dyDescent="0.3">
      <c r="B162" s="95">
        <f t="shared" si="104"/>
        <v>15</v>
      </c>
      <c r="C162" s="467" t="s">
        <v>901</v>
      </c>
      <c r="D162" s="349">
        <f t="shared" si="83"/>
        <v>3.0756341659348169E-3</v>
      </c>
      <c r="E162" s="349">
        <f t="shared" si="84"/>
        <v>-3.0866276342210837E-4</v>
      </c>
      <c r="F162" s="349">
        <f t="shared" si="85"/>
        <v>0</v>
      </c>
      <c r="G162" s="349">
        <f t="shared" si="86"/>
        <v>0</v>
      </c>
      <c r="H162" s="349">
        <f t="shared" si="105"/>
        <v>2.7669714025127085E-3</v>
      </c>
      <c r="I162" s="349">
        <f t="shared" si="87"/>
        <v>2.7669714025127089E-3</v>
      </c>
      <c r="J162" s="349">
        <f t="shared" si="88"/>
        <v>-3.0866276342210843E-4</v>
      </c>
      <c r="K162" s="349">
        <f t="shared" si="89"/>
        <v>0</v>
      </c>
      <c r="L162" s="349">
        <f t="shared" si="90"/>
        <v>0</v>
      </c>
      <c r="M162" s="346">
        <f t="shared" si="106"/>
        <v>2.4583086390906005E-3</v>
      </c>
      <c r="N162" s="349">
        <f t="shared" si="91"/>
        <v>2.4583086390906009E-3</v>
      </c>
      <c r="O162" s="349">
        <f t="shared" si="92"/>
        <v>-3.0866276342210848E-4</v>
      </c>
      <c r="P162" s="349">
        <f t="shared" si="93"/>
        <v>0</v>
      </c>
      <c r="Q162" s="349">
        <f t="shared" si="94"/>
        <v>0</v>
      </c>
      <c r="R162" s="346">
        <f t="shared" si="107"/>
        <v>2.1496458756684925E-3</v>
      </c>
      <c r="S162" s="443">
        <f t="shared" si="98"/>
        <v>2.1496458756684925E-3</v>
      </c>
      <c r="T162" s="468"/>
      <c r="U162" s="443"/>
      <c r="V162" s="468"/>
      <c r="W162" s="443">
        <f t="shared" si="99"/>
        <v>2.1496458756684925E-3</v>
      </c>
      <c r="X162" s="443">
        <f t="shared" si="100"/>
        <v>2.1496458756684925E-3</v>
      </c>
      <c r="Y162" s="468"/>
      <c r="Z162" s="443"/>
      <c r="AA162" s="468"/>
      <c r="AB162" s="443">
        <f t="shared" si="101"/>
        <v>2.1496458756684925E-3</v>
      </c>
      <c r="AC162" s="443">
        <f t="shared" si="102"/>
        <v>2.1496458756684925E-3</v>
      </c>
      <c r="AD162" s="468"/>
      <c r="AE162" s="443"/>
      <c r="AF162" s="468"/>
      <c r="AG162" s="443">
        <f t="shared" si="103"/>
        <v>2.1496458756684925E-3</v>
      </c>
    </row>
    <row r="163" spans="2:33" x14ac:dyDescent="0.3">
      <c r="B163" s="95">
        <f t="shared" si="104"/>
        <v>16</v>
      </c>
      <c r="C163" s="467" t="s">
        <v>852</v>
      </c>
      <c r="D163" s="349">
        <f t="shared" si="83"/>
        <v>0</v>
      </c>
      <c r="E163" s="349">
        <f t="shared" si="84"/>
        <v>0</v>
      </c>
      <c r="F163" s="349">
        <f t="shared" si="85"/>
        <v>0</v>
      </c>
      <c r="G163" s="349">
        <f t="shared" si="86"/>
        <v>0</v>
      </c>
      <c r="H163" s="349">
        <f t="shared" si="105"/>
        <v>0</v>
      </c>
      <c r="I163" s="349">
        <f t="shared" si="87"/>
        <v>0</v>
      </c>
      <c r="J163" s="349">
        <f t="shared" si="88"/>
        <v>0</v>
      </c>
      <c r="K163" s="349">
        <f t="shared" si="89"/>
        <v>0</v>
      </c>
      <c r="L163" s="349">
        <f t="shared" si="90"/>
        <v>0</v>
      </c>
      <c r="M163" s="346">
        <f t="shared" si="106"/>
        <v>0</v>
      </c>
      <c r="N163" s="349">
        <f t="shared" si="91"/>
        <v>0</v>
      </c>
      <c r="O163" s="349">
        <f t="shared" si="92"/>
        <v>0</v>
      </c>
      <c r="P163" s="349">
        <f t="shared" si="93"/>
        <v>0</v>
      </c>
      <c r="Q163" s="349">
        <f t="shared" si="94"/>
        <v>0</v>
      </c>
      <c r="R163" s="346">
        <f t="shared" si="107"/>
        <v>0</v>
      </c>
      <c r="S163" s="443">
        <f t="shared" si="98"/>
        <v>0</v>
      </c>
      <c r="T163" s="468"/>
      <c r="U163" s="443"/>
      <c r="V163" s="468"/>
      <c r="W163" s="443">
        <f t="shared" si="99"/>
        <v>0</v>
      </c>
      <c r="X163" s="443">
        <f t="shared" si="100"/>
        <v>0</v>
      </c>
      <c r="Y163" s="468"/>
      <c r="Z163" s="443"/>
      <c r="AA163" s="468"/>
      <c r="AB163" s="443">
        <f t="shared" si="101"/>
        <v>0</v>
      </c>
      <c r="AC163" s="443">
        <f t="shared" si="102"/>
        <v>0</v>
      </c>
      <c r="AD163" s="468"/>
      <c r="AE163" s="443"/>
      <c r="AF163" s="468"/>
      <c r="AG163" s="443">
        <f t="shared" si="103"/>
        <v>0</v>
      </c>
    </row>
    <row r="164" spans="2:33" x14ac:dyDescent="0.3">
      <c r="B164" s="95">
        <f t="shared" si="104"/>
        <v>17</v>
      </c>
      <c r="C164" s="467" t="s">
        <v>902</v>
      </c>
      <c r="D164" s="349">
        <f t="shared" si="83"/>
        <v>0</v>
      </c>
      <c r="E164" s="349">
        <f t="shared" si="84"/>
        <v>0</v>
      </c>
      <c r="F164" s="349">
        <f t="shared" si="85"/>
        <v>0</v>
      </c>
      <c r="G164" s="349">
        <f t="shared" si="86"/>
        <v>0</v>
      </c>
      <c r="H164" s="349">
        <f t="shared" si="105"/>
        <v>0</v>
      </c>
      <c r="I164" s="349">
        <f t="shared" si="87"/>
        <v>0</v>
      </c>
      <c r="J164" s="349">
        <f t="shared" si="88"/>
        <v>0</v>
      </c>
      <c r="K164" s="349">
        <f t="shared" si="89"/>
        <v>0</v>
      </c>
      <c r="L164" s="349">
        <f t="shared" si="90"/>
        <v>0</v>
      </c>
      <c r="M164" s="346">
        <f t="shared" si="106"/>
        <v>0</v>
      </c>
      <c r="N164" s="349">
        <f t="shared" si="91"/>
        <v>0</v>
      </c>
      <c r="O164" s="349">
        <f t="shared" si="92"/>
        <v>0</v>
      </c>
      <c r="P164" s="349">
        <f t="shared" si="93"/>
        <v>0</v>
      </c>
      <c r="Q164" s="349">
        <f t="shared" si="94"/>
        <v>0</v>
      </c>
      <c r="R164" s="346">
        <f t="shared" si="107"/>
        <v>0</v>
      </c>
      <c r="S164" s="443">
        <f t="shared" si="98"/>
        <v>0</v>
      </c>
      <c r="T164" s="468"/>
      <c r="U164" s="443"/>
      <c r="V164" s="468"/>
      <c r="W164" s="443">
        <f t="shared" si="99"/>
        <v>0</v>
      </c>
      <c r="X164" s="443">
        <f t="shared" si="100"/>
        <v>0</v>
      </c>
      <c r="Y164" s="468"/>
      <c r="Z164" s="443"/>
      <c r="AA164" s="468"/>
      <c r="AB164" s="443">
        <f t="shared" si="101"/>
        <v>0</v>
      </c>
      <c r="AC164" s="443">
        <f t="shared" si="102"/>
        <v>0</v>
      </c>
      <c r="AD164" s="468"/>
      <c r="AE164" s="443"/>
      <c r="AF164" s="468"/>
      <c r="AG164" s="443">
        <f t="shared" si="103"/>
        <v>0</v>
      </c>
    </row>
    <row r="165" spans="2:33" ht="16" x14ac:dyDescent="0.3">
      <c r="B165" s="83"/>
      <c r="C165" s="97" t="s">
        <v>270</v>
      </c>
      <c r="D165" s="348">
        <f>SUM(D148:D163)</f>
        <v>1002.7253175565834</v>
      </c>
      <c r="E165" s="348">
        <f t="shared" ref="E165:R165" si="108">SUM(E148:E163)</f>
        <v>-11.921525230280125</v>
      </c>
      <c r="F165" s="348">
        <f t="shared" si="108"/>
        <v>0</v>
      </c>
      <c r="G165" s="348">
        <f t="shared" si="108"/>
        <v>0</v>
      </c>
      <c r="H165" s="348">
        <f t="shared" si="108"/>
        <v>990.8037923263031</v>
      </c>
      <c r="I165" s="348">
        <f t="shared" si="108"/>
        <v>990.8037923263031</v>
      </c>
      <c r="J165" s="348">
        <f t="shared" si="108"/>
        <v>-25.922059519302241</v>
      </c>
      <c r="K165" s="348">
        <f t="shared" si="108"/>
        <v>0</v>
      </c>
      <c r="L165" s="348">
        <f t="shared" si="108"/>
        <v>0</v>
      </c>
      <c r="M165" s="348">
        <f t="shared" si="108"/>
        <v>964.88173280700107</v>
      </c>
      <c r="N165" s="348">
        <f t="shared" si="108"/>
        <v>964.88173280700084</v>
      </c>
      <c r="O165" s="348">
        <f t="shared" si="108"/>
        <v>-79.937784185968923</v>
      </c>
      <c r="P165" s="348">
        <f t="shared" si="108"/>
        <v>0</v>
      </c>
      <c r="Q165" s="348">
        <f t="shared" si="108"/>
        <v>0</v>
      </c>
      <c r="R165" s="348">
        <f t="shared" si="108"/>
        <v>884.94394862103195</v>
      </c>
      <c r="S165" s="348">
        <f t="shared" ref="S165:AG165" si="109">SUM(S148:S164)</f>
        <v>884.94394862103195</v>
      </c>
      <c r="T165" s="348">
        <f t="shared" si="109"/>
        <v>0</v>
      </c>
      <c r="U165" s="348">
        <f t="shared" si="109"/>
        <v>0</v>
      </c>
      <c r="V165" s="348">
        <f t="shared" si="109"/>
        <v>0</v>
      </c>
      <c r="W165" s="348">
        <f t="shared" si="109"/>
        <v>884.94394862103195</v>
      </c>
      <c r="X165" s="348">
        <f t="shared" si="109"/>
        <v>884.94394862103195</v>
      </c>
      <c r="Y165" s="348">
        <f t="shared" si="109"/>
        <v>0</v>
      </c>
      <c r="Z165" s="348">
        <f t="shared" si="109"/>
        <v>0</v>
      </c>
      <c r="AA165" s="348">
        <f t="shared" si="109"/>
        <v>0</v>
      </c>
      <c r="AB165" s="348">
        <f t="shared" si="109"/>
        <v>884.94394862103195</v>
      </c>
      <c r="AC165" s="348">
        <f t="shared" si="109"/>
        <v>884.94394862103195</v>
      </c>
      <c r="AD165" s="348">
        <f t="shared" si="109"/>
        <v>0</v>
      </c>
      <c r="AE165" s="348">
        <f t="shared" si="109"/>
        <v>0</v>
      </c>
      <c r="AF165" s="348">
        <f t="shared" si="109"/>
        <v>0</v>
      </c>
      <c r="AG165" s="348">
        <f t="shared" si="109"/>
        <v>884.94394862103195</v>
      </c>
    </row>
    <row r="166" spans="2:33" x14ac:dyDescent="0.3">
      <c r="B166" s="267"/>
      <c r="C166" s="79"/>
      <c r="D166" s="79"/>
      <c r="E166" s="79"/>
      <c r="F166" s="79"/>
    </row>
  </sheetData>
  <mergeCells count="63">
    <mergeCell ref="S145:W145"/>
    <mergeCell ref="X145:AB145"/>
    <mergeCell ref="AC145:AG145"/>
    <mergeCell ref="N91:R91"/>
    <mergeCell ref="S91:W91"/>
    <mergeCell ref="N92:R92"/>
    <mergeCell ref="S92:W92"/>
    <mergeCell ref="S144:W144"/>
    <mergeCell ref="X144:AB144"/>
    <mergeCell ref="AC144:AG144"/>
    <mergeCell ref="N118:R118"/>
    <mergeCell ref="N119:R119"/>
    <mergeCell ref="B10:B12"/>
    <mergeCell ref="C10:C12"/>
    <mergeCell ref="I10:M10"/>
    <mergeCell ref="I11:M11"/>
    <mergeCell ref="D10:H10"/>
    <mergeCell ref="D11:H11"/>
    <mergeCell ref="D145:H145"/>
    <mergeCell ref="N11:R11"/>
    <mergeCell ref="S11:W11"/>
    <mergeCell ref="S10:W10"/>
    <mergeCell ref="N10:R10"/>
    <mergeCell ref="D65:H65"/>
    <mergeCell ref="D64:H64"/>
    <mergeCell ref="I65:M65"/>
    <mergeCell ref="N64:R64"/>
    <mergeCell ref="S64:W64"/>
    <mergeCell ref="S36:W36"/>
    <mergeCell ref="S37:W37"/>
    <mergeCell ref="N36:R36"/>
    <mergeCell ref="N37:R37"/>
    <mergeCell ref="S65:W65"/>
    <mergeCell ref="D36:H36"/>
    <mergeCell ref="B33:G33"/>
    <mergeCell ref="D118:H118"/>
    <mergeCell ref="I64:M64"/>
    <mergeCell ref="B36:B38"/>
    <mergeCell ref="C36:C38"/>
    <mergeCell ref="B64:B66"/>
    <mergeCell ref="I118:M118"/>
    <mergeCell ref="C64:C66"/>
    <mergeCell ref="I36:M36"/>
    <mergeCell ref="D37:H37"/>
    <mergeCell ref="I37:M37"/>
    <mergeCell ref="D91:H91"/>
    <mergeCell ref="I91:M91"/>
    <mergeCell ref="I145:M145"/>
    <mergeCell ref="N65:R65"/>
    <mergeCell ref="N145:R145"/>
    <mergeCell ref="N144:R144"/>
    <mergeCell ref="B118:B120"/>
    <mergeCell ref="C118:C120"/>
    <mergeCell ref="B91:B93"/>
    <mergeCell ref="C91:C93"/>
    <mergeCell ref="D144:H144"/>
    <mergeCell ref="D92:H92"/>
    <mergeCell ref="I92:M92"/>
    <mergeCell ref="I144:M144"/>
    <mergeCell ref="I119:M119"/>
    <mergeCell ref="D119:H119"/>
    <mergeCell ref="B144:B146"/>
    <mergeCell ref="C144:C14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D39" zoomScale="70" zoomScaleNormal="68" zoomScaleSheetLayoutView="70" workbookViewId="0">
      <selection activeCell="Z56" sqref="Z56"/>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851"/>
    </row>
    <row r="2" spans="1:29" x14ac:dyDescent="0.3">
      <c r="B2" s="851"/>
    </row>
    <row r="3" spans="1:29" x14ac:dyDescent="0.3">
      <c r="B3" s="851"/>
    </row>
    <row r="4" spans="1:29" x14ac:dyDescent="0.3">
      <c r="B4" s="8"/>
      <c r="N4" s="1075"/>
      <c r="O4" s="1075"/>
      <c r="P4" s="849" t="str">
        <f>Index!B2</f>
        <v xml:space="preserve">      Maharashtra State Power Generation Company Ltd.</v>
      </c>
      <c r="Q4" s="956"/>
      <c r="R4" s="1075"/>
      <c r="S4" s="1075"/>
      <c r="T4" s="1075"/>
      <c r="U4" s="1075"/>
      <c r="V4" s="1075"/>
      <c r="W4" s="1075"/>
      <c r="X4" s="1075"/>
      <c r="Y4" s="1075"/>
      <c r="Z4" s="1075"/>
      <c r="AA4" s="1075"/>
      <c r="AB4" s="1075"/>
      <c r="AC4" s="1075"/>
    </row>
    <row r="5" spans="1:29" x14ac:dyDescent="0.3">
      <c r="B5" s="8"/>
      <c r="N5" s="1076"/>
      <c r="O5" s="1076"/>
      <c r="P5" s="849" t="str">
        <f>Index!B3</f>
        <v>MYT Petition Formats for Parli Units 6 &amp; 7</v>
      </c>
      <c r="Q5" s="956"/>
      <c r="R5" s="1076"/>
      <c r="S5" s="1076"/>
      <c r="T5" s="1076"/>
      <c r="U5" s="1076"/>
      <c r="V5" s="1076"/>
      <c r="W5" s="1076"/>
      <c r="X5" s="1076"/>
      <c r="Y5" s="1076"/>
      <c r="Z5" s="1076"/>
      <c r="AA5" s="1076"/>
      <c r="AB5" s="1076"/>
      <c r="AC5" s="1075"/>
    </row>
    <row r="6" spans="1:29" x14ac:dyDescent="0.3">
      <c r="B6" s="1075"/>
      <c r="N6" s="1075"/>
      <c r="O6" s="8"/>
      <c r="P6" s="130" t="s">
        <v>1463</v>
      </c>
      <c r="Q6" s="130"/>
      <c r="R6" s="8"/>
      <c r="S6" s="8"/>
      <c r="T6" s="1075"/>
      <c r="U6" s="1075"/>
      <c r="V6" s="1075"/>
      <c r="W6" s="1075"/>
      <c r="X6" s="1075"/>
      <c r="Y6" s="1075"/>
      <c r="Z6" s="1075"/>
      <c r="AA6" s="1075"/>
      <c r="AB6" s="1075"/>
      <c r="AC6" s="1075"/>
    </row>
    <row r="7" spans="1:29" x14ac:dyDescent="0.3">
      <c r="C7" s="8"/>
      <c r="D7" s="8"/>
      <c r="E7" s="8"/>
      <c r="F7" s="8"/>
      <c r="G7" s="8"/>
      <c r="H7" s="8"/>
      <c r="I7" s="8"/>
      <c r="J7" s="8"/>
      <c r="K7" s="8"/>
      <c r="L7" s="8"/>
      <c r="M7" s="8"/>
      <c r="O7" s="44"/>
      <c r="R7" s="44"/>
      <c r="S7" s="44"/>
    </row>
    <row r="8" spans="1:29" x14ac:dyDescent="0.3">
      <c r="A8" s="1" t="s">
        <v>264</v>
      </c>
      <c r="B8" s="851" t="s">
        <v>265</v>
      </c>
      <c r="C8" s="851"/>
      <c r="D8" s="851"/>
      <c r="E8" s="851"/>
      <c r="F8" s="851"/>
      <c r="G8" s="851"/>
      <c r="H8" s="851"/>
      <c r="I8" s="851"/>
      <c r="J8" s="851"/>
      <c r="K8" s="851"/>
      <c r="L8" s="851"/>
      <c r="M8" s="851"/>
      <c r="O8" s="44"/>
      <c r="R8" s="44"/>
      <c r="S8" s="44"/>
      <c r="W8" s="861"/>
    </row>
    <row r="9" spans="1:29" x14ac:dyDescent="0.3">
      <c r="B9" s="257"/>
      <c r="C9" s="8"/>
      <c r="D9" s="8"/>
      <c r="E9" s="8"/>
      <c r="F9" s="8"/>
      <c r="G9" s="8"/>
      <c r="H9" s="8"/>
      <c r="I9" s="8"/>
      <c r="J9" s="8"/>
      <c r="K9" s="8"/>
      <c r="L9" s="8"/>
      <c r="M9" s="8"/>
      <c r="O9" s="44"/>
      <c r="R9" s="44"/>
      <c r="S9" s="44"/>
      <c r="W9" s="861"/>
      <c r="AB9" s="258" t="s">
        <v>10</v>
      </c>
    </row>
    <row r="10" spans="1:29" x14ac:dyDescent="0.3">
      <c r="B10" s="851"/>
      <c r="C10" s="8"/>
      <c r="D10" s="8"/>
      <c r="E10" s="8"/>
      <c r="F10" s="8"/>
      <c r="G10" s="8"/>
      <c r="H10" s="8"/>
      <c r="I10" s="8"/>
      <c r="J10" s="8"/>
      <c r="K10" s="8"/>
      <c r="L10" s="8"/>
      <c r="M10" s="8"/>
      <c r="O10" s="44"/>
      <c r="R10" s="44"/>
      <c r="S10" s="44"/>
    </row>
    <row r="11" spans="1:29" ht="15.75" customHeight="1" x14ac:dyDescent="0.3">
      <c r="B11" s="851"/>
      <c r="C11" s="8"/>
      <c r="D11" s="8"/>
      <c r="E11" s="8"/>
      <c r="F11" s="8"/>
      <c r="G11" s="8"/>
      <c r="H11" s="8"/>
      <c r="I11" s="8"/>
      <c r="J11" s="8"/>
      <c r="K11" s="8"/>
      <c r="L11" s="8"/>
      <c r="M11" s="8"/>
      <c r="O11" s="44"/>
      <c r="R11" s="44"/>
      <c r="S11" s="44"/>
      <c r="AB11" s="258" t="s">
        <v>10</v>
      </c>
    </row>
    <row r="12" spans="1:29" ht="15.75" customHeight="1" x14ac:dyDescent="0.3">
      <c r="B12" s="1792" t="s">
        <v>339</v>
      </c>
      <c r="C12" s="1792" t="s">
        <v>36</v>
      </c>
      <c r="D12" s="1792" t="s">
        <v>968</v>
      </c>
      <c r="E12" s="1792"/>
      <c r="F12" s="1792"/>
      <c r="G12" s="1792"/>
      <c r="H12" s="1792"/>
      <c r="I12" s="1935" t="s">
        <v>969</v>
      </c>
      <c r="J12" s="1935"/>
      <c r="K12" s="1935"/>
      <c r="L12" s="1935"/>
      <c r="M12" s="1935"/>
      <c r="N12" s="1935" t="s">
        <v>970</v>
      </c>
      <c r="O12" s="1935"/>
      <c r="P12" s="1935"/>
      <c r="Q12" s="1935"/>
      <c r="R12" s="1935"/>
      <c r="S12" s="1935" t="s">
        <v>971</v>
      </c>
      <c r="T12" s="1935"/>
      <c r="U12" s="1935"/>
      <c r="V12" s="1935"/>
      <c r="W12" s="1935"/>
      <c r="X12" s="1935" t="s">
        <v>972</v>
      </c>
      <c r="Y12" s="1935"/>
      <c r="Z12" s="1935"/>
      <c r="AA12" s="1935"/>
      <c r="AB12" s="1935"/>
    </row>
    <row r="13" spans="1:29" x14ac:dyDescent="0.3">
      <c r="B13" s="1792"/>
      <c r="C13" s="1792"/>
      <c r="D13" s="1941" t="s">
        <v>21</v>
      </c>
      <c r="E13" s="1942"/>
      <c r="F13" s="1942"/>
      <c r="G13" s="1942"/>
      <c r="H13" s="1942"/>
      <c r="I13" s="1939" t="s">
        <v>21</v>
      </c>
      <c r="J13" s="1940"/>
      <c r="K13" s="1940"/>
      <c r="L13" s="1940"/>
      <c r="M13" s="1940"/>
      <c r="N13" s="1939" t="s">
        <v>21</v>
      </c>
      <c r="O13" s="1940"/>
      <c r="P13" s="1940"/>
      <c r="Q13" s="1940"/>
      <c r="R13" s="1940"/>
      <c r="S13" s="1939" t="s">
        <v>21</v>
      </c>
      <c r="T13" s="1940"/>
      <c r="U13" s="1940"/>
      <c r="V13" s="1940"/>
      <c r="W13" s="1940"/>
      <c r="X13" s="1939" t="s">
        <v>21</v>
      </c>
      <c r="Y13" s="1940"/>
      <c r="Z13" s="1940"/>
      <c r="AA13" s="1940"/>
      <c r="AB13" s="1940"/>
    </row>
    <row r="14" spans="1:29" s="129" customFormat="1" ht="42" x14ac:dyDescent="0.25">
      <c r="B14" s="1792"/>
      <c r="C14" s="1792"/>
      <c r="D14" s="850" t="s">
        <v>266</v>
      </c>
      <c r="E14" s="850" t="s">
        <v>267</v>
      </c>
      <c r="F14" s="850" t="s">
        <v>268</v>
      </c>
      <c r="G14" s="850" t="s">
        <v>587</v>
      </c>
      <c r="H14" s="850" t="s">
        <v>269</v>
      </c>
      <c r="I14" s="852" t="s">
        <v>266</v>
      </c>
      <c r="J14" s="852" t="s">
        <v>267</v>
      </c>
      <c r="K14" s="852" t="s">
        <v>268</v>
      </c>
      <c r="L14" s="850" t="s">
        <v>587</v>
      </c>
      <c r="M14" s="852" t="s">
        <v>269</v>
      </c>
      <c r="N14" s="852" t="s">
        <v>266</v>
      </c>
      <c r="O14" s="852" t="s">
        <v>267</v>
      </c>
      <c r="P14" s="852" t="s">
        <v>268</v>
      </c>
      <c r="Q14" s="850" t="s">
        <v>587</v>
      </c>
      <c r="R14" s="852" t="s">
        <v>269</v>
      </c>
      <c r="S14" s="852" t="s">
        <v>266</v>
      </c>
      <c r="T14" s="852" t="s">
        <v>267</v>
      </c>
      <c r="U14" s="852" t="s">
        <v>268</v>
      </c>
      <c r="V14" s="850" t="s">
        <v>587</v>
      </c>
      <c r="W14" s="852" t="s">
        <v>269</v>
      </c>
      <c r="X14" s="852" t="s">
        <v>266</v>
      </c>
      <c r="Y14" s="852" t="s">
        <v>267</v>
      </c>
      <c r="Z14" s="852" t="s">
        <v>268</v>
      </c>
      <c r="AA14" s="850" t="s">
        <v>587</v>
      </c>
      <c r="AB14" s="852" t="s">
        <v>269</v>
      </c>
    </row>
    <row r="15" spans="1:29" s="44" customFormat="1" x14ac:dyDescent="0.3">
      <c r="B15" s="259"/>
      <c r="C15" s="259"/>
      <c r="D15" s="259" t="s">
        <v>80</v>
      </c>
      <c r="E15" s="259" t="s">
        <v>81</v>
      </c>
      <c r="F15" s="259" t="s">
        <v>459</v>
      </c>
      <c r="G15" s="259" t="s">
        <v>390</v>
      </c>
      <c r="H15" s="259" t="s">
        <v>588</v>
      </c>
      <c r="I15" s="259" t="s">
        <v>408</v>
      </c>
      <c r="J15" s="259" t="s">
        <v>509</v>
      </c>
      <c r="K15" s="259" t="s">
        <v>409</v>
      </c>
      <c r="L15" s="259" t="s">
        <v>410</v>
      </c>
      <c r="M15" s="259" t="s">
        <v>653</v>
      </c>
      <c r="N15" s="259" t="s">
        <v>589</v>
      </c>
      <c r="O15" s="259" t="s">
        <v>654</v>
      </c>
      <c r="P15" s="259" t="s">
        <v>590</v>
      </c>
      <c r="Q15" s="259" t="s">
        <v>591</v>
      </c>
      <c r="R15" s="259" t="s">
        <v>1462</v>
      </c>
      <c r="S15" s="259" t="s">
        <v>592</v>
      </c>
      <c r="T15" s="259" t="s">
        <v>593</v>
      </c>
      <c r="U15" s="259" t="s">
        <v>655</v>
      </c>
      <c r="V15" s="259" t="s">
        <v>594</v>
      </c>
      <c r="W15" s="259" t="s">
        <v>1461</v>
      </c>
      <c r="X15" s="259" t="s">
        <v>595</v>
      </c>
      <c r="Y15" s="259" t="s">
        <v>596</v>
      </c>
      <c r="Z15" s="259" t="s">
        <v>597</v>
      </c>
      <c r="AA15" s="259" t="s">
        <v>656</v>
      </c>
      <c r="AB15" s="259" t="s">
        <v>657</v>
      </c>
    </row>
    <row r="16" spans="1:29" s="44" customFormat="1" x14ac:dyDescent="0.3">
      <c r="B16" s="465">
        <v>1</v>
      </c>
      <c r="C16" s="467" t="s">
        <v>844</v>
      </c>
      <c r="D16" s="1099">
        <v>0</v>
      </c>
      <c r="E16" s="1099">
        <v>0</v>
      </c>
      <c r="F16" s="1099">
        <v>0</v>
      </c>
      <c r="G16" s="1064"/>
      <c r="H16" s="1074">
        <f>D16+E16-F16-G16</f>
        <v>0</v>
      </c>
      <c r="I16" s="823">
        <f>H16</f>
        <v>0</v>
      </c>
      <c r="J16" s="1099">
        <v>0</v>
      </c>
      <c r="K16" s="1099">
        <v>0</v>
      </c>
      <c r="L16" s="1064"/>
      <c r="M16" s="823">
        <f>I16+J16-K16-L16</f>
        <v>0</v>
      </c>
      <c r="N16" s="1065">
        <f>M16</f>
        <v>0</v>
      </c>
      <c r="O16" s="1099">
        <v>0</v>
      </c>
      <c r="P16" s="1099">
        <v>0</v>
      </c>
      <c r="Q16" s="1064"/>
      <c r="R16" s="1073">
        <f>N16+O16-P16-Q16</f>
        <v>0</v>
      </c>
      <c r="S16" s="1073">
        <f>R16</f>
        <v>0</v>
      </c>
      <c r="T16" s="1099">
        <v>0</v>
      </c>
      <c r="U16" s="1099">
        <v>0</v>
      </c>
      <c r="V16" s="1064"/>
      <c r="W16" s="1073">
        <f>S16+T16-U16-V16</f>
        <v>0</v>
      </c>
      <c r="X16" s="1073">
        <f>W16</f>
        <v>0</v>
      </c>
      <c r="Y16" s="1100">
        <v>0</v>
      </c>
      <c r="Z16" s="1100">
        <v>0</v>
      </c>
      <c r="AA16" s="1064"/>
      <c r="AB16" s="1073">
        <f>X16+Y16-Z16-AA16</f>
        <v>0</v>
      </c>
    </row>
    <row r="17" spans="2:28" s="44" customFormat="1" x14ac:dyDescent="0.3">
      <c r="B17" s="465">
        <f t="shared" ref="B17:B32" si="0">B16+1</f>
        <v>2</v>
      </c>
      <c r="C17" s="467" t="s">
        <v>845</v>
      </c>
      <c r="D17" s="1099">
        <v>0</v>
      </c>
      <c r="E17" s="1099">
        <v>0</v>
      </c>
      <c r="F17" s="1099">
        <v>0</v>
      </c>
      <c r="G17" s="1064"/>
      <c r="H17" s="1074">
        <f t="shared" ref="H17:H32" si="1">D17+E17-F17-G17</f>
        <v>0</v>
      </c>
      <c r="I17" s="823">
        <f t="shared" ref="I17:I32" si="2">H17</f>
        <v>0</v>
      </c>
      <c r="J17" s="1099">
        <v>6.7450000000000001</v>
      </c>
      <c r="K17" s="1099">
        <v>0</v>
      </c>
      <c r="L17" s="1064"/>
      <c r="M17" s="823">
        <f t="shared" ref="M17:M32" si="3">I17+J17-K17-L17</f>
        <v>6.7450000000000001</v>
      </c>
      <c r="N17" s="1065">
        <f t="shared" ref="N17:N32" si="4">M17</f>
        <v>6.7450000000000001</v>
      </c>
      <c r="O17" s="1099">
        <v>12.5</v>
      </c>
      <c r="P17" s="1099">
        <v>0</v>
      </c>
      <c r="Q17" s="1064"/>
      <c r="R17" s="1073">
        <f t="shared" ref="R17:R32" si="5">N17+O17-P17-Q17</f>
        <v>19.245000000000001</v>
      </c>
      <c r="S17" s="1073">
        <f t="shared" ref="S17:S32" si="6">R17</f>
        <v>19.245000000000001</v>
      </c>
      <c r="T17" s="1099">
        <v>0</v>
      </c>
      <c r="U17" s="1099">
        <v>0</v>
      </c>
      <c r="V17" s="1064"/>
      <c r="W17" s="1073">
        <f t="shared" ref="W17:W32" si="7">S17+T17-U17-V17</f>
        <v>19.245000000000001</v>
      </c>
      <c r="X17" s="1073">
        <f t="shared" ref="X17:X32" si="8">W17</f>
        <v>19.245000000000001</v>
      </c>
      <c r="Y17" s="1100">
        <v>0</v>
      </c>
      <c r="Z17" s="1100">
        <v>0</v>
      </c>
      <c r="AA17" s="1064"/>
      <c r="AB17" s="1073">
        <f t="shared" ref="AB17:AB32" si="9">X17+Y17-Z17-AA17</f>
        <v>19.245000000000001</v>
      </c>
    </row>
    <row r="18" spans="2:28" x14ac:dyDescent="0.3">
      <c r="B18" s="465">
        <f t="shared" si="0"/>
        <v>3</v>
      </c>
      <c r="C18" s="467" t="s">
        <v>846</v>
      </c>
      <c r="D18" s="1101">
        <v>0</v>
      </c>
      <c r="E18" s="1101">
        <v>0</v>
      </c>
      <c r="F18" s="1101">
        <v>0</v>
      </c>
      <c r="G18" s="1069"/>
      <c r="H18" s="1074">
        <f t="shared" si="1"/>
        <v>0</v>
      </c>
      <c r="I18" s="823">
        <f t="shared" si="2"/>
        <v>0</v>
      </c>
      <c r="J18" s="1101">
        <v>0</v>
      </c>
      <c r="K18" s="1101">
        <v>0</v>
      </c>
      <c r="L18" s="1069"/>
      <c r="M18" s="823">
        <f t="shared" si="3"/>
        <v>0</v>
      </c>
      <c r="N18" s="1065">
        <f t="shared" si="4"/>
        <v>0</v>
      </c>
      <c r="O18" s="1101">
        <v>0</v>
      </c>
      <c r="P18" s="1101">
        <v>0</v>
      </c>
      <c r="Q18" s="1069"/>
      <c r="R18" s="1073">
        <f t="shared" si="5"/>
        <v>0</v>
      </c>
      <c r="S18" s="1073">
        <f t="shared" si="6"/>
        <v>0</v>
      </c>
      <c r="T18" s="1101">
        <v>0</v>
      </c>
      <c r="U18" s="1101">
        <v>0</v>
      </c>
      <c r="V18" s="1069"/>
      <c r="W18" s="1073">
        <f t="shared" si="7"/>
        <v>0</v>
      </c>
      <c r="X18" s="1073">
        <f t="shared" si="8"/>
        <v>0</v>
      </c>
      <c r="Y18" s="1102">
        <v>0</v>
      </c>
      <c r="Z18" s="1102">
        <v>0</v>
      </c>
      <c r="AA18" s="1069"/>
      <c r="AB18" s="1073">
        <f t="shared" si="9"/>
        <v>0</v>
      </c>
    </row>
    <row r="19" spans="2:28" x14ac:dyDescent="0.3">
      <c r="B19" s="465">
        <f t="shared" si="0"/>
        <v>4</v>
      </c>
      <c r="C19" s="467" t="s">
        <v>847</v>
      </c>
      <c r="D19" s="1099">
        <v>0</v>
      </c>
      <c r="E19" s="1099">
        <v>0</v>
      </c>
      <c r="F19" s="1099">
        <v>0</v>
      </c>
      <c r="G19" s="1064"/>
      <c r="H19" s="1074">
        <f t="shared" si="1"/>
        <v>0</v>
      </c>
      <c r="I19" s="823">
        <f t="shared" si="2"/>
        <v>0</v>
      </c>
      <c r="J19" s="1099">
        <v>0</v>
      </c>
      <c r="K19" s="1099">
        <v>0</v>
      </c>
      <c r="L19" s="1064"/>
      <c r="M19" s="823">
        <f t="shared" si="3"/>
        <v>0</v>
      </c>
      <c r="N19" s="1065">
        <f t="shared" si="4"/>
        <v>0</v>
      </c>
      <c r="O19" s="1099">
        <v>0</v>
      </c>
      <c r="P19" s="1099">
        <v>0</v>
      </c>
      <c r="Q19" s="1064"/>
      <c r="R19" s="1073">
        <f t="shared" si="5"/>
        <v>0</v>
      </c>
      <c r="S19" s="1073">
        <f t="shared" si="6"/>
        <v>0</v>
      </c>
      <c r="T19" s="1099">
        <v>0</v>
      </c>
      <c r="U19" s="1099">
        <v>0</v>
      </c>
      <c r="V19" s="1064"/>
      <c r="W19" s="1073">
        <f t="shared" si="7"/>
        <v>0</v>
      </c>
      <c r="X19" s="1073">
        <f t="shared" si="8"/>
        <v>0</v>
      </c>
      <c r="Y19" s="1100">
        <v>0</v>
      </c>
      <c r="Z19" s="1100">
        <v>0</v>
      </c>
      <c r="AA19" s="1064"/>
      <c r="AB19" s="1073">
        <f t="shared" si="9"/>
        <v>0</v>
      </c>
    </row>
    <row r="20" spans="2:28" x14ac:dyDescent="0.3">
      <c r="B20" s="465">
        <f t="shared" si="0"/>
        <v>5</v>
      </c>
      <c r="C20" s="467" t="s">
        <v>848</v>
      </c>
      <c r="D20" s="1099">
        <v>0</v>
      </c>
      <c r="E20" s="1099">
        <v>10.83</v>
      </c>
      <c r="F20" s="1099">
        <v>0</v>
      </c>
      <c r="G20" s="1064"/>
      <c r="H20" s="1074">
        <f t="shared" si="1"/>
        <v>10.83</v>
      </c>
      <c r="I20" s="823">
        <f t="shared" si="2"/>
        <v>10.83</v>
      </c>
      <c r="J20" s="1099">
        <v>13</v>
      </c>
      <c r="K20" s="1099">
        <v>0</v>
      </c>
      <c r="L20" s="1064"/>
      <c r="M20" s="823">
        <f t="shared" si="3"/>
        <v>23.83</v>
      </c>
      <c r="N20" s="1065">
        <f t="shared" si="4"/>
        <v>23.83</v>
      </c>
      <c r="O20" s="1099">
        <v>26.5</v>
      </c>
      <c r="P20" s="1099">
        <v>0</v>
      </c>
      <c r="Q20" s="1064"/>
      <c r="R20" s="1073">
        <f t="shared" si="5"/>
        <v>50.33</v>
      </c>
      <c r="S20" s="1073">
        <f t="shared" si="6"/>
        <v>50.33</v>
      </c>
      <c r="T20" s="1099">
        <v>276.12</v>
      </c>
      <c r="U20" s="1099">
        <v>0</v>
      </c>
      <c r="V20" s="1064"/>
      <c r="W20" s="1073">
        <f t="shared" si="7"/>
        <v>326.45</v>
      </c>
      <c r="X20" s="1073">
        <f t="shared" si="8"/>
        <v>326.45</v>
      </c>
      <c r="Y20" s="1100">
        <v>0</v>
      </c>
      <c r="Z20" s="1100">
        <v>0</v>
      </c>
      <c r="AA20" s="1064"/>
      <c r="AB20" s="1073">
        <f t="shared" si="9"/>
        <v>326.45</v>
      </c>
    </row>
    <row r="21" spans="2:28" x14ac:dyDescent="0.3">
      <c r="B21" s="465">
        <f t="shared" si="0"/>
        <v>6</v>
      </c>
      <c r="C21" s="467" t="s">
        <v>255</v>
      </c>
      <c r="D21" s="1099">
        <v>0</v>
      </c>
      <c r="E21" s="1099">
        <v>124.74000000000001</v>
      </c>
      <c r="F21" s="1099">
        <v>0</v>
      </c>
      <c r="G21" s="1064"/>
      <c r="H21" s="1074">
        <f t="shared" si="1"/>
        <v>124.74000000000001</v>
      </c>
      <c r="I21" s="823">
        <f t="shared" si="2"/>
        <v>124.74000000000001</v>
      </c>
      <c r="J21" s="1099">
        <v>99.927499999999995</v>
      </c>
      <c r="K21" s="1099">
        <v>0</v>
      </c>
      <c r="L21" s="1064"/>
      <c r="M21" s="823">
        <f t="shared" si="3"/>
        <v>224.66750000000002</v>
      </c>
      <c r="N21" s="1065">
        <f t="shared" si="4"/>
        <v>224.66750000000002</v>
      </c>
      <c r="O21" s="1099">
        <v>43.795000000000002</v>
      </c>
      <c r="P21" s="1099">
        <v>0</v>
      </c>
      <c r="Q21" s="1064"/>
      <c r="R21" s="1073">
        <f t="shared" si="5"/>
        <v>268.46250000000003</v>
      </c>
      <c r="S21" s="1073">
        <f t="shared" si="6"/>
        <v>268.46250000000003</v>
      </c>
      <c r="T21" s="1099">
        <v>65.413333333333327</v>
      </c>
      <c r="U21" s="1099">
        <v>0</v>
      </c>
      <c r="V21" s="1064"/>
      <c r="W21" s="1073">
        <f t="shared" si="7"/>
        <v>333.87583333333339</v>
      </c>
      <c r="X21" s="1073">
        <f t="shared" si="8"/>
        <v>333.87583333333339</v>
      </c>
      <c r="Y21" s="1100">
        <v>72.77</v>
      </c>
      <c r="Z21" s="1100">
        <v>0</v>
      </c>
      <c r="AA21" s="1064"/>
      <c r="AB21" s="1073">
        <f t="shared" si="9"/>
        <v>406.64583333333337</v>
      </c>
    </row>
    <row r="22" spans="2:28" x14ac:dyDescent="0.3">
      <c r="B22" s="465">
        <f t="shared" si="0"/>
        <v>7</v>
      </c>
      <c r="C22" s="467" t="s">
        <v>849</v>
      </c>
      <c r="D22" s="1099">
        <v>0</v>
      </c>
      <c r="E22" s="1099">
        <v>0</v>
      </c>
      <c r="F22" s="1099">
        <v>0</v>
      </c>
      <c r="G22" s="1062"/>
      <c r="H22" s="1074">
        <f t="shared" si="1"/>
        <v>0</v>
      </c>
      <c r="I22" s="823">
        <f t="shared" si="2"/>
        <v>0</v>
      </c>
      <c r="J22" s="1099">
        <v>0</v>
      </c>
      <c r="K22" s="1099">
        <v>0</v>
      </c>
      <c r="L22" s="1062"/>
      <c r="M22" s="823">
        <f t="shared" si="3"/>
        <v>0</v>
      </c>
      <c r="N22" s="1065">
        <f t="shared" si="4"/>
        <v>0</v>
      </c>
      <c r="O22" s="1099">
        <v>0</v>
      </c>
      <c r="P22" s="1099">
        <v>0</v>
      </c>
      <c r="Q22" s="1062"/>
      <c r="R22" s="1073">
        <f t="shared" si="5"/>
        <v>0</v>
      </c>
      <c r="S22" s="1073">
        <f t="shared" si="6"/>
        <v>0</v>
      </c>
      <c r="T22" s="1099">
        <v>0</v>
      </c>
      <c r="U22" s="1099">
        <v>0</v>
      </c>
      <c r="V22" s="1062"/>
      <c r="W22" s="1073">
        <f t="shared" si="7"/>
        <v>0</v>
      </c>
      <c r="X22" s="1073">
        <f t="shared" si="8"/>
        <v>0</v>
      </c>
      <c r="Y22" s="1100">
        <v>0</v>
      </c>
      <c r="Z22" s="1100">
        <v>0</v>
      </c>
      <c r="AA22" s="1062"/>
      <c r="AB22" s="1073">
        <f t="shared" si="9"/>
        <v>0</v>
      </c>
    </row>
    <row r="23" spans="2:28" x14ac:dyDescent="0.3">
      <c r="B23" s="465">
        <f t="shared" si="0"/>
        <v>8</v>
      </c>
      <c r="C23" s="467" t="s">
        <v>850</v>
      </c>
      <c r="D23" s="1099">
        <v>0</v>
      </c>
      <c r="E23" s="1099">
        <v>2.6666666666666665E-2</v>
      </c>
      <c r="F23" s="1099">
        <v>0</v>
      </c>
      <c r="G23" s="1062"/>
      <c r="H23" s="1074">
        <f t="shared" si="1"/>
        <v>2.6666666666666665E-2</v>
      </c>
      <c r="I23" s="823">
        <f t="shared" si="2"/>
        <v>2.6666666666666665E-2</v>
      </c>
      <c r="J23" s="1099">
        <v>0.02</v>
      </c>
      <c r="K23" s="1099">
        <v>0</v>
      </c>
      <c r="L23" s="1062"/>
      <c r="M23" s="823">
        <f t="shared" si="3"/>
        <v>4.6666666666666662E-2</v>
      </c>
      <c r="N23" s="1065">
        <f t="shared" si="4"/>
        <v>4.6666666666666662E-2</v>
      </c>
      <c r="O23" s="1099">
        <v>0.04</v>
      </c>
      <c r="P23" s="1099">
        <v>0</v>
      </c>
      <c r="Q23" s="1062"/>
      <c r="R23" s="1073">
        <f t="shared" si="5"/>
        <v>8.666666666666667E-2</v>
      </c>
      <c r="S23" s="1073">
        <f t="shared" si="6"/>
        <v>8.666666666666667E-2</v>
      </c>
      <c r="T23" s="1099">
        <v>5.333333333333333E-2</v>
      </c>
      <c r="U23" s="1099">
        <v>0</v>
      </c>
      <c r="V23" s="1062"/>
      <c r="W23" s="1073">
        <f t="shared" si="7"/>
        <v>0.14000000000000001</v>
      </c>
      <c r="X23" s="1073">
        <f t="shared" si="8"/>
        <v>0.14000000000000001</v>
      </c>
      <c r="Y23" s="1100">
        <v>0.08</v>
      </c>
      <c r="Z23" s="1100">
        <v>0</v>
      </c>
      <c r="AA23" s="1062"/>
      <c r="AB23" s="1073">
        <f t="shared" si="9"/>
        <v>0.22000000000000003</v>
      </c>
    </row>
    <row r="24" spans="2:28" x14ac:dyDescent="0.3">
      <c r="B24" s="465">
        <f t="shared" si="0"/>
        <v>9</v>
      </c>
      <c r="C24" s="467" t="s">
        <v>851</v>
      </c>
      <c r="D24" s="1099">
        <v>0</v>
      </c>
      <c r="E24" s="1099">
        <v>0</v>
      </c>
      <c r="F24" s="1099">
        <v>0</v>
      </c>
      <c r="G24" s="1062"/>
      <c r="H24" s="1074">
        <f t="shared" si="1"/>
        <v>0</v>
      </c>
      <c r="I24" s="823">
        <f t="shared" si="2"/>
        <v>0</v>
      </c>
      <c r="J24" s="1099">
        <v>0</v>
      </c>
      <c r="K24" s="1099">
        <v>0</v>
      </c>
      <c r="L24" s="1062"/>
      <c r="M24" s="823">
        <f t="shared" si="3"/>
        <v>0</v>
      </c>
      <c r="N24" s="1065">
        <f t="shared" si="4"/>
        <v>0</v>
      </c>
      <c r="O24" s="1099">
        <v>0</v>
      </c>
      <c r="P24" s="1099">
        <v>0</v>
      </c>
      <c r="Q24" s="1062"/>
      <c r="R24" s="1073">
        <f t="shared" si="5"/>
        <v>0</v>
      </c>
      <c r="S24" s="1073">
        <f t="shared" si="6"/>
        <v>0</v>
      </c>
      <c r="T24" s="1099">
        <v>0</v>
      </c>
      <c r="U24" s="1099">
        <v>0</v>
      </c>
      <c r="V24" s="1062"/>
      <c r="W24" s="1073">
        <f t="shared" si="7"/>
        <v>0</v>
      </c>
      <c r="X24" s="1073">
        <f t="shared" si="8"/>
        <v>0</v>
      </c>
      <c r="Y24" s="1100">
        <v>0</v>
      </c>
      <c r="Z24" s="1100">
        <v>0</v>
      </c>
      <c r="AA24" s="1062"/>
      <c r="AB24" s="1073">
        <f t="shared" si="9"/>
        <v>0</v>
      </c>
    </row>
    <row r="25" spans="2:28" x14ac:dyDescent="0.3">
      <c r="B25" s="465">
        <f t="shared" si="0"/>
        <v>10</v>
      </c>
      <c r="C25" s="467" t="s">
        <v>258</v>
      </c>
      <c r="D25" s="1099">
        <v>0</v>
      </c>
      <c r="E25" s="1099">
        <v>0</v>
      </c>
      <c r="F25" s="1099">
        <v>0</v>
      </c>
      <c r="G25" s="1062"/>
      <c r="H25" s="1074">
        <f t="shared" si="1"/>
        <v>0</v>
      </c>
      <c r="I25" s="823">
        <f t="shared" si="2"/>
        <v>0</v>
      </c>
      <c r="J25" s="1099">
        <v>0</v>
      </c>
      <c r="K25" s="1099">
        <v>0</v>
      </c>
      <c r="L25" s="1062"/>
      <c r="M25" s="823">
        <f t="shared" si="3"/>
        <v>0</v>
      </c>
      <c r="N25" s="1065">
        <f t="shared" si="4"/>
        <v>0</v>
      </c>
      <c r="O25" s="1099">
        <v>0</v>
      </c>
      <c r="P25" s="1099">
        <v>0</v>
      </c>
      <c r="Q25" s="1062"/>
      <c r="R25" s="1073">
        <f t="shared" si="5"/>
        <v>0</v>
      </c>
      <c r="S25" s="1073">
        <f t="shared" si="6"/>
        <v>0</v>
      </c>
      <c r="T25" s="1099">
        <v>0</v>
      </c>
      <c r="U25" s="1099">
        <v>0</v>
      </c>
      <c r="V25" s="1062"/>
      <c r="W25" s="1073">
        <f t="shared" si="7"/>
        <v>0</v>
      </c>
      <c r="X25" s="1073">
        <f t="shared" si="8"/>
        <v>0</v>
      </c>
      <c r="Y25" s="1100">
        <v>0</v>
      </c>
      <c r="Z25" s="1100">
        <v>0</v>
      </c>
      <c r="AA25" s="1062"/>
      <c r="AB25" s="1073">
        <f t="shared" si="9"/>
        <v>0</v>
      </c>
    </row>
    <row r="26" spans="2:28" x14ac:dyDescent="0.3">
      <c r="B26" s="465">
        <f t="shared" si="0"/>
        <v>11</v>
      </c>
      <c r="C26" s="467" t="s">
        <v>259</v>
      </c>
      <c r="D26" s="1099">
        <v>0</v>
      </c>
      <c r="E26" s="1099">
        <v>9.9999999999999985E-3</v>
      </c>
      <c r="F26" s="1099">
        <v>0</v>
      </c>
      <c r="G26" s="1062"/>
      <c r="H26" s="1074">
        <f t="shared" si="1"/>
        <v>9.9999999999999985E-3</v>
      </c>
      <c r="I26" s="823">
        <f t="shared" si="2"/>
        <v>9.9999999999999985E-3</v>
      </c>
      <c r="J26" s="1099">
        <v>7.4999999999999997E-3</v>
      </c>
      <c r="K26" s="1099">
        <v>0</v>
      </c>
      <c r="L26" s="1062"/>
      <c r="M26" s="823">
        <f t="shared" si="3"/>
        <v>1.7499999999999998E-2</v>
      </c>
      <c r="N26" s="1065">
        <f t="shared" si="4"/>
        <v>1.7499999999999998E-2</v>
      </c>
      <c r="O26" s="1099">
        <v>1.4999999999999999E-2</v>
      </c>
      <c r="P26" s="1099">
        <v>0</v>
      </c>
      <c r="Q26" s="1062"/>
      <c r="R26" s="1073">
        <f t="shared" si="5"/>
        <v>3.2500000000000001E-2</v>
      </c>
      <c r="S26" s="1073">
        <f t="shared" si="6"/>
        <v>3.2500000000000001E-2</v>
      </c>
      <c r="T26" s="1099">
        <v>1.9999999999999997E-2</v>
      </c>
      <c r="U26" s="1099">
        <v>0</v>
      </c>
      <c r="V26" s="1062"/>
      <c r="W26" s="1073">
        <f t="shared" si="7"/>
        <v>5.2499999999999998E-2</v>
      </c>
      <c r="X26" s="1073">
        <f t="shared" si="8"/>
        <v>5.2499999999999998E-2</v>
      </c>
      <c r="Y26" s="1100">
        <v>0.03</v>
      </c>
      <c r="Z26" s="1100">
        <v>0</v>
      </c>
      <c r="AA26" s="1062"/>
      <c r="AB26" s="1073">
        <f t="shared" si="9"/>
        <v>8.249999999999999E-2</v>
      </c>
    </row>
    <row r="27" spans="2:28" x14ac:dyDescent="0.3">
      <c r="B27" s="465">
        <f t="shared" si="0"/>
        <v>12</v>
      </c>
      <c r="C27" s="467" t="s">
        <v>260</v>
      </c>
      <c r="D27" s="1099">
        <v>0</v>
      </c>
      <c r="E27" s="1099">
        <v>0</v>
      </c>
      <c r="F27" s="1099">
        <v>0</v>
      </c>
      <c r="G27" s="1062"/>
      <c r="H27" s="1074">
        <f t="shared" si="1"/>
        <v>0</v>
      </c>
      <c r="I27" s="823">
        <f t="shared" si="2"/>
        <v>0</v>
      </c>
      <c r="J27" s="1099">
        <v>0</v>
      </c>
      <c r="K27" s="1099">
        <v>0</v>
      </c>
      <c r="L27" s="1062"/>
      <c r="M27" s="823">
        <f t="shared" si="3"/>
        <v>0</v>
      </c>
      <c r="N27" s="1065">
        <f t="shared" si="4"/>
        <v>0</v>
      </c>
      <c r="O27" s="1099">
        <v>0</v>
      </c>
      <c r="P27" s="1099">
        <v>0</v>
      </c>
      <c r="Q27" s="1062"/>
      <c r="R27" s="1073">
        <f t="shared" si="5"/>
        <v>0</v>
      </c>
      <c r="S27" s="1073">
        <f t="shared" si="6"/>
        <v>0</v>
      </c>
      <c r="T27" s="1099">
        <v>0</v>
      </c>
      <c r="U27" s="1099">
        <v>0</v>
      </c>
      <c r="V27" s="1062"/>
      <c r="W27" s="1073">
        <f t="shared" si="7"/>
        <v>0</v>
      </c>
      <c r="X27" s="1073">
        <f t="shared" si="8"/>
        <v>0</v>
      </c>
      <c r="Y27" s="1100">
        <v>0</v>
      </c>
      <c r="Z27" s="1100">
        <v>0</v>
      </c>
      <c r="AA27" s="1062"/>
      <c r="AB27" s="1073">
        <f t="shared" si="9"/>
        <v>0</v>
      </c>
    </row>
    <row r="28" spans="2:28" x14ac:dyDescent="0.3">
      <c r="B28" s="465">
        <f t="shared" si="0"/>
        <v>13</v>
      </c>
      <c r="C28" s="467" t="s">
        <v>899</v>
      </c>
      <c r="D28" s="1099">
        <v>0</v>
      </c>
      <c r="E28" s="1099">
        <v>0</v>
      </c>
      <c r="F28" s="1099">
        <v>0</v>
      </c>
      <c r="G28" s="1062"/>
      <c r="H28" s="1074">
        <f t="shared" si="1"/>
        <v>0</v>
      </c>
      <c r="I28" s="823">
        <f t="shared" si="2"/>
        <v>0</v>
      </c>
      <c r="J28" s="1099">
        <v>0</v>
      </c>
      <c r="K28" s="1099">
        <v>0</v>
      </c>
      <c r="L28" s="1062"/>
      <c r="M28" s="823">
        <f t="shared" si="3"/>
        <v>0</v>
      </c>
      <c r="N28" s="1065">
        <f t="shared" si="4"/>
        <v>0</v>
      </c>
      <c r="O28" s="1099">
        <v>0</v>
      </c>
      <c r="P28" s="1099">
        <v>0</v>
      </c>
      <c r="Q28" s="1062"/>
      <c r="R28" s="1073">
        <f t="shared" si="5"/>
        <v>0</v>
      </c>
      <c r="S28" s="1073">
        <f t="shared" si="6"/>
        <v>0</v>
      </c>
      <c r="T28" s="1099">
        <v>0</v>
      </c>
      <c r="U28" s="1099">
        <v>0</v>
      </c>
      <c r="V28" s="1062"/>
      <c r="W28" s="1073">
        <f t="shared" si="7"/>
        <v>0</v>
      </c>
      <c r="X28" s="1073">
        <f t="shared" si="8"/>
        <v>0</v>
      </c>
      <c r="Y28" s="1100">
        <v>0</v>
      </c>
      <c r="Z28" s="1100">
        <v>0</v>
      </c>
      <c r="AA28" s="1062"/>
      <c r="AB28" s="1073">
        <f t="shared" si="9"/>
        <v>0</v>
      </c>
    </row>
    <row r="29" spans="2:28" x14ac:dyDescent="0.3">
      <c r="B29" s="465">
        <f t="shared" si="0"/>
        <v>14</v>
      </c>
      <c r="C29" s="467" t="s">
        <v>900</v>
      </c>
      <c r="D29" s="1099">
        <v>0</v>
      </c>
      <c r="E29" s="1099">
        <v>6.6666666666666666E-2</v>
      </c>
      <c r="F29" s="1099">
        <v>0</v>
      </c>
      <c r="G29" s="1062"/>
      <c r="H29" s="1074">
        <f t="shared" si="1"/>
        <v>6.6666666666666666E-2</v>
      </c>
      <c r="I29" s="823">
        <f t="shared" si="2"/>
        <v>6.6666666666666666E-2</v>
      </c>
      <c r="J29" s="1099">
        <v>0.05</v>
      </c>
      <c r="K29" s="1099">
        <v>0</v>
      </c>
      <c r="L29" s="1062"/>
      <c r="M29" s="823">
        <f t="shared" si="3"/>
        <v>0.11666666666666667</v>
      </c>
      <c r="N29" s="1065">
        <f t="shared" si="4"/>
        <v>0.11666666666666667</v>
      </c>
      <c r="O29" s="1099">
        <v>0.1</v>
      </c>
      <c r="P29" s="1099">
        <v>0</v>
      </c>
      <c r="Q29" s="1062"/>
      <c r="R29" s="1073">
        <f t="shared" si="5"/>
        <v>0.21666666666666667</v>
      </c>
      <c r="S29" s="1073">
        <f t="shared" si="6"/>
        <v>0.21666666666666667</v>
      </c>
      <c r="T29" s="1099">
        <v>0.13333333333333333</v>
      </c>
      <c r="U29" s="1099">
        <v>0</v>
      </c>
      <c r="V29" s="1062"/>
      <c r="W29" s="1073">
        <f t="shared" si="7"/>
        <v>0.35</v>
      </c>
      <c r="X29" s="1073">
        <f t="shared" si="8"/>
        <v>0.35</v>
      </c>
      <c r="Y29" s="1100">
        <v>0.2</v>
      </c>
      <c r="Z29" s="1100">
        <v>0</v>
      </c>
      <c r="AA29" s="1062"/>
      <c r="AB29" s="1073">
        <f t="shared" si="9"/>
        <v>0.55000000000000004</v>
      </c>
    </row>
    <row r="30" spans="2:28" x14ac:dyDescent="0.3">
      <c r="B30" s="465">
        <f t="shared" si="0"/>
        <v>15</v>
      </c>
      <c r="C30" s="467" t="s">
        <v>901</v>
      </c>
      <c r="D30" s="1099">
        <v>0</v>
      </c>
      <c r="E30" s="1099">
        <v>0</v>
      </c>
      <c r="F30" s="1099">
        <v>0</v>
      </c>
      <c r="G30" s="1062"/>
      <c r="H30" s="1074">
        <f t="shared" si="1"/>
        <v>0</v>
      </c>
      <c r="I30" s="823">
        <f t="shared" si="2"/>
        <v>0</v>
      </c>
      <c r="J30" s="1099">
        <v>0</v>
      </c>
      <c r="K30" s="1099">
        <v>0</v>
      </c>
      <c r="L30" s="1062"/>
      <c r="M30" s="823">
        <f t="shared" si="3"/>
        <v>0</v>
      </c>
      <c r="N30" s="1065">
        <f t="shared" si="4"/>
        <v>0</v>
      </c>
      <c r="O30" s="1099">
        <v>0</v>
      </c>
      <c r="P30" s="1099">
        <v>0</v>
      </c>
      <c r="Q30" s="1062"/>
      <c r="R30" s="1073">
        <f t="shared" si="5"/>
        <v>0</v>
      </c>
      <c r="S30" s="1073">
        <f t="shared" si="6"/>
        <v>0</v>
      </c>
      <c r="T30" s="1099">
        <v>0</v>
      </c>
      <c r="U30" s="1099">
        <v>0</v>
      </c>
      <c r="V30" s="1062"/>
      <c r="W30" s="1073">
        <f t="shared" si="7"/>
        <v>0</v>
      </c>
      <c r="X30" s="1073">
        <f t="shared" si="8"/>
        <v>0</v>
      </c>
      <c r="Y30" s="1100">
        <v>0</v>
      </c>
      <c r="Z30" s="1100">
        <v>0</v>
      </c>
      <c r="AA30" s="1062"/>
      <c r="AB30" s="1073">
        <f t="shared" si="9"/>
        <v>0</v>
      </c>
    </row>
    <row r="31" spans="2:28" x14ac:dyDescent="0.3">
      <c r="B31" s="465">
        <f t="shared" si="0"/>
        <v>16</v>
      </c>
      <c r="C31" s="467" t="s">
        <v>852</v>
      </c>
      <c r="D31" s="1099">
        <v>0</v>
      </c>
      <c r="E31" s="1099">
        <v>0</v>
      </c>
      <c r="F31" s="1099">
        <v>0</v>
      </c>
      <c r="G31" s="1062"/>
      <c r="H31" s="1074">
        <f t="shared" si="1"/>
        <v>0</v>
      </c>
      <c r="I31" s="823">
        <f t="shared" si="2"/>
        <v>0</v>
      </c>
      <c r="J31" s="1099">
        <v>0</v>
      </c>
      <c r="K31" s="1099">
        <v>0</v>
      </c>
      <c r="L31" s="1062"/>
      <c r="M31" s="823">
        <f t="shared" si="3"/>
        <v>0</v>
      </c>
      <c r="N31" s="1065">
        <f t="shared" si="4"/>
        <v>0</v>
      </c>
      <c r="O31" s="1099">
        <v>0</v>
      </c>
      <c r="P31" s="1099">
        <v>0</v>
      </c>
      <c r="Q31" s="1062"/>
      <c r="R31" s="1073">
        <f t="shared" si="5"/>
        <v>0</v>
      </c>
      <c r="S31" s="1073">
        <f t="shared" si="6"/>
        <v>0</v>
      </c>
      <c r="T31" s="1099">
        <v>0</v>
      </c>
      <c r="U31" s="1099">
        <v>0</v>
      </c>
      <c r="V31" s="1062"/>
      <c r="W31" s="1073">
        <f t="shared" si="7"/>
        <v>0</v>
      </c>
      <c r="X31" s="1073">
        <f t="shared" si="8"/>
        <v>0</v>
      </c>
      <c r="Y31" s="1100">
        <v>0</v>
      </c>
      <c r="Z31" s="1100">
        <v>0</v>
      </c>
      <c r="AA31" s="1062"/>
      <c r="AB31" s="1073">
        <f t="shared" si="9"/>
        <v>0</v>
      </c>
    </row>
    <row r="32" spans="2:28" x14ac:dyDescent="0.3">
      <c r="B32" s="465">
        <f t="shared" si="0"/>
        <v>17</v>
      </c>
      <c r="C32" s="467" t="s">
        <v>902</v>
      </c>
      <c r="D32" s="1103">
        <v>0</v>
      </c>
      <c r="E32" s="1099">
        <v>0</v>
      </c>
      <c r="F32" s="1099">
        <v>0</v>
      </c>
      <c r="G32" s="1062"/>
      <c r="H32" s="1074">
        <f t="shared" si="1"/>
        <v>0</v>
      </c>
      <c r="I32" s="823">
        <f t="shared" si="2"/>
        <v>0</v>
      </c>
      <c r="J32" s="1099">
        <v>0</v>
      </c>
      <c r="K32" s="1099">
        <v>0</v>
      </c>
      <c r="L32" s="1062"/>
      <c r="M32" s="823">
        <f t="shared" si="3"/>
        <v>0</v>
      </c>
      <c r="N32" s="1065">
        <f t="shared" si="4"/>
        <v>0</v>
      </c>
      <c r="O32" s="1099">
        <v>0</v>
      </c>
      <c r="P32" s="1099">
        <v>0</v>
      </c>
      <c r="Q32" s="1062"/>
      <c r="R32" s="1073">
        <f t="shared" si="5"/>
        <v>0</v>
      </c>
      <c r="S32" s="1073">
        <f t="shared" si="6"/>
        <v>0</v>
      </c>
      <c r="T32" s="1099">
        <v>0</v>
      </c>
      <c r="U32" s="1099">
        <v>0</v>
      </c>
      <c r="V32" s="1062"/>
      <c r="W32" s="1073">
        <f t="shared" si="7"/>
        <v>0</v>
      </c>
      <c r="X32" s="1073">
        <f t="shared" si="8"/>
        <v>0</v>
      </c>
      <c r="Y32" s="1100">
        <v>0</v>
      </c>
      <c r="Z32" s="1100">
        <v>0</v>
      </c>
      <c r="AA32" s="1062"/>
      <c r="AB32" s="1073">
        <f t="shared" si="9"/>
        <v>0</v>
      </c>
    </row>
    <row r="33" spans="2:32" ht="16" x14ac:dyDescent="0.3">
      <c r="B33" s="83"/>
      <c r="C33" s="97" t="s">
        <v>270</v>
      </c>
      <c r="D33" s="97"/>
      <c r="E33" s="97"/>
      <c r="F33" s="97"/>
      <c r="G33" s="1072"/>
      <c r="H33" s="1071">
        <f t="shared" ref="H33:AB33" si="10">SUM(H16:H32)</f>
        <v>135.67333333333335</v>
      </c>
      <c r="I33" s="1071">
        <f t="shared" si="10"/>
        <v>135.67333333333335</v>
      </c>
      <c r="J33" s="1071">
        <f t="shared" si="10"/>
        <v>119.74999999999999</v>
      </c>
      <c r="K33" s="1071">
        <f t="shared" si="10"/>
        <v>0</v>
      </c>
      <c r="L33" s="1071">
        <f t="shared" si="10"/>
        <v>0</v>
      </c>
      <c r="M33" s="1071">
        <f t="shared" si="10"/>
        <v>255.42333333333335</v>
      </c>
      <c r="N33" s="1071">
        <f t="shared" si="10"/>
        <v>255.42333333333335</v>
      </c>
      <c r="O33" s="1071">
        <f t="shared" si="10"/>
        <v>82.95</v>
      </c>
      <c r="P33" s="1071">
        <f t="shared" si="10"/>
        <v>0</v>
      </c>
      <c r="Q33" s="1071">
        <f t="shared" si="10"/>
        <v>0</v>
      </c>
      <c r="R33" s="1071">
        <f t="shared" si="10"/>
        <v>338.37333333333333</v>
      </c>
      <c r="S33" s="1071">
        <f t="shared" si="10"/>
        <v>338.37333333333333</v>
      </c>
      <c r="T33" s="1071">
        <f t="shared" si="10"/>
        <v>341.73999999999995</v>
      </c>
      <c r="U33" s="1071">
        <f t="shared" si="10"/>
        <v>0</v>
      </c>
      <c r="V33" s="1071">
        <f t="shared" si="10"/>
        <v>0</v>
      </c>
      <c r="W33" s="1071">
        <f t="shared" si="10"/>
        <v>680.11333333333346</v>
      </c>
      <c r="X33" s="1071">
        <f t="shared" si="10"/>
        <v>680.11333333333346</v>
      </c>
      <c r="Y33" s="1071">
        <f t="shared" si="10"/>
        <v>73.08</v>
      </c>
      <c r="Z33" s="1071">
        <f t="shared" si="10"/>
        <v>0</v>
      </c>
      <c r="AA33" s="1071">
        <f t="shared" si="10"/>
        <v>0</v>
      </c>
      <c r="AB33" s="1071">
        <f t="shared" si="10"/>
        <v>753.19333333333338</v>
      </c>
      <c r="AC33" s="261"/>
      <c r="AD33" s="261"/>
      <c r="AE33" s="261"/>
      <c r="AF33" s="261"/>
    </row>
    <row r="34" spans="2:32" ht="16" x14ac:dyDescent="0.3">
      <c r="B34" s="261"/>
      <c r="C34" s="261"/>
      <c r="D34" s="261"/>
      <c r="E34" s="261"/>
      <c r="F34" s="261"/>
      <c r="G34" s="261"/>
      <c r="H34" s="261"/>
      <c r="I34" s="261"/>
      <c r="J34" s="261"/>
      <c r="K34" s="261"/>
      <c r="L34" s="261"/>
      <c r="M34" s="261"/>
      <c r="N34" s="261"/>
      <c r="O34" s="261"/>
      <c r="P34" s="261"/>
      <c r="Q34" s="261"/>
      <c r="R34" s="261"/>
      <c r="S34" s="261"/>
      <c r="T34" s="261"/>
    </row>
    <row r="35" spans="2:32" ht="16" x14ac:dyDescent="0.3">
      <c r="B35" s="261"/>
      <c r="C35" s="261"/>
      <c r="D35" s="261"/>
      <c r="E35" s="261"/>
      <c r="F35" s="261"/>
      <c r="G35" s="261"/>
      <c r="H35" s="261"/>
      <c r="I35" s="261"/>
      <c r="J35" s="261"/>
      <c r="K35" s="261"/>
      <c r="L35" s="261"/>
      <c r="M35" s="261"/>
      <c r="N35" s="261"/>
      <c r="O35" s="261"/>
      <c r="P35" s="261"/>
      <c r="Q35" s="261"/>
      <c r="R35" s="261"/>
      <c r="S35" s="261"/>
      <c r="T35" s="261"/>
    </row>
    <row r="37" spans="2:32" x14ac:dyDescent="0.3">
      <c r="B37" s="851" t="s">
        <v>271</v>
      </c>
    </row>
    <row r="38" spans="2:32" ht="15" customHeight="1" x14ac:dyDescent="0.3">
      <c r="B38" s="261"/>
      <c r="C38" s="263"/>
      <c r="D38" s="263"/>
      <c r="E38" s="263"/>
      <c r="F38" s="263"/>
      <c r="G38" s="263"/>
      <c r="H38" s="263"/>
      <c r="I38" s="263"/>
      <c r="J38" s="263"/>
      <c r="K38" s="263"/>
      <c r="L38" s="263"/>
      <c r="M38" s="263"/>
      <c r="N38" s="261"/>
      <c r="O38" s="261"/>
      <c r="P38" s="261"/>
      <c r="Q38" s="261"/>
      <c r="R38" s="261"/>
      <c r="S38" s="261"/>
      <c r="T38" s="261"/>
      <c r="U38" s="261"/>
      <c r="V38" s="261"/>
      <c r="W38" s="261"/>
      <c r="X38" s="261"/>
      <c r="Y38" s="261"/>
      <c r="Z38" s="261"/>
      <c r="AA38" s="261"/>
      <c r="AB38" s="261"/>
    </row>
    <row r="39" spans="2:32" ht="29.4" customHeight="1" x14ac:dyDescent="0.3">
      <c r="B39" s="261"/>
      <c r="C39" s="1070"/>
      <c r="D39" s="263"/>
      <c r="E39" s="263"/>
      <c r="F39" s="263"/>
      <c r="G39" s="263"/>
      <c r="H39" s="263"/>
      <c r="I39" s="263"/>
      <c r="J39" s="263"/>
      <c r="K39" s="263"/>
      <c r="L39" s="263"/>
      <c r="M39" s="263"/>
      <c r="N39" s="261"/>
      <c r="O39" s="261"/>
      <c r="P39" s="261"/>
      <c r="Q39" s="261"/>
      <c r="R39" s="261"/>
      <c r="S39" s="261"/>
      <c r="T39" s="261"/>
      <c r="U39" s="261"/>
      <c r="V39" s="261"/>
      <c r="W39" s="258" t="s">
        <v>10</v>
      </c>
      <c r="X39" s="261"/>
      <c r="Y39" s="261"/>
      <c r="Z39" s="261"/>
      <c r="AA39" s="261"/>
      <c r="AB39" s="261"/>
    </row>
    <row r="40" spans="2:32" x14ac:dyDescent="0.3">
      <c r="B40" s="1792" t="s">
        <v>339</v>
      </c>
      <c r="C40" s="1792" t="s">
        <v>36</v>
      </c>
      <c r="D40" s="1949" t="s">
        <v>968</v>
      </c>
      <c r="E40" s="1950"/>
      <c r="F40" s="1950"/>
      <c r="G40" s="1950"/>
      <c r="H40" s="1951"/>
      <c r="I40" s="1935" t="s">
        <v>969</v>
      </c>
      <c r="J40" s="1935"/>
      <c r="K40" s="1935"/>
      <c r="L40" s="1935"/>
      <c r="M40" s="1935"/>
      <c r="N40" s="1935" t="s">
        <v>970</v>
      </c>
      <c r="O40" s="1935"/>
      <c r="P40" s="1935"/>
      <c r="Q40" s="1935"/>
      <c r="R40" s="1935"/>
      <c r="S40" s="1935" t="s">
        <v>971</v>
      </c>
      <c r="T40" s="1935"/>
      <c r="U40" s="1935"/>
      <c r="V40" s="1935"/>
      <c r="W40" s="1935"/>
      <c r="X40" s="1935" t="s">
        <v>972</v>
      </c>
      <c r="Y40" s="1935"/>
      <c r="Z40" s="1935"/>
      <c r="AA40" s="1935"/>
      <c r="AB40" s="1935"/>
    </row>
    <row r="41" spans="2:32" x14ac:dyDescent="0.3">
      <c r="B41" s="1792"/>
      <c r="C41" s="1792"/>
      <c r="D41" s="1939" t="s">
        <v>21</v>
      </c>
      <c r="E41" s="1940"/>
      <c r="F41" s="1940"/>
      <c r="G41" s="1940"/>
      <c r="H41" s="1940"/>
      <c r="I41" s="1939" t="s">
        <v>21</v>
      </c>
      <c r="J41" s="1940"/>
      <c r="K41" s="1940"/>
      <c r="L41" s="1940"/>
      <c r="M41" s="1940"/>
      <c r="N41" s="1939" t="s">
        <v>21</v>
      </c>
      <c r="O41" s="1940"/>
      <c r="P41" s="1940"/>
      <c r="Q41" s="1940"/>
      <c r="R41" s="1940"/>
      <c r="S41" s="1939" t="s">
        <v>21</v>
      </c>
      <c r="T41" s="1940"/>
      <c r="U41" s="1940"/>
      <c r="V41" s="1940"/>
      <c r="W41" s="1940"/>
      <c r="X41" s="1939" t="s">
        <v>21</v>
      </c>
      <c r="Y41" s="1940"/>
      <c r="Z41" s="1940"/>
      <c r="AA41" s="1940"/>
      <c r="AB41" s="1940"/>
    </row>
    <row r="42" spans="2:32" ht="56" x14ac:dyDescent="0.3">
      <c r="B42" s="1792"/>
      <c r="C42" s="1792"/>
      <c r="D42" s="852" t="s">
        <v>272</v>
      </c>
      <c r="E42" s="852" t="s">
        <v>267</v>
      </c>
      <c r="F42" s="262" t="s">
        <v>273</v>
      </c>
      <c r="G42" s="850" t="s">
        <v>587</v>
      </c>
      <c r="H42" s="852" t="s">
        <v>274</v>
      </c>
      <c r="I42" s="852" t="s">
        <v>272</v>
      </c>
      <c r="J42" s="852" t="s">
        <v>267</v>
      </c>
      <c r="K42" s="262" t="s">
        <v>273</v>
      </c>
      <c r="L42" s="850" t="s">
        <v>587</v>
      </c>
      <c r="M42" s="852" t="s">
        <v>274</v>
      </c>
      <c r="N42" s="852" t="s">
        <v>272</v>
      </c>
      <c r="O42" s="852" t="s">
        <v>267</v>
      </c>
      <c r="P42" s="262" t="s">
        <v>273</v>
      </c>
      <c r="Q42" s="850" t="s">
        <v>587</v>
      </c>
      <c r="R42" s="852" t="s">
        <v>274</v>
      </c>
      <c r="S42" s="852" t="s">
        <v>272</v>
      </c>
      <c r="T42" s="852" t="s">
        <v>267</v>
      </c>
      <c r="U42" s="262" t="s">
        <v>273</v>
      </c>
      <c r="V42" s="850" t="s">
        <v>587</v>
      </c>
      <c r="W42" s="852" t="s">
        <v>274</v>
      </c>
      <c r="X42" s="852" t="s">
        <v>272</v>
      </c>
      <c r="Y42" s="852" t="s">
        <v>267</v>
      </c>
      <c r="Z42" s="262" t="s">
        <v>273</v>
      </c>
      <c r="AA42" s="850" t="s">
        <v>587</v>
      </c>
      <c r="AB42" s="852" t="s">
        <v>274</v>
      </c>
    </row>
    <row r="43" spans="2:32" x14ac:dyDescent="0.3">
      <c r="B43" s="259"/>
      <c r="C43" s="259"/>
      <c r="D43" s="259" t="s">
        <v>80</v>
      </c>
      <c r="E43" s="259" t="s">
        <v>81</v>
      </c>
      <c r="F43" s="259" t="s">
        <v>459</v>
      </c>
      <c r="G43" s="259" t="s">
        <v>390</v>
      </c>
      <c r="H43" s="259" t="s">
        <v>588</v>
      </c>
      <c r="I43" s="259" t="s">
        <v>408</v>
      </c>
      <c r="J43" s="259" t="s">
        <v>509</v>
      </c>
      <c r="K43" s="259" t="s">
        <v>409</v>
      </c>
      <c r="L43" s="259" t="s">
        <v>410</v>
      </c>
      <c r="M43" s="259" t="s">
        <v>653</v>
      </c>
      <c r="N43" s="259" t="s">
        <v>589</v>
      </c>
      <c r="O43" s="259" t="s">
        <v>654</v>
      </c>
      <c r="P43" s="259" t="s">
        <v>590</v>
      </c>
      <c r="Q43" s="259" t="s">
        <v>591</v>
      </c>
      <c r="R43" s="259" t="s">
        <v>1462</v>
      </c>
      <c r="S43" s="259" t="s">
        <v>592</v>
      </c>
      <c r="T43" s="259" t="s">
        <v>593</v>
      </c>
      <c r="U43" s="259" t="s">
        <v>655</v>
      </c>
      <c r="V43" s="259" t="s">
        <v>594</v>
      </c>
      <c r="W43" s="259" t="s">
        <v>1461</v>
      </c>
      <c r="X43" s="259" t="s">
        <v>595</v>
      </c>
      <c r="Y43" s="259" t="s">
        <v>596</v>
      </c>
      <c r="Z43" s="259" t="s">
        <v>597</v>
      </c>
      <c r="AA43" s="259" t="s">
        <v>656</v>
      </c>
      <c r="AB43" s="259" t="s">
        <v>1460</v>
      </c>
    </row>
    <row r="44" spans="2:32" x14ac:dyDescent="0.3">
      <c r="B44" s="465">
        <v>1</v>
      </c>
      <c r="C44" s="467" t="s">
        <v>844</v>
      </c>
      <c r="D44" s="1099">
        <v>0</v>
      </c>
      <c r="E44" s="659">
        <f t="shared" ref="E44:E60" si="11">IF((IFERROR(D44/((D16+E16)*90%),0))&lt;70%,MIN((MAX((D16+E16)*90%-D44,0)),(D16+E16/2)*$AC44),MAX((D16+E16)*90%-D44,0)/E$62)</f>
        <v>0</v>
      </c>
      <c r="F44" s="659">
        <f t="shared" ref="F44:F60" si="12">IFERROR(IF(D44=0,0,D44/D16*F16),0)</f>
        <v>0</v>
      </c>
      <c r="G44" s="1067"/>
      <c r="H44" s="659">
        <f t="shared" ref="H44:H60" si="13">D44+E44-F44-G44</f>
        <v>0</v>
      </c>
      <c r="I44" s="1066">
        <f t="shared" ref="I44:I60" si="14">H44</f>
        <v>0</v>
      </c>
      <c r="J44" s="659">
        <f t="shared" ref="J44:J60" si="15">IF((IFERROR(I44/((I16+J16)*90%),0))&lt;70%,MIN((MAX((I16+J16)*90%-I44,0)),(I16+J16/2)*$AC44),MAX((I16+J16)*90%-I44,0)/J$62)</f>
        <v>0</v>
      </c>
      <c r="K44" s="659">
        <f t="shared" ref="K44:K60" si="16">IFERROR(IF(I44=0,0,I44/I16*K16),0)</f>
        <v>0</v>
      </c>
      <c r="L44" s="1067"/>
      <c r="M44" s="1066">
        <f t="shared" ref="M44:M60" si="17">I44+J44-K44-L44</f>
        <v>0</v>
      </c>
      <c r="N44" s="1065">
        <f t="shared" ref="N44:N60" si="18">M44</f>
        <v>0</v>
      </c>
      <c r="O44" s="659">
        <f t="shared" ref="O44:O60" si="19">IF((IFERROR(N44/((N16+O16)*90%),0))&lt;70%,MIN((MAX((N16+O16)*90%-N44,0)),(N16+O16/2)*$AC44),MAX((N16+O16)*90%-N44,0)/O$62)</f>
        <v>0</v>
      </c>
      <c r="P44" s="659">
        <f t="shared" ref="P44:P60" si="20">IFERROR(IF(N44=0,0,N44/N16*P16),0)</f>
        <v>0</v>
      </c>
      <c r="Q44" s="1067"/>
      <c r="R44" s="659">
        <f t="shared" ref="R44:R60" si="21">N44+O44-P44-Q44</f>
        <v>0</v>
      </c>
      <c r="S44" s="1066">
        <f t="shared" ref="S44:S60" si="22">R44</f>
        <v>0</v>
      </c>
      <c r="T44" s="659">
        <f t="shared" ref="T44:T60" si="23">IF((IFERROR(S44/((S16+T16)*90%),0))&lt;70%,MIN((MAX((S16+T16)*90%-S44,0)),(S16+T16/2)*$AC44),MAX((S16+T16)*90%-S44,0)/T$62)</f>
        <v>0</v>
      </c>
      <c r="U44" s="659">
        <f t="shared" ref="U44:U60" si="24">IFERROR(IF(S44=0,0,S44/S16*U16),0)</f>
        <v>0</v>
      </c>
      <c r="V44" s="1067"/>
      <c r="W44" s="1066">
        <f t="shared" ref="W44:W60" si="25">S44+T44-U44-V44</f>
        <v>0</v>
      </c>
      <c r="X44" s="1065">
        <f t="shared" ref="X44:X60" si="26">W44</f>
        <v>0</v>
      </c>
      <c r="Y44" s="659">
        <f t="shared" ref="Y44:Y60" si="27">IF((IFERROR(X44/((X16+Y16)*90%),0))&lt;70%,MIN((MAX((X16+Y16)*90%-X44,0)),(X16+Y16/2)*$AC44),MAX((X16+Y16)*90%-X44,0)/Y$62)</f>
        <v>0</v>
      </c>
      <c r="Z44" s="659">
        <f t="shared" ref="Z44:Z60" si="28">IFERROR(IF(X44=0,0,X44/X16*Z16),0)</f>
        <v>0</v>
      </c>
      <c r="AA44" s="1064"/>
      <c r="AB44" s="9"/>
      <c r="AC44" s="1189">
        <v>0</v>
      </c>
    </row>
    <row r="45" spans="2:32" x14ac:dyDescent="0.3">
      <c r="B45" s="465">
        <f t="shared" ref="B45:B60" si="29">B44+1</f>
        <v>2</v>
      </c>
      <c r="C45" s="467" t="s">
        <v>845</v>
      </c>
      <c r="D45" s="1099">
        <v>0</v>
      </c>
      <c r="E45" s="659">
        <f t="shared" si="11"/>
        <v>0</v>
      </c>
      <c r="F45" s="659">
        <f t="shared" si="12"/>
        <v>0</v>
      </c>
      <c r="G45" s="1067"/>
      <c r="H45" s="659">
        <f t="shared" si="13"/>
        <v>0</v>
      </c>
      <c r="I45" s="1066">
        <f t="shared" si="14"/>
        <v>0</v>
      </c>
      <c r="J45" s="659">
        <f t="shared" si="15"/>
        <v>0.11264150000000001</v>
      </c>
      <c r="K45" s="659">
        <f t="shared" si="16"/>
        <v>0</v>
      </c>
      <c r="L45" s="1067"/>
      <c r="M45" s="1066">
        <f t="shared" si="17"/>
        <v>0.11264150000000001</v>
      </c>
      <c r="N45" s="1065">
        <f t="shared" si="18"/>
        <v>0.11264150000000001</v>
      </c>
      <c r="O45" s="659">
        <f t="shared" si="19"/>
        <v>0.434033</v>
      </c>
      <c r="P45" s="659">
        <f t="shared" si="20"/>
        <v>0</v>
      </c>
      <c r="Q45" s="1067"/>
      <c r="R45" s="659">
        <f t="shared" si="21"/>
        <v>0.54667449999999995</v>
      </c>
      <c r="S45" s="1066">
        <f t="shared" si="22"/>
        <v>0.54667449999999995</v>
      </c>
      <c r="T45" s="659">
        <f t="shared" si="23"/>
        <v>0.64278299999999999</v>
      </c>
      <c r="U45" s="659">
        <f t="shared" si="24"/>
        <v>0</v>
      </c>
      <c r="V45" s="1067"/>
      <c r="W45" s="1066">
        <f t="shared" si="25"/>
        <v>1.1894575000000001</v>
      </c>
      <c r="X45" s="1065">
        <f t="shared" si="26"/>
        <v>1.1894575000000001</v>
      </c>
      <c r="Y45" s="659">
        <f t="shared" si="27"/>
        <v>0.64278299999999999</v>
      </c>
      <c r="Z45" s="659">
        <f t="shared" si="28"/>
        <v>0</v>
      </c>
      <c r="AA45" s="1064"/>
      <c r="AB45" s="9"/>
      <c r="AC45" s="1189">
        <v>3.3399999999999999E-2</v>
      </c>
    </row>
    <row r="46" spans="2:32" x14ac:dyDescent="0.3">
      <c r="B46" s="465">
        <f t="shared" si="29"/>
        <v>3</v>
      </c>
      <c r="C46" s="467" t="s">
        <v>846</v>
      </c>
      <c r="D46" s="1099">
        <v>0</v>
      </c>
      <c r="E46" s="659">
        <f t="shared" si="11"/>
        <v>0</v>
      </c>
      <c r="F46" s="659">
        <f t="shared" si="12"/>
        <v>0</v>
      </c>
      <c r="G46" s="1067"/>
      <c r="H46" s="659">
        <f t="shared" si="13"/>
        <v>0</v>
      </c>
      <c r="I46" s="1066">
        <f t="shared" si="14"/>
        <v>0</v>
      </c>
      <c r="J46" s="659">
        <f t="shared" si="15"/>
        <v>0</v>
      </c>
      <c r="K46" s="659">
        <f t="shared" si="16"/>
        <v>0</v>
      </c>
      <c r="L46" s="1067"/>
      <c r="M46" s="1066">
        <f t="shared" si="17"/>
        <v>0</v>
      </c>
      <c r="N46" s="1065">
        <f t="shared" si="18"/>
        <v>0</v>
      </c>
      <c r="O46" s="659">
        <f t="shared" si="19"/>
        <v>0</v>
      </c>
      <c r="P46" s="659">
        <f t="shared" si="20"/>
        <v>0</v>
      </c>
      <c r="Q46" s="1067"/>
      <c r="R46" s="659">
        <f t="shared" si="21"/>
        <v>0</v>
      </c>
      <c r="S46" s="1066">
        <f t="shared" si="22"/>
        <v>0</v>
      </c>
      <c r="T46" s="659">
        <f t="shared" si="23"/>
        <v>0</v>
      </c>
      <c r="U46" s="659">
        <f t="shared" si="24"/>
        <v>0</v>
      </c>
      <c r="V46" s="1067"/>
      <c r="W46" s="1066">
        <f t="shared" si="25"/>
        <v>0</v>
      </c>
      <c r="X46" s="1065">
        <f t="shared" si="26"/>
        <v>0</v>
      </c>
      <c r="Y46" s="659">
        <f t="shared" si="27"/>
        <v>0</v>
      </c>
      <c r="Z46" s="659">
        <f t="shared" si="28"/>
        <v>0</v>
      </c>
      <c r="AA46" s="1069"/>
      <c r="AB46" s="9"/>
      <c r="AC46" s="1189">
        <v>4.2200000000000001E-2</v>
      </c>
    </row>
    <row r="47" spans="2:32" x14ac:dyDescent="0.3">
      <c r="B47" s="465">
        <f t="shared" si="29"/>
        <v>4</v>
      </c>
      <c r="C47" s="467" t="s">
        <v>847</v>
      </c>
      <c r="D47" s="1099">
        <v>0</v>
      </c>
      <c r="E47" s="659">
        <f t="shared" si="11"/>
        <v>0</v>
      </c>
      <c r="F47" s="659">
        <f t="shared" si="12"/>
        <v>0</v>
      </c>
      <c r="G47" s="1067"/>
      <c r="H47" s="659">
        <f t="shared" si="13"/>
        <v>0</v>
      </c>
      <c r="I47" s="1066">
        <f t="shared" si="14"/>
        <v>0</v>
      </c>
      <c r="J47" s="659">
        <f t="shared" si="15"/>
        <v>0</v>
      </c>
      <c r="K47" s="659">
        <f t="shared" si="16"/>
        <v>0</v>
      </c>
      <c r="L47" s="1067"/>
      <c r="M47" s="1066">
        <f t="shared" si="17"/>
        <v>0</v>
      </c>
      <c r="N47" s="1065">
        <f t="shared" si="18"/>
        <v>0</v>
      </c>
      <c r="O47" s="659">
        <f t="shared" si="19"/>
        <v>0</v>
      </c>
      <c r="P47" s="659">
        <f t="shared" si="20"/>
        <v>0</v>
      </c>
      <c r="Q47" s="1067"/>
      <c r="R47" s="659">
        <f t="shared" si="21"/>
        <v>0</v>
      </c>
      <c r="S47" s="1066">
        <f t="shared" si="22"/>
        <v>0</v>
      </c>
      <c r="T47" s="659">
        <f t="shared" si="23"/>
        <v>0</v>
      </c>
      <c r="U47" s="659">
        <f t="shared" si="24"/>
        <v>0</v>
      </c>
      <c r="V47" s="1067"/>
      <c r="W47" s="1066">
        <f t="shared" si="25"/>
        <v>0</v>
      </c>
      <c r="X47" s="1065">
        <f t="shared" si="26"/>
        <v>0</v>
      </c>
      <c r="Y47" s="659">
        <f t="shared" si="27"/>
        <v>0</v>
      </c>
      <c r="Z47" s="659">
        <f t="shared" si="28"/>
        <v>0</v>
      </c>
      <c r="AA47" s="1064"/>
      <c r="AB47" s="9"/>
      <c r="AC47" s="1189">
        <v>4.2200000000000001E-2</v>
      </c>
    </row>
    <row r="48" spans="2:32" x14ac:dyDescent="0.3">
      <c r="B48" s="465">
        <f t="shared" si="29"/>
        <v>5</v>
      </c>
      <c r="C48" s="467" t="s">
        <v>848</v>
      </c>
      <c r="D48" s="1099">
        <v>0</v>
      </c>
      <c r="E48" s="659">
        <f t="shared" si="11"/>
        <v>0.18086099999999999</v>
      </c>
      <c r="F48" s="659">
        <f t="shared" si="12"/>
        <v>0</v>
      </c>
      <c r="G48" s="1067"/>
      <c r="H48" s="659">
        <f t="shared" si="13"/>
        <v>0.18086099999999999</v>
      </c>
      <c r="I48" s="1066">
        <f t="shared" si="14"/>
        <v>0.18086099999999999</v>
      </c>
      <c r="J48" s="659">
        <f t="shared" si="15"/>
        <v>0.57882199999999995</v>
      </c>
      <c r="K48" s="659">
        <f t="shared" si="16"/>
        <v>0</v>
      </c>
      <c r="L48" s="1067"/>
      <c r="M48" s="1066">
        <f t="shared" si="17"/>
        <v>0.75968299999999989</v>
      </c>
      <c r="N48" s="1065">
        <f t="shared" si="18"/>
        <v>0.75968299999999989</v>
      </c>
      <c r="O48" s="659">
        <f t="shared" si="19"/>
        <v>1.238472</v>
      </c>
      <c r="P48" s="659">
        <f t="shared" si="20"/>
        <v>0</v>
      </c>
      <c r="Q48" s="1067"/>
      <c r="R48" s="659">
        <f t="shared" si="21"/>
        <v>1.9981549999999999</v>
      </c>
      <c r="S48" s="1066">
        <f t="shared" si="22"/>
        <v>1.9981549999999999</v>
      </c>
      <c r="T48" s="659">
        <f t="shared" si="23"/>
        <v>6.2922259999999994</v>
      </c>
      <c r="U48" s="659">
        <f t="shared" si="24"/>
        <v>0</v>
      </c>
      <c r="V48" s="1067"/>
      <c r="W48" s="1066">
        <f t="shared" si="25"/>
        <v>8.290381</v>
      </c>
      <c r="X48" s="1065">
        <f t="shared" si="26"/>
        <v>8.290381</v>
      </c>
      <c r="Y48" s="659">
        <f t="shared" si="27"/>
        <v>10.90343</v>
      </c>
      <c r="Z48" s="659">
        <f t="shared" si="28"/>
        <v>0</v>
      </c>
      <c r="AA48" s="1064"/>
      <c r="AB48" s="9"/>
      <c r="AC48" s="1189">
        <v>3.3399999999999999E-2</v>
      </c>
    </row>
    <row r="49" spans="2:29" x14ac:dyDescent="0.3">
      <c r="B49" s="465">
        <f t="shared" si="29"/>
        <v>6</v>
      </c>
      <c r="C49" s="467" t="s">
        <v>255</v>
      </c>
      <c r="D49" s="1099">
        <v>0</v>
      </c>
      <c r="E49" s="659">
        <f t="shared" si="11"/>
        <v>2.6320140000000003</v>
      </c>
      <c r="F49" s="659">
        <f t="shared" si="12"/>
        <v>0</v>
      </c>
      <c r="G49" s="1067"/>
      <c r="H49" s="659">
        <f t="shared" si="13"/>
        <v>2.6320140000000003</v>
      </c>
      <c r="I49" s="1066">
        <f t="shared" si="14"/>
        <v>2.6320140000000003</v>
      </c>
      <c r="J49" s="659">
        <f t="shared" si="15"/>
        <v>7.3724982500000005</v>
      </c>
      <c r="K49" s="659">
        <f t="shared" si="16"/>
        <v>0</v>
      </c>
      <c r="L49" s="1067"/>
      <c r="M49" s="1066">
        <f t="shared" si="17"/>
        <v>10.004512250000001</v>
      </c>
      <c r="N49" s="1065">
        <f t="shared" si="18"/>
        <v>10.004512250000001</v>
      </c>
      <c r="O49" s="659">
        <f t="shared" si="19"/>
        <v>10.405043000000001</v>
      </c>
      <c r="P49" s="659">
        <f t="shared" si="20"/>
        <v>0</v>
      </c>
      <c r="Q49" s="1067"/>
      <c r="R49" s="659">
        <f t="shared" si="21"/>
        <v>20.409555250000004</v>
      </c>
      <c r="S49" s="1066">
        <f t="shared" si="22"/>
        <v>20.409555250000004</v>
      </c>
      <c r="T49" s="659">
        <f t="shared" si="23"/>
        <v>12.709338833333334</v>
      </c>
      <c r="U49" s="659">
        <f t="shared" si="24"/>
        <v>0</v>
      </c>
      <c r="V49" s="1067"/>
      <c r="W49" s="1066">
        <f t="shared" si="25"/>
        <v>33.118894083333338</v>
      </c>
      <c r="X49" s="1065">
        <f t="shared" si="26"/>
        <v>33.118894083333338</v>
      </c>
      <c r="Y49" s="659">
        <f t="shared" si="27"/>
        <v>15.62500716666667</v>
      </c>
      <c r="Z49" s="659">
        <f t="shared" si="28"/>
        <v>0</v>
      </c>
      <c r="AA49" s="1064"/>
      <c r="AB49" s="9"/>
      <c r="AC49" s="1189">
        <v>4.2200000000000001E-2</v>
      </c>
    </row>
    <row r="50" spans="2:29" x14ac:dyDescent="0.3">
      <c r="B50" s="465">
        <f t="shared" si="29"/>
        <v>7</v>
      </c>
      <c r="C50" s="467" t="s">
        <v>849</v>
      </c>
      <c r="D50" s="1099">
        <v>0</v>
      </c>
      <c r="E50" s="659">
        <f t="shared" si="11"/>
        <v>0</v>
      </c>
      <c r="F50" s="659">
        <f t="shared" si="12"/>
        <v>0</v>
      </c>
      <c r="G50" s="1067"/>
      <c r="H50" s="659">
        <f t="shared" si="13"/>
        <v>0</v>
      </c>
      <c r="I50" s="1066">
        <f t="shared" si="14"/>
        <v>0</v>
      </c>
      <c r="J50" s="659">
        <f t="shared" si="15"/>
        <v>0</v>
      </c>
      <c r="K50" s="659">
        <f t="shared" si="16"/>
        <v>0</v>
      </c>
      <c r="L50" s="1067"/>
      <c r="M50" s="1066">
        <f t="shared" si="17"/>
        <v>0</v>
      </c>
      <c r="N50" s="1065">
        <f t="shared" si="18"/>
        <v>0</v>
      </c>
      <c r="O50" s="659">
        <f t="shared" si="19"/>
        <v>0</v>
      </c>
      <c r="P50" s="659">
        <f t="shared" si="20"/>
        <v>0</v>
      </c>
      <c r="Q50" s="1067"/>
      <c r="R50" s="659">
        <f t="shared" si="21"/>
        <v>0</v>
      </c>
      <c r="S50" s="1066">
        <f t="shared" si="22"/>
        <v>0</v>
      </c>
      <c r="T50" s="659">
        <f t="shared" si="23"/>
        <v>0</v>
      </c>
      <c r="U50" s="659">
        <f t="shared" si="24"/>
        <v>0</v>
      </c>
      <c r="V50" s="1067"/>
      <c r="W50" s="1066">
        <f t="shared" si="25"/>
        <v>0</v>
      </c>
      <c r="X50" s="1065">
        <f t="shared" si="26"/>
        <v>0</v>
      </c>
      <c r="Y50" s="659">
        <f t="shared" si="27"/>
        <v>0</v>
      </c>
      <c r="Z50" s="659">
        <f t="shared" si="28"/>
        <v>0</v>
      </c>
      <c r="AA50" s="1064"/>
      <c r="AB50" s="9"/>
      <c r="AC50" s="1189">
        <v>9.5000000000000001E-2</v>
      </c>
    </row>
    <row r="51" spans="2:29" x14ac:dyDescent="0.3">
      <c r="B51" s="465">
        <f t="shared" si="29"/>
        <v>8</v>
      </c>
      <c r="C51" s="467" t="s">
        <v>850</v>
      </c>
      <c r="D51" s="1099">
        <v>0</v>
      </c>
      <c r="E51" s="659">
        <f t="shared" si="11"/>
        <v>1.2666666666666666E-3</v>
      </c>
      <c r="F51" s="659">
        <f t="shared" si="12"/>
        <v>0</v>
      </c>
      <c r="G51" s="1067"/>
      <c r="H51" s="659">
        <f t="shared" si="13"/>
        <v>1.2666666666666666E-3</v>
      </c>
      <c r="I51" s="1066">
        <f t="shared" si="14"/>
        <v>1.2666666666666666E-3</v>
      </c>
      <c r="J51" s="659">
        <f t="shared" si="15"/>
        <v>3.4833333333333335E-3</v>
      </c>
      <c r="K51" s="659">
        <f t="shared" si="16"/>
        <v>0</v>
      </c>
      <c r="L51" s="1067"/>
      <c r="M51" s="1066">
        <f t="shared" si="17"/>
        <v>4.7499999999999999E-3</v>
      </c>
      <c r="N51" s="1065">
        <f t="shared" si="18"/>
        <v>4.7499999999999999E-3</v>
      </c>
      <c r="O51" s="659">
        <f t="shared" si="19"/>
        <v>6.3333333333333332E-3</v>
      </c>
      <c r="P51" s="659">
        <f t="shared" si="20"/>
        <v>0</v>
      </c>
      <c r="Q51" s="1067"/>
      <c r="R51" s="659">
        <f t="shared" si="21"/>
        <v>1.1083333333333334E-2</v>
      </c>
      <c r="S51" s="1066">
        <f t="shared" si="22"/>
        <v>1.1083333333333334E-2</v>
      </c>
      <c r="T51" s="659">
        <f t="shared" si="23"/>
        <v>1.0766666666666667E-2</v>
      </c>
      <c r="U51" s="659">
        <f t="shared" si="24"/>
        <v>0</v>
      </c>
      <c r="V51" s="1067"/>
      <c r="W51" s="1066">
        <f t="shared" si="25"/>
        <v>2.1850000000000001E-2</v>
      </c>
      <c r="X51" s="1065">
        <f t="shared" si="26"/>
        <v>2.1850000000000001E-2</v>
      </c>
      <c r="Y51" s="659">
        <f t="shared" si="27"/>
        <v>1.7100000000000001E-2</v>
      </c>
      <c r="Z51" s="659">
        <f t="shared" si="28"/>
        <v>0</v>
      </c>
      <c r="AA51" s="1064"/>
      <c r="AB51" s="9"/>
      <c r="AC51" s="1189">
        <v>9.5000000000000001E-2</v>
      </c>
    </row>
    <row r="52" spans="2:29" x14ac:dyDescent="0.3">
      <c r="B52" s="465">
        <f t="shared" si="29"/>
        <v>9</v>
      </c>
      <c r="C52" s="467" t="s">
        <v>851</v>
      </c>
      <c r="D52" s="1099">
        <v>0</v>
      </c>
      <c r="E52" s="659">
        <f t="shared" si="11"/>
        <v>0</v>
      </c>
      <c r="F52" s="659">
        <f t="shared" si="12"/>
        <v>0</v>
      </c>
      <c r="G52" s="1067"/>
      <c r="H52" s="659">
        <f t="shared" si="13"/>
        <v>0</v>
      </c>
      <c r="I52" s="1066">
        <f t="shared" si="14"/>
        <v>0</v>
      </c>
      <c r="J52" s="659">
        <f t="shared" si="15"/>
        <v>0</v>
      </c>
      <c r="K52" s="659">
        <f t="shared" si="16"/>
        <v>0</v>
      </c>
      <c r="L52" s="1067"/>
      <c r="M52" s="1066">
        <f t="shared" si="17"/>
        <v>0</v>
      </c>
      <c r="N52" s="1065">
        <f t="shared" si="18"/>
        <v>0</v>
      </c>
      <c r="O52" s="659">
        <f t="shared" si="19"/>
        <v>0</v>
      </c>
      <c r="P52" s="659">
        <f t="shared" si="20"/>
        <v>0</v>
      </c>
      <c r="Q52" s="1067"/>
      <c r="R52" s="659">
        <f t="shared" si="21"/>
        <v>0</v>
      </c>
      <c r="S52" s="1066">
        <f t="shared" si="22"/>
        <v>0</v>
      </c>
      <c r="T52" s="659">
        <f t="shared" si="23"/>
        <v>0</v>
      </c>
      <c r="U52" s="659">
        <f t="shared" si="24"/>
        <v>0</v>
      </c>
      <c r="V52" s="1067"/>
      <c r="W52" s="1066">
        <f t="shared" si="25"/>
        <v>0</v>
      </c>
      <c r="X52" s="1065">
        <f t="shared" si="26"/>
        <v>0</v>
      </c>
      <c r="Y52" s="659">
        <f t="shared" si="27"/>
        <v>0</v>
      </c>
      <c r="Z52" s="659">
        <f t="shared" si="28"/>
        <v>0</v>
      </c>
      <c r="AA52" s="1064"/>
      <c r="AB52" s="9"/>
      <c r="AC52" s="1189">
        <v>4.2200000000000001E-2</v>
      </c>
    </row>
    <row r="53" spans="2:29" x14ac:dyDescent="0.3">
      <c r="B53" s="465">
        <f t="shared" si="29"/>
        <v>10</v>
      </c>
      <c r="C53" s="467" t="s">
        <v>258</v>
      </c>
      <c r="D53" s="1099">
        <v>0</v>
      </c>
      <c r="E53" s="659">
        <f t="shared" si="11"/>
        <v>0</v>
      </c>
      <c r="F53" s="659">
        <f t="shared" si="12"/>
        <v>0</v>
      </c>
      <c r="G53" s="1067"/>
      <c r="H53" s="659">
        <f t="shared" si="13"/>
        <v>0</v>
      </c>
      <c r="I53" s="1066">
        <f t="shared" si="14"/>
        <v>0</v>
      </c>
      <c r="J53" s="659">
        <f t="shared" si="15"/>
        <v>0</v>
      </c>
      <c r="K53" s="659">
        <f t="shared" si="16"/>
        <v>0</v>
      </c>
      <c r="L53" s="1067"/>
      <c r="M53" s="1066">
        <f t="shared" si="17"/>
        <v>0</v>
      </c>
      <c r="N53" s="1065">
        <f t="shared" si="18"/>
        <v>0</v>
      </c>
      <c r="O53" s="659">
        <f t="shared" si="19"/>
        <v>0</v>
      </c>
      <c r="P53" s="659">
        <f t="shared" si="20"/>
        <v>0</v>
      </c>
      <c r="Q53" s="1067"/>
      <c r="R53" s="659">
        <f t="shared" si="21"/>
        <v>0</v>
      </c>
      <c r="S53" s="1066">
        <f t="shared" si="22"/>
        <v>0</v>
      </c>
      <c r="T53" s="659">
        <f t="shared" si="23"/>
        <v>0</v>
      </c>
      <c r="U53" s="659">
        <f t="shared" si="24"/>
        <v>0</v>
      </c>
      <c r="V53" s="1067"/>
      <c r="W53" s="1066">
        <f t="shared" si="25"/>
        <v>0</v>
      </c>
      <c r="X53" s="1065">
        <f t="shared" si="26"/>
        <v>0</v>
      </c>
      <c r="Y53" s="659">
        <f t="shared" si="27"/>
        <v>0</v>
      </c>
      <c r="Z53" s="659">
        <f t="shared" si="28"/>
        <v>0</v>
      </c>
      <c r="AA53" s="1064"/>
      <c r="AB53" s="9"/>
      <c r="AC53" s="1189">
        <v>9.5000000000000001E-2</v>
      </c>
    </row>
    <row r="54" spans="2:29" x14ac:dyDescent="0.3">
      <c r="B54" s="465">
        <f t="shared" si="29"/>
        <v>11</v>
      </c>
      <c r="C54" s="467" t="s">
        <v>259</v>
      </c>
      <c r="D54" s="1099">
        <v>0</v>
      </c>
      <c r="E54" s="659">
        <f t="shared" si="11"/>
        <v>3.1649999999999994E-4</v>
      </c>
      <c r="F54" s="659">
        <f t="shared" si="12"/>
        <v>0</v>
      </c>
      <c r="G54" s="1067"/>
      <c r="H54" s="659">
        <f t="shared" si="13"/>
        <v>3.1649999999999994E-4</v>
      </c>
      <c r="I54" s="1066">
        <f t="shared" si="14"/>
        <v>3.1649999999999994E-4</v>
      </c>
      <c r="J54" s="659">
        <f t="shared" si="15"/>
        <v>8.7037499999999984E-4</v>
      </c>
      <c r="K54" s="659">
        <f t="shared" si="16"/>
        <v>0</v>
      </c>
      <c r="L54" s="1067"/>
      <c r="M54" s="1066">
        <f t="shared" si="17"/>
        <v>1.1868749999999998E-3</v>
      </c>
      <c r="N54" s="1065">
        <f t="shared" si="18"/>
        <v>1.1868749999999998E-3</v>
      </c>
      <c r="O54" s="659">
        <f t="shared" si="19"/>
        <v>1.5824999999999997E-3</v>
      </c>
      <c r="P54" s="659">
        <f t="shared" si="20"/>
        <v>0</v>
      </c>
      <c r="Q54" s="1067"/>
      <c r="R54" s="659">
        <f t="shared" si="21"/>
        <v>2.7693749999999993E-3</v>
      </c>
      <c r="S54" s="1066">
        <f t="shared" si="22"/>
        <v>2.7693749999999993E-3</v>
      </c>
      <c r="T54" s="659">
        <f t="shared" si="23"/>
        <v>2.6902499999999995E-3</v>
      </c>
      <c r="U54" s="659">
        <f t="shared" si="24"/>
        <v>0</v>
      </c>
      <c r="V54" s="1067"/>
      <c r="W54" s="1066">
        <f t="shared" si="25"/>
        <v>5.4596249999999992E-3</v>
      </c>
      <c r="X54" s="1065">
        <f t="shared" si="26"/>
        <v>5.4596249999999992E-3</v>
      </c>
      <c r="Y54" s="659">
        <f t="shared" si="27"/>
        <v>4.2727499999999996E-3</v>
      </c>
      <c r="Z54" s="659">
        <f t="shared" si="28"/>
        <v>0</v>
      </c>
      <c r="AA54" s="1064"/>
      <c r="AB54" s="9"/>
      <c r="AC54" s="1189">
        <v>6.3299999999999995E-2</v>
      </c>
    </row>
    <row r="55" spans="2:29" x14ac:dyDescent="0.3">
      <c r="B55" s="465">
        <f t="shared" si="29"/>
        <v>12</v>
      </c>
      <c r="C55" s="467" t="s">
        <v>260</v>
      </c>
      <c r="D55" s="1099">
        <v>0</v>
      </c>
      <c r="E55" s="659">
        <f t="shared" si="11"/>
        <v>0</v>
      </c>
      <c r="F55" s="659">
        <f t="shared" si="12"/>
        <v>0</v>
      </c>
      <c r="G55" s="1068"/>
      <c r="H55" s="659">
        <f t="shared" si="13"/>
        <v>0</v>
      </c>
      <c r="I55" s="1066">
        <f t="shared" si="14"/>
        <v>0</v>
      </c>
      <c r="J55" s="659">
        <f t="shared" si="15"/>
        <v>0</v>
      </c>
      <c r="K55" s="659">
        <f t="shared" si="16"/>
        <v>0</v>
      </c>
      <c r="L55" s="1067"/>
      <c r="M55" s="1066">
        <f t="shared" si="17"/>
        <v>0</v>
      </c>
      <c r="N55" s="1065">
        <f t="shared" si="18"/>
        <v>0</v>
      </c>
      <c r="O55" s="659">
        <f t="shared" si="19"/>
        <v>0</v>
      </c>
      <c r="P55" s="659">
        <f t="shared" si="20"/>
        <v>0</v>
      </c>
      <c r="Q55" s="1067"/>
      <c r="R55" s="659">
        <f t="shared" si="21"/>
        <v>0</v>
      </c>
      <c r="S55" s="1066">
        <f t="shared" si="22"/>
        <v>0</v>
      </c>
      <c r="T55" s="659">
        <f t="shared" si="23"/>
        <v>0</v>
      </c>
      <c r="U55" s="659">
        <f t="shared" si="24"/>
        <v>0</v>
      </c>
      <c r="V55" s="1067"/>
      <c r="W55" s="1066">
        <f t="shared" si="25"/>
        <v>0</v>
      </c>
      <c r="X55" s="1065">
        <f t="shared" si="26"/>
        <v>0</v>
      </c>
      <c r="Y55" s="659">
        <f t="shared" si="27"/>
        <v>0</v>
      </c>
      <c r="Z55" s="659">
        <f t="shared" si="28"/>
        <v>0</v>
      </c>
      <c r="AA55" s="1064"/>
      <c r="AB55" s="9"/>
      <c r="AC55" s="1189">
        <v>6.3299999999999995E-2</v>
      </c>
    </row>
    <row r="56" spans="2:29" x14ac:dyDescent="0.3">
      <c r="B56" s="465">
        <f t="shared" si="29"/>
        <v>13</v>
      </c>
      <c r="C56" s="467" t="s">
        <v>899</v>
      </c>
      <c r="D56" s="1099">
        <v>0</v>
      </c>
      <c r="E56" s="659">
        <f t="shared" si="11"/>
        <v>0</v>
      </c>
      <c r="F56" s="659">
        <f t="shared" si="12"/>
        <v>0</v>
      </c>
      <c r="G56" s="1068"/>
      <c r="H56" s="659">
        <f t="shared" si="13"/>
        <v>0</v>
      </c>
      <c r="I56" s="1066">
        <f t="shared" si="14"/>
        <v>0</v>
      </c>
      <c r="J56" s="659">
        <f t="shared" si="15"/>
        <v>0</v>
      </c>
      <c r="K56" s="659">
        <f t="shared" si="16"/>
        <v>0</v>
      </c>
      <c r="L56" s="1067"/>
      <c r="M56" s="1066">
        <f t="shared" si="17"/>
        <v>0</v>
      </c>
      <c r="N56" s="1065">
        <f t="shared" si="18"/>
        <v>0</v>
      </c>
      <c r="O56" s="659">
        <f t="shared" si="19"/>
        <v>0</v>
      </c>
      <c r="P56" s="659">
        <f t="shared" si="20"/>
        <v>0</v>
      </c>
      <c r="Q56" s="1067"/>
      <c r="R56" s="659">
        <f t="shared" si="21"/>
        <v>0</v>
      </c>
      <c r="S56" s="1066">
        <f t="shared" si="22"/>
        <v>0</v>
      </c>
      <c r="T56" s="659">
        <f t="shared" si="23"/>
        <v>0</v>
      </c>
      <c r="U56" s="659">
        <f t="shared" si="24"/>
        <v>0</v>
      </c>
      <c r="V56" s="1067"/>
      <c r="W56" s="1066">
        <f t="shared" si="25"/>
        <v>0</v>
      </c>
      <c r="X56" s="1065">
        <f t="shared" si="26"/>
        <v>0</v>
      </c>
      <c r="Y56" s="659">
        <f t="shared" si="27"/>
        <v>0</v>
      </c>
      <c r="Z56" s="659">
        <f t="shared" si="28"/>
        <v>0</v>
      </c>
      <c r="AA56" s="1064"/>
      <c r="AB56" s="9"/>
      <c r="AC56" s="1189">
        <v>6.3299999999999995E-2</v>
      </c>
    </row>
    <row r="57" spans="2:29" x14ac:dyDescent="0.3">
      <c r="B57" s="465">
        <f t="shared" si="29"/>
        <v>14</v>
      </c>
      <c r="C57" s="467" t="s">
        <v>900</v>
      </c>
      <c r="D57" s="1099">
        <v>0</v>
      </c>
      <c r="E57" s="659">
        <f>IF((IFERROR(D57/((D29+E29)*100%),0))&lt;70%,MIN((MAX((D29+E29)*100%-D57,0)),(D29+E29/2)*$AC57),MAX((D29+E29)*100%-D57,0)/E$62)</f>
        <v>5.0000000000000001E-3</v>
      </c>
      <c r="F57" s="659">
        <f t="shared" si="12"/>
        <v>0</v>
      </c>
      <c r="G57" s="1068"/>
      <c r="H57" s="659">
        <f t="shared" si="13"/>
        <v>5.0000000000000001E-3</v>
      </c>
      <c r="I57" s="1066">
        <f t="shared" si="14"/>
        <v>5.0000000000000001E-3</v>
      </c>
      <c r="J57" s="659">
        <f>IF((IFERROR(I57/((I29+J29)*100%),0))&lt;70%,MIN((MAX((I29+J29)*100%-I57,0)),(I29+J29/2)*$AC57),MAX((I29+J29)*100%-I57,0)/J$62)</f>
        <v>1.375E-2</v>
      </c>
      <c r="K57" s="659">
        <f t="shared" si="16"/>
        <v>0</v>
      </c>
      <c r="L57" s="1067"/>
      <c r="M57" s="1066">
        <f t="shared" si="17"/>
        <v>1.8749999999999999E-2</v>
      </c>
      <c r="N57" s="1065">
        <f t="shared" si="18"/>
        <v>1.8749999999999999E-2</v>
      </c>
      <c r="O57" s="659">
        <f>IF((IFERROR(N57/((N29+O29)*100%),0))&lt;70%,MIN((MAX((N29+O29)*100%-N57,0)),(N29+O29/2)*$AC57),MAX((N29+O29)*100%-N57,0)/O$62)</f>
        <v>2.5000000000000001E-2</v>
      </c>
      <c r="P57" s="659">
        <f t="shared" si="20"/>
        <v>0</v>
      </c>
      <c r="Q57" s="1067"/>
      <c r="R57" s="659">
        <f t="shared" si="21"/>
        <v>4.3749999999999997E-2</v>
      </c>
      <c r="S57" s="1066">
        <f t="shared" si="22"/>
        <v>4.3749999999999997E-2</v>
      </c>
      <c r="T57" s="659">
        <f>IF((IFERROR(S57/((S29+T29)*100%),0))&lt;70%,MIN((MAX((S29+T29)*100%-S57,0)),(S29+T29/2)*$AC57),MAX((S29+T29)*100%-S57,0)/T$62)</f>
        <v>4.2499999999999996E-2</v>
      </c>
      <c r="U57" s="659">
        <f t="shared" si="24"/>
        <v>0</v>
      </c>
      <c r="V57" s="1067"/>
      <c r="W57" s="1066">
        <f t="shared" si="25"/>
        <v>8.6249999999999993E-2</v>
      </c>
      <c r="X57" s="1065">
        <f t="shared" si="26"/>
        <v>8.6249999999999993E-2</v>
      </c>
      <c r="Y57" s="659">
        <f>IF((IFERROR(X57/((X29+Y29)*100%),0))&lt;70%,MIN((MAX((X29+Y29)*100%-X57,0)),(X29+Y29/2)*$AC57),MAX((X29+Y29)*100%-X57,0)/Y$62)</f>
        <v>6.7499999999999991E-2</v>
      </c>
      <c r="Z57" s="659">
        <f t="shared" si="28"/>
        <v>0</v>
      </c>
      <c r="AA57" s="1064"/>
      <c r="AB57" s="9"/>
      <c r="AC57" s="1189">
        <v>0.15</v>
      </c>
    </row>
    <row r="58" spans="2:29" x14ac:dyDescent="0.3">
      <c r="B58" s="465">
        <f t="shared" si="29"/>
        <v>15</v>
      </c>
      <c r="C58" s="467" t="s">
        <v>901</v>
      </c>
      <c r="D58" s="1099">
        <v>0</v>
      </c>
      <c r="E58" s="659">
        <f>IF((IFERROR(D58/((D30+E30)*100%),0))&lt;70%,MIN((MAX((D30+E30)*100%-D58,0)),(D30+E30/2)*$AC58),MAX((D30+E30)*100%-D58,0)/E$62)</f>
        <v>0</v>
      </c>
      <c r="F58" s="659">
        <f t="shared" si="12"/>
        <v>0</v>
      </c>
      <c r="G58" s="1068"/>
      <c r="H58" s="659">
        <f t="shared" si="13"/>
        <v>0</v>
      </c>
      <c r="I58" s="1066">
        <f t="shared" si="14"/>
        <v>0</v>
      </c>
      <c r="J58" s="659">
        <f>IF((IFERROR(I58/((I30+J30)*100%),0))&lt;70%,MIN((MAX((I30+J30)*100%-I58,0)),(I30+J30/2)*$AC58),MAX((I30+J30)*100%-I58,0)/J$62)</f>
        <v>0</v>
      </c>
      <c r="K58" s="659">
        <f t="shared" si="16"/>
        <v>0</v>
      </c>
      <c r="L58" s="1067"/>
      <c r="M58" s="1066">
        <f t="shared" si="17"/>
        <v>0</v>
      </c>
      <c r="N58" s="1065">
        <f t="shared" si="18"/>
        <v>0</v>
      </c>
      <c r="O58" s="659">
        <f>IF((IFERROR(N58/((N30+O30)*100%),0))&lt;70%,MIN((MAX((N30+O30)*100%-N58,0)),(N30+O30/2)*$AC58),MAX((N30+O30)*100%-N58,0)/O$62)</f>
        <v>0</v>
      </c>
      <c r="P58" s="659">
        <f t="shared" si="20"/>
        <v>0</v>
      </c>
      <c r="Q58" s="1067"/>
      <c r="R58" s="659">
        <f t="shared" si="21"/>
        <v>0</v>
      </c>
      <c r="S58" s="1066">
        <f t="shared" si="22"/>
        <v>0</v>
      </c>
      <c r="T58" s="659">
        <f>IF((IFERROR(S58/((S30+T30)*100%),0))&lt;70%,MIN((MAX((S30+T30)*100%-S58,0)),(S30+T30/2)*$AC58),MAX((S30+T30)*100%-S58,0)/T$62)</f>
        <v>0</v>
      </c>
      <c r="U58" s="659">
        <f t="shared" si="24"/>
        <v>0</v>
      </c>
      <c r="V58" s="1067"/>
      <c r="W58" s="1066">
        <f t="shared" si="25"/>
        <v>0</v>
      </c>
      <c r="X58" s="1065">
        <f t="shared" si="26"/>
        <v>0</v>
      </c>
      <c r="Y58" s="659">
        <f>IF((IFERROR(X58/((X30+Y30)*100%),0))&lt;70%,MIN((MAX((X30+Y30)*100%-X58,0)),(X30+Y30/2)*$AC58),MAX((X30+Y30)*100%-X58,0)/Y$62)</f>
        <v>0</v>
      </c>
      <c r="Z58" s="659">
        <f t="shared" si="28"/>
        <v>0</v>
      </c>
      <c r="AA58" s="1064"/>
      <c r="AB58" s="9"/>
      <c r="AC58" s="1189">
        <v>0.15</v>
      </c>
    </row>
    <row r="59" spans="2:29" x14ac:dyDescent="0.3">
      <c r="B59" s="465">
        <f t="shared" si="29"/>
        <v>16</v>
      </c>
      <c r="C59" s="467" t="s">
        <v>852</v>
      </c>
      <c r="D59" s="1099">
        <v>0</v>
      </c>
      <c r="E59" s="659">
        <f>IF((IFERROR(D59/((D31+E31)*100%),0))&lt;70%,MIN((MAX((D31+E31)*100%-D59,0)),(D31+E31/2)*$AC59),MAX((D31+E31)*100%-D59,0)/E$62)</f>
        <v>0</v>
      </c>
      <c r="F59" s="659">
        <f t="shared" si="12"/>
        <v>0</v>
      </c>
      <c r="G59" s="1067"/>
      <c r="H59" s="659">
        <f t="shared" si="13"/>
        <v>0</v>
      </c>
      <c r="I59" s="1066">
        <f t="shared" si="14"/>
        <v>0</v>
      </c>
      <c r="J59" s="659">
        <f>IF((IFERROR(I59/((I31+J31)*100%),0))&lt;70%,MIN((MAX((I31+J31)*100%-I59,0)),(I31+J31/2)*$AC59),MAX((I31+J31)*100%-I59,0)/J$62)</f>
        <v>0</v>
      </c>
      <c r="K59" s="659">
        <f t="shared" si="16"/>
        <v>0</v>
      </c>
      <c r="L59" s="1067"/>
      <c r="M59" s="1066">
        <f t="shared" si="17"/>
        <v>0</v>
      </c>
      <c r="N59" s="1065">
        <f t="shared" si="18"/>
        <v>0</v>
      </c>
      <c r="O59" s="659">
        <f>IF((IFERROR(N59/((N31+O31)*100%),0))&lt;70%,MIN((MAX((N31+O31)*100%-N59,0)),(N31+O31/2)*$AC59),MAX((N31+O31)*100%-N59,0)/O$62)</f>
        <v>0</v>
      </c>
      <c r="P59" s="659">
        <f t="shared" si="20"/>
        <v>0</v>
      </c>
      <c r="Q59" s="1067"/>
      <c r="R59" s="659">
        <f t="shared" si="21"/>
        <v>0</v>
      </c>
      <c r="S59" s="1066">
        <f t="shared" si="22"/>
        <v>0</v>
      </c>
      <c r="T59" s="659">
        <f>IF((IFERROR(S59/((S31+T31)*100%),0))&lt;70%,MIN((MAX((S31+T31)*100%-S59,0)),(S31+T31/2)*$AC59),MAX((S31+T31)*100%-S59,0)/T$62)</f>
        <v>0</v>
      </c>
      <c r="U59" s="659">
        <f t="shared" si="24"/>
        <v>0</v>
      </c>
      <c r="V59" s="1067"/>
      <c r="W59" s="1066">
        <f t="shared" si="25"/>
        <v>0</v>
      </c>
      <c r="X59" s="1065">
        <f t="shared" si="26"/>
        <v>0</v>
      </c>
      <c r="Y59" s="659">
        <f>IF((IFERROR(X59/((X31+Y31)*100%),0))&lt;70%,MIN((MAX((X31+Y31)*100%-X59,0)),(X31+Y31/2)*$AC59),MAX((X31+Y31)*100%-X59,0)/Y$62)</f>
        <v>0</v>
      </c>
      <c r="Z59" s="659">
        <f t="shared" si="28"/>
        <v>0</v>
      </c>
      <c r="AA59" s="1064"/>
      <c r="AB59" s="9"/>
      <c r="AC59" s="1189">
        <v>0.15</v>
      </c>
    </row>
    <row r="60" spans="2:29" x14ac:dyDescent="0.3">
      <c r="B60" s="465">
        <f t="shared" si="29"/>
        <v>17</v>
      </c>
      <c r="C60" s="467" t="s">
        <v>902</v>
      </c>
      <c r="D60" s="1103">
        <v>0</v>
      </c>
      <c r="E60" s="659">
        <f t="shared" si="11"/>
        <v>0</v>
      </c>
      <c r="F60" s="659">
        <f t="shared" si="12"/>
        <v>0</v>
      </c>
      <c r="G60" s="1067"/>
      <c r="H60" s="659">
        <f t="shared" si="13"/>
        <v>0</v>
      </c>
      <c r="I60" s="1066">
        <f t="shared" si="14"/>
        <v>0</v>
      </c>
      <c r="J60" s="659">
        <f t="shared" si="15"/>
        <v>0</v>
      </c>
      <c r="K60" s="659">
        <f t="shared" si="16"/>
        <v>0</v>
      </c>
      <c r="L60" s="1067"/>
      <c r="M60" s="1066">
        <f t="shared" si="17"/>
        <v>0</v>
      </c>
      <c r="N60" s="1065">
        <f t="shared" si="18"/>
        <v>0</v>
      </c>
      <c r="O60" s="659">
        <f t="shared" si="19"/>
        <v>0</v>
      </c>
      <c r="P60" s="659">
        <f t="shared" si="20"/>
        <v>0</v>
      </c>
      <c r="Q60" s="1067"/>
      <c r="R60" s="659">
        <f t="shared" si="21"/>
        <v>0</v>
      </c>
      <c r="S60" s="1066">
        <f t="shared" si="22"/>
        <v>0</v>
      </c>
      <c r="T60" s="659">
        <f t="shared" si="23"/>
        <v>0</v>
      </c>
      <c r="U60" s="659">
        <f t="shared" si="24"/>
        <v>0</v>
      </c>
      <c r="V60" s="1067"/>
      <c r="W60" s="1066">
        <f t="shared" si="25"/>
        <v>0</v>
      </c>
      <c r="X60" s="1065">
        <f t="shared" si="26"/>
        <v>0</v>
      </c>
      <c r="Y60" s="659">
        <f t="shared" si="27"/>
        <v>0</v>
      </c>
      <c r="Z60" s="659">
        <f t="shared" si="28"/>
        <v>0</v>
      </c>
      <c r="AA60" s="1064"/>
      <c r="AB60" s="9"/>
      <c r="AC60" s="1189">
        <v>3.3399999999999999E-2</v>
      </c>
    </row>
    <row r="61" spans="2:29" ht="16" x14ac:dyDescent="0.3">
      <c r="B61" s="83"/>
      <c r="C61" s="97" t="s">
        <v>270</v>
      </c>
      <c r="D61" s="97"/>
      <c r="E61" s="1063">
        <f t="shared" ref="E61:X61" si="30">SUM(E44:E60)</f>
        <v>2.8194581666666667</v>
      </c>
      <c r="F61" s="1063">
        <f t="shared" si="30"/>
        <v>0</v>
      </c>
      <c r="G61" s="1063">
        <f t="shared" si="30"/>
        <v>0</v>
      </c>
      <c r="H61" s="1063">
        <f t="shared" si="30"/>
        <v>2.8194581666666667</v>
      </c>
      <c r="I61" s="1063">
        <f t="shared" si="30"/>
        <v>2.8194581666666667</v>
      </c>
      <c r="J61" s="1063">
        <f t="shared" si="30"/>
        <v>8.082065458333334</v>
      </c>
      <c r="K61" s="1063">
        <f t="shared" si="30"/>
        <v>0</v>
      </c>
      <c r="L61" s="1063">
        <f t="shared" si="30"/>
        <v>0</v>
      </c>
      <c r="M61" s="1063">
        <f t="shared" si="30"/>
        <v>10.901523625000001</v>
      </c>
      <c r="N61" s="1063">
        <f t="shared" si="30"/>
        <v>10.901523625000001</v>
      </c>
      <c r="O61" s="1063">
        <f t="shared" si="30"/>
        <v>12.110463833333334</v>
      </c>
      <c r="P61" s="1063">
        <f t="shared" si="30"/>
        <v>0</v>
      </c>
      <c r="Q61" s="1063">
        <f t="shared" si="30"/>
        <v>0</v>
      </c>
      <c r="R61" s="1063">
        <f t="shared" si="30"/>
        <v>23.011987458333333</v>
      </c>
      <c r="S61" s="1063">
        <f t="shared" si="30"/>
        <v>23.011987458333333</v>
      </c>
      <c r="T61" s="1063">
        <f t="shared" si="30"/>
        <v>19.700304750000001</v>
      </c>
      <c r="U61" s="1063">
        <f t="shared" si="30"/>
        <v>0</v>
      </c>
      <c r="V61" s="1063">
        <f t="shared" si="30"/>
        <v>0</v>
      </c>
      <c r="W61" s="1063">
        <f t="shared" si="30"/>
        <v>42.712292208333338</v>
      </c>
      <c r="X61" s="1063">
        <f t="shared" si="30"/>
        <v>42.712292208333338</v>
      </c>
      <c r="Y61" s="83"/>
      <c r="Z61" s="83"/>
      <c r="AA61" s="1062"/>
      <c r="AB61" s="83"/>
    </row>
    <row r="62" spans="2:29" ht="16" x14ac:dyDescent="0.3">
      <c r="B62" s="261"/>
      <c r="C62" s="263"/>
      <c r="D62" s="263"/>
      <c r="E62" s="1188">
        <f>'F5'!T86</f>
        <v>8.9643835616438352</v>
      </c>
      <c r="F62" s="263"/>
      <c r="G62" s="263"/>
      <c r="H62" s="263"/>
      <c r="J62" s="1188">
        <f>E62-1</f>
        <v>7.9643835616438352</v>
      </c>
      <c r="K62" s="261"/>
      <c r="L62" s="261"/>
      <c r="M62" s="261"/>
      <c r="O62" s="1188">
        <f>J62-1</f>
        <v>6.9643835616438352</v>
      </c>
      <c r="P62" s="261"/>
      <c r="Q62" s="261"/>
      <c r="R62" s="261"/>
      <c r="T62" s="1188">
        <f>O62-1</f>
        <v>5.9643835616438352</v>
      </c>
      <c r="U62" s="1061"/>
      <c r="V62" s="1061"/>
      <c r="X62" s="261"/>
      <c r="Y62" s="1188">
        <f>T62-1</f>
        <v>4.9643835616438352</v>
      </c>
      <c r="Z62" s="261"/>
      <c r="AA62" s="261"/>
      <c r="AB62" s="261"/>
    </row>
    <row r="64" spans="2:29" x14ac:dyDescent="0.3">
      <c r="B64" s="851" t="s">
        <v>340</v>
      </c>
    </row>
    <row r="65" spans="2:28" ht="15" customHeight="1" x14ac:dyDescent="0.3">
      <c r="B65" s="261"/>
      <c r="C65" s="263"/>
      <c r="D65" s="263"/>
      <c r="E65" s="263"/>
      <c r="F65" s="263"/>
      <c r="G65" s="263"/>
      <c r="H65" s="263"/>
      <c r="I65" s="263"/>
      <c r="J65" s="263"/>
      <c r="K65" s="263"/>
      <c r="L65" s="263"/>
      <c r="M65" s="263"/>
      <c r="N65" s="261"/>
      <c r="O65" s="261"/>
      <c r="P65" s="261"/>
      <c r="Q65" s="261"/>
      <c r="R65" s="261"/>
      <c r="S65" s="261"/>
      <c r="T65" s="261"/>
      <c r="U65" s="261"/>
      <c r="V65" s="261"/>
      <c r="W65" s="261"/>
      <c r="X65" s="261"/>
      <c r="Y65" s="261"/>
      <c r="Z65" s="261"/>
      <c r="AA65" s="261"/>
      <c r="AB65" s="258" t="s">
        <v>10</v>
      </c>
    </row>
    <row r="66" spans="2:28" x14ac:dyDescent="0.3">
      <c r="B66" s="1792" t="s">
        <v>339</v>
      </c>
      <c r="C66" s="1792" t="s">
        <v>36</v>
      </c>
      <c r="D66" s="1949" t="s">
        <v>968</v>
      </c>
      <c r="E66" s="1950"/>
      <c r="F66" s="1950"/>
      <c r="G66" s="1950"/>
      <c r="H66" s="1951"/>
      <c r="I66" s="1935" t="s">
        <v>969</v>
      </c>
      <c r="J66" s="1935"/>
      <c r="K66" s="1935"/>
      <c r="L66" s="1935"/>
      <c r="M66" s="1935"/>
      <c r="N66" s="1935" t="s">
        <v>970</v>
      </c>
      <c r="O66" s="1935"/>
      <c r="P66" s="1935"/>
      <c r="Q66" s="1935"/>
      <c r="R66" s="1935"/>
      <c r="S66" s="1935" t="s">
        <v>971</v>
      </c>
      <c r="T66" s="1935"/>
      <c r="U66" s="1935"/>
      <c r="V66" s="1935"/>
      <c r="W66" s="1935"/>
      <c r="X66" s="1935" t="s">
        <v>972</v>
      </c>
      <c r="Y66" s="1935"/>
      <c r="Z66" s="1935"/>
      <c r="AA66" s="1935"/>
      <c r="AB66" s="1935"/>
    </row>
    <row r="67" spans="2:28" x14ac:dyDescent="0.3">
      <c r="B67" s="1792"/>
      <c r="C67" s="1792"/>
      <c r="D67" s="1939" t="s">
        <v>21</v>
      </c>
      <c r="E67" s="1940"/>
      <c r="F67" s="1940"/>
      <c r="G67" s="1940"/>
      <c r="H67" s="1940"/>
      <c r="I67" s="1936" t="s">
        <v>21</v>
      </c>
      <c r="J67" s="1937"/>
      <c r="K67" s="1937"/>
      <c r="L67" s="1937"/>
      <c r="M67" s="1938"/>
      <c r="N67" s="1939" t="s">
        <v>21</v>
      </c>
      <c r="O67" s="1940"/>
      <c r="P67" s="1940"/>
      <c r="Q67" s="1940"/>
      <c r="R67" s="1940"/>
      <c r="S67" s="1939" t="s">
        <v>21</v>
      </c>
      <c r="T67" s="1940"/>
      <c r="U67" s="1940"/>
      <c r="V67" s="1940"/>
      <c r="W67" s="1940"/>
      <c r="X67" s="1939" t="s">
        <v>21</v>
      </c>
      <c r="Y67" s="1940"/>
      <c r="Z67" s="1940"/>
      <c r="AA67" s="1940"/>
      <c r="AB67" s="1940"/>
    </row>
    <row r="68" spans="2:28" ht="42" x14ac:dyDescent="0.3">
      <c r="B68" s="1792"/>
      <c r="C68" s="1792"/>
      <c r="D68" s="852" t="s">
        <v>266</v>
      </c>
      <c r="E68" s="852" t="s">
        <v>267</v>
      </c>
      <c r="F68" s="262" t="s">
        <v>273</v>
      </c>
      <c r="G68" s="850" t="s">
        <v>587</v>
      </c>
      <c r="H68" s="852" t="s">
        <v>269</v>
      </c>
      <c r="I68" s="852" t="s">
        <v>266</v>
      </c>
      <c r="J68" s="852" t="s">
        <v>267</v>
      </c>
      <c r="K68" s="262" t="s">
        <v>273</v>
      </c>
      <c r="L68" s="850" t="s">
        <v>587</v>
      </c>
      <c r="M68" s="852" t="s">
        <v>269</v>
      </c>
      <c r="N68" s="852" t="s">
        <v>266</v>
      </c>
      <c r="O68" s="852" t="s">
        <v>267</v>
      </c>
      <c r="P68" s="262" t="s">
        <v>273</v>
      </c>
      <c r="Q68" s="850" t="s">
        <v>587</v>
      </c>
      <c r="R68" s="852" t="s">
        <v>269</v>
      </c>
      <c r="S68" s="852" t="s">
        <v>266</v>
      </c>
      <c r="T68" s="852" t="s">
        <v>267</v>
      </c>
      <c r="U68" s="262" t="s">
        <v>273</v>
      </c>
      <c r="V68" s="850" t="s">
        <v>587</v>
      </c>
      <c r="W68" s="852" t="s">
        <v>269</v>
      </c>
      <c r="X68" s="852" t="s">
        <v>266</v>
      </c>
      <c r="Y68" s="852" t="s">
        <v>267</v>
      </c>
      <c r="Z68" s="262" t="s">
        <v>273</v>
      </c>
      <c r="AA68" s="850" t="s">
        <v>587</v>
      </c>
      <c r="AB68" s="852" t="s">
        <v>269</v>
      </c>
    </row>
    <row r="69" spans="2:28" x14ac:dyDescent="0.3">
      <c r="B69" s="259"/>
      <c r="C69" s="259"/>
      <c r="D69" s="259" t="s">
        <v>80</v>
      </c>
      <c r="E69" s="259" t="s">
        <v>81</v>
      </c>
      <c r="F69" s="259" t="s">
        <v>459</v>
      </c>
      <c r="G69" s="259" t="s">
        <v>390</v>
      </c>
      <c r="H69" s="259" t="s">
        <v>588</v>
      </c>
      <c r="I69" s="259" t="s">
        <v>408</v>
      </c>
      <c r="J69" s="259" t="s">
        <v>509</v>
      </c>
      <c r="K69" s="259" t="s">
        <v>409</v>
      </c>
      <c r="L69" s="259" t="s">
        <v>410</v>
      </c>
      <c r="M69" s="259" t="s">
        <v>653</v>
      </c>
      <c r="N69" s="259" t="s">
        <v>589</v>
      </c>
      <c r="O69" s="259" t="s">
        <v>654</v>
      </c>
      <c r="P69" s="259" t="s">
        <v>590</v>
      </c>
      <c r="Q69" s="259" t="s">
        <v>591</v>
      </c>
      <c r="R69" s="259" t="s">
        <v>1462</v>
      </c>
      <c r="S69" s="259" t="s">
        <v>592</v>
      </c>
      <c r="T69" s="259" t="s">
        <v>593</v>
      </c>
      <c r="U69" s="259" t="s">
        <v>655</v>
      </c>
      <c r="V69" s="259" t="s">
        <v>594</v>
      </c>
      <c r="W69" s="259" t="s">
        <v>1461</v>
      </c>
      <c r="X69" s="259" t="s">
        <v>595</v>
      </c>
      <c r="Y69" s="259" t="s">
        <v>596</v>
      </c>
      <c r="Z69" s="259" t="s">
        <v>597</v>
      </c>
      <c r="AA69" s="259" t="s">
        <v>656</v>
      </c>
      <c r="AB69" s="259" t="s">
        <v>1460</v>
      </c>
    </row>
    <row r="70" spans="2:28" x14ac:dyDescent="0.3">
      <c r="B70" s="465">
        <v>1</v>
      </c>
      <c r="C70" s="467" t="s">
        <v>844</v>
      </c>
      <c r="D70" s="1060">
        <f t="shared" ref="D70:F86" si="31">D16-D44</f>
        <v>0</v>
      </c>
      <c r="E70" s="1060">
        <f t="shared" si="31"/>
        <v>0</v>
      </c>
      <c r="F70" s="1060">
        <f t="shared" si="31"/>
        <v>0</v>
      </c>
      <c r="G70" s="1060"/>
      <c r="H70" s="659">
        <f t="shared" ref="H70:H86" si="32">D70+E70-F70-G70</f>
        <v>0</v>
      </c>
      <c r="I70" s="1060">
        <f t="shared" ref="I70:K86" si="33">I16-I44</f>
        <v>0</v>
      </c>
      <c r="J70" s="1060">
        <f t="shared" si="33"/>
        <v>0</v>
      </c>
      <c r="K70" s="1060">
        <f t="shared" si="33"/>
        <v>0</v>
      </c>
      <c r="L70" s="1060"/>
      <c r="M70" s="659">
        <f t="shared" ref="M70:M86" si="34">I70+J70-K70-L70</f>
        <v>0</v>
      </c>
      <c r="N70" s="1060">
        <f t="shared" ref="N70:P86" si="35">N16-N44</f>
        <v>0</v>
      </c>
      <c r="O70" s="1060">
        <f t="shared" si="35"/>
        <v>0</v>
      </c>
      <c r="P70" s="1060">
        <f t="shared" si="35"/>
        <v>0</v>
      </c>
      <c r="Q70" s="1060"/>
      <c r="R70" s="659">
        <f t="shared" ref="R70:R86" si="36">N70+O70-P70-Q70</f>
        <v>0</v>
      </c>
      <c r="S70" s="1060">
        <f t="shared" ref="S70:U86" si="37">S16-S44</f>
        <v>0</v>
      </c>
      <c r="T70" s="1060">
        <f t="shared" si="37"/>
        <v>0</v>
      </c>
      <c r="U70" s="1060">
        <f t="shared" si="37"/>
        <v>0</v>
      </c>
      <c r="V70" s="1060"/>
      <c r="W70" s="659">
        <f t="shared" ref="W70:W86" si="38">S70+T70-U70-V70</f>
        <v>0</v>
      </c>
      <c r="X70" s="1060">
        <f t="shared" ref="X70:Z86" si="39">X16-X44</f>
        <v>0</v>
      </c>
      <c r="Y70" s="1060">
        <f t="shared" si="39"/>
        <v>0</v>
      </c>
      <c r="Z70" s="1060">
        <f t="shared" si="39"/>
        <v>0</v>
      </c>
      <c r="AA70" s="1060"/>
      <c r="AB70" s="659">
        <f t="shared" ref="AB70:AB86" si="40">X70+Y70-Z70-AA70</f>
        <v>0</v>
      </c>
    </row>
    <row r="71" spans="2:28" x14ac:dyDescent="0.3">
      <c r="B71" s="465">
        <f t="shared" ref="B71:B86" si="41">B70+1</f>
        <v>2</v>
      </c>
      <c r="C71" s="467" t="s">
        <v>845</v>
      </c>
      <c r="D71" s="1060">
        <f t="shared" si="31"/>
        <v>0</v>
      </c>
      <c r="E71" s="1060">
        <f t="shared" si="31"/>
        <v>0</v>
      </c>
      <c r="F71" s="1060">
        <f t="shared" si="31"/>
        <v>0</v>
      </c>
      <c r="G71" s="1060"/>
      <c r="H71" s="659">
        <f t="shared" si="32"/>
        <v>0</v>
      </c>
      <c r="I71" s="1060">
        <f t="shared" si="33"/>
        <v>0</v>
      </c>
      <c r="J71" s="1060">
        <f t="shared" si="33"/>
        <v>6.6323585000000005</v>
      </c>
      <c r="K71" s="1060">
        <f t="shared" si="33"/>
        <v>0</v>
      </c>
      <c r="L71" s="1060"/>
      <c r="M71" s="659">
        <f t="shared" si="34"/>
        <v>6.6323585000000005</v>
      </c>
      <c r="N71" s="1060">
        <f t="shared" si="35"/>
        <v>6.6323585000000005</v>
      </c>
      <c r="O71" s="1060">
        <f t="shared" si="35"/>
        <v>12.065967000000001</v>
      </c>
      <c r="P71" s="1060">
        <f t="shared" si="35"/>
        <v>0</v>
      </c>
      <c r="Q71" s="1060"/>
      <c r="R71" s="659">
        <f t="shared" si="36"/>
        <v>18.698325500000003</v>
      </c>
      <c r="S71" s="1060">
        <f t="shared" si="37"/>
        <v>18.698325500000003</v>
      </c>
      <c r="T71" s="1060">
        <f t="shared" si="37"/>
        <v>-0.64278299999999999</v>
      </c>
      <c r="U71" s="1060">
        <f t="shared" si="37"/>
        <v>0</v>
      </c>
      <c r="V71" s="1060"/>
      <c r="W71" s="659">
        <f t="shared" si="38"/>
        <v>18.055542500000001</v>
      </c>
      <c r="X71" s="1060">
        <f t="shared" si="39"/>
        <v>18.055542500000001</v>
      </c>
      <c r="Y71" s="1060">
        <f t="shared" si="39"/>
        <v>-0.64278299999999999</v>
      </c>
      <c r="Z71" s="1060">
        <f t="shared" si="39"/>
        <v>0</v>
      </c>
      <c r="AA71" s="1060"/>
      <c r="AB71" s="659">
        <f t="shared" si="40"/>
        <v>17.4127595</v>
      </c>
    </row>
    <row r="72" spans="2:28" x14ac:dyDescent="0.3">
      <c r="B72" s="465">
        <f t="shared" si="41"/>
        <v>3</v>
      </c>
      <c r="C72" s="467" t="s">
        <v>846</v>
      </c>
      <c r="D72" s="1060">
        <f t="shared" si="31"/>
        <v>0</v>
      </c>
      <c r="E72" s="1060">
        <f t="shared" si="31"/>
        <v>0</v>
      </c>
      <c r="F72" s="1060">
        <f t="shared" si="31"/>
        <v>0</v>
      </c>
      <c r="G72" s="1060"/>
      <c r="H72" s="659">
        <f t="shared" si="32"/>
        <v>0</v>
      </c>
      <c r="I72" s="1060">
        <f t="shared" si="33"/>
        <v>0</v>
      </c>
      <c r="J72" s="1060">
        <f t="shared" si="33"/>
        <v>0</v>
      </c>
      <c r="K72" s="1060">
        <f t="shared" si="33"/>
        <v>0</v>
      </c>
      <c r="L72" s="1060"/>
      <c r="M72" s="659">
        <f t="shared" si="34"/>
        <v>0</v>
      </c>
      <c r="N72" s="1060">
        <f t="shared" si="35"/>
        <v>0</v>
      </c>
      <c r="O72" s="1060">
        <f t="shared" si="35"/>
        <v>0</v>
      </c>
      <c r="P72" s="1060">
        <f t="shared" si="35"/>
        <v>0</v>
      </c>
      <c r="Q72" s="1060"/>
      <c r="R72" s="659">
        <f t="shared" si="36"/>
        <v>0</v>
      </c>
      <c r="S72" s="1060">
        <f t="shared" si="37"/>
        <v>0</v>
      </c>
      <c r="T72" s="1060">
        <f t="shared" si="37"/>
        <v>0</v>
      </c>
      <c r="U72" s="1060">
        <f t="shared" si="37"/>
        <v>0</v>
      </c>
      <c r="V72" s="1060"/>
      <c r="W72" s="659">
        <f t="shared" si="38"/>
        <v>0</v>
      </c>
      <c r="X72" s="1060">
        <f t="shared" si="39"/>
        <v>0</v>
      </c>
      <c r="Y72" s="1060">
        <f t="shared" si="39"/>
        <v>0</v>
      </c>
      <c r="Z72" s="1060">
        <f t="shared" si="39"/>
        <v>0</v>
      </c>
      <c r="AA72" s="1060"/>
      <c r="AB72" s="659">
        <f t="shared" si="40"/>
        <v>0</v>
      </c>
    </row>
    <row r="73" spans="2:28" x14ac:dyDescent="0.3">
      <c r="B73" s="465">
        <f t="shared" si="41"/>
        <v>4</v>
      </c>
      <c r="C73" s="467" t="s">
        <v>847</v>
      </c>
      <c r="D73" s="1060">
        <f t="shared" si="31"/>
        <v>0</v>
      </c>
      <c r="E73" s="1060">
        <f t="shared" si="31"/>
        <v>0</v>
      </c>
      <c r="F73" s="1060">
        <f t="shared" si="31"/>
        <v>0</v>
      </c>
      <c r="G73" s="1060"/>
      <c r="H73" s="659">
        <f t="shared" si="32"/>
        <v>0</v>
      </c>
      <c r="I73" s="1060">
        <f t="shared" si="33"/>
        <v>0</v>
      </c>
      <c r="J73" s="1060">
        <f t="shared" si="33"/>
        <v>0</v>
      </c>
      <c r="K73" s="1060">
        <f t="shared" si="33"/>
        <v>0</v>
      </c>
      <c r="L73" s="1060"/>
      <c r="M73" s="659">
        <f t="shared" si="34"/>
        <v>0</v>
      </c>
      <c r="N73" s="1060">
        <f t="shared" si="35"/>
        <v>0</v>
      </c>
      <c r="O73" s="1060">
        <f t="shared" si="35"/>
        <v>0</v>
      </c>
      <c r="P73" s="1060">
        <f t="shared" si="35"/>
        <v>0</v>
      </c>
      <c r="Q73" s="1060"/>
      <c r="R73" s="659">
        <f t="shared" si="36"/>
        <v>0</v>
      </c>
      <c r="S73" s="1060">
        <f t="shared" si="37"/>
        <v>0</v>
      </c>
      <c r="T73" s="1060">
        <f t="shared" si="37"/>
        <v>0</v>
      </c>
      <c r="U73" s="1060">
        <f t="shared" si="37"/>
        <v>0</v>
      </c>
      <c r="V73" s="1060"/>
      <c r="W73" s="659">
        <f t="shared" si="38"/>
        <v>0</v>
      </c>
      <c r="X73" s="1060">
        <f t="shared" si="39"/>
        <v>0</v>
      </c>
      <c r="Y73" s="1060">
        <f t="shared" si="39"/>
        <v>0</v>
      </c>
      <c r="Z73" s="1060">
        <f t="shared" si="39"/>
        <v>0</v>
      </c>
      <c r="AA73" s="1060"/>
      <c r="AB73" s="659">
        <f t="shared" si="40"/>
        <v>0</v>
      </c>
    </row>
    <row r="74" spans="2:28" x14ac:dyDescent="0.3">
      <c r="B74" s="465">
        <f t="shared" si="41"/>
        <v>5</v>
      </c>
      <c r="C74" s="467" t="s">
        <v>848</v>
      </c>
      <c r="D74" s="1060">
        <f t="shared" si="31"/>
        <v>0</v>
      </c>
      <c r="E74" s="1060">
        <f t="shared" si="31"/>
        <v>10.649139</v>
      </c>
      <c r="F74" s="1060">
        <f t="shared" si="31"/>
        <v>0</v>
      </c>
      <c r="G74" s="1060"/>
      <c r="H74" s="659">
        <f t="shared" si="32"/>
        <v>10.649139</v>
      </c>
      <c r="I74" s="1060">
        <f t="shared" si="33"/>
        <v>10.649139</v>
      </c>
      <c r="J74" s="1060">
        <f t="shared" si="33"/>
        <v>12.421177999999999</v>
      </c>
      <c r="K74" s="1060">
        <f t="shared" si="33"/>
        <v>0</v>
      </c>
      <c r="L74" s="1060"/>
      <c r="M74" s="659">
        <f t="shared" si="34"/>
        <v>23.070316999999999</v>
      </c>
      <c r="N74" s="1060">
        <f t="shared" si="35"/>
        <v>23.070316999999999</v>
      </c>
      <c r="O74" s="1060">
        <f t="shared" si="35"/>
        <v>25.261527999999998</v>
      </c>
      <c r="P74" s="1060">
        <f t="shared" si="35"/>
        <v>0</v>
      </c>
      <c r="Q74" s="1060"/>
      <c r="R74" s="659">
        <f t="shared" si="36"/>
        <v>48.331845000000001</v>
      </c>
      <c r="S74" s="1060">
        <f t="shared" si="37"/>
        <v>48.331845000000001</v>
      </c>
      <c r="T74" s="1060">
        <f t="shared" si="37"/>
        <v>269.82777399999998</v>
      </c>
      <c r="U74" s="1060">
        <f t="shared" si="37"/>
        <v>0</v>
      </c>
      <c r="V74" s="1060"/>
      <c r="W74" s="659">
        <f t="shared" si="38"/>
        <v>318.15961899999996</v>
      </c>
      <c r="X74" s="1060">
        <f t="shared" si="39"/>
        <v>318.15961899999996</v>
      </c>
      <c r="Y74" s="1060">
        <f t="shared" si="39"/>
        <v>-10.90343</v>
      </c>
      <c r="Z74" s="1060">
        <f t="shared" si="39"/>
        <v>0</v>
      </c>
      <c r="AA74" s="1060"/>
      <c r="AB74" s="659">
        <f t="shared" si="40"/>
        <v>307.25618899999995</v>
      </c>
    </row>
    <row r="75" spans="2:28" x14ac:dyDescent="0.3">
      <c r="B75" s="465">
        <f t="shared" si="41"/>
        <v>6</v>
      </c>
      <c r="C75" s="467" t="s">
        <v>255</v>
      </c>
      <c r="D75" s="1060">
        <f t="shared" si="31"/>
        <v>0</v>
      </c>
      <c r="E75" s="1060">
        <f t="shared" si="31"/>
        <v>122.10798600000001</v>
      </c>
      <c r="F75" s="1060">
        <f t="shared" si="31"/>
        <v>0</v>
      </c>
      <c r="G75" s="1060"/>
      <c r="H75" s="659">
        <f t="shared" si="32"/>
        <v>122.10798600000001</v>
      </c>
      <c r="I75" s="1060">
        <f t="shared" si="33"/>
        <v>122.10798600000001</v>
      </c>
      <c r="J75" s="1060">
        <f t="shared" si="33"/>
        <v>92.555001749999988</v>
      </c>
      <c r="K75" s="1060">
        <f t="shared" si="33"/>
        <v>0</v>
      </c>
      <c r="L75" s="1060"/>
      <c r="M75" s="659">
        <f t="shared" si="34"/>
        <v>214.66298775000001</v>
      </c>
      <c r="N75" s="1060">
        <f t="shared" si="35"/>
        <v>214.66298775000001</v>
      </c>
      <c r="O75" s="1060">
        <f t="shared" si="35"/>
        <v>33.389957000000003</v>
      </c>
      <c r="P75" s="1060">
        <f t="shared" si="35"/>
        <v>0</v>
      </c>
      <c r="Q75" s="1060"/>
      <c r="R75" s="659">
        <f t="shared" si="36"/>
        <v>248.05294475000002</v>
      </c>
      <c r="S75" s="1060">
        <f t="shared" si="37"/>
        <v>248.05294475000002</v>
      </c>
      <c r="T75" s="1060">
        <f t="shared" si="37"/>
        <v>52.703994499999993</v>
      </c>
      <c r="U75" s="1060">
        <f t="shared" si="37"/>
        <v>0</v>
      </c>
      <c r="V75" s="1060"/>
      <c r="W75" s="659">
        <f t="shared" si="38"/>
        <v>300.75693925000002</v>
      </c>
      <c r="X75" s="1060">
        <f t="shared" si="39"/>
        <v>300.75693925000007</v>
      </c>
      <c r="Y75" s="1060">
        <f t="shared" si="39"/>
        <v>57.144992833333326</v>
      </c>
      <c r="Z75" s="1060">
        <f t="shared" si="39"/>
        <v>0</v>
      </c>
      <c r="AA75" s="1060"/>
      <c r="AB75" s="659">
        <f t="shared" si="40"/>
        <v>357.90193208333341</v>
      </c>
    </row>
    <row r="76" spans="2:28" x14ac:dyDescent="0.3">
      <c r="B76" s="465">
        <f t="shared" si="41"/>
        <v>7</v>
      </c>
      <c r="C76" s="467" t="s">
        <v>849</v>
      </c>
      <c r="D76" s="1060">
        <f t="shared" si="31"/>
        <v>0</v>
      </c>
      <c r="E76" s="1060">
        <f t="shared" si="31"/>
        <v>0</v>
      </c>
      <c r="F76" s="1060">
        <f t="shared" si="31"/>
        <v>0</v>
      </c>
      <c r="G76" s="1060"/>
      <c r="H76" s="659">
        <f t="shared" si="32"/>
        <v>0</v>
      </c>
      <c r="I76" s="1060">
        <f t="shared" si="33"/>
        <v>0</v>
      </c>
      <c r="J76" s="1060">
        <f t="shared" si="33"/>
        <v>0</v>
      </c>
      <c r="K76" s="1060">
        <f t="shared" si="33"/>
        <v>0</v>
      </c>
      <c r="L76" s="1060"/>
      <c r="M76" s="659">
        <f t="shared" si="34"/>
        <v>0</v>
      </c>
      <c r="N76" s="1060">
        <f t="shared" si="35"/>
        <v>0</v>
      </c>
      <c r="O76" s="1060">
        <f t="shared" si="35"/>
        <v>0</v>
      </c>
      <c r="P76" s="1060">
        <f t="shared" si="35"/>
        <v>0</v>
      </c>
      <c r="Q76" s="1060"/>
      <c r="R76" s="659">
        <f t="shared" si="36"/>
        <v>0</v>
      </c>
      <c r="S76" s="1060">
        <f t="shared" si="37"/>
        <v>0</v>
      </c>
      <c r="T76" s="1060">
        <f t="shared" si="37"/>
        <v>0</v>
      </c>
      <c r="U76" s="1060">
        <f t="shared" si="37"/>
        <v>0</v>
      </c>
      <c r="V76" s="1060"/>
      <c r="W76" s="659">
        <f t="shared" si="38"/>
        <v>0</v>
      </c>
      <c r="X76" s="1060">
        <f t="shared" si="39"/>
        <v>0</v>
      </c>
      <c r="Y76" s="1060">
        <f t="shared" si="39"/>
        <v>0</v>
      </c>
      <c r="Z76" s="1060">
        <f t="shared" si="39"/>
        <v>0</v>
      </c>
      <c r="AA76" s="1060"/>
      <c r="AB76" s="659">
        <f t="shared" si="40"/>
        <v>0</v>
      </c>
    </row>
    <row r="77" spans="2:28" x14ac:dyDescent="0.3">
      <c r="B77" s="465">
        <f t="shared" si="41"/>
        <v>8</v>
      </c>
      <c r="C77" s="467" t="s">
        <v>850</v>
      </c>
      <c r="D77" s="1060">
        <f t="shared" si="31"/>
        <v>0</v>
      </c>
      <c r="E77" s="1060">
        <f t="shared" si="31"/>
        <v>2.5399999999999999E-2</v>
      </c>
      <c r="F77" s="1060">
        <f t="shared" si="31"/>
        <v>0</v>
      </c>
      <c r="G77" s="1060"/>
      <c r="H77" s="659">
        <f t="shared" si="32"/>
        <v>2.5399999999999999E-2</v>
      </c>
      <c r="I77" s="1060">
        <f t="shared" si="33"/>
        <v>2.5399999999999999E-2</v>
      </c>
      <c r="J77" s="1060">
        <f t="shared" si="33"/>
        <v>1.6516666666666666E-2</v>
      </c>
      <c r="K77" s="1060">
        <f t="shared" si="33"/>
        <v>0</v>
      </c>
      <c r="L77" s="1060"/>
      <c r="M77" s="659">
        <f t="shared" si="34"/>
        <v>4.1916666666666665E-2</v>
      </c>
      <c r="N77" s="1060">
        <f t="shared" si="35"/>
        <v>4.1916666666666665E-2</v>
      </c>
      <c r="O77" s="1060">
        <f t="shared" si="35"/>
        <v>3.3666666666666664E-2</v>
      </c>
      <c r="P77" s="1060">
        <f t="shared" si="35"/>
        <v>0</v>
      </c>
      <c r="Q77" s="1060"/>
      <c r="R77" s="659">
        <f t="shared" si="36"/>
        <v>7.5583333333333336E-2</v>
      </c>
      <c r="S77" s="1060">
        <f t="shared" si="37"/>
        <v>7.5583333333333336E-2</v>
      </c>
      <c r="T77" s="1060">
        <f t="shared" si="37"/>
        <v>4.2566666666666662E-2</v>
      </c>
      <c r="U77" s="1060">
        <f t="shared" si="37"/>
        <v>0</v>
      </c>
      <c r="V77" s="1060"/>
      <c r="W77" s="659">
        <f t="shared" si="38"/>
        <v>0.11815000000000001</v>
      </c>
      <c r="X77" s="1060">
        <f t="shared" si="39"/>
        <v>0.11815000000000001</v>
      </c>
      <c r="Y77" s="1060">
        <f t="shared" si="39"/>
        <v>6.2899999999999998E-2</v>
      </c>
      <c r="Z77" s="1060">
        <f t="shared" si="39"/>
        <v>0</v>
      </c>
      <c r="AA77" s="1060"/>
      <c r="AB77" s="659">
        <f t="shared" si="40"/>
        <v>0.18104999999999999</v>
      </c>
    </row>
    <row r="78" spans="2:28" x14ac:dyDescent="0.3">
      <c r="B78" s="465">
        <f t="shared" si="41"/>
        <v>9</v>
      </c>
      <c r="C78" s="467" t="s">
        <v>851</v>
      </c>
      <c r="D78" s="1060">
        <f t="shared" si="31"/>
        <v>0</v>
      </c>
      <c r="E78" s="1060">
        <f t="shared" si="31"/>
        <v>0</v>
      </c>
      <c r="F78" s="1060">
        <f t="shared" si="31"/>
        <v>0</v>
      </c>
      <c r="G78" s="1060"/>
      <c r="H78" s="659">
        <f t="shared" si="32"/>
        <v>0</v>
      </c>
      <c r="I78" s="1060">
        <f t="shared" si="33"/>
        <v>0</v>
      </c>
      <c r="J78" s="1060">
        <f t="shared" si="33"/>
        <v>0</v>
      </c>
      <c r="K78" s="1060">
        <f t="shared" si="33"/>
        <v>0</v>
      </c>
      <c r="L78" s="1060"/>
      <c r="M78" s="659">
        <f t="shared" si="34"/>
        <v>0</v>
      </c>
      <c r="N78" s="1060">
        <f t="shared" si="35"/>
        <v>0</v>
      </c>
      <c r="O78" s="1060">
        <f t="shared" si="35"/>
        <v>0</v>
      </c>
      <c r="P78" s="1060">
        <f t="shared" si="35"/>
        <v>0</v>
      </c>
      <c r="Q78" s="1060"/>
      <c r="R78" s="659">
        <f t="shared" si="36"/>
        <v>0</v>
      </c>
      <c r="S78" s="1060">
        <f t="shared" si="37"/>
        <v>0</v>
      </c>
      <c r="T78" s="1060">
        <f t="shared" si="37"/>
        <v>0</v>
      </c>
      <c r="U78" s="1060">
        <f t="shared" si="37"/>
        <v>0</v>
      </c>
      <c r="V78" s="1060"/>
      <c r="W78" s="659">
        <f t="shared" si="38"/>
        <v>0</v>
      </c>
      <c r="X78" s="1060">
        <f t="shared" si="39"/>
        <v>0</v>
      </c>
      <c r="Y78" s="1060">
        <f t="shared" si="39"/>
        <v>0</v>
      </c>
      <c r="Z78" s="1060">
        <f t="shared" si="39"/>
        <v>0</v>
      </c>
      <c r="AA78" s="1060"/>
      <c r="AB78" s="659">
        <f t="shared" si="40"/>
        <v>0</v>
      </c>
    </row>
    <row r="79" spans="2:28" x14ac:dyDescent="0.3">
      <c r="B79" s="465">
        <f t="shared" si="41"/>
        <v>10</v>
      </c>
      <c r="C79" s="467" t="s">
        <v>258</v>
      </c>
      <c r="D79" s="1060">
        <f t="shared" si="31"/>
        <v>0</v>
      </c>
      <c r="E79" s="1060">
        <f t="shared" si="31"/>
        <v>0</v>
      </c>
      <c r="F79" s="1060">
        <f t="shared" si="31"/>
        <v>0</v>
      </c>
      <c r="G79" s="1060"/>
      <c r="H79" s="659">
        <f t="shared" si="32"/>
        <v>0</v>
      </c>
      <c r="I79" s="1060">
        <f t="shared" si="33"/>
        <v>0</v>
      </c>
      <c r="J79" s="1060">
        <f t="shared" si="33"/>
        <v>0</v>
      </c>
      <c r="K79" s="1060">
        <f t="shared" si="33"/>
        <v>0</v>
      </c>
      <c r="L79" s="1060"/>
      <c r="M79" s="659">
        <f t="shared" si="34"/>
        <v>0</v>
      </c>
      <c r="N79" s="1060">
        <f t="shared" si="35"/>
        <v>0</v>
      </c>
      <c r="O79" s="1060">
        <f t="shared" si="35"/>
        <v>0</v>
      </c>
      <c r="P79" s="1060">
        <f t="shared" si="35"/>
        <v>0</v>
      </c>
      <c r="Q79" s="1060"/>
      <c r="R79" s="659">
        <f t="shared" si="36"/>
        <v>0</v>
      </c>
      <c r="S79" s="1060">
        <f t="shared" si="37"/>
        <v>0</v>
      </c>
      <c r="T79" s="1060">
        <f t="shared" si="37"/>
        <v>0</v>
      </c>
      <c r="U79" s="1060">
        <f t="shared" si="37"/>
        <v>0</v>
      </c>
      <c r="V79" s="1060"/>
      <c r="W79" s="659">
        <f t="shared" si="38"/>
        <v>0</v>
      </c>
      <c r="X79" s="1060">
        <f t="shared" si="39"/>
        <v>0</v>
      </c>
      <c r="Y79" s="1060">
        <f t="shared" si="39"/>
        <v>0</v>
      </c>
      <c r="Z79" s="1060">
        <f t="shared" si="39"/>
        <v>0</v>
      </c>
      <c r="AA79" s="1060"/>
      <c r="AB79" s="659">
        <f t="shared" si="40"/>
        <v>0</v>
      </c>
    </row>
    <row r="80" spans="2:28" x14ac:dyDescent="0.3">
      <c r="B80" s="465">
        <f t="shared" si="41"/>
        <v>11</v>
      </c>
      <c r="C80" s="467" t="s">
        <v>259</v>
      </c>
      <c r="D80" s="1060">
        <f t="shared" si="31"/>
        <v>0</v>
      </c>
      <c r="E80" s="1060">
        <f t="shared" si="31"/>
        <v>9.6834999999999977E-3</v>
      </c>
      <c r="F80" s="1060">
        <f t="shared" si="31"/>
        <v>0</v>
      </c>
      <c r="G80" s="1060"/>
      <c r="H80" s="659">
        <f t="shared" si="32"/>
        <v>9.6834999999999977E-3</v>
      </c>
      <c r="I80" s="1060">
        <f t="shared" si="33"/>
        <v>9.6834999999999977E-3</v>
      </c>
      <c r="J80" s="1060">
        <f t="shared" si="33"/>
        <v>6.6296250000000001E-3</v>
      </c>
      <c r="K80" s="1060">
        <f t="shared" si="33"/>
        <v>0</v>
      </c>
      <c r="L80" s="1060"/>
      <c r="M80" s="659">
        <f t="shared" si="34"/>
        <v>1.6313124999999998E-2</v>
      </c>
      <c r="N80" s="1060">
        <f t="shared" si="35"/>
        <v>1.6313124999999998E-2</v>
      </c>
      <c r="O80" s="1060">
        <f t="shared" si="35"/>
        <v>1.3417499999999999E-2</v>
      </c>
      <c r="P80" s="1060">
        <f t="shared" si="35"/>
        <v>0</v>
      </c>
      <c r="Q80" s="1060"/>
      <c r="R80" s="659">
        <f t="shared" si="36"/>
        <v>2.9730624999999997E-2</v>
      </c>
      <c r="S80" s="1060">
        <f t="shared" si="37"/>
        <v>2.9730625000000004E-2</v>
      </c>
      <c r="T80" s="1060">
        <f t="shared" si="37"/>
        <v>1.7309749999999999E-2</v>
      </c>
      <c r="U80" s="1060">
        <f t="shared" si="37"/>
        <v>0</v>
      </c>
      <c r="V80" s="1060"/>
      <c r="W80" s="659">
        <f t="shared" si="38"/>
        <v>4.7040375000000002E-2</v>
      </c>
      <c r="X80" s="1060">
        <f t="shared" si="39"/>
        <v>4.7040374999999995E-2</v>
      </c>
      <c r="Y80" s="1060">
        <f t="shared" si="39"/>
        <v>2.572725E-2</v>
      </c>
      <c r="Z80" s="1060">
        <f t="shared" si="39"/>
        <v>0</v>
      </c>
      <c r="AA80" s="1060"/>
      <c r="AB80" s="659">
        <f t="shared" si="40"/>
        <v>7.2767625000000002E-2</v>
      </c>
    </row>
    <row r="81" spans="2:28" x14ac:dyDescent="0.3">
      <c r="B81" s="465">
        <f t="shared" si="41"/>
        <v>12</v>
      </c>
      <c r="C81" s="467" t="s">
        <v>260</v>
      </c>
      <c r="D81" s="1060">
        <f t="shared" si="31"/>
        <v>0</v>
      </c>
      <c r="E81" s="1060">
        <f t="shared" si="31"/>
        <v>0</v>
      </c>
      <c r="F81" s="1060">
        <f t="shared" si="31"/>
        <v>0</v>
      </c>
      <c r="G81" s="1060"/>
      <c r="H81" s="659">
        <f t="shared" si="32"/>
        <v>0</v>
      </c>
      <c r="I81" s="1060">
        <f t="shared" si="33"/>
        <v>0</v>
      </c>
      <c r="J81" s="1060">
        <f t="shared" si="33"/>
        <v>0</v>
      </c>
      <c r="K81" s="1060">
        <f t="shared" si="33"/>
        <v>0</v>
      </c>
      <c r="L81" s="1060"/>
      <c r="M81" s="659">
        <f t="shared" si="34"/>
        <v>0</v>
      </c>
      <c r="N81" s="1060">
        <f t="shared" si="35"/>
        <v>0</v>
      </c>
      <c r="O81" s="1060">
        <f t="shared" si="35"/>
        <v>0</v>
      </c>
      <c r="P81" s="1060">
        <f t="shared" si="35"/>
        <v>0</v>
      </c>
      <c r="Q81" s="1060"/>
      <c r="R81" s="659">
        <f t="shared" si="36"/>
        <v>0</v>
      </c>
      <c r="S81" s="1060">
        <f t="shared" si="37"/>
        <v>0</v>
      </c>
      <c r="T81" s="1060">
        <f t="shared" si="37"/>
        <v>0</v>
      </c>
      <c r="U81" s="1060">
        <f t="shared" si="37"/>
        <v>0</v>
      </c>
      <c r="V81" s="1060"/>
      <c r="W81" s="659">
        <f t="shared" si="38"/>
        <v>0</v>
      </c>
      <c r="X81" s="1060">
        <f t="shared" si="39"/>
        <v>0</v>
      </c>
      <c r="Y81" s="1060">
        <f t="shared" si="39"/>
        <v>0</v>
      </c>
      <c r="Z81" s="1060">
        <f t="shared" si="39"/>
        <v>0</v>
      </c>
      <c r="AA81" s="1060"/>
      <c r="AB81" s="659">
        <f t="shared" si="40"/>
        <v>0</v>
      </c>
    </row>
    <row r="82" spans="2:28" x14ac:dyDescent="0.3">
      <c r="B82" s="465">
        <f t="shared" si="41"/>
        <v>13</v>
      </c>
      <c r="C82" s="467" t="s">
        <v>899</v>
      </c>
      <c r="D82" s="1060">
        <f t="shared" si="31"/>
        <v>0</v>
      </c>
      <c r="E82" s="1060">
        <f t="shared" si="31"/>
        <v>0</v>
      </c>
      <c r="F82" s="1060">
        <f t="shared" si="31"/>
        <v>0</v>
      </c>
      <c r="G82" s="1060"/>
      <c r="H82" s="659">
        <f t="shared" si="32"/>
        <v>0</v>
      </c>
      <c r="I82" s="1060">
        <f t="shared" si="33"/>
        <v>0</v>
      </c>
      <c r="J82" s="1060">
        <f t="shared" si="33"/>
        <v>0</v>
      </c>
      <c r="K82" s="1060">
        <f t="shared" si="33"/>
        <v>0</v>
      </c>
      <c r="L82" s="1060"/>
      <c r="M82" s="659">
        <f t="shared" si="34"/>
        <v>0</v>
      </c>
      <c r="N82" s="1060">
        <f t="shared" si="35"/>
        <v>0</v>
      </c>
      <c r="O82" s="1060">
        <f t="shared" si="35"/>
        <v>0</v>
      </c>
      <c r="P82" s="1060">
        <f t="shared" si="35"/>
        <v>0</v>
      </c>
      <c r="Q82" s="1060"/>
      <c r="R82" s="659">
        <f t="shared" si="36"/>
        <v>0</v>
      </c>
      <c r="S82" s="1060">
        <f t="shared" si="37"/>
        <v>0</v>
      </c>
      <c r="T82" s="1060">
        <f t="shared" si="37"/>
        <v>0</v>
      </c>
      <c r="U82" s="1060">
        <f t="shared" si="37"/>
        <v>0</v>
      </c>
      <c r="V82" s="1060"/>
      <c r="W82" s="659">
        <f t="shared" si="38"/>
        <v>0</v>
      </c>
      <c r="X82" s="1060">
        <f t="shared" si="39"/>
        <v>0</v>
      </c>
      <c r="Y82" s="1060">
        <f t="shared" si="39"/>
        <v>0</v>
      </c>
      <c r="Z82" s="1060">
        <f t="shared" si="39"/>
        <v>0</v>
      </c>
      <c r="AA82" s="1060"/>
      <c r="AB82" s="659">
        <f t="shared" si="40"/>
        <v>0</v>
      </c>
    </row>
    <row r="83" spans="2:28" x14ac:dyDescent="0.3">
      <c r="B83" s="465">
        <f t="shared" si="41"/>
        <v>14</v>
      </c>
      <c r="C83" s="467" t="s">
        <v>900</v>
      </c>
      <c r="D83" s="1060">
        <f t="shared" si="31"/>
        <v>0</v>
      </c>
      <c r="E83" s="1060">
        <f t="shared" si="31"/>
        <v>6.1666666666666668E-2</v>
      </c>
      <c r="F83" s="1060">
        <f t="shared" si="31"/>
        <v>0</v>
      </c>
      <c r="G83" s="1060"/>
      <c r="H83" s="659">
        <f t="shared" si="32"/>
        <v>6.1666666666666668E-2</v>
      </c>
      <c r="I83" s="1060">
        <f t="shared" si="33"/>
        <v>6.1666666666666668E-2</v>
      </c>
      <c r="J83" s="1060">
        <f t="shared" si="33"/>
        <v>3.6250000000000004E-2</v>
      </c>
      <c r="K83" s="1060">
        <f t="shared" si="33"/>
        <v>0</v>
      </c>
      <c r="L83" s="1060"/>
      <c r="M83" s="659">
        <f t="shared" si="34"/>
        <v>9.791666666666668E-2</v>
      </c>
      <c r="N83" s="1060">
        <f t="shared" si="35"/>
        <v>9.7916666666666666E-2</v>
      </c>
      <c r="O83" s="1060">
        <f t="shared" si="35"/>
        <v>7.5000000000000011E-2</v>
      </c>
      <c r="P83" s="1060">
        <f t="shared" si="35"/>
        <v>0</v>
      </c>
      <c r="Q83" s="1060"/>
      <c r="R83" s="659">
        <f t="shared" si="36"/>
        <v>0.17291666666666666</v>
      </c>
      <c r="S83" s="1060">
        <f t="shared" si="37"/>
        <v>0.17291666666666666</v>
      </c>
      <c r="T83" s="1060">
        <f t="shared" si="37"/>
        <v>9.0833333333333335E-2</v>
      </c>
      <c r="U83" s="1060">
        <f t="shared" si="37"/>
        <v>0</v>
      </c>
      <c r="V83" s="1060"/>
      <c r="W83" s="659">
        <f t="shared" si="38"/>
        <v>0.26374999999999998</v>
      </c>
      <c r="X83" s="1060">
        <f t="shared" si="39"/>
        <v>0.26374999999999998</v>
      </c>
      <c r="Y83" s="1060">
        <f t="shared" si="39"/>
        <v>0.13250000000000001</v>
      </c>
      <c r="Z83" s="1060">
        <f t="shared" si="39"/>
        <v>0</v>
      </c>
      <c r="AA83" s="1060"/>
      <c r="AB83" s="659">
        <f t="shared" si="40"/>
        <v>0.39624999999999999</v>
      </c>
    </row>
    <row r="84" spans="2:28" x14ac:dyDescent="0.3">
      <c r="B84" s="465">
        <f t="shared" si="41"/>
        <v>15</v>
      </c>
      <c r="C84" s="467" t="s">
        <v>901</v>
      </c>
      <c r="D84" s="1060">
        <f t="shared" si="31"/>
        <v>0</v>
      </c>
      <c r="E84" s="1060">
        <f t="shared" si="31"/>
        <v>0</v>
      </c>
      <c r="F84" s="1060">
        <f t="shared" si="31"/>
        <v>0</v>
      </c>
      <c r="G84" s="1060"/>
      <c r="H84" s="659">
        <f t="shared" si="32"/>
        <v>0</v>
      </c>
      <c r="I84" s="1060">
        <f t="shared" si="33"/>
        <v>0</v>
      </c>
      <c r="J84" s="1060">
        <f t="shared" si="33"/>
        <v>0</v>
      </c>
      <c r="K84" s="1060">
        <f t="shared" si="33"/>
        <v>0</v>
      </c>
      <c r="L84" s="1060"/>
      <c r="M84" s="659">
        <f t="shared" si="34"/>
        <v>0</v>
      </c>
      <c r="N84" s="1060">
        <f t="shared" si="35"/>
        <v>0</v>
      </c>
      <c r="O84" s="1060">
        <f t="shared" si="35"/>
        <v>0</v>
      </c>
      <c r="P84" s="1060">
        <f t="shared" si="35"/>
        <v>0</v>
      </c>
      <c r="Q84" s="1060"/>
      <c r="R84" s="659">
        <f t="shared" si="36"/>
        <v>0</v>
      </c>
      <c r="S84" s="1060">
        <f t="shared" si="37"/>
        <v>0</v>
      </c>
      <c r="T84" s="1060">
        <f t="shared" si="37"/>
        <v>0</v>
      </c>
      <c r="U84" s="1060">
        <f t="shared" si="37"/>
        <v>0</v>
      </c>
      <c r="V84" s="1060"/>
      <c r="W84" s="659">
        <f t="shared" si="38"/>
        <v>0</v>
      </c>
      <c r="X84" s="1060">
        <f t="shared" si="39"/>
        <v>0</v>
      </c>
      <c r="Y84" s="1060">
        <f t="shared" si="39"/>
        <v>0</v>
      </c>
      <c r="Z84" s="1060">
        <f t="shared" si="39"/>
        <v>0</v>
      </c>
      <c r="AA84" s="1060"/>
      <c r="AB84" s="659">
        <f t="shared" si="40"/>
        <v>0</v>
      </c>
    </row>
    <row r="85" spans="2:28" x14ac:dyDescent="0.3">
      <c r="B85" s="465">
        <f t="shared" si="41"/>
        <v>16</v>
      </c>
      <c r="C85" s="467" t="s">
        <v>852</v>
      </c>
      <c r="D85" s="1060">
        <f t="shared" si="31"/>
        <v>0</v>
      </c>
      <c r="E85" s="1060">
        <f t="shared" si="31"/>
        <v>0</v>
      </c>
      <c r="F85" s="1060">
        <f t="shared" si="31"/>
        <v>0</v>
      </c>
      <c r="G85" s="1060"/>
      <c r="H85" s="659">
        <f t="shared" si="32"/>
        <v>0</v>
      </c>
      <c r="I85" s="1060">
        <f t="shared" si="33"/>
        <v>0</v>
      </c>
      <c r="J85" s="1060">
        <f t="shared" si="33"/>
        <v>0</v>
      </c>
      <c r="K85" s="1060">
        <f t="shared" si="33"/>
        <v>0</v>
      </c>
      <c r="L85" s="1060"/>
      <c r="M85" s="659">
        <f t="shared" si="34"/>
        <v>0</v>
      </c>
      <c r="N85" s="1060">
        <f t="shared" si="35"/>
        <v>0</v>
      </c>
      <c r="O85" s="1060">
        <f t="shared" si="35"/>
        <v>0</v>
      </c>
      <c r="P85" s="1060">
        <f t="shared" si="35"/>
        <v>0</v>
      </c>
      <c r="Q85" s="1060"/>
      <c r="R85" s="659">
        <f t="shared" si="36"/>
        <v>0</v>
      </c>
      <c r="S85" s="1060">
        <f t="shared" si="37"/>
        <v>0</v>
      </c>
      <c r="T85" s="1060">
        <f t="shared" si="37"/>
        <v>0</v>
      </c>
      <c r="U85" s="1060">
        <f t="shared" si="37"/>
        <v>0</v>
      </c>
      <c r="V85" s="1060"/>
      <c r="W85" s="659">
        <f t="shared" si="38"/>
        <v>0</v>
      </c>
      <c r="X85" s="1060">
        <f t="shared" si="39"/>
        <v>0</v>
      </c>
      <c r="Y85" s="1060">
        <f t="shared" si="39"/>
        <v>0</v>
      </c>
      <c r="Z85" s="1060">
        <f t="shared" si="39"/>
        <v>0</v>
      </c>
      <c r="AA85" s="1060"/>
      <c r="AB85" s="659">
        <f t="shared" si="40"/>
        <v>0</v>
      </c>
    </row>
    <row r="86" spans="2:28" x14ac:dyDescent="0.3">
      <c r="B86" s="465">
        <f t="shared" si="41"/>
        <v>17</v>
      </c>
      <c r="C86" s="467" t="s">
        <v>902</v>
      </c>
      <c r="D86" s="1060">
        <f t="shared" si="31"/>
        <v>0</v>
      </c>
      <c r="E86" s="1060">
        <f t="shared" si="31"/>
        <v>0</v>
      </c>
      <c r="F86" s="1060">
        <f t="shared" si="31"/>
        <v>0</v>
      </c>
      <c r="G86" s="1060"/>
      <c r="H86" s="659">
        <f t="shared" si="32"/>
        <v>0</v>
      </c>
      <c r="I86" s="1060">
        <f t="shared" si="33"/>
        <v>0</v>
      </c>
      <c r="J86" s="1060">
        <f t="shared" si="33"/>
        <v>0</v>
      </c>
      <c r="K86" s="1060">
        <f t="shared" si="33"/>
        <v>0</v>
      </c>
      <c r="L86" s="1060"/>
      <c r="M86" s="659">
        <f t="shared" si="34"/>
        <v>0</v>
      </c>
      <c r="N86" s="1060">
        <f t="shared" si="35"/>
        <v>0</v>
      </c>
      <c r="O86" s="1060">
        <f t="shared" si="35"/>
        <v>0</v>
      </c>
      <c r="P86" s="1060">
        <f t="shared" si="35"/>
        <v>0</v>
      </c>
      <c r="Q86" s="1060"/>
      <c r="R86" s="659">
        <f t="shared" si="36"/>
        <v>0</v>
      </c>
      <c r="S86" s="1060">
        <f t="shared" si="37"/>
        <v>0</v>
      </c>
      <c r="T86" s="1060">
        <f t="shared" si="37"/>
        <v>0</v>
      </c>
      <c r="U86" s="1060">
        <f t="shared" si="37"/>
        <v>0</v>
      </c>
      <c r="V86" s="1060"/>
      <c r="W86" s="659">
        <f t="shared" si="38"/>
        <v>0</v>
      </c>
      <c r="X86" s="1060">
        <f t="shared" si="39"/>
        <v>0</v>
      </c>
      <c r="Y86" s="1060">
        <f t="shared" si="39"/>
        <v>0</v>
      </c>
      <c r="Z86" s="1060">
        <f t="shared" si="39"/>
        <v>0</v>
      </c>
      <c r="AA86" s="1060"/>
      <c r="AB86" s="659">
        <f t="shared" si="40"/>
        <v>0</v>
      </c>
    </row>
    <row r="87" spans="2:28" ht="16" x14ac:dyDescent="0.3">
      <c r="B87" s="83"/>
      <c r="C87" s="97" t="s">
        <v>270</v>
      </c>
      <c r="D87" s="97">
        <f t="shared" ref="D87:AB87" si="42">SUM(D70:D86)</f>
        <v>0</v>
      </c>
      <c r="E87" s="97">
        <f t="shared" si="42"/>
        <v>132.85387516666665</v>
      </c>
      <c r="F87" s="97">
        <f t="shared" si="42"/>
        <v>0</v>
      </c>
      <c r="G87" s="97">
        <f t="shared" si="42"/>
        <v>0</v>
      </c>
      <c r="H87" s="97">
        <f t="shared" si="42"/>
        <v>132.85387516666665</v>
      </c>
      <c r="I87" s="97">
        <f t="shared" si="42"/>
        <v>132.85387516666665</v>
      </c>
      <c r="J87" s="97">
        <f t="shared" si="42"/>
        <v>111.66793454166664</v>
      </c>
      <c r="K87" s="97">
        <f t="shared" si="42"/>
        <v>0</v>
      </c>
      <c r="L87" s="97">
        <f t="shared" si="42"/>
        <v>0</v>
      </c>
      <c r="M87" s="97">
        <f t="shared" si="42"/>
        <v>244.52180970833336</v>
      </c>
      <c r="N87" s="97">
        <f t="shared" si="42"/>
        <v>244.52180970833336</v>
      </c>
      <c r="O87" s="97">
        <f t="shared" si="42"/>
        <v>70.839536166666676</v>
      </c>
      <c r="P87" s="97">
        <f t="shared" si="42"/>
        <v>0</v>
      </c>
      <c r="Q87" s="97">
        <f t="shared" si="42"/>
        <v>0</v>
      </c>
      <c r="R87" s="97">
        <f t="shared" si="42"/>
        <v>315.36134587499998</v>
      </c>
      <c r="S87" s="97">
        <f t="shared" si="42"/>
        <v>315.36134587499998</v>
      </c>
      <c r="T87" s="97">
        <f t="shared" si="42"/>
        <v>322.03969524999997</v>
      </c>
      <c r="U87" s="97">
        <f t="shared" si="42"/>
        <v>0</v>
      </c>
      <c r="V87" s="97">
        <f t="shared" si="42"/>
        <v>0</v>
      </c>
      <c r="W87" s="97">
        <f t="shared" si="42"/>
        <v>637.40104112500001</v>
      </c>
      <c r="X87" s="97">
        <f t="shared" si="42"/>
        <v>637.40104112500001</v>
      </c>
      <c r="Y87" s="97">
        <f t="shared" si="42"/>
        <v>45.819907083333327</v>
      </c>
      <c r="Z87" s="97">
        <f t="shared" si="42"/>
        <v>0</v>
      </c>
      <c r="AA87" s="97">
        <f t="shared" si="42"/>
        <v>0</v>
      </c>
      <c r="AB87" s="97">
        <f t="shared" si="42"/>
        <v>683.22094820833331</v>
      </c>
    </row>
    <row r="88" spans="2:28" x14ac:dyDescent="0.3">
      <c r="B88" s="267"/>
      <c r="C88" s="1059"/>
      <c r="D88" s="1059"/>
      <c r="E88" s="1059"/>
      <c r="F88" s="1059"/>
      <c r="G88" s="1059"/>
      <c r="H88" s="1059"/>
      <c r="I88" s="1059"/>
      <c r="J88" s="1059"/>
      <c r="K88" s="1059"/>
    </row>
  </sheetData>
  <mergeCells count="36">
    <mergeCell ref="B66:B68"/>
    <mergeCell ref="C66:C68"/>
    <mergeCell ref="D66:H66"/>
    <mergeCell ref="I66:M66"/>
    <mergeCell ref="N66:R66"/>
    <mergeCell ref="D67:H67"/>
    <mergeCell ref="I67:M67"/>
    <mergeCell ref="N67:R67"/>
    <mergeCell ref="X12:AB12"/>
    <mergeCell ref="S12:W12"/>
    <mergeCell ref="D13:H13"/>
    <mergeCell ref="I13:M13"/>
    <mergeCell ref="N13:R13"/>
    <mergeCell ref="S13:W13"/>
    <mergeCell ref="X13:AB13"/>
    <mergeCell ref="N12:R12"/>
    <mergeCell ref="N40:R40"/>
    <mergeCell ref="D41:H41"/>
    <mergeCell ref="I41:M41"/>
    <mergeCell ref="S67:W67"/>
    <mergeCell ref="X67:AB67"/>
    <mergeCell ref="S66:W66"/>
    <mergeCell ref="N41:R41"/>
    <mergeCell ref="S41:W41"/>
    <mergeCell ref="X41:AB41"/>
    <mergeCell ref="S40:W40"/>
    <mergeCell ref="X66:AB66"/>
    <mergeCell ref="X40:AB40"/>
    <mergeCell ref="B12:B14"/>
    <mergeCell ref="C12:C14"/>
    <mergeCell ref="D12:H12"/>
    <mergeCell ref="I12:M12"/>
    <mergeCell ref="B40:B42"/>
    <mergeCell ref="C40:C42"/>
    <mergeCell ref="D40:H40"/>
    <mergeCell ref="I40:M40"/>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E24" sqref="E24"/>
    </sheetView>
  </sheetViews>
  <sheetFormatPr defaultColWidth="9.36328125" defaultRowHeight="14" x14ac:dyDescent="0.25"/>
  <cols>
    <col min="1" max="1" width="6.6328125" style="14" customWidth="1"/>
    <col min="2" max="2" width="7" style="576" customWidth="1"/>
    <col min="3" max="3" width="41.81640625" style="427" customWidth="1"/>
    <col min="4" max="4" width="16.453125" style="427" customWidth="1"/>
    <col min="5" max="5" width="17.36328125" style="427" customWidth="1"/>
    <col min="6" max="6" width="21.36328125" style="427" customWidth="1"/>
    <col min="7" max="7" width="22.36328125" style="427" customWidth="1"/>
    <col min="8" max="9" width="20.6328125" style="427"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36"/>
      <c r="L2" s="16"/>
      <c r="M2" s="16"/>
      <c r="N2" s="16"/>
      <c r="O2" s="16"/>
      <c r="P2" s="16"/>
    </row>
    <row r="3" spans="2:18" s="5" customFormat="1" x14ac:dyDescent="0.3">
      <c r="B3" s="577"/>
      <c r="C3" s="15" t="str">
        <f>Index!B3</f>
        <v>MYT Petition Formats for Parli Units 6 &amp; 7</v>
      </c>
      <c r="D3" s="17"/>
      <c r="E3" s="17"/>
      <c r="F3" s="17"/>
      <c r="G3" s="17"/>
      <c r="H3" s="18"/>
      <c r="I3" s="18"/>
      <c r="J3" s="18"/>
      <c r="K3" s="66"/>
      <c r="L3" s="18"/>
      <c r="M3" s="18"/>
      <c r="N3" s="18"/>
      <c r="O3" s="18"/>
      <c r="P3" s="18"/>
    </row>
    <row r="4" spans="2:18" s="5" customFormat="1" x14ac:dyDescent="0.3">
      <c r="B4" s="577"/>
      <c r="C4" s="19" t="s">
        <v>51</v>
      </c>
      <c r="D4" s="19"/>
      <c r="E4" s="19"/>
      <c r="F4" s="19"/>
      <c r="G4" s="19"/>
      <c r="H4" s="18"/>
      <c r="I4" s="18"/>
      <c r="J4" s="20"/>
      <c r="K4" s="66"/>
      <c r="L4" s="18"/>
      <c r="M4" s="18"/>
      <c r="N4" s="18"/>
      <c r="O4" s="18"/>
      <c r="P4" s="18"/>
    </row>
    <row r="5" spans="2:18" s="5" customFormat="1" x14ac:dyDescent="0.3">
      <c r="B5" s="577"/>
      <c r="C5" s="19"/>
      <c r="D5" s="19"/>
      <c r="E5" s="19"/>
      <c r="F5" s="19"/>
      <c r="G5" s="19"/>
      <c r="H5" s="18"/>
      <c r="I5" s="18"/>
      <c r="J5" s="20"/>
      <c r="K5" s="66"/>
      <c r="L5" s="18"/>
      <c r="M5" s="18"/>
      <c r="N5" s="18"/>
      <c r="O5" s="18"/>
      <c r="P5" s="18"/>
    </row>
    <row r="6" spans="2:18" s="5" customFormat="1" x14ac:dyDescent="0.3">
      <c r="B6" s="577"/>
      <c r="C6" s="19"/>
      <c r="D6" s="19"/>
      <c r="E6" s="19"/>
      <c r="F6" s="19"/>
      <c r="G6" s="19"/>
      <c r="H6" s="18"/>
      <c r="I6" s="18"/>
      <c r="J6" s="20"/>
      <c r="K6" s="66"/>
      <c r="L6" s="18"/>
      <c r="M6" s="18"/>
      <c r="N6" s="18"/>
      <c r="O6" s="18"/>
      <c r="P6" s="18"/>
    </row>
    <row r="7" spans="2:18" s="5" customFormat="1" x14ac:dyDescent="0.3">
      <c r="B7" s="577"/>
      <c r="C7" s="19"/>
      <c r="D7" s="19"/>
      <c r="E7" s="19"/>
      <c r="F7" s="19"/>
      <c r="G7" s="19"/>
      <c r="H7" s="18"/>
      <c r="I7" s="18"/>
      <c r="J7" s="20"/>
      <c r="K7" s="66"/>
      <c r="L7" s="18"/>
      <c r="M7" s="18"/>
      <c r="N7" s="18"/>
      <c r="O7" s="18"/>
      <c r="P7" s="18"/>
    </row>
    <row r="8" spans="2:18" s="5" customFormat="1" ht="17.5" x14ac:dyDescent="0.3">
      <c r="B8" s="577"/>
      <c r="C8" s="101" t="s">
        <v>402</v>
      </c>
      <c r="D8" s="101"/>
      <c r="E8" s="101"/>
      <c r="F8" s="101"/>
      <c r="G8" s="101"/>
      <c r="H8" s="18"/>
      <c r="I8" s="18"/>
      <c r="J8" s="20"/>
      <c r="K8" s="66"/>
      <c r="L8" s="18"/>
      <c r="M8" s="18"/>
      <c r="N8" s="18"/>
      <c r="O8" s="18"/>
      <c r="P8" s="18"/>
    </row>
    <row r="9" spans="2:18" s="5" customFormat="1" x14ac:dyDescent="0.3">
      <c r="B9" s="577"/>
      <c r="C9" s="19"/>
      <c r="D9" s="72"/>
      <c r="E9" s="72"/>
      <c r="F9" s="72"/>
      <c r="G9" s="72"/>
      <c r="H9" s="50"/>
      <c r="I9" s="50"/>
      <c r="J9" s="301"/>
      <c r="K9" s="337"/>
      <c r="L9" s="50"/>
      <c r="N9" s="50"/>
      <c r="O9" s="50"/>
      <c r="P9" s="50"/>
      <c r="Q9" s="287" t="s">
        <v>10</v>
      </c>
    </row>
    <row r="10" spans="2:18" ht="26" customHeight="1" x14ac:dyDescent="0.25">
      <c r="B10" s="1952" t="s">
        <v>342</v>
      </c>
      <c r="C10" s="1752" t="s">
        <v>25</v>
      </c>
      <c r="D10" s="1866" t="s">
        <v>506</v>
      </c>
      <c r="E10" s="1867"/>
      <c r="F10" s="1868"/>
      <c r="G10" s="1866" t="s">
        <v>507</v>
      </c>
      <c r="H10" s="1867"/>
      <c r="I10" s="1868"/>
      <c r="J10" s="1866" t="s">
        <v>508</v>
      </c>
      <c r="K10" s="1867"/>
      <c r="L10" s="1868"/>
      <c r="M10" s="1757" t="s">
        <v>967</v>
      </c>
      <c r="N10" s="1757"/>
      <c r="O10" s="1757"/>
      <c r="P10" s="1757"/>
      <c r="Q10" s="1757"/>
      <c r="R10" s="1769" t="s">
        <v>26</v>
      </c>
    </row>
    <row r="11" spans="2:18" ht="49.5" customHeight="1" x14ac:dyDescent="0.25">
      <c r="B11" s="1952"/>
      <c r="C11" s="1752"/>
      <c r="D11" s="300" t="s">
        <v>966</v>
      </c>
      <c r="E11" s="295" t="s">
        <v>78</v>
      </c>
      <c r="F11" s="295" t="s">
        <v>449</v>
      </c>
      <c r="G11" s="300" t="s">
        <v>966</v>
      </c>
      <c r="H11" s="295" t="s">
        <v>78</v>
      </c>
      <c r="I11" s="295" t="s">
        <v>449</v>
      </c>
      <c r="J11" s="295" t="s">
        <v>966</v>
      </c>
      <c r="K11" s="335" t="s">
        <v>79</v>
      </c>
      <c r="L11" s="295" t="s">
        <v>450</v>
      </c>
      <c r="M11" s="672" t="s">
        <v>968</v>
      </c>
      <c r="N11" s="672" t="s">
        <v>969</v>
      </c>
      <c r="O11" s="672" t="s">
        <v>970</v>
      </c>
      <c r="P11" s="672" t="s">
        <v>971</v>
      </c>
      <c r="Q11" s="672" t="s">
        <v>972</v>
      </c>
      <c r="R11" s="1769"/>
    </row>
    <row r="12" spans="2:18" ht="26" customHeight="1" x14ac:dyDescent="0.25">
      <c r="B12" s="578"/>
      <c r="C12" s="209"/>
      <c r="D12" s="295" t="s">
        <v>80</v>
      </c>
      <c r="E12" s="295" t="s">
        <v>81</v>
      </c>
      <c r="F12" s="295" t="s">
        <v>676</v>
      </c>
      <c r="G12" s="295" t="s">
        <v>390</v>
      </c>
      <c r="H12" s="295" t="s">
        <v>408</v>
      </c>
      <c r="I12" s="295" t="s">
        <v>454</v>
      </c>
      <c r="J12" s="295" t="s">
        <v>409</v>
      </c>
      <c r="K12" s="335" t="s">
        <v>410</v>
      </c>
      <c r="L12" s="295" t="s">
        <v>510</v>
      </c>
      <c r="M12" s="660" t="s">
        <v>21</v>
      </c>
      <c r="N12" s="660" t="s">
        <v>21</v>
      </c>
      <c r="O12" s="660" t="s">
        <v>21</v>
      </c>
      <c r="P12" s="660" t="s">
        <v>21</v>
      </c>
      <c r="Q12" s="660" t="s">
        <v>21</v>
      </c>
      <c r="R12" s="1770"/>
    </row>
    <row r="13" spans="2:18" x14ac:dyDescent="0.3">
      <c r="B13" s="579">
        <v>1</v>
      </c>
      <c r="C13" s="26" t="s">
        <v>396</v>
      </c>
      <c r="D13" s="352"/>
      <c r="E13" s="318"/>
      <c r="F13" s="318">
        <f t="shared" ref="F13:F18" si="0">E13-D13</f>
        <v>0</v>
      </c>
      <c r="G13" s="318"/>
      <c r="H13" s="307"/>
      <c r="I13" s="318">
        <f>H13-G13</f>
        <v>0</v>
      </c>
      <c r="J13" s="307"/>
      <c r="K13" s="319"/>
      <c r="L13" s="307">
        <f>K13-J13</f>
        <v>0</v>
      </c>
      <c r="M13" s="307"/>
      <c r="N13" s="308"/>
      <c r="O13" s="308"/>
      <c r="P13" s="308"/>
      <c r="Q13" s="308"/>
      <c r="R13" s="24"/>
    </row>
    <row r="14" spans="2:18" x14ac:dyDescent="0.3">
      <c r="B14" s="579">
        <f>B13+1</f>
        <v>2</v>
      </c>
      <c r="C14" s="26" t="s">
        <v>397</v>
      </c>
      <c r="D14" s="352"/>
      <c r="E14" s="318"/>
      <c r="F14" s="318">
        <f t="shared" si="0"/>
        <v>0</v>
      </c>
      <c r="G14" s="318"/>
      <c r="H14" s="307"/>
      <c r="I14" s="318">
        <f t="shared" ref="I14:I22" si="1">H14-G14</f>
        <v>0</v>
      </c>
      <c r="J14" s="307"/>
      <c r="K14" s="319"/>
      <c r="L14" s="307">
        <f t="shared" ref="L14:L24" si="2">K14-J14</f>
        <v>0</v>
      </c>
      <c r="M14" s="307"/>
      <c r="N14" s="308"/>
      <c r="O14" s="308"/>
      <c r="P14" s="308"/>
      <c r="Q14" s="308"/>
      <c r="R14" s="24"/>
    </row>
    <row r="15" spans="2:18" s="315" customFormat="1" x14ac:dyDescent="0.3">
      <c r="B15" s="580">
        <f t="shared" ref="B15:B20" si="3">B14+1</f>
        <v>3</v>
      </c>
      <c r="C15" s="680" t="s">
        <v>398</v>
      </c>
      <c r="D15" s="788">
        <v>165.08800660157914</v>
      </c>
      <c r="E15" s="681">
        <f>D15</f>
        <v>165.08800660157914</v>
      </c>
      <c r="F15" s="681">
        <f t="shared" si="0"/>
        <v>0</v>
      </c>
      <c r="G15" s="681">
        <f>D19</f>
        <v>113.39220765775809</v>
      </c>
      <c r="H15" s="681">
        <f>E19</f>
        <v>111.37964075352896</v>
      </c>
      <c r="I15" s="681">
        <f t="shared" si="1"/>
        <v>-2.0125669042291321</v>
      </c>
      <c r="J15" s="682">
        <f>G19</f>
        <v>55.519376972147484</v>
      </c>
      <c r="K15" s="681">
        <f>H19</f>
        <v>42.734722811866448</v>
      </c>
      <c r="L15" s="682">
        <f t="shared" si="2"/>
        <v>-12.784654160281036</v>
      </c>
      <c r="M15" s="681">
        <f>K19</f>
        <v>10.79672758158631</v>
      </c>
      <c r="N15" s="681">
        <f>M19</f>
        <v>60.830543228950731</v>
      </c>
      <c r="O15" s="681">
        <f>N19</f>
        <v>56.63569358464845</v>
      </c>
      <c r="P15" s="681">
        <f>O19</f>
        <v>22.496918269708772</v>
      </c>
      <c r="Q15" s="681">
        <f>P19</f>
        <v>161.92130203810237</v>
      </c>
      <c r="R15" s="119"/>
    </row>
    <row r="16" spans="2:18" s="315" customFormat="1" x14ac:dyDescent="0.3">
      <c r="B16" s="580">
        <f t="shared" si="3"/>
        <v>4</v>
      </c>
      <c r="C16" s="59" t="s">
        <v>399</v>
      </c>
      <c r="D16" s="352"/>
      <c r="E16" s="352">
        <f>'F5'!$F$31*E15/'F5'!D31</f>
        <v>0</v>
      </c>
      <c r="F16" s="352">
        <f t="shared" si="0"/>
        <v>0</v>
      </c>
      <c r="G16" s="352"/>
      <c r="H16" s="319">
        <f>'F5'!$K$31*H15/'F5'!I31</f>
        <v>0</v>
      </c>
      <c r="I16" s="352">
        <f t="shared" si="1"/>
        <v>0</v>
      </c>
      <c r="J16" s="319"/>
      <c r="K16" s="319">
        <f>'F5'!$P$31*K15/'F5'!N31</f>
        <v>0</v>
      </c>
      <c r="L16" s="319">
        <f t="shared" si="2"/>
        <v>0</v>
      </c>
      <c r="M16" s="319"/>
      <c r="N16" s="319"/>
      <c r="O16" s="319"/>
      <c r="P16" s="319"/>
      <c r="Q16" s="319"/>
      <c r="R16" s="119"/>
    </row>
    <row r="17" spans="1:22" s="315" customFormat="1" x14ac:dyDescent="0.3">
      <c r="B17" s="580">
        <f t="shared" si="3"/>
        <v>5</v>
      </c>
      <c r="C17" s="59" t="s">
        <v>465</v>
      </c>
      <c r="D17" s="352">
        <f>'F4'!D14*70%</f>
        <v>26.299000000000003</v>
      </c>
      <c r="E17" s="352">
        <f>'F4'!E14*70%</f>
        <v>24.0244661202</v>
      </c>
      <c r="F17" s="352">
        <f t="shared" si="0"/>
        <v>-2.2745338798000034</v>
      </c>
      <c r="G17" s="352">
        <f>'F4'!G14*70%</f>
        <v>18.059999999999999</v>
      </c>
      <c r="H17" s="319">
        <f>'F4'!H14*70%</f>
        <v>5.5053479123999995</v>
      </c>
      <c r="I17" s="352">
        <f t="shared" si="1"/>
        <v>-12.554652087599999</v>
      </c>
      <c r="J17" s="352">
        <f>'F4'!J14*70%</f>
        <v>101.514</v>
      </c>
      <c r="K17" s="319">
        <f>'F4'!M14*70%</f>
        <v>46.696999999999996</v>
      </c>
      <c r="L17" s="319">
        <f t="shared" si="2"/>
        <v>-54.817</v>
      </c>
      <c r="M17" s="319">
        <f>'F4'!O14*70%</f>
        <v>132.762</v>
      </c>
      <c r="N17" s="319">
        <f>'F4'!P14*70%</f>
        <v>83.824999999999989</v>
      </c>
      <c r="O17" s="319">
        <f>'F4'!Q14*70%</f>
        <v>58.064999999999998</v>
      </c>
      <c r="P17" s="319">
        <f>'F4'!R14*70%</f>
        <v>239.21799999999996</v>
      </c>
      <c r="Q17" s="319">
        <f>'F4'!S14*70%</f>
        <v>51.155999999999999</v>
      </c>
      <c r="R17" s="119"/>
    </row>
    <row r="18" spans="1:22" s="315" customFormat="1" x14ac:dyDescent="0.3">
      <c r="A18" s="807">
        <v>77.994798943821053</v>
      </c>
      <c r="B18" s="580">
        <f t="shared" si="3"/>
        <v>6</v>
      </c>
      <c r="C18" s="59" t="s">
        <v>406</v>
      </c>
      <c r="D18" s="352">
        <f>MIN(D17+D15,A18)</f>
        <v>77.994798943821053</v>
      </c>
      <c r="E18" s="352">
        <f>IF((E15-E16+E17)&lt;'F5 (T)'!$E$85,(E15-E16+E17),'F5 (T)'!$E$85)</f>
        <v>77.732831968250181</v>
      </c>
      <c r="F18" s="352">
        <f t="shared" si="0"/>
        <v>-0.26196697557087134</v>
      </c>
      <c r="G18" s="352">
        <f>MIN(G17+G15,U18)</f>
        <v>75.932830685610611</v>
      </c>
      <c r="H18" s="352">
        <f>IF((H15-H16+H17)&lt;'F5 (T)'!$J$85,(H15-H16+H17),'F5 (T)'!$J$85)</f>
        <v>74.150265854062511</v>
      </c>
      <c r="I18" s="352">
        <f t="shared" si="1"/>
        <v>-1.7825648315481004</v>
      </c>
      <c r="J18" s="352">
        <f>MIN(J17+J15,V18)</f>
        <v>87.59625608770628</v>
      </c>
      <c r="K18" s="352">
        <f>IF((K15-K16+K17)&lt;'F5 (T)'!$O$85,(K15-K16+K17),'F5 (T)'!$O$85)</f>
        <v>78.63499523028014</v>
      </c>
      <c r="L18" s="319">
        <f t="shared" si="2"/>
        <v>-8.9612608574261401</v>
      </c>
      <c r="M18" s="318">
        <f>IF((M15-M16+M17)&lt;'F5 (T)'!T85,(M15-M16+M17),'F5 (T)'!T85)</f>
        <v>82.72818435263558</v>
      </c>
      <c r="N18" s="318">
        <f>IF((N15-N16+N17)&lt;'F5 (T)'!E112,(N15-N16+N17),'F5 (T)'!E112)</f>
        <v>88.019849644302255</v>
      </c>
      <c r="O18" s="318">
        <f>IF((O15-O16+O17)&lt;'F5 (T)'!J112,(O15-O16+O17),'F5 (T)'!J112)</f>
        <v>92.203775314939676</v>
      </c>
      <c r="P18" s="318">
        <f>IF((P15-P16+P17)&lt;'F5 (T)'!O112,(P15-P16+P17),'F5 (T)'!O112)</f>
        <v>99.793616231606364</v>
      </c>
      <c r="Q18" s="318">
        <f>IF((Q15-Q16+Q17)&lt;'F5 (T)'!T112,(Q15-Q16+Q17),'F5 (T)'!T112)</f>
        <v>107.35340439827307</v>
      </c>
      <c r="R18" s="119"/>
      <c r="U18" s="315">
        <f>'F1'!I15</f>
        <v>75.932830685610611</v>
      </c>
      <c r="V18" s="315">
        <f>'F1'!M15</f>
        <v>87.59625608770628</v>
      </c>
    </row>
    <row r="19" spans="1:22" s="315" customFormat="1" x14ac:dyDescent="0.3">
      <c r="B19" s="580">
        <f t="shared" si="3"/>
        <v>7</v>
      </c>
      <c r="C19" s="680" t="s">
        <v>400</v>
      </c>
      <c r="D19" s="681">
        <f>D15-D16+D17-D18</f>
        <v>113.39220765775809</v>
      </c>
      <c r="E19" s="681">
        <f>E15+E17-E18</f>
        <v>111.37964075352896</v>
      </c>
      <c r="F19" s="681">
        <f t="shared" ref="F19:F24" si="4">E19-D19</f>
        <v>-2.0125669042291321</v>
      </c>
      <c r="G19" s="681">
        <f>G15-G16+G17-G18</f>
        <v>55.519376972147484</v>
      </c>
      <c r="H19" s="681">
        <f>H15+H17-H18</f>
        <v>42.734722811866448</v>
      </c>
      <c r="I19" s="681">
        <f t="shared" si="1"/>
        <v>-12.784654160281036</v>
      </c>
      <c r="J19" s="681">
        <f>J15-J16+J17-J18</f>
        <v>69.437120884441214</v>
      </c>
      <c r="K19" s="681">
        <f>K15+K17-K18</f>
        <v>10.79672758158631</v>
      </c>
      <c r="L19" s="682">
        <f t="shared" si="2"/>
        <v>-58.640393302854903</v>
      </c>
      <c r="M19" s="681">
        <f t="shared" ref="M19:Q19" si="5">M15+M17-M18</f>
        <v>60.830543228950731</v>
      </c>
      <c r="N19" s="681">
        <f t="shared" si="5"/>
        <v>56.63569358464845</v>
      </c>
      <c r="O19" s="681">
        <f t="shared" si="5"/>
        <v>22.496918269708772</v>
      </c>
      <c r="P19" s="681">
        <f t="shared" si="5"/>
        <v>161.92130203810237</v>
      </c>
      <c r="Q19" s="681">
        <f t="shared" si="5"/>
        <v>105.7238976398293</v>
      </c>
      <c r="R19" s="119"/>
    </row>
    <row r="20" spans="1:22" s="315" customFormat="1" x14ac:dyDescent="0.3">
      <c r="B20" s="580">
        <f t="shared" si="3"/>
        <v>8</v>
      </c>
      <c r="C20" s="59" t="s">
        <v>401</v>
      </c>
      <c r="D20" s="352"/>
      <c r="E20" s="352"/>
      <c r="F20" s="352">
        <f t="shared" si="4"/>
        <v>0</v>
      </c>
      <c r="G20" s="352"/>
      <c r="H20" s="319"/>
      <c r="I20" s="352">
        <f t="shared" si="1"/>
        <v>0</v>
      </c>
      <c r="J20" s="319"/>
      <c r="K20" s="319"/>
      <c r="L20" s="319">
        <f t="shared" si="2"/>
        <v>0</v>
      </c>
      <c r="M20" s="319"/>
      <c r="N20" s="319"/>
      <c r="O20" s="319"/>
      <c r="P20" s="319"/>
      <c r="Q20" s="319"/>
      <c r="R20" s="119"/>
    </row>
    <row r="21" spans="1:22" s="315" customFormat="1" x14ac:dyDescent="0.3">
      <c r="B21" s="580">
        <v>9</v>
      </c>
      <c r="C21" s="59" t="s">
        <v>469</v>
      </c>
      <c r="D21" s="352">
        <f>AVERAGE(D15,D19)</f>
        <v>139.24010712966862</v>
      </c>
      <c r="E21" s="352">
        <f>AVERAGE(E15,E19)</f>
        <v>138.23382367755406</v>
      </c>
      <c r="F21" s="352">
        <f t="shared" si="4"/>
        <v>-1.0062834521145589</v>
      </c>
      <c r="G21" s="352">
        <f>AVERAGE(G15,G19)</f>
        <v>84.455792314952788</v>
      </c>
      <c r="H21" s="352">
        <f>AVERAGE(H15,H19)</f>
        <v>77.057181782697711</v>
      </c>
      <c r="I21" s="352">
        <f t="shared" si="1"/>
        <v>-7.398610532255077</v>
      </c>
      <c r="J21" s="352">
        <f>AVERAGE(J15,J19)</f>
        <v>62.478248928294349</v>
      </c>
      <c r="K21" s="352">
        <f>AVERAGE(K15,K19)</f>
        <v>26.765725196726379</v>
      </c>
      <c r="L21" s="352">
        <f t="shared" si="2"/>
        <v>-35.71252373156797</v>
      </c>
      <c r="M21" s="352">
        <f>AVERAGE(M15,M19)</f>
        <v>35.813635405268521</v>
      </c>
      <c r="N21" s="352">
        <f t="shared" ref="N21:Q21" si="6">AVERAGE(N15,N19)</f>
        <v>58.733118406799591</v>
      </c>
      <c r="O21" s="352">
        <f t="shared" si="6"/>
        <v>39.566305927178611</v>
      </c>
      <c r="P21" s="352">
        <f t="shared" si="6"/>
        <v>92.20911015390557</v>
      </c>
      <c r="Q21" s="352">
        <f t="shared" si="6"/>
        <v>133.82259983896583</v>
      </c>
      <c r="R21" s="119"/>
    </row>
    <row r="22" spans="1:22" s="315" customFormat="1" ht="15.5" x14ac:dyDescent="0.35">
      <c r="B22" s="580">
        <v>10</v>
      </c>
      <c r="C22" s="59" t="s">
        <v>466</v>
      </c>
      <c r="D22" s="504">
        <v>9.2344248120227027E-2</v>
      </c>
      <c r="E22" s="504">
        <f>(E123+E269)/(E267+E121)</f>
        <v>9.6421832532793406E-2</v>
      </c>
      <c r="F22" s="504">
        <f>E22-D22</f>
        <v>4.077584412566379E-3</v>
      </c>
      <c r="G22" s="827">
        <v>9.2344248120227027E-2</v>
      </c>
      <c r="H22" s="778">
        <f>(H123+H269)/(H267+H121)</f>
        <v>9.7227702414597342E-2</v>
      </c>
      <c r="I22" s="504">
        <f t="shared" si="1"/>
        <v>4.8834542943703152E-3</v>
      </c>
      <c r="J22" s="828">
        <v>9.2344248120227027E-2</v>
      </c>
      <c r="K22" s="360">
        <f>H22</f>
        <v>9.7227702414597342E-2</v>
      </c>
      <c r="L22" s="319">
        <f t="shared" si="2"/>
        <v>4.8834542943703152E-3</v>
      </c>
      <c r="M22" s="565">
        <f>$H$22</f>
        <v>9.7227702414597342E-2</v>
      </c>
      <c r="N22" s="565">
        <f t="shared" ref="N22:Q22" si="7">$H$22</f>
        <v>9.7227702414597342E-2</v>
      </c>
      <c r="O22" s="565">
        <f t="shared" si="7"/>
        <v>9.7227702414597342E-2</v>
      </c>
      <c r="P22" s="565">
        <f t="shared" si="7"/>
        <v>9.7227702414597342E-2</v>
      </c>
      <c r="Q22" s="565">
        <f t="shared" si="7"/>
        <v>9.7227702414597342E-2</v>
      </c>
      <c r="R22" s="119"/>
    </row>
    <row r="23" spans="1:22" s="591" customFormat="1" ht="15.5" x14ac:dyDescent="0.35">
      <c r="B23" s="1131">
        <v>11</v>
      </c>
      <c r="C23" s="681" t="s">
        <v>32</v>
      </c>
      <c r="D23" s="683">
        <f>D21*D22</f>
        <v>12.85802300106911</v>
      </c>
      <c r="E23" s="683">
        <f>E21*E22</f>
        <v>13.328758597004809</v>
      </c>
      <c r="F23" s="683">
        <f t="shared" si="4"/>
        <v>0.47073559593569847</v>
      </c>
      <c r="G23" s="683">
        <f>G21*G22</f>
        <v>7.7990066407223635</v>
      </c>
      <c r="H23" s="683">
        <f>H21*H22</f>
        <v>7.4920927392756642</v>
      </c>
      <c r="I23" s="683">
        <f>H23-G23</f>
        <v>-0.30691390144669928</v>
      </c>
      <c r="J23" s="683">
        <f>J21*J22</f>
        <v>5.7695069211517218</v>
      </c>
      <c r="K23" s="683">
        <f>K21*K22</f>
        <v>2.6023699643382021</v>
      </c>
      <c r="L23" s="683">
        <f>K23-J23</f>
        <v>-3.1671369568135197</v>
      </c>
      <c r="M23" s="683">
        <f>M21*M22</f>
        <v>3.4820774855683352</v>
      </c>
      <c r="N23" s="683">
        <f t="shared" ref="N23:Q23" si="8">N21*N22</f>
        <v>5.7104861583376199</v>
      </c>
      <c r="O23" s="683">
        <f t="shared" si="8"/>
        <v>3.8469410183326409</v>
      </c>
      <c r="P23" s="683">
        <f t="shared" si="8"/>
        <v>8.9652799219587571</v>
      </c>
      <c r="Q23" s="683">
        <f t="shared" si="8"/>
        <v>13.011263913490712</v>
      </c>
      <c r="R23" s="319"/>
    </row>
    <row r="24" spans="1:22" x14ac:dyDescent="0.3">
      <c r="B24" s="579">
        <v>12</v>
      </c>
      <c r="C24" s="26" t="s">
        <v>403</v>
      </c>
      <c r="D24" s="352">
        <v>0.62868953786201598</v>
      </c>
      <c r="E24" s="318">
        <v>1.1037841509472819</v>
      </c>
      <c r="F24" s="318">
        <f t="shared" si="4"/>
        <v>0.4750946130852659</v>
      </c>
      <c r="G24" s="829">
        <v>0.62868953786201598</v>
      </c>
      <c r="H24" s="318">
        <v>0.98352756935705843</v>
      </c>
      <c r="I24" s="829">
        <f t="shared" ref="I24" si="9">H24-G24</f>
        <v>0.35483803149504245</v>
      </c>
      <c r="J24" s="825">
        <v>0.62868953786201598</v>
      </c>
      <c r="K24" s="318">
        <v>0.98352756935705843</v>
      </c>
      <c r="L24" s="307">
        <f t="shared" si="2"/>
        <v>0.35483803149504245</v>
      </c>
      <c r="M24" s="825">
        <v>0.98352756935705843</v>
      </c>
      <c r="N24" s="825">
        <v>0.98352756935705843</v>
      </c>
      <c r="O24" s="825">
        <v>0.98352756935705843</v>
      </c>
      <c r="P24" s="825">
        <v>0.98352756935705843</v>
      </c>
      <c r="Q24" s="825">
        <v>0.98352756935705843</v>
      </c>
      <c r="R24" s="24"/>
    </row>
    <row r="25" spans="1:22" x14ac:dyDescent="0.3">
      <c r="B25" s="581">
        <v>13</v>
      </c>
      <c r="C25" s="25" t="s">
        <v>467</v>
      </c>
      <c r="D25" s="310">
        <f>SUM(D23:D24)</f>
        <v>13.486712538931126</v>
      </c>
      <c r="E25" s="310">
        <f>SUM(E23:E24)</f>
        <v>14.432542747952091</v>
      </c>
      <c r="F25" s="310">
        <f t="shared" ref="F25:M25" si="10">SUM(F23:F24)</f>
        <v>0.94583020902096437</v>
      </c>
      <c r="G25" s="310">
        <f t="shared" si="10"/>
        <v>8.4276961785843802</v>
      </c>
      <c r="H25" s="310">
        <f t="shared" si="10"/>
        <v>8.4756203086327222</v>
      </c>
      <c r="I25" s="310">
        <f t="shared" si="10"/>
        <v>4.7924130048343172E-2</v>
      </c>
      <c r="J25" s="310">
        <f t="shared" si="10"/>
        <v>6.3981964590137377</v>
      </c>
      <c r="K25" s="310">
        <f t="shared" si="10"/>
        <v>3.5858975336952605</v>
      </c>
      <c r="L25" s="310">
        <f t="shared" si="10"/>
        <v>-2.8122989253184771</v>
      </c>
      <c r="M25" s="310">
        <f t="shared" si="10"/>
        <v>4.4656050549253941</v>
      </c>
      <c r="N25" s="310">
        <f t="shared" ref="N25:Q25" si="11">SUM(N23:N24)</f>
        <v>6.6940137276946778</v>
      </c>
      <c r="O25" s="310">
        <f t="shared" si="11"/>
        <v>4.8304685876896993</v>
      </c>
      <c r="P25" s="310">
        <f t="shared" si="11"/>
        <v>9.9488074913158151</v>
      </c>
      <c r="Q25" s="310">
        <f t="shared" si="11"/>
        <v>13.99479148284777</v>
      </c>
      <c r="R25" s="24"/>
    </row>
    <row r="26" spans="1:22" s="5" customFormat="1" x14ac:dyDescent="0.3">
      <c r="B26" s="577"/>
      <c r="C26" s="19"/>
      <c r="D26" s="19"/>
      <c r="E26" s="19"/>
      <c r="F26" s="19"/>
      <c r="G26" s="19"/>
      <c r="H26" s="18"/>
      <c r="I26" s="18"/>
      <c r="J26" s="20"/>
      <c r="K26" s="66"/>
      <c r="L26" s="18"/>
      <c r="M26" s="18"/>
      <c r="N26" s="18"/>
      <c r="O26" s="18"/>
      <c r="P26" s="18"/>
    </row>
    <row r="27" spans="1:22" ht="17.5" x14ac:dyDescent="0.25">
      <c r="C27" s="101" t="s">
        <v>468</v>
      </c>
      <c r="D27" s="101"/>
      <c r="E27" s="101"/>
      <c r="F27" s="101"/>
      <c r="G27" s="101"/>
      <c r="H27" s="14"/>
      <c r="I27" s="14"/>
    </row>
    <row r="28" spans="1:22" x14ac:dyDescent="0.25">
      <c r="C28" s="14"/>
      <c r="D28" s="14"/>
      <c r="E28" s="14"/>
      <c r="F28" s="14"/>
      <c r="G28" s="14"/>
      <c r="H28" s="14"/>
      <c r="I28" s="14"/>
      <c r="O28" s="21"/>
      <c r="P28" s="21"/>
      <c r="Q28" s="21" t="s">
        <v>10</v>
      </c>
    </row>
    <row r="29" spans="1:22" ht="26" customHeight="1" x14ac:dyDescent="0.25">
      <c r="B29" s="1952" t="s">
        <v>342</v>
      </c>
      <c r="C29" s="1752" t="s">
        <v>25</v>
      </c>
      <c r="D29" s="1866" t="s">
        <v>506</v>
      </c>
      <c r="E29" s="1867"/>
      <c r="F29" s="1868"/>
      <c r="G29" s="1866" t="s">
        <v>507</v>
      </c>
      <c r="H29" s="1867"/>
      <c r="I29" s="1868"/>
      <c r="J29" s="1866" t="s">
        <v>508</v>
      </c>
      <c r="K29" s="1867"/>
      <c r="L29" s="1868"/>
      <c r="M29" s="1757" t="s">
        <v>967</v>
      </c>
      <c r="N29" s="1757"/>
      <c r="O29" s="1757"/>
      <c r="P29" s="1757"/>
      <c r="Q29" s="1757"/>
      <c r="R29" s="1769" t="s">
        <v>26</v>
      </c>
    </row>
    <row r="30" spans="1:22" ht="31.5" customHeight="1" x14ac:dyDescent="0.25">
      <c r="B30" s="1952"/>
      <c r="C30" s="1752"/>
      <c r="D30" s="300" t="s">
        <v>448</v>
      </c>
      <c r="E30" s="295" t="s">
        <v>78</v>
      </c>
      <c r="F30" s="295" t="s">
        <v>449</v>
      </c>
      <c r="G30" s="300" t="s">
        <v>448</v>
      </c>
      <c r="H30" s="295" t="s">
        <v>78</v>
      </c>
      <c r="I30" s="295" t="s">
        <v>449</v>
      </c>
      <c r="J30" s="295" t="s">
        <v>448</v>
      </c>
      <c r="K30" s="335" t="s">
        <v>79</v>
      </c>
      <c r="L30" s="295" t="s">
        <v>450</v>
      </c>
      <c r="M30" s="773" t="s">
        <v>968</v>
      </c>
      <c r="N30" s="773" t="s">
        <v>969</v>
      </c>
      <c r="O30" s="773" t="s">
        <v>970</v>
      </c>
      <c r="P30" s="773" t="s">
        <v>971</v>
      </c>
      <c r="Q30" s="773" t="s">
        <v>972</v>
      </c>
      <c r="R30" s="1769"/>
    </row>
    <row r="31" spans="1:22" x14ac:dyDescent="0.25">
      <c r="B31" s="582"/>
      <c r="C31" s="215"/>
      <c r="D31" s="295" t="s">
        <v>80</v>
      </c>
      <c r="E31" s="295" t="s">
        <v>81</v>
      </c>
      <c r="F31" s="295" t="s">
        <v>676</v>
      </c>
      <c r="G31" s="295" t="s">
        <v>390</v>
      </c>
      <c r="H31" s="295" t="s">
        <v>408</v>
      </c>
      <c r="I31" s="295" t="s">
        <v>454</v>
      </c>
      <c r="J31" s="774" t="s">
        <v>409</v>
      </c>
      <c r="K31" s="774" t="s">
        <v>410</v>
      </c>
      <c r="L31" s="774" t="s">
        <v>510</v>
      </c>
      <c r="M31" s="772" t="s">
        <v>21</v>
      </c>
      <c r="N31" s="772" t="s">
        <v>21</v>
      </c>
      <c r="O31" s="772" t="s">
        <v>21</v>
      </c>
      <c r="P31" s="772" t="s">
        <v>21</v>
      </c>
      <c r="Q31" s="772" t="s">
        <v>21</v>
      </c>
      <c r="R31" s="1770"/>
    </row>
    <row r="32" spans="1:22" x14ac:dyDescent="0.3">
      <c r="B32" s="581">
        <v>1</v>
      </c>
      <c r="C32" s="309" t="s">
        <v>1473</v>
      </c>
      <c r="D32" s="836"/>
      <c r="E32" s="836"/>
      <c r="F32" s="836"/>
      <c r="G32" s="310"/>
      <c r="H32" s="307"/>
      <c r="I32" s="307"/>
      <c r="J32" s="307"/>
      <c r="K32" s="319"/>
      <c r="L32" s="307"/>
      <c r="M32" s="307"/>
      <c r="N32" s="308"/>
      <c r="O32" s="308"/>
      <c r="P32" s="308"/>
      <c r="Q32" s="308"/>
      <c r="R32" s="410"/>
    </row>
    <row r="33" spans="2:18" ht="15" customHeight="1" x14ac:dyDescent="0.3">
      <c r="B33" s="579">
        <v>1.1000000000000001</v>
      </c>
      <c r="C33" s="59" t="s">
        <v>28</v>
      </c>
      <c r="D33" s="482"/>
      <c r="E33" s="482">
        <v>0</v>
      </c>
      <c r="F33" s="482">
        <f>E33-D33</f>
        <v>0</v>
      </c>
      <c r="G33" s="482"/>
      <c r="H33" s="482">
        <v>0</v>
      </c>
      <c r="I33" s="482">
        <f>H33-G33</f>
        <v>0</v>
      </c>
      <c r="J33" s="483"/>
      <c r="K33" s="482"/>
      <c r="L33" s="482">
        <f>K33-J33</f>
        <v>0</v>
      </c>
      <c r="M33" s="483"/>
      <c r="N33" s="483"/>
      <c r="O33" s="483"/>
      <c r="P33" s="483"/>
      <c r="Q33" s="483"/>
      <c r="R33" s="413"/>
    </row>
    <row r="34" spans="2:18" ht="29.4" customHeight="1" x14ac:dyDescent="0.3">
      <c r="B34" s="579">
        <f t="shared" ref="B34:B40" si="12">B33+0.1</f>
        <v>1.2000000000000002</v>
      </c>
      <c r="C34" s="837" t="s">
        <v>399</v>
      </c>
      <c r="D34" s="482"/>
      <c r="E34" s="482">
        <v>0</v>
      </c>
      <c r="F34" s="482">
        <f t="shared" ref="F34:F40" si="13">E34-D34</f>
        <v>0</v>
      </c>
      <c r="G34" s="482"/>
      <c r="H34" s="482">
        <v>0</v>
      </c>
      <c r="I34" s="482">
        <f t="shared" ref="I34:I40" si="14">H34-G34</f>
        <v>0</v>
      </c>
      <c r="J34" s="483"/>
      <c r="K34" s="482"/>
      <c r="L34" s="482">
        <f t="shared" ref="L34:L40" si="15">K34-J34</f>
        <v>0</v>
      </c>
      <c r="M34" s="483"/>
      <c r="N34" s="483"/>
      <c r="O34" s="483"/>
      <c r="P34" s="483"/>
      <c r="Q34" s="483"/>
      <c r="R34" s="413"/>
    </row>
    <row r="35" spans="2:18" ht="15" customHeight="1" x14ac:dyDescent="0.3">
      <c r="B35" s="579">
        <f t="shared" si="12"/>
        <v>1.3000000000000003</v>
      </c>
      <c r="C35" s="59" t="s">
        <v>341</v>
      </c>
      <c r="D35" s="482"/>
      <c r="E35" s="482">
        <v>0</v>
      </c>
      <c r="F35" s="482">
        <f t="shared" si="13"/>
        <v>0</v>
      </c>
      <c r="G35" s="482"/>
      <c r="H35" s="482">
        <v>0</v>
      </c>
      <c r="I35" s="482">
        <f t="shared" si="14"/>
        <v>0</v>
      </c>
      <c r="J35" s="483"/>
      <c r="K35" s="482"/>
      <c r="L35" s="482">
        <f t="shared" si="15"/>
        <v>0</v>
      </c>
      <c r="M35" s="483"/>
      <c r="N35" s="483"/>
      <c r="O35" s="483"/>
      <c r="P35" s="483"/>
      <c r="Q35" s="483"/>
      <c r="R35" s="413"/>
    </row>
    <row r="36" spans="2:18" ht="15" customHeight="1" x14ac:dyDescent="0.3">
      <c r="B36" s="579">
        <f t="shared" si="12"/>
        <v>1.4000000000000004</v>
      </c>
      <c r="C36" s="838" t="s">
        <v>29</v>
      </c>
      <c r="D36" s="482"/>
      <c r="E36" s="482">
        <v>0</v>
      </c>
      <c r="F36" s="482">
        <f t="shared" si="13"/>
        <v>0</v>
      </c>
      <c r="G36" s="482"/>
      <c r="H36" s="482">
        <v>0</v>
      </c>
      <c r="I36" s="482">
        <f t="shared" si="14"/>
        <v>0</v>
      </c>
      <c r="J36" s="483"/>
      <c r="K36" s="482"/>
      <c r="L36" s="482">
        <f t="shared" si="15"/>
        <v>0</v>
      </c>
      <c r="M36" s="483"/>
      <c r="N36" s="483"/>
      <c r="O36" s="483"/>
      <c r="P36" s="483"/>
      <c r="Q36" s="483"/>
      <c r="R36" s="413"/>
    </row>
    <row r="37" spans="2:18" ht="15" customHeight="1" x14ac:dyDescent="0.3">
      <c r="B37" s="579">
        <f t="shared" si="12"/>
        <v>1.5000000000000004</v>
      </c>
      <c r="C37" s="838" t="s">
        <v>30</v>
      </c>
      <c r="D37" s="482"/>
      <c r="E37" s="482">
        <f>+E33-E34+E35-E36</f>
        <v>0</v>
      </c>
      <c r="F37" s="482">
        <f t="shared" si="13"/>
        <v>0</v>
      </c>
      <c r="G37" s="482"/>
      <c r="H37" s="482">
        <f>+H33-H34+H35-H36</f>
        <v>0</v>
      </c>
      <c r="I37" s="482">
        <f t="shared" si="14"/>
        <v>0</v>
      </c>
      <c r="J37" s="483"/>
      <c r="K37" s="483">
        <f>+J33-J34+J35-J36</f>
        <v>0</v>
      </c>
      <c r="L37" s="482">
        <f t="shared" si="15"/>
        <v>0</v>
      </c>
      <c r="M37" s="483"/>
      <c r="N37" s="483">
        <f>+M33-M34+M35-M36</f>
        <v>0</v>
      </c>
      <c r="O37" s="483"/>
      <c r="P37" s="483"/>
      <c r="Q37" s="483">
        <f>+O33-O34+O35-O36</f>
        <v>0</v>
      </c>
      <c r="R37" s="413"/>
    </row>
    <row r="38" spans="2:18" ht="15" customHeight="1" x14ac:dyDescent="0.3">
      <c r="B38" s="579">
        <f t="shared" si="12"/>
        <v>1.6000000000000005</v>
      </c>
      <c r="C38" s="838" t="s">
        <v>470</v>
      </c>
      <c r="D38" s="482"/>
      <c r="E38" s="443">
        <f>AVERAGE(E33,E37)</f>
        <v>0</v>
      </c>
      <c r="F38" s="482">
        <f t="shared" si="13"/>
        <v>0</v>
      </c>
      <c r="G38" s="482"/>
      <c r="H38" s="443">
        <f>AVERAGE(H33,H37)</f>
        <v>0</v>
      </c>
      <c r="I38" s="482">
        <f t="shared" si="14"/>
        <v>0</v>
      </c>
      <c r="J38" s="483"/>
      <c r="K38" s="482"/>
      <c r="L38" s="482">
        <f t="shared" si="15"/>
        <v>0</v>
      </c>
      <c r="M38" s="483"/>
      <c r="N38" s="483"/>
      <c r="O38" s="483"/>
      <c r="P38" s="483"/>
      <c r="Q38" s="483"/>
      <c r="R38" s="413"/>
    </row>
    <row r="39" spans="2:18" s="575" customFormat="1" ht="15" customHeight="1" x14ac:dyDescent="0.3">
      <c r="B39" s="583">
        <f t="shared" si="12"/>
        <v>1.7000000000000006</v>
      </c>
      <c r="C39" s="839" t="s">
        <v>31</v>
      </c>
      <c r="D39" s="572"/>
      <c r="E39" s="572">
        <f>IFERROR(E40/E38,0)</f>
        <v>0</v>
      </c>
      <c r="F39" s="572" t="e">
        <f>F40/F38</f>
        <v>#DIV/0!</v>
      </c>
      <c r="G39" s="572"/>
      <c r="H39" s="572">
        <f>IFERROR(H40/H38,0)</f>
        <v>0</v>
      </c>
      <c r="I39" s="572" t="e">
        <f>I40/I38</f>
        <v>#DIV/0!</v>
      </c>
      <c r="J39" s="573"/>
      <c r="K39" s="573" t="e">
        <f>J40/K38</f>
        <v>#DIV/0!</v>
      </c>
      <c r="L39" s="572" t="e">
        <f>L40/L38</f>
        <v>#DIV/0!</v>
      </c>
      <c r="M39" s="573"/>
      <c r="N39" s="573" t="e">
        <f>M40/N38</f>
        <v>#DIV/0!</v>
      </c>
      <c r="O39" s="573"/>
      <c r="P39" s="573"/>
      <c r="Q39" s="573" t="e">
        <f>O40/Q38</f>
        <v>#DIV/0!</v>
      </c>
      <c r="R39" s="574"/>
    </row>
    <row r="40" spans="2:18" ht="15" customHeight="1" x14ac:dyDescent="0.3">
      <c r="B40" s="579">
        <f t="shared" si="12"/>
        <v>1.8000000000000007</v>
      </c>
      <c r="C40" s="838" t="s">
        <v>32</v>
      </c>
      <c r="D40" s="482"/>
      <c r="E40" s="482">
        <v>0</v>
      </c>
      <c r="F40" s="482">
        <f t="shared" si="13"/>
        <v>0</v>
      </c>
      <c r="G40" s="482"/>
      <c r="H40" s="482">
        <v>0</v>
      </c>
      <c r="I40" s="482">
        <f t="shared" si="14"/>
        <v>0</v>
      </c>
      <c r="J40" s="483"/>
      <c r="K40" s="482"/>
      <c r="L40" s="482">
        <f t="shared" si="15"/>
        <v>0</v>
      </c>
      <c r="M40" s="483"/>
      <c r="N40" s="483"/>
      <c r="O40" s="483"/>
      <c r="P40" s="483"/>
      <c r="Q40" s="483"/>
      <c r="R40" s="413"/>
    </row>
    <row r="41" spans="2:18" ht="15" customHeight="1" x14ac:dyDescent="0.3">
      <c r="B41" s="579"/>
      <c r="C41" s="838"/>
      <c r="D41" s="482"/>
      <c r="E41" s="482"/>
      <c r="F41" s="482"/>
      <c r="G41" s="482"/>
      <c r="H41" s="482"/>
      <c r="I41" s="482"/>
      <c r="J41" s="483"/>
      <c r="K41" s="482"/>
      <c r="L41" s="482"/>
      <c r="M41" s="483"/>
      <c r="N41" s="483"/>
      <c r="O41" s="483"/>
      <c r="P41" s="483"/>
      <c r="Q41" s="483"/>
      <c r="R41" s="413"/>
    </row>
    <row r="42" spans="2:18" ht="15" customHeight="1" x14ac:dyDescent="0.3">
      <c r="B42" s="581">
        <v>2</v>
      </c>
      <c r="C42" s="840" t="s">
        <v>1474</v>
      </c>
      <c r="D42" s="482"/>
      <c r="E42" s="482"/>
      <c r="F42" s="482"/>
      <c r="G42" s="482"/>
      <c r="H42" s="482"/>
      <c r="I42" s="482"/>
      <c r="J42" s="483"/>
      <c r="K42" s="482"/>
      <c r="L42" s="482"/>
      <c r="M42" s="483"/>
      <c r="N42" s="483"/>
      <c r="O42" s="483"/>
      <c r="P42" s="483"/>
      <c r="Q42" s="483"/>
      <c r="R42" s="413"/>
    </row>
    <row r="43" spans="2:18" ht="15" customHeight="1" x14ac:dyDescent="0.3">
      <c r="B43" s="579">
        <f t="shared" ref="B43:B50" si="16">B42+0.1</f>
        <v>2.1</v>
      </c>
      <c r="C43" s="838" t="s">
        <v>28</v>
      </c>
      <c r="D43" s="482"/>
      <c r="E43" s="482">
        <v>0</v>
      </c>
      <c r="F43" s="482">
        <f t="shared" ref="F43:F50" si="17">E43-D43</f>
        <v>0</v>
      </c>
      <c r="G43" s="482"/>
      <c r="H43" s="482">
        <v>2.585092363388559E-3</v>
      </c>
      <c r="I43" s="482">
        <f t="shared" ref="I43:I50" si="18">H43-G43</f>
        <v>2.585092363388559E-3</v>
      </c>
      <c r="J43" s="483"/>
      <c r="K43" s="482"/>
      <c r="L43" s="482">
        <f t="shared" ref="L43:L50" si="19">K43-J43</f>
        <v>0</v>
      </c>
      <c r="M43" s="483"/>
      <c r="N43" s="483"/>
      <c r="O43" s="483"/>
      <c r="P43" s="483"/>
      <c r="Q43" s="483"/>
      <c r="R43" s="413"/>
    </row>
    <row r="44" spans="2:18" ht="15" customHeight="1" x14ac:dyDescent="0.3">
      <c r="B44" s="579">
        <f t="shared" si="16"/>
        <v>2.2000000000000002</v>
      </c>
      <c r="C44" s="838" t="s">
        <v>399</v>
      </c>
      <c r="D44" s="482"/>
      <c r="E44" s="482">
        <v>0</v>
      </c>
      <c r="F44" s="482">
        <f t="shared" si="17"/>
        <v>0</v>
      </c>
      <c r="G44" s="482"/>
      <c r="H44" s="482">
        <v>0</v>
      </c>
      <c r="I44" s="482">
        <f t="shared" si="18"/>
        <v>0</v>
      </c>
      <c r="J44" s="483"/>
      <c r="K44" s="482"/>
      <c r="L44" s="482">
        <f t="shared" si="19"/>
        <v>0</v>
      </c>
      <c r="M44" s="483"/>
      <c r="N44" s="483"/>
      <c r="O44" s="483"/>
      <c r="P44" s="483"/>
      <c r="Q44" s="483"/>
      <c r="R44" s="413"/>
    </row>
    <row r="45" spans="2:18" ht="15" customHeight="1" x14ac:dyDescent="0.3">
      <c r="B45" s="579">
        <f t="shared" si="16"/>
        <v>2.3000000000000003</v>
      </c>
      <c r="C45" s="838" t="s">
        <v>341</v>
      </c>
      <c r="D45" s="482"/>
      <c r="E45" s="482">
        <v>0</v>
      </c>
      <c r="F45" s="482">
        <f t="shared" si="17"/>
        <v>0</v>
      </c>
      <c r="G45" s="482"/>
      <c r="H45" s="482">
        <v>0</v>
      </c>
      <c r="I45" s="482">
        <f t="shared" si="18"/>
        <v>0</v>
      </c>
      <c r="J45" s="483"/>
      <c r="K45" s="482"/>
      <c r="L45" s="482">
        <f t="shared" si="19"/>
        <v>0</v>
      </c>
      <c r="M45" s="483"/>
      <c r="N45" s="483"/>
      <c r="O45" s="483"/>
      <c r="P45" s="483"/>
      <c r="Q45" s="483"/>
      <c r="R45" s="413"/>
    </row>
    <row r="46" spans="2:18" ht="15" customHeight="1" x14ac:dyDescent="0.3">
      <c r="B46" s="579">
        <f t="shared" si="16"/>
        <v>2.4000000000000004</v>
      </c>
      <c r="C46" s="838" t="s">
        <v>29</v>
      </c>
      <c r="D46" s="482"/>
      <c r="E46" s="482">
        <v>0</v>
      </c>
      <c r="F46" s="482">
        <f t="shared" si="17"/>
        <v>0</v>
      </c>
      <c r="G46" s="482"/>
      <c r="H46" s="482">
        <v>1.8059960563484823E-3</v>
      </c>
      <c r="I46" s="482">
        <f t="shared" si="18"/>
        <v>1.8059960563484823E-3</v>
      </c>
      <c r="J46" s="483"/>
      <c r="K46" s="482"/>
      <c r="L46" s="482">
        <f t="shared" si="19"/>
        <v>0</v>
      </c>
      <c r="M46" s="483"/>
      <c r="N46" s="483"/>
      <c r="O46" s="483"/>
      <c r="P46" s="483"/>
      <c r="Q46" s="483"/>
      <c r="R46" s="413"/>
    </row>
    <row r="47" spans="2:18" ht="15" customHeight="1" x14ac:dyDescent="0.3">
      <c r="B47" s="579">
        <f t="shared" si="16"/>
        <v>2.5000000000000004</v>
      </c>
      <c r="C47" s="838" t="s">
        <v>30</v>
      </c>
      <c r="D47" s="482"/>
      <c r="E47" s="482">
        <f>+E43-E44+E45-E46</f>
        <v>0</v>
      </c>
      <c r="F47" s="482">
        <f t="shared" si="17"/>
        <v>0</v>
      </c>
      <c r="G47" s="482"/>
      <c r="H47" s="482">
        <f>+H43-H44+H45-H46</f>
        <v>7.790963070400767E-4</v>
      </c>
      <c r="I47" s="482">
        <f t="shared" si="18"/>
        <v>7.790963070400767E-4</v>
      </c>
      <c r="J47" s="483"/>
      <c r="K47" s="483">
        <f>+J43-J44+J45-J46</f>
        <v>0</v>
      </c>
      <c r="L47" s="482">
        <f t="shared" si="19"/>
        <v>0</v>
      </c>
      <c r="M47" s="483"/>
      <c r="N47" s="483">
        <f>+M43-M44+M45-M46</f>
        <v>0</v>
      </c>
      <c r="O47" s="483"/>
      <c r="P47" s="483"/>
      <c r="Q47" s="483">
        <f>+O43-O44+O45-O46</f>
        <v>0</v>
      </c>
      <c r="R47" s="413"/>
    </row>
    <row r="48" spans="2:18" ht="15" customHeight="1" x14ac:dyDescent="0.3">
      <c r="B48" s="579">
        <f t="shared" si="16"/>
        <v>2.6000000000000005</v>
      </c>
      <c r="C48" s="838" t="s">
        <v>470</v>
      </c>
      <c r="D48" s="482"/>
      <c r="E48" s="443">
        <f>AVERAGE(E43,E47)</f>
        <v>0</v>
      </c>
      <c r="F48" s="482">
        <f t="shared" si="17"/>
        <v>0</v>
      </c>
      <c r="G48" s="482"/>
      <c r="H48" s="443">
        <f>AVERAGE(H43,H47)</f>
        <v>1.682094335214318E-3</v>
      </c>
      <c r="I48" s="482">
        <f t="shared" si="18"/>
        <v>1.682094335214318E-3</v>
      </c>
      <c r="J48" s="483"/>
      <c r="K48" s="482"/>
      <c r="L48" s="482">
        <f t="shared" si="19"/>
        <v>0</v>
      </c>
      <c r="M48" s="483"/>
      <c r="N48" s="483"/>
      <c r="O48" s="483"/>
      <c r="P48" s="483"/>
      <c r="Q48" s="483"/>
      <c r="R48" s="413"/>
    </row>
    <row r="49" spans="2:18" s="575" customFormat="1" ht="15" customHeight="1" x14ac:dyDescent="0.3">
      <c r="B49" s="583">
        <f t="shared" si="16"/>
        <v>2.7000000000000006</v>
      </c>
      <c r="C49" s="839" t="s">
        <v>31</v>
      </c>
      <c r="D49" s="572"/>
      <c r="E49" s="572">
        <f>IFERROR(E50/E48,0)</f>
        <v>0</v>
      </c>
      <c r="F49" s="572" t="e">
        <f>F50/F48</f>
        <v>#DIV/0!</v>
      </c>
      <c r="G49" s="572"/>
      <c r="H49" s="572">
        <f>IFERROR(H50/H48,0)</f>
        <v>8.7636431219473621E-2</v>
      </c>
      <c r="I49" s="572">
        <f>I50/I48</f>
        <v>8.7636431219473621E-2</v>
      </c>
      <c r="J49" s="573"/>
      <c r="K49" s="573" t="e">
        <f>J50/K48</f>
        <v>#DIV/0!</v>
      </c>
      <c r="L49" s="572" t="e">
        <f>L50/L48</f>
        <v>#DIV/0!</v>
      </c>
      <c r="M49" s="573"/>
      <c r="N49" s="573" t="e">
        <f>M50/N48</f>
        <v>#DIV/0!</v>
      </c>
      <c r="O49" s="573"/>
      <c r="P49" s="573"/>
      <c r="Q49" s="573" t="e">
        <f>O50/Q48</f>
        <v>#DIV/0!</v>
      </c>
      <c r="R49" s="574"/>
    </row>
    <row r="50" spans="2:18" ht="15" customHeight="1" x14ac:dyDescent="0.3">
      <c r="B50" s="579">
        <f t="shared" si="16"/>
        <v>2.8000000000000007</v>
      </c>
      <c r="C50" s="838" t="s">
        <v>32</v>
      </c>
      <c r="D50" s="482"/>
      <c r="E50" s="482">
        <v>0</v>
      </c>
      <c r="F50" s="482">
        <f t="shared" si="17"/>
        <v>0</v>
      </c>
      <c r="G50" s="482"/>
      <c r="H50" s="482">
        <v>1.4741274451267577E-4</v>
      </c>
      <c r="I50" s="482">
        <f t="shared" si="18"/>
        <v>1.4741274451267577E-4</v>
      </c>
      <c r="J50" s="483"/>
      <c r="K50" s="482"/>
      <c r="L50" s="482">
        <f t="shared" si="19"/>
        <v>0</v>
      </c>
      <c r="M50" s="483"/>
      <c r="N50" s="483"/>
      <c r="O50" s="483"/>
      <c r="P50" s="483"/>
      <c r="Q50" s="483"/>
      <c r="R50" s="413"/>
    </row>
    <row r="51" spans="2:18" ht="15" customHeight="1" x14ac:dyDescent="0.3">
      <c r="B51" s="579"/>
      <c r="C51" s="838"/>
      <c r="D51" s="482"/>
      <c r="E51" s="482"/>
      <c r="F51" s="482"/>
      <c r="G51" s="482"/>
      <c r="H51" s="482"/>
      <c r="I51" s="482"/>
      <c r="J51" s="483"/>
      <c r="K51" s="482"/>
      <c r="L51" s="482"/>
      <c r="M51" s="483"/>
      <c r="N51" s="483"/>
      <c r="O51" s="483"/>
      <c r="P51" s="483"/>
      <c r="Q51" s="483"/>
      <c r="R51" s="413"/>
    </row>
    <row r="52" spans="2:18" ht="15" customHeight="1" x14ac:dyDescent="0.3">
      <c r="B52" s="581">
        <v>3</v>
      </c>
      <c r="C52" s="840" t="s">
        <v>1475</v>
      </c>
      <c r="D52" s="482"/>
      <c r="E52" s="482"/>
      <c r="F52" s="482"/>
      <c r="G52" s="482"/>
      <c r="H52" s="482"/>
      <c r="I52" s="482"/>
      <c r="J52" s="483"/>
      <c r="K52" s="482"/>
      <c r="L52" s="482"/>
      <c r="M52" s="483"/>
      <c r="N52" s="483"/>
      <c r="O52" s="483"/>
      <c r="P52" s="483"/>
      <c r="Q52" s="483"/>
      <c r="R52" s="413"/>
    </row>
    <row r="53" spans="2:18" ht="15" customHeight="1" x14ac:dyDescent="0.3">
      <c r="B53" s="579">
        <f>B52+0.1</f>
        <v>3.1</v>
      </c>
      <c r="C53" s="838" t="s">
        <v>28</v>
      </c>
      <c r="D53" s="482"/>
      <c r="E53" s="482">
        <v>0</v>
      </c>
      <c r="F53" s="482">
        <f t="shared" ref="F53:F60" si="20">E53-D53</f>
        <v>0</v>
      </c>
      <c r="G53" s="482"/>
      <c r="H53" s="482">
        <v>2.7920557255693348</v>
      </c>
      <c r="I53" s="482">
        <f t="shared" ref="I53:I60" si="21">H53-G53</f>
        <v>2.7920557255693348</v>
      </c>
      <c r="J53" s="483"/>
      <c r="K53" s="482"/>
      <c r="L53" s="482">
        <f t="shared" ref="L53:L60" si="22">K53-J53</f>
        <v>0</v>
      </c>
      <c r="M53" s="483"/>
      <c r="N53" s="483"/>
      <c r="O53" s="483"/>
      <c r="P53" s="483"/>
      <c r="Q53" s="483"/>
      <c r="R53" s="413"/>
    </row>
    <row r="54" spans="2:18" ht="15" customHeight="1" x14ac:dyDescent="0.3">
      <c r="B54" s="579">
        <f t="shared" ref="B54:B60" si="23">B53+0.1</f>
        <v>3.2</v>
      </c>
      <c r="C54" s="838" t="s">
        <v>399</v>
      </c>
      <c r="D54" s="482"/>
      <c r="E54" s="482">
        <v>0</v>
      </c>
      <c r="F54" s="482">
        <f t="shared" si="20"/>
        <v>0</v>
      </c>
      <c r="G54" s="482"/>
      <c r="H54" s="482">
        <v>0</v>
      </c>
      <c r="I54" s="482">
        <f t="shared" si="21"/>
        <v>0</v>
      </c>
      <c r="J54" s="483"/>
      <c r="K54" s="482"/>
      <c r="L54" s="482">
        <f t="shared" si="22"/>
        <v>0</v>
      </c>
      <c r="M54" s="483"/>
      <c r="N54" s="483"/>
      <c r="O54" s="483"/>
      <c r="P54" s="483"/>
      <c r="Q54" s="483"/>
      <c r="R54" s="413"/>
    </row>
    <row r="55" spans="2:18" ht="15" customHeight="1" x14ac:dyDescent="0.3">
      <c r="B55" s="579">
        <f t="shared" si="23"/>
        <v>3.3000000000000003</v>
      </c>
      <c r="C55" s="838" t="s">
        <v>341</v>
      </c>
      <c r="D55" s="482"/>
      <c r="E55" s="482">
        <v>0</v>
      </c>
      <c r="F55" s="482">
        <f t="shared" si="20"/>
        <v>0</v>
      </c>
      <c r="G55" s="482"/>
      <c r="H55" s="482">
        <v>0.27733594757609925</v>
      </c>
      <c r="I55" s="482">
        <f t="shared" si="21"/>
        <v>0.27733594757609925</v>
      </c>
      <c r="J55" s="483"/>
      <c r="K55" s="482"/>
      <c r="L55" s="482">
        <f t="shared" si="22"/>
        <v>0</v>
      </c>
      <c r="M55" s="483"/>
      <c r="N55" s="483"/>
      <c r="O55" s="483"/>
      <c r="P55" s="483"/>
      <c r="Q55" s="483"/>
      <c r="R55" s="413"/>
    </row>
    <row r="56" spans="2:18" ht="15" customHeight="1" x14ac:dyDescent="0.3">
      <c r="B56" s="579">
        <f t="shared" si="23"/>
        <v>3.4000000000000004</v>
      </c>
      <c r="C56" s="838" t="s">
        <v>29</v>
      </c>
      <c r="D56" s="482"/>
      <c r="E56" s="482">
        <v>0</v>
      </c>
      <c r="F56" s="482">
        <f t="shared" si="20"/>
        <v>0</v>
      </c>
      <c r="G56" s="482"/>
      <c r="H56" s="482">
        <v>0.35474126545095835</v>
      </c>
      <c r="I56" s="482">
        <f t="shared" si="21"/>
        <v>0.35474126545095835</v>
      </c>
      <c r="J56" s="483"/>
      <c r="K56" s="482"/>
      <c r="L56" s="482">
        <f t="shared" si="22"/>
        <v>0</v>
      </c>
      <c r="M56" s="483"/>
      <c r="N56" s="483"/>
      <c r="O56" s="483"/>
      <c r="P56" s="483"/>
      <c r="Q56" s="483"/>
      <c r="R56" s="413"/>
    </row>
    <row r="57" spans="2:18" ht="15" customHeight="1" x14ac:dyDescent="0.3">
      <c r="B57" s="579">
        <f t="shared" si="23"/>
        <v>3.5000000000000004</v>
      </c>
      <c r="C57" s="838" t="s">
        <v>30</v>
      </c>
      <c r="D57" s="482"/>
      <c r="E57" s="482">
        <f>+E53-E54+E55-E56</f>
        <v>0</v>
      </c>
      <c r="F57" s="482">
        <f t="shared" si="20"/>
        <v>0</v>
      </c>
      <c r="G57" s="482"/>
      <c r="H57" s="482">
        <f>+H53-H54+H55-H56</f>
        <v>2.7146504076944757</v>
      </c>
      <c r="I57" s="482">
        <f t="shared" si="21"/>
        <v>2.7146504076944757</v>
      </c>
      <c r="J57" s="483"/>
      <c r="K57" s="483">
        <f>+J53-J54+J55-J56</f>
        <v>0</v>
      </c>
      <c r="L57" s="482">
        <f t="shared" si="22"/>
        <v>0</v>
      </c>
      <c r="M57" s="483"/>
      <c r="N57" s="483">
        <f>+M53-M54+M55-M56</f>
        <v>0</v>
      </c>
      <c r="O57" s="483"/>
      <c r="P57" s="483"/>
      <c r="Q57" s="483">
        <f>+O53-O54+O55-O56</f>
        <v>0</v>
      </c>
      <c r="R57" s="413"/>
    </row>
    <row r="58" spans="2:18" ht="15" customHeight="1" x14ac:dyDescent="0.3">
      <c r="B58" s="579">
        <f t="shared" si="23"/>
        <v>3.6000000000000005</v>
      </c>
      <c r="C58" s="838" t="s">
        <v>470</v>
      </c>
      <c r="D58" s="482"/>
      <c r="E58" s="443">
        <f>AVERAGE(E53,E57)</f>
        <v>0</v>
      </c>
      <c r="F58" s="482">
        <f t="shared" si="20"/>
        <v>0</v>
      </c>
      <c r="G58" s="482"/>
      <c r="H58" s="443">
        <f>AVERAGE(H53,H57)</f>
        <v>2.753353066631905</v>
      </c>
      <c r="I58" s="482">
        <f t="shared" si="21"/>
        <v>2.753353066631905</v>
      </c>
      <c r="J58" s="483"/>
      <c r="K58" s="482"/>
      <c r="L58" s="482">
        <f t="shared" si="22"/>
        <v>0</v>
      </c>
      <c r="M58" s="483"/>
      <c r="N58" s="483"/>
      <c r="O58" s="483"/>
      <c r="P58" s="483"/>
      <c r="Q58" s="483"/>
      <c r="R58" s="413"/>
    </row>
    <row r="59" spans="2:18" s="575" customFormat="1" ht="15" customHeight="1" x14ac:dyDescent="0.3">
      <c r="B59" s="583">
        <f t="shared" si="23"/>
        <v>3.7000000000000006</v>
      </c>
      <c r="C59" s="839" t="s">
        <v>31</v>
      </c>
      <c r="D59" s="572"/>
      <c r="E59" s="572">
        <f>IFERROR(E60/E58,0)</f>
        <v>0</v>
      </c>
      <c r="F59" s="572" t="e">
        <f>F60/F58</f>
        <v>#DIV/0!</v>
      </c>
      <c r="G59" s="572"/>
      <c r="H59" s="572">
        <f>IFERROR(H60/H58,0)</f>
        <v>0.1068701003806129</v>
      </c>
      <c r="I59" s="572">
        <f>I60/I58</f>
        <v>0.1068701003806129</v>
      </c>
      <c r="J59" s="573"/>
      <c r="K59" s="573" t="e">
        <f>J60/K58</f>
        <v>#DIV/0!</v>
      </c>
      <c r="L59" s="572" t="e">
        <f>L60/L58</f>
        <v>#DIV/0!</v>
      </c>
      <c r="M59" s="573"/>
      <c r="N59" s="573" t="e">
        <f>M60/N58</f>
        <v>#DIV/0!</v>
      </c>
      <c r="O59" s="573"/>
      <c r="P59" s="573"/>
      <c r="Q59" s="573" t="e">
        <f>O60/Q58</f>
        <v>#DIV/0!</v>
      </c>
      <c r="R59" s="574"/>
    </row>
    <row r="60" spans="2:18" ht="15" customHeight="1" x14ac:dyDescent="0.3">
      <c r="B60" s="579">
        <f t="shared" si="23"/>
        <v>3.8000000000000007</v>
      </c>
      <c r="C60" s="838" t="s">
        <v>32</v>
      </c>
      <c r="D60" s="482"/>
      <c r="E60" s="482">
        <v>0</v>
      </c>
      <c r="F60" s="482">
        <f t="shared" si="20"/>
        <v>0</v>
      </c>
      <c r="G60" s="482"/>
      <c r="H60" s="482">
        <v>0.29425111861422004</v>
      </c>
      <c r="I60" s="482">
        <f t="shared" si="21"/>
        <v>0.29425111861422004</v>
      </c>
      <c r="J60" s="483"/>
      <c r="K60" s="482"/>
      <c r="L60" s="482">
        <f t="shared" si="22"/>
        <v>0</v>
      </c>
      <c r="M60" s="483"/>
      <c r="N60" s="483"/>
      <c r="O60" s="483"/>
      <c r="P60" s="483"/>
      <c r="Q60" s="483"/>
      <c r="R60" s="413"/>
    </row>
    <row r="61" spans="2:18" ht="15" customHeight="1" x14ac:dyDescent="0.3">
      <c r="B61" s="581"/>
      <c r="C61" s="840"/>
      <c r="D61" s="482"/>
      <c r="E61" s="482"/>
      <c r="F61" s="482"/>
      <c r="G61" s="482"/>
      <c r="H61" s="482"/>
      <c r="I61" s="482"/>
      <c r="J61" s="483"/>
      <c r="K61" s="482"/>
      <c r="L61" s="482"/>
      <c r="M61" s="483"/>
      <c r="N61" s="483"/>
      <c r="O61" s="483"/>
      <c r="P61" s="483"/>
      <c r="Q61" s="483"/>
      <c r="R61" s="413"/>
    </row>
    <row r="62" spans="2:18" ht="15" customHeight="1" x14ac:dyDescent="0.3">
      <c r="B62" s="581">
        <v>4</v>
      </c>
      <c r="C62" s="840" t="s">
        <v>1476</v>
      </c>
      <c r="D62" s="482"/>
      <c r="E62" s="482"/>
      <c r="F62" s="482"/>
      <c r="G62" s="482"/>
      <c r="H62" s="482"/>
      <c r="I62" s="482"/>
      <c r="J62" s="483"/>
      <c r="K62" s="482"/>
      <c r="L62" s="482"/>
      <c r="M62" s="483"/>
      <c r="N62" s="483"/>
      <c r="O62" s="483"/>
      <c r="P62" s="483"/>
      <c r="Q62" s="483"/>
      <c r="R62" s="413"/>
    </row>
    <row r="63" spans="2:18" ht="15" customHeight="1" x14ac:dyDescent="0.3">
      <c r="B63" s="579">
        <f>B62+0.1</f>
        <v>4.0999999999999996</v>
      </c>
      <c r="C63" s="838" t="s">
        <v>28</v>
      </c>
      <c r="D63" s="482"/>
      <c r="E63" s="482">
        <v>0</v>
      </c>
      <c r="F63" s="482">
        <f t="shared" ref="F63:F70" si="24">E63-D63</f>
        <v>0</v>
      </c>
      <c r="G63" s="482"/>
      <c r="H63" s="482">
        <v>0</v>
      </c>
      <c r="I63" s="482">
        <f t="shared" ref="I63:I70" si="25">H63-G63</f>
        <v>0</v>
      </c>
      <c r="J63" s="483"/>
      <c r="K63" s="482"/>
      <c r="L63" s="482">
        <f t="shared" ref="L63:L70" si="26">K63-J63</f>
        <v>0</v>
      </c>
      <c r="M63" s="483"/>
      <c r="N63" s="483"/>
      <c r="O63" s="483"/>
      <c r="P63" s="483"/>
      <c r="Q63" s="483"/>
      <c r="R63" s="413"/>
    </row>
    <row r="64" spans="2:18" ht="15" customHeight="1" x14ac:dyDescent="0.3">
      <c r="B64" s="579">
        <f t="shared" ref="B64:B70" si="27">B63+0.1</f>
        <v>4.1999999999999993</v>
      </c>
      <c r="C64" s="838" t="s">
        <v>399</v>
      </c>
      <c r="D64" s="482"/>
      <c r="E64" s="482">
        <v>0</v>
      </c>
      <c r="F64" s="482">
        <f t="shared" si="24"/>
        <v>0</v>
      </c>
      <c r="G64" s="482"/>
      <c r="H64" s="482">
        <v>0</v>
      </c>
      <c r="I64" s="482">
        <f t="shared" si="25"/>
        <v>0</v>
      </c>
      <c r="J64" s="483"/>
      <c r="K64" s="482"/>
      <c r="L64" s="482">
        <f t="shared" si="26"/>
        <v>0</v>
      </c>
      <c r="M64" s="483"/>
      <c r="N64" s="483"/>
      <c r="O64" s="483"/>
      <c r="P64" s="483"/>
      <c r="Q64" s="483"/>
      <c r="R64" s="413"/>
    </row>
    <row r="65" spans="2:18" ht="15" customHeight="1" x14ac:dyDescent="0.3">
      <c r="B65" s="579">
        <f t="shared" si="27"/>
        <v>4.2999999999999989</v>
      </c>
      <c r="C65" s="838" t="s">
        <v>341</v>
      </c>
      <c r="D65" s="482"/>
      <c r="E65" s="482">
        <v>0</v>
      </c>
      <c r="F65" s="482">
        <f t="shared" si="24"/>
        <v>0</v>
      </c>
      <c r="G65" s="482"/>
      <c r="H65" s="482">
        <v>0</v>
      </c>
      <c r="I65" s="482">
        <f t="shared" si="25"/>
        <v>0</v>
      </c>
      <c r="J65" s="483"/>
      <c r="K65" s="482"/>
      <c r="L65" s="482">
        <f t="shared" si="26"/>
        <v>0</v>
      </c>
      <c r="M65" s="483"/>
      <c r="N65" s="483"/>
      <c r="O65" s="483"/>
      <c r="P65" s="483"/>
      <c r="Q65" s="483"/>
      <c r="R65" s="413"/>
    </row>
    <row r="66" spans="2:18" ht="15" customHeight="1" x14ac:dyDescent="0.3">
      <c r="B66" s="579">
        <f t="shared" si="27"/>
        <v>4.3999999999999986</v>
      </c>
      <c r="C66" s="838" t="s">
        <v>29</v>
      </c>
      <c r="D66" s="482"/>
      <c r="E66" s="482">
        <v>0</v>
      </c>
      <c r="F66" s="482">
        <f t="shared" si="24"/>
        <v>0</v>
      </c>
      <c r="G66" s="482"/>
      <c r="H66" s="482">
        <v>0</v>
      </c>
      <c r="I66" s="482">
        <f t="shared" si="25"/>
        <v>0</v>
      </c>
      <c r="J66" s="483"/>
      <c r="K66" s="482"/>
      <c r="L66" s="482">
        <f t="shared" si="26"/>
        <v>0</v>
      </c>
      <c r="M66" s="483"/>
      <c r="N66" s="483"/>
      <c r="O66" s="483"/>
      <c r="P66" s="483"/>
      <c r="Q66" s="483"/>
      <c r="R66" s="413"/>
    </row>
    <row r="67" spans="2:18" ht="15" customHeight="1" x14ac:dyDescent="0.3">
      <c r="B67" s="579">
        <f t="shared" si="27"/>
        <v>4.4999999999999982</v>
      </c>
      <c r="C67" s="838" t="s">
        <v>30</v>
      </c>
      <c r="D67" s="482"/>
      <c r="E67" s="482">
        <f>+E63-E64+E65-E66</f>
        <v>0</v>
      </c>
      <c r="F67" s="482">
        <f t="shared" si="24"/>
        <v>0</v>
      </c>
      <c r="G67" s="482"/>
      <c r="H67" s="482">
        <f>+H63-H64+H65-H66</f>
        <v>0</v>
      </c>
      <c r="I67" s="482">
        <f t="shared" si="25"/>
        <v>0</v>
      </c>
      <c r="J67" s="483"/>
      <c r="K67" s="483">
        <f>+J63-J64+J65-J66</f>
        <v>0</v>
      </c>
      <c r="L67" s="482">
        <f t="shared" si="26"/>
        <v>0</v>
      </c>
      <c r="M67" s="483"/>
      <c r="N67" s="483">
        <f>+M63-M64+M65-M66</f>
        <v>0</v>
      </c>
      <c r="O67" s="483"/>
      <c r="P67" s="483"/>
      <c r="Q67" s="483">
        <f>+O63-O64+O65-O66</f>
        <v>0</v>
      </c>
      <c r="R67" s="413"/>
    </row>
    <row r="68" spans="2:18" ht="15" customHeight="1" x14ac:dyDescent="0.3">
      <c r="B68" s="579">
        <f t="shared" si="27"/>
        <v>4.5999999999999979</v>
      </c>
      <c r="C68" s="838" t="s">
        <v>470</v>
      </c>
      <c r="D68" s="482"/>
      <c r="E68" s="443">
        <f>AVERAGE(E63,E67)</f>
        <v>0</v>
      </c>
      <c r="F68" s="482">
        <f t="shared" si="24"/>
        <v>0</v>
      </c>
      <c r="G68" s="482"/>
      <c r="H68" s="443">
        <f>AVERAGE(H63,H67)</f>
        <v>0</v>
      </c>
      <c r="I68" s="482">
        <f t="shared" si="25"/>
        <v>0</v>
      </c>
      <c r="J68" s="483"/>
      <c r="K68" s="482"/>
      <c r="L68" s="482">
        <f t="shared" si="26"/>
        <v>0</v>
      </c>
      <c r="M68" s="483"/>
      <c r="N68" s="483"/>
      <c r="O68" s="483"/>
      <c r="P68" s="483"/>
      <c r="Q68" s="483"/>
      <c r="R68" s="413"/>
    </row>
    <row r="69" spans="2:18" s="575" customFormat="1" ht="15" customHeight="1" x14ac:dyDescent="0.3">
      <c r="B69" s="583">
        <f t="shared" si="27"/>
        <v>4.6999999999999975</v>
      </c>
      <c r="C69" s="839" t="s">
        <v>31</v>
      </c>
      <c r="D69" s="572"/>
      <c r="E69" s="572">
        <f>IFERROR(E70/E68,0)</f>
        <v>0</v>
      </c>
      <c r="F69" s="572" t="e">
        <f>F70/F68</f>
        <v>#DIV/0!</v>
      </c>
      <c r="G69" s="572"/>
      <c r="H69" s="572">
        <f>IFERROR(H70/H68,0)</f>
        <v>0</v>
      </c>
      <c r="I69" s="572" t="e">
        <f>I70/I68</f>
        <v>#DIV/0!</v>
      </c>
      <c r="J69" s="573"/>
      <c r="K69" s="573" t="e">
        <f>J70/K68</f>
        <v>#DIV/0!</v>
      </c>
      <c r="L69" s="572" t="e">
        <f>L70/L68</f>
        <v>#DIV/0!</v>
      </c>
      <c r="M69" s="573"/>
      <c r="N69" s="573" t="e">
        <f>M70/N68</f>
        <v>#DIV/0!</v>
      </c>
      <c r="O69" s="573"/>
      <c r="P69" s="573"/>
      <c r="Q69" s="573" t="e">
        <f>O70/Q68</f>
        <v>#DIV/0!</v>
      </c>
      <c r="R69" s="574"/>
    </row>
    <row r="70" spans="2:18" ht="15" customHeight="1" x14ac:dyDescent="0.3">
      <c r="B70" s="579">
        <f t="shared" si="27"/>
        <v>4.7999999999999972</v>
      </c>
      <c r="C70" s="838" t="s">
        <v>32</v>
      </c>
      <c r="D70" s="482"/>
      <c r="E70" s="482">
        <v>0</v>
      </c>
      <c r="F70" s="482">
        <f t="shared" si="24"/>
        <v>0</v>
      </c>
      <c r="G70" s="482"/>
      <c r="H70" s="482">
        <v>0</v>
      </c>
      <c r="I70" s="482">
        <f t="shared" si="25"/>
        <v>0</v>
      </c>
      <c r="J70" s="483"/>
      <c r="K70" s="482"/>
      <c r="L70" s="482">
        <f t="shared" si="26"/>
        <v>0</v>
      </c>
      <c r="M70" s="483"/>
      <c r="N70" s="483"/>
      <c r="O70" s="483"/>
      <c r="P70" s="483"/>
      <c r="Q70" s="483"/>
      <c r="R70" s="413"/>
    </row>
    <row r="71" spans="2:18" ht="15" customHeight="1" x14ac:dyDescent="0.3">
      <c r="B71" s="581"/>
      <c r="C71" s="840"/>
      <c r="D71" s="482"/>
      <c r="E71" s="482"/>
      <c r="F71" s="482"/>
      <c r="G71" s="482"/>
      <c r="H71" s="482"/>
      <c r="I71" s="482"/>
      <c r="J71" s="483"/>
      <c r="K71" s="482"/>
      <c r="L71" s="482"/>
      <c r="M71" s="483"/>
      <c r="N71" s="483"/>
      <c r="O71" s="483"/>
      <c r="P71" s="483"/>
      <c r="Q71" s="483"/>
      <c r="R71" s="413"/>
    </row>
    <row r="72" spans="2:18" ht="15" customHeight="1" x14ac:dyDescent="0.3">
      <c r="B72" s="581">
        <v>5</v>
      </c>
      <c r="C72" s="840" t="s">
        <v>1477</v>
      </c>
      <c r="D72" s="482"/>
      <c r="E72" s="482"/>
      <c r="F72" s="482"/>
      <c r="G72" s="482"/>
      <c r="H72" s="482"/>
      <c r="I72" s="482"/>
      <c r="J72" s="483"/>
      <c r="K72" s="482"/>
      <c r="L72" s="482"/>
      <c r="M72" s="483"/>
      <c r="N72" s="483"/>
      <c r="O72" s="483"/>
      <c r="P72" s="483"/>
      <c r="Q72" s="483"/>
      <c r="R72" s="413"/>
    </row>
    <row r="73" spans="2:18" ht="15" customHeight="1" x14ac:dyDescent="0.3">
      <c r="B73" s="579">
        <f>B72+0.1</f>
        <v>5.0999999999999996</v>
      </c>
      <c r="C73" s="838" t="s">
        <v>28</v>
      </c>
      <c r="D73" s="482"/>
      <c r="E73" s="482">
        <v>0</v>
      </c>
      <c r="F73" s="482">
        <f t="shared" ref="F73:F80" si="28">E73-D73</f>
        <v>0</v>
      </c>
      <c r="G73" s="482"/>
      <c r="H73" s="482">
        <v>7.0307514008386472E-10</v>
      </c>
      <c r="I73" s="482">
        <f t="shared" ref="I73:I80" si="29">H73-G73</f>
        <v>7.0307514008386472E-10</v>
      </c>
      <c r="J73" s="483"/>
      <c r="K73" s="482"/>
      <c r="L73" s="482">
        <f t="shared" ref="L73:L80" si="30">K73-J73</f>
        <v>0</v>
      </c>
      <c r="M73" s="483"/>
      <c r="N73" s="483"/>
      <c r="O73" s="483"/>
      <c r="P73" s="483"/>
      <c r="Q73" s="483"/>
      <c r="R73" s="413"/>
    </row>
    <row r="74" spans="2:18" ht="15" customHeight="1" x14ac:dyDescent="0.3">
      <c r="B74" s="579">
        <f t="shared" ref="B74:B80" si="31">B73+0.1</f>
        <v>5.1999999999999993</v>
      </c>
      <c r="C74" s="838" t="s">
        <v>399</v>
      </c>
      <c r="D74" s="482"/>
      <c r="E74" s="482">
        <v>0</v>
      </c>
      <c r="F74" s="482">
        <f t="shared" si="28"/>
        <v>0</v>
      </c>
      <c r="G74" s="482"/>
      <c r="H74" s="482">
        <v>0</v>
      </c>
      <c r="I74" s="482">
        <f t="shared" si="29"/>
        <v>0</v>
      </c>
      <c r="J74" s="483"/>
      <c r="K74" s="482"/>
      <c r="L74" s="482">
        <f t="shared" si="30"/>
        <v>0</v>
      </c>
      <c r="M74" s="483"/>
      <c r="N74" s="483"/>
      <c r="O74" s="483"/>
      <c r="P74" s="483"/>
      <c r="Q74" s="483"/>
      <c r="R74" s="413"/>
    </row>
    <row r="75" spans="2:18" ht="15" customHeight="1" x14ac:dyDescent="0.3">
      <c r="B75" s="579">
        <f t="shared" si="31"/>
        <v>5.2999999999999989</v>
      </c>
      <c r="C75" s="838" t="s">
        <v>341</v>
      </c>
      <c r="D75" s="482"/>
      <c r="E75" s="482">
        <v>0</v>
      </c>
      <c r="F75" s="482">
        <f t="shared" si="28"/>
        <v>0</v>
      </c>
      <c r="G75" s="482"/>
      <c r="H75" s="482">
        <v>0</v>
      </c>
      <c r="I75" s="482">
        <f t="shared" si="29"/>
        <v>0</v>
      </c>
      <c r="J75" s="483"/>
      <c r="K75" s="482"/>
      <c r="L75" s="482">
        <f t="shared" si="30"/>
        <v>0</v>
      </c>
      <c r="M75" s="483"/>
      <c r="N75" s="483"/>
      <c r="O75" s="483"/>
      <c r="P75" s="483"/>
      <c r="Q75" s="483"/>
      <c r="R75" s="413"/>
    </row>
    <row r="76" spans="2:18" ht="15" customHeight="1" x14ac:dyDescent="0.3">
      <c r="B76" s="579">
        <f t="shared" si="31"/>
        <v>5.3999999999999986</v>
      </c>
      <c r="C76" s="838" t="s">
        <v>29</v>
      </c>
      <c r="D76" s="482"/>
      <c r="E76" s="482">
        <v>0</v>
      </c>
      <c r="F76" s="482">
        <f t="shared" si="28"/>
        <v>0</v>
      </c>
      <c r="G76" s="482"/>
      <c r="H76" s="482">
        <v>0</v>
      </c>
      <c r="I76" s="482">
        <f t="shared" si="29"/>
        <v>0</v>
      </c>
      <c r="J76" s="483"/>
      <c r="K76" s="482"/>
      <c r="L76" s="482">
        <f t="shared" si="30"/>
        <v>0</v>
      </c>
      <c r="M76" s="483"/>
      <c r="N76" s="483"/>
      <c r="O76" s="483"/>
      <c r="P76" s="483"/>
      <c r="Q76" s="483"/>
      <c r="R76" s="413"/>
    </row>
    <row r="77" spans="2:18" ht="15" customHeight="1" x14ac:dyDescent="0.3">
      <c r="B77" s="579">
        <f t="shared" si="31"/>
        <v>5.4999999999999982</v>
      </c>
      <c r="C77" s="838" t="s">
        <v>30</v>
      </c>
      <c r="D77" s="482"/>
      <c r="E77" s="482">
        <f>+E73-E74+E75-E76</f>
        <v>0</v>
      </c>
      <c r="F77" s="482">
        <f t="shared" si="28"/>
        <v>0</v>
      </c>
      <c r="G77" s="482"/>
      <c r="H77" s="482">
        <f>+H73-H74+H75-H76</f>
        <v>7.0307514008386472E-10</v>
      </c>
      <c r="I77" s="482">
        <f t="shared" si="29"/>
        <v>7.0307514008386472E-10</v>
      </c>
      <c r="J77" s="483"/>
      <c r="K77" s="483">
        <f>+J73-J74+J75-J76</f>
        <v>0</v>
      </c>
      <c r="L77" s="482">
        <f t="shared" si="30"/>
        <v>0</v>
      </c>
      <c r="M77" s="483"/>
      <c r="N77" s="483">
        <f>+M73-M74+M75-M76</f>
        <v>0</v>
      </c>
      <c r="O77" s="483"/>
      <c r="P77" s="483"/>
      <c r="Q77" s="483">
        <f>+O73-O74+O75-O76</f>
        <v>0</v>
      </c>
      <c r="R77" s="413"/>
    </row>
    <row r="78" spans="2:18" ht="15" customHeight="1" x14ac:dyDescent="0.3">
      <c r="B78" s="579">
        <f t="shared" si="31"/>
        <v>5.5999999999999979</v>
      </c>
      <c r="C78" s="838" t="s">
        <v>470</v>
      </c>
      <c r="D78" s="482"/>
      <c r="E78" s="443">
        <f>AVERAGE(E73,E77)</f>
        <v>0</v>
      </c>
      <c r="F78" s="482">
        <f t="shared" si="28"/>
        <v>0</v>
      </c>
      <c r="G78" s="482"/>
      <c r="H78" s="443">
        <f>AVERAGE(H73,H77)</f>
        <v>7.0307514008386472E-10</v>
      </c>
      <c r="I78" s="482">
        <f t="shared" si="29"/>
        <v>7.0307514008386472E-10</v>
      </c>
      <c r="J78" s="483"/>
      <c r="K78" s="482"/>
      <c r="L78" s="482">
        <f t="shared" si="30"/>
        <v>0</v>
      </c>
      <c r="M78" s="483"/>
      <c r="N78" s="483"/>
      <c r="O78" s="483"/>
      <c r="P78" s="483"/>
      <c r="Q78" s="483"/>
      <c r="R78" s="413"/>
    </row>
    <row r="79" spans="2:18" s="575" customFormat="1" ht="15" customHeight="1" x14ac:dyDescent="0.3">
      <c r="B79" s="583">
        <f t="shared" si="31"/>
        <v>5.6999999999999975</v>
      </c>
      <c r="C79" s="839" t="s">
        <v>31</v>
      </c>
      <c r="D79" s="572"/>
      <c r="E79" s="572">
        <f>IFERROR(E80/E78,0)</f>
        <v>0</v>
      </c>
      <c r="F79" s="572" t="e">
        <f>F80/F78</f>
        <v>#DIV/0!</v>
      </c>
      <c r="G79" s="572"/>
      <c r="H79" s="572">
        <f>IFERROR(H80/H78,0)</f>
        <v>0</v>
      </c>
      <c r="I79" s="572">
        <f>I80/I78</f>
        <v>0</v>
      </c>
      <c r="J79" s="573"/>
      <c r="K79" s="573" t="e">
        <f>J80/K78</f>
        <v>#DIV/0!</v>
      </c>
      <c r="L79" s="572" t="e">
        <f>L80/L78</f>
        <v>#DIV/0!</v>
      </c>
      <c r="M79" s="573"/>
      <c r="N79" s="573" t="e">
        <f>M80/N78</f>
        <v>#DIV/0!</v>
      </c>
      <c r="O79" s="573"/>
      <c r="P79" s="573"/>
      <c r="Q79" s="573" t="e">
        <f>O80/Q78</f>
        <v>#DIV/0!</v>
      </c>
      <c r="R79" s="574"/>
    </row>
    <row r="80" spans="2:18" ht="15" customHeight="1" x14ac:dyDescent="0.3">
      <c r="B80" s="579">
        <f t="shared" si="31"/>
        <v>5.7999999999999972</v>
      </c>
      <c r="C80" s="838" t="s">
        <v>32</v>
      </c>
      <c r="D80" s="482"/>
      <c r="E80" s="482">
        <v>0</v>
      </c>
      <c r="F80" s="482">
        <f t="shared" si="28"/>
        <v>0</v>
      </c>
      <c r="G80" s="482"/>
      <c r="H80" s="482">
        <v>0</v>
      </c>
      <c r="I80" s="482">
        <f t="shared" si="29"/>
        <v>0</v>
      </c>
      <c r="J80" s="483"/>
      <c r="K80" s="482"/>
      <c r="L80" s="482">
        <f t="shared" si="30"/>
        <v>0</v>
      </c>
      <c r="M80" s="483"/>
      <c r="N80" s="483"/>
      <c r="O80" s="483"/>
      <c r="P80" s="483"/>
      <c r="Q80" s="483"/>
      <c r="R80" s="413"/>
    </row>
    <row r="81" spans="2:18" ht="15" customHeight="1" x14ac:dyDescent="0.3">
      <c r="B81" s="581"/>
      <c r="C81" s="840"/>
      <c r="D81" s="482"/>
      <c r="E81" s="482"/>
      <c r="F81" s="482"/>
      <c r="G81" s="482"/>
      <c r="H81" s="482"/>
      <c r="I81" s="482"/>
      <c r="J81" s="483"/>
      <c r="K81" s="482"/>
      <c r="L81" s="482"/>
      <c r="M81" s="483"/>
      <c r="N81" s="483"/>
      <c r="O81" s="483"/>
      <c r="P81" s="483"/>
      <c r="Q81" s="483"/>
      <c r="R81" s="413"/>
    </row>
    <row r="82" spans="2:18" ht="15" customHeight="1" x14ac:dyDescent="0.3">
      <c r="B82" s="581">
        <v>6</v>
      </c>
      <c r="C82" s="840" t="s">
        <v>1478</v>
      </c>
      <c r="D82" s="482"/>
      <c r="E82" s="482"/>
      <c r="F82" s="482"/>
      <c r="G82" s="482"/>
      <c r="H82" s="482"/>
      <c r="I82" s="482"/>
      <c r="J82" s="483"/>
      <c r="K82" s="482"/>
      <c r="L82" s="482"/>
      <c r="M82" s="483"/>
      <c r="N82" s="483"/>
      <c r="O82" s="483"/>
      <c r="P82" s="483"/>
      <c r="Q82" s="483"/>
      <c r="R82" s="413"/>
    </row>
    <row r="83" spans="2:18" ht="15" customHeight="1" x14ac:dyDescent="0.3">
      <c r="B83" s="579">
        <f>B82+0.1</f>
        <v>6.1</v>
      </c>
      <c r="C83" s="838" t="s">
        <v>28</v>
      </c>
      <c r="D83" s="482"/>
      <c r="E83" s="482">
        <v>0</v>
      </c>
      <c r="F83" s="482">
        <f t="shared" ref="F83:F90" si="32">E83-D83</f>
        <v>0</v>
      </c>
      <c r="G83" s="482"/>
      <c r="H83" s="482">
        <v>0</v>
      </c>
      <c r="I83" s="482">
        <f t="shared" ref="I83:I90" si="33">H83-G83</f>
        <v>0</v>
      </c>
      <c r="J83" s="483"/>
      <c r="K83" s="482"/>
      <c r="L83" s="482">
        <f t="shared" ref="L83:L90" si="34">K83-J83</f>
        <v>0</v>
      </c>
      <c r="M83" s="483"/>
      <c r="N83" s="483"/>
      <c r="O83" s="483"/>
      <c r="P83" s="483"/>
      <c r="Q83" s="483"/>
      <c r="R83" s="413"/>
    </row>
    <row r="84" spans="2:18" ht="15" customHeight="1" x14ac:dyDescent="0.3">
      <c r="B84" s="579">
        <f t="shared" ref="B84:B90" si="35">B83+0.1</f>
        <v>6.1999999999999993</v>
      </c>
      <c r="C84" s="838" t="s">
        <v>399</v>
      </c>
      <c r="D84" s="482"/>
      <c r="E84" s="482">
        <v>0</v>
      </c>
      <c r="F84" s="482">
        <f t="shared" si="32"/>
        <v>0</v>
      </c>
      <c r="G84" s="482"/>
      <c r="H84" s="482">
        <v>0</v>
      </c>
      <c r="I84" s="482">
        <f t="shared" si="33"/>
        <v>0</v>
      </c>
      <c r="J84" s="483"/>
      <c r="K84" s="482"/>
      <c r="L84" s="482">
        <f t="shared" si="34"/>
        <v>0</v>
      </c>
      <c r="M84" s="483"/>
      <c r="N84" s="483"/>
      <c r="O84" s="483"/>
      <c r="P84" s="483"/>
      <c r="Q84" s="483"/>
      <c r="R84" s="413"/>
    </row>
    <row r="85" spans="2:18" ht="15" customHeight="1" x14ac:dyDescent="0.3">
      <c r="B85" s="579">
        <f t="shared" si="35"/>
        <v>6.2999999999999989</v>
      </c>
      <c r="C85" s="838" t="s">
        <v>341</v>
      </c>
      <c r="D85" s="482"/>
      <c r="E85" s="482">
        <v>0</v>
      </c>
      <c r="F85" s="482">
        <f t="shared" si="32"/>
        <v>0</v>
      </c>
      <c r="G85" s="482"/>
      <c r="H85" s="482">
        <v>0</v>
      </c>
      <c r="I85" s="482">
        <f t="shared" si="33"/>
        <v>0</v>
      </c>
      <c r="J85" s="483"/>
      <c r="K85" s="482"/>
      <c r="L85" s="482">
        <f t="shared" si="34"/>
        <v>0</v>
      </c>
      <c r="M85" s="483"/>
      <c r="N85" s="483"/>
      <c r="O85" s="483"/>
      <c r="P85" s="483"/>
      <c r="Q85" s="483"/>
      <c r="R85" s="413"/>
    </row>
    <row r="86" spans="2:18" ht="15" customHeight="1" x14ac:dyDescent="0.3">
      <c r="B86" s="579">
        <f t="shared" si="35"/>
        <v>6.3999999999999986</v>
      </c>
      <c r="C86" s="838" t="s">
        <v>29</v>
      </c>
      <c r="D86" s="482"/>
      <c r="E86" s="482">
        <v>0</v>
      </c>
      <c r="F86" s="482">
        <f t="shared" si="32"/>
        <v>0</v>
      </c>
      <c r="G86" s="482"/>
      <c r="H86" s="482">
        <v>0</v>
      </c>
      <c r="I86" s="482">
        <f t="shared" si="33"/>
        <v>0</v>
      </c>
      <c r="J86" s="483"/>
      <c r="K86" s="482"/>
      <c r="L86" s="482">
        <f t="shared" si="34"/>
        <v>0</v>
      </c>
      <c r="M86" s="483"/>
      <c r="N86" s="483"/>
      <c r="O86" s="483"/>
      <c r="P86" s="483"/>
      <c r="Q86" s="483"/>
      <c r="R86" s="413"/>
    </row>
    <row r="87" spans="2:18" ht="15" customHeight="1" x14ac:dyDescent="0.3">
      <c r="B87" s="579">
        <f t="shared" si="35"/>
        <v>6.4999999999999982</v>
      </c>
      <c r="C87" s="838" t="s">
        <v>30</v>
      </c>
      <c r="D87" s="482"/>
      <c r="E87" s="482">
        <f>+E83-E84+E85-E86</f>
        <v>0</v>
      </c>
      <c r="F87" s="482">
        <f t="shared" si="32"/>
        <v>0</v>
      </c>
      <c r="G87" s="482"/>
      <c r="H87" s="482">
        <f>+H83-H84+H85-H86</f>
        <v>0</v>
      </c>
      <c r="I87" s="482">
        <f t="shared" si="33"/>
        <v>0</v>
      </c>
      <c r="J87" s="483"/>
      <c r="K87" s="483">
        <f>+J83-J84+J85-J86</f>
        <v>0</v>
      </c>
      <c r="L87" s="482">
        <f t="shared" si="34"/>
        <v>0</v>
      </c>
      <c r="M87" s="483"/>
      <c r="N87" s="483">
        <f>+M83-M84+M85-M86</f>
        <v>0</v>
      </c>
      <c r="O87" s="483"/>
      <c r="P87" s="483"/>
      <c r="Q87" s="483">
        <f>+O83-O84+O85-O86</f>
        <v>0</v>
      </c>
      <c r="R87" s="413"/>
    </row>
    <row r="88" spans="2:18" ht="15" customHeight="1" x14ac:dyDescent="0.3">
      <c r="B88" s="579">
        <f t="shared" si="35"/>
        <v>6.5999999999999979</v>
      </c>
      <c r="C88" s="838" t="s">
        <v>470</v>
      </c>
      <c r="D88" s="482"/>
      <c r="E88" s="443">
        <f>AVERAGE(E83,E87)</f>
        <v>0</v>
      </c>
      <c r="F88" s="482">
        <f t="shared" si="32"/>
        <v>0</v>
      </c>
      <c r="G88" s="482"/>
      <c r="H88" s="443">
        <f>AVERAGE(H83,H87)</f>
        <v>0</v>
      </c>
      <c r="I88" s="482">
        <f t="shared" si="33"/>
        <v>0</v>
      </c>
      <c r="J88" s="483"/>
      <c r="K88" s="482"/>
      <c r="L88" s="482">
        <f t="shared" si="34"/>
        <v>0</v>
      </c>
      <c r="M88" s="483"/>
      <c r="N88" s="483"/>
      <c r="O88" s="483"/>
      <c r="P88" s="483"/>
      <c r="Q88" s="483"/>
      <c r="R88" s="413"/>
    </row>
    <row r="89" spans="2:18" s="575" customFormat="1" ht="15" customHeight="1" x14ac:dyDescent="0.3">
      <c r="B89" s="583">
        <f t="shared" si="35"/>
        <v>6.6999999999999975</v>
      </c>
      <c r="C89" s="839" t="s">
        <v>31</v>
      </c>
      <c r="D89" s="572"/>
      <c r="E89" s="572">
        <f>IFERROR(E90/E88,0)</f>
        <v>0</v>
      </c>
      <c r="F89" s="572" t="e">
        <f>F90/F88</f>
        <v>#DIV/0!</v>
      </c>
      <c r="G89" s="572"/>
      <c r="H89" s="572">
        <f>IFERROR(H90/H88,0)</f>
        <v>0</v>
      </c>
      <c r="I89" s="572" t="e">
        <f>I90/I88</f>
        <v>#DIV/0!</v>
      </c>
      <c r="J89" s="573"/>
      <c r="K89" s="573" t="e">
        <f>J90/K88</f>
        <v>#DIV/0!</v>
      </c>
      <c r="L89" s="572" t="e">
        <f>L90/L88</f>
        <v>#DIV/0!</v>
      </c>
      <c r="M89" s="573"/>
      <c r="N89" s="573" t="e">
        <f>M90/N88</f>
        <v>#DIV/0!</v>
      </c>
      <c r="O89" s="573"/>
      <c r="P89" s="573"/>
      <c r="Q89" s="573" t="e">
        <f>O90/Q88</f>
        <v>#DIV/0!</v>
      </c>
      <c r="R89" s="574"/>
    </row>
    <row r="90" spans="2:18" ht="15" customHeight="1" x14ac:dyDescent="0.3">
      <c r="B90" s="579">
        <f t="shared" si="35"/>
        <v>6.7999999999999972</v>
      </c>
      <c r="C90" s="838" t="s">
        <v>32</v>
      </c>
      <c r="D90" s="482"/>
      <c r="E90" s="482">
        <v>0</v>
      </c>
      <c r="F90" s="482">
        <f t="shared" si="32"/>
        <v>0</v>
      </c>
      <c r="G90" s="482"/>
      <c r="H90" s="482">
        <v>0</v>
      </c>
      <c r="I90" s="482">
        <f t="shared" si="33"/>
        <v>0</v>
      </c>
      <c r="J90" s="483"/>
      <c r="K90" s="482"/>
      <c r="L90" s="482">
        <f t="shared" si="34"/>
        <v>0</v>
      </c>
      <c r="M90" s="483"/>
      <c r="N90" s="483"/>
      <c r="O90" s="483"/>
      <c r="P90" s="483"/>
      <c r="Q90" s="483"/>
      <c r="R90" s="413"/>
    </row>
    <row r="91" spans="2:18" ht="15" customHeight="1" x14ac:dyDescent="0.3">
      <c r="B91" s="581"/>
      <c r="C91" s="840"/>
      <c r="D91" s="482"/>
      <c r="E91" s="482"/>
      <c r="F91" s="482"/>
      <c r="G91" s="482"/>
      <c r="H91" s="482"/>
      <c r="I91" s="482"/>
      <c r="J91" s="483"/>
      <c r="K91" s="482"/>
      <c r="L91" s="482"/>
      <c r="M91" s="483"/>
      <c r="N91" s="483"/>
      <c r="O91" s="483"/>
      <c r="P91" s="483"/>
      <c r="Q91" s="483"/>
      <c r="R91" s="413"/>
    </row>
    <row r="92" spans="2:18" ht="15" customHeight="1" x14ac:dyDescent="0.3">
      <c r="B92" s="581">
        <v>7</v>
      </c>
      <c r="C92" s="840" t="s">
        <v>1479</v>
      </c>
      <c r="D92" s="482"/>
      <c r="E92" s="482"/>
      <c r="F92" s="482"/>
      <c r="G92" s="482"/>
      <c r="H92" s="482"/>
      <c r="I92" s="482"/>
      <c r="J92" s="483"/>
      <c r="K92" s="482"/>
      <c r="L92" s="482"/>
      <c r="M92" s="483"/>
      <c r="N92" s="483"/>
      <c r="O92" s="483"/>
      <c r="P92" s="483"/>
      <c r="Q92" s="483"/>
      <c r="R92" s="413"/>
    </row>
    <row r="93" spans="2:18" ht="15" customHeight="1" x14ac:dyDescent="0.3">
      <c r="B93" s="579">
        <f>B92+0.1</f>
        <v>7.1</v>
      </c>
      <c r="C93" s="838" t="s">
        <v>28</v>
      </c>
      <c r="D93" s="482"/>
      <c r="E93" s="482">
        <v>0</v>
      </c>
      <c r="F93" s="482">
        <f t="shared" ref="F93:F100" si="36">E93-D93</f>
        <v>0</v>
      </c>
      <c r="G93" s="482"/>
      <c r="H93" s="482">
        <v>0</v>
      </c>
      <c r="I93" s="482">
        <f t="shared" ref="I93:I100" si="37">H93-G93</f>
        <v>0</v>
      </c>
      <c r="J93" s="483"/>
      <c r="K93" s="482"/>
      <c r="L93" s="482">
        <f t="shared" ref="L93:L100" si="38">K93-J93</f>
        <v>0</v>
      </c>
      <c r="M93" s="483"/>
      <c r="N93" s="483"/>
      <c r="O93" s="483"/>
      <c r="P93" s="483"/>
      <c r="Q93" s="483"/>
      <c r="R93" s="413"/>
    </row>
    <row r="94" spans="2:18" ht="15" customHeight="1" x14ac:dyDescent="0.3">
      <c r="B94" s="579">
        <f t="shared" ref="B94:B100" si="39">B93+0.1</f>
        <v>7.1999999999999993</v>
      </c>
      <c r="C94" s="838" t="s">
        <v>399</v>
      </c>
      <c r="D94" s="482"/>
      <c r="E94" s="482">
        <v>0</v>
      </c>
      <c r="F94" s="482">
        <f t="shared" si="36"/>
        <v>0</v>
      </c>
      <c r="G94" s="482"/>
      <c r="H94" s="482">
        <v>0</v>
      </c>
      <c r="I94" s="482">
        <f t="shared" si="37"/>
        <v>0</v>
      </c>
      <c r="J94" s="483"/>
      <c r="K94" s="482"/>
      <c r="L94" s="482">
        <f t="shared" si="38"/>
        <v>0</v>
      </c>
      <c r="M94" s="483"/>
      <c r="N94" s="483"/>
      <c r="O94" s="483"/>
      <c r="P94" s="483"/>
      <c r="Q94" s="483"/>
      <c r="R94" s="413"/>
    </row>
    <row r="95" spans="2:18" ht="15" customHeight="1" x14ac:dyDescent="0.3">
      <c r="B95" s="579">
        <f t="shared" si="39"/>
        <v>7.2999999999999989</v>
      </c>
      <c r="C95" s="838" t="s">
        <v>341</v>
      </c>
      <c r="D95" s="482"/>
      <c r="E95" s="482">
        <v>0</v>
      </c>
      <c r="F95" s="482">
        <f t="shared" si="36"/>
        <v>0</v>
      </c>
      <c r="G95" s="482"/>
      <c r="H95" s="482">
        <v>0</v>
      </c>
      <c r="I95" s="482">
        <f t="shared" si="37"/>
        <v>0</v>
      </c>
      <c r="J95" s="483"/>
      <c r="K95" s="482"/>
      <c r="L95" s="482">
        <f t="shared" si="38"/>
        <v>0</v>
      </c>
      <c r="M95" s="483"/>
      <c r="N95" s="483"/>
      <c r="O95" s="483"/>
      <c r="P95" s="483"/>
      <c r="Q95" s="483"/>
      <c r="R95" s="413"/>
    </row>
    <row r="96" spans="2:18" ht="15" customHeight="1" x14ac:dyDescent="0.3">
      <c r="B96" s="579">
        <f t="shared" si="39"/>
        <v>7.3999999999999986</v>
      </c>
      <c r="C96" s="838" t="s">
        <v>29</v>
      </c>
      <c r="D96" s="482"/>
      <c r="E96" s="482">
        <v>0</v>
      </c>
      <c r="F96" s="482">
        <f t="shared" si="36"/>
        <v>0</v>
      </c>
      <c r="G96" s="482"/>
      <c r="H96" s="482">
        <v>0</v>
      </c>
      <c r="I96" s="482">
        <f t="shared" si="37"/>
        <v>0</v>
      </c>
      <c r="J96" s="483"/>
      <c r="K96" s="482"/>
      <c r="L96" s="482">
        <f t="shared" si="38"/>
        <v>0</v>
      </c>
      <c r="M96" s="483"/>
      <c r="N96" s="483"/>
      <c r="O96" s="483"/>
      <c r="P96" s="483"/>
      <c r="Q96" s="483"/>
      <c r="R96" s="413"/>
    </row>
    <row r="97" spans="2:18" ht="15" customHeight="1" x14ac:dyDescent="0.3">
      <c r="B97" s="579">
        <f t="shared" si="39"/>
        <v>7.4999999999999982</v>
      </c>
      <c r="C97" s="838" t="s">
        <v>30</v>
      </c>
      <c r="D97" s="482"/>
      <c r="E97" s="482">
        <f>+E93-E94+E95-E96</f>
        <v>0</v>
      </c>
      <c r="F97" s="482">
        <f t="shared" si="36"/>
        <v>0</v>
      </c>
      <c r="G97" s="482"/>
      <c r="H97" s="482">
        <f>+H93-H94+H95-H96</f>
        <v>0</v>
      </c>
      <c r="I97" s="482">
        <f t="shared" si="37"/>
        <v>0</v>
      </c>
      <c r="J97" s="483"/>
      <c r="K97" s="482">
        <f>+K93-K94+K95-K96</f>
        <v>0</v>
      </c>
      <c r="L97" s="482">
        <f t="shared" si="38"/>
        <v>0</v>
      </c>
      <c r="M97" s="483"/>
      <c r="N97" s="483">
        <f>+M93-M94+M95-M96</f>
        <v>0</v>
      </c>
      <c r="O97" s="483"/>
      <c r="P97" s="483"/>
      <c r="Q97" s="483">
        <f>+O93-O94+O95-O96</f>
        <v>0</v>
      </c>
      <c r="R97" s="413"/>
    </row>
    <row r="98" spans="2:18" ht="15" customHeight="1" x14ac:dyDescent="0.3">
      <c r="B98" s="579">
        <f t="shared" si="39"/>
        <v>7.5999999999999979</v>
      </c>
      <c r="C98" s="838" t="s">
        <v>470</v>
      </c>
      <c r="D98" s="482"/>
      <c r="E98" s="443">
        <f>AVERAGE(E93,E97)</f>
        <v>0</v>
      </c>
      <c r="F98" s="482">
        <f t="shared" si="36"/>
        <v>0</v>
      </c>
      <c r="G98" s="482"/>
      <c r="H98" s="443">
        <f>AVERAGE(H93,H97)</f>
        <v>0</v>
      </c>
      <c r="I98" s="482">
        <f t="shared" si="37"/>
        <v>0</v>
      </c>
      <c r="J98" s="483"/>
      <c r="K98" s="482"/>
      <c r="L98" s="482">
        <f t="shared" si="38"/>
        <v>0</v>
      </c>
      <c r="M98" s="483"/>
      <c r="N98" s="483"/>
      <c r="O98" s="483"/>
      <c r="P98" s="483"/>
      <c r="Q98" s="483"/>
      <c r="R98" s="413"/>
    </row>
    <row r="99" spans="2:18" s="575" customFormat="1" ht="15" customHeight="1" x14ac:dyDescent="0.3">
      <c r="B99" s="583">
        <f t="shared" si="39"/>
        <v>7.6999999999999975</v>
      </c>
      <c r="C99" s="839" t="s">
        <v>31</v>
      </c>
      <c r="D99" s="572"/>
      <c r="E99" s="572">
        <f>IFERROR(E100/E98,0)</f>
        <v>0</v>
      </c>
      <c r="F99" s="572" t="e">
        <f>F100/F98</f>
        <v>#DIV/0!</v>
      </c>
      <c r="G99" s="572"/>
      <c r="H99" s="572">
        <f>IFERROR(H100/H98,0)</f>
        <v>0</v>
      </c>
      <c r="I99" s="572" t="e">
        <f>I100/I98</f>
        <v>#DIV/0!</v>
      </c>
      <c r="J99" s="573"/>
      <c r="K99" s="573" t="e">
        <f>J100/K98</f>
        <v>#DIV/0!</v>
      </c>
      <c r="L99" s="572" t="e">
        <f>L100/L98</f>
        <v>#DIV/0!</v>
      </c>
      <c r="M99" s="573"/>
      <c r="N99" s="573" t="e">
        <f>M100/N98</f>
        <v>#DIV/0!</v>
      </c>
      <c r="O99" s="573"/>
      <c r="P99" s="573"/>
      <c r="Q99" s="573" t="e">
        <f>O100/Q98</f>
        <v>#DIV/0!</v>
      </c>
      <c r="R99" s="574"/>
    </row>
    <row r="100" spans="2:18" ht="15" customHeight="1" x14ac:dyDescent="0.3">
      <c r="B100" s="579">
        <f t="shared" si="39"/>
        <v>7.7999999999999972</v>
      </c>
      <c r="C100" s="838" t="s">
        <v>32</v>
      </c>
      <c r="D100" s="482"/>
      <c r="E100" s="482">
        <v>0</v>
      </c>
      <c r="F100" s="482">
        <f t="shared" si="36"/>
        <v>0</v>
      </c>
      <c r="G100" s="482"/>
      <c r="H100" s="482">
        <v>0</v>
      </c>
      <c r="I100" s="482">
        <f t="shared" si="37"/>
        <v>0</v>
      </c>
      <c r="J100" s="483"/>
      <c r="K100" s="482"/>
      <c r="L100" s="482">
        <f t="shared" si="38"/>
        <v>0</v>
      </c>
      <c r="M100" s="483"/>
      <c r="N100" s="483"/>
      <c r="O100" s="483"/>
      <c r="P100" s="483"/>
      <c r="Q100" s="483"/>
      <c r="R100" s="413"/>
    </row>
    <row r="101" spans="2:18" ht="15" customHeight="1" x14ac:dyDescent="0.3">
      <c r="B101" s="581"/>
      <c r="C101" s="840"/>
      <c r="D101" s="482"/>
      <c r="E101" s="482"/>
      <c r="F101" s="482"/>
      <c r="G101" s="482"/>
      <c r="H101" s="482"/>
      <c r="I101" s="482"/>
      <c r="J101" s="483"/>
      <c r="K101" s="482"/>
      <c r="L101" s="482"/>
      <c r="M101" s="483"/>
      <c r="N101" s="483"/>
      <c r="O101" s="483"/>
      <c r="P101" s="483"/>
      <c r="Q101" s="483"/>
      <c r="R101" s="413"/>
    </row>
    <row r="102" spans="2:18" ht="15" customHeight="1" x14ac:dyDescent="0.3">
      <c r="B102" s="581">
        <v>8</v>
      </c>
      <c r="C102" s="840" t="s">
        <v>1480</v>
      </c>
      <c r="D102" s="482"/>
      <c r="E102" s="482"/>
      <c r="F102" s="482"/>
      <c r="G102" s="482"/>
      <c r="H102" s="482"/>
      <c r="I102" s="482"/>
      <c r="J102" s="483"/>
      <c r="K102" s="482"/>
      <c r="L102" s="482"/>
      <c r="M102" s="483"/>
      <c r="N102" s="483"/>
      <c r="O102" s="483"/>
      <c r="P102" s="483"/>
      <c r="Q102" s="483"/>
      <c r="R102" s="413"/>
    </row>
    <row r="103" spans="2:18" ht="15" customHeight="1" x14ac:dyDescent="0.3">
      <c r="B103" s="579">
        <f>B102+0.1</f>
        <v>8.1</v>
      </c>
      <c r="C103" s="838" t="s">
        <v>28</v>
      </c>
      <c r="D103" s="482"/>
      <c r="E103" s="482">
        <v>0</v>
      </c>
      <c r="F103" s="482">
        <f t="shared" ref="F103:F110" si="40">E103-D103</f>
        <v>0</v>
      </c>
      <c r="G103" s="482"/>
      <c r="H103" s="482">
        <v>0</v>
      </c>
      <c r="I103" s="482">
        <f t="shared" ref="I103:I110" si="41">H103-G103</f>
        <v>0</v>
      </c>
      <c r="J103" s="483"/>
      <c r="K103" s="482"/>
      <c r="L103" s="482">
        <f t="shared" ref="L103:L110" si="42">K103-J103</f>
        <v>0</v>
      </c>
      <c r="M103" s="483"/>
      <c r="N103" s="483"/>
      <c r="O103" s="483"/>
      <c r="P103" s="483"/>
      <c r="Q103" s="483"/>
      <c r="R103" s="413"/>
    </row>
    <row r="104" spans="2:18" ht="15" customHeight="1" x14ac:dyDescent="0.3">
      <c r="B104" s="579">
        <f t="shared" ref="B104:B110" si="43">B103+0.1</f>
        <v>8.1999999999999993</v>
      </c>
      <c r="C104" s="838" t="s">
        <v>399</v>
      </c>
      <c r="D104" s="482"/>
      <c r="E104" s="482">
        <v>0</v>
      </c>
      <c r="F104" s="482">
        <f t="shared" si="40"/>
        <v>0</v>
      </c>
      <c r="G104" s="482"/>
      <c r="H104" s="482">
        <v>0</v>
      </c>
      <c r="I104" s="482">
        <f t="shared" si="41"/>
        <v>0</v>
      </c>
      <c r="J104" s="483"/>
      <c r="K104" s="482"/>
      <c r="L104" s="482">
        <f t="shared" si="42"/>
        <v>0</v>
      </c>
      <c r="M104" s="483"/>
      <c r="N104" s="483"/>
      <c r="O104" s="483"/>
      <c r="P104" s="483"/>
      <c r="Q104" s="483"/>
      <c r="R104" s="413"/>
    </row>
    <row r="105" spans="2:18" ht="15" customHeight="1" x14ac:dyDescent="0.3">
      <c r="B105" s="579">
        <f t="shared" si="43"/>
        <v>8.2999999999999989</v>
      </c>
      <c r="C105" s="838" t="s">
        <v>341</v>
      </c>
      <c r="D105" s="482"/>
      <c r="E105" s="482">
        <v>0</v>
      </c>
      <c r="F105" s="482">
        <f t="shared" si="40"/>
        <v>0</v>
      </c>
      <c r="G105" s="482"/>
      <c r="H105" s="482">
        <v>0</v>
      </c>
      <c r="I105" s="482">
        <f t="shared" si="41"/>
        <v>0</v>
      </c>
      <c r="J105" s="483"/>
      <c r="K105" s="482"/>
      <c r="L105" s="482">
        <f t="shared" si="42"/>
        <v>0</v>
      </c>
      <c r="M105" s="483"/>
      <c r="N105" s="483"/>
      <c r="O105" s="483"/>
      <c r="P105" s="483"/>
      <c r="Q105" s="483"/>
      <c r="R105" s="413"/>
    </row>
    <row r="106" spans="2:18" ht="15" customHeight="1" x14ac:dyDescent="0.3">
      <c r="B106" s="579">
        <f t="shared" si="43"/>
        <v>8.3999999999999986</v>
      </c>
      <c r="C106" s="838" t="s">
        <v>29</v>
      </c>
      <c r="D106" s="482"/>
      <c r="E106" s="482">
        <v>0</v>
      </c>
      <c r="F106" s="482">
        <f t="shared" si="40"/>
        <v>0</v>
      </c>
      <c r="G106" s="482"/>
      <c r="H106" s="482">
        <v>0</v>
      </c>
      <c r="I106" s="482">
        <f t="shared" si="41"/>
        <v>0</v>
      </c>
      <c r="J106" s="483"/>
      <c r="K106" s="482"/>
      <c r="L106" s="482">
        <f t="shared" si="42"/>
        <v>0</v>
      </c>
      <c r="M106" s="483"/>
      <c r="N106" s="483"/>
      <c r="O106" s="483"/>
      <c r="P106" s="483"/>
      <c r="Q106" s="483"/>
      <c r="R106" s="413"/>
    </row>
    <row r="107" spans="2:18" ht="15" customHeight="1" x14ac:dyDescent="0.3">
      <c r="B107" s="579">
        <f t="shared" si="43"/>
        <v>8.4999999999999982</v>
      </c>
      <c r="C107" s="838" t="s">
        <v>30</v>
      </c>
      <c r="D107" s="482"/>
      <c r="E107" s="482">
        <f>+E103-E104+E105-E106</f>
        <v>0</v>
      </c>
      <c r="F107" s="482">
        <f t="shared" si="40"/>
        <v>0</v>
      </c>
      <c r="G107" s="482"/>
      <c r="H107" s="482">
        <f>+H103-H104+H105-H106</f>
        <v>0</v>
      </c>
      <c r="I107" s="482">
        <f t="shared" si="41"/>
        <v>0</v>
      </c>
      <c r="J107" s="483"/>
      <c r="K107" s="483">
        <f>+J103-J104+J105-J106</f>
        <v>0</v>
      </c>
      <c r="L107" s="482">
        <f t="shared" si="42"/>
        <v>0</v>
      </c>
      <c r="M107" s="483"/>
      <c r="N107" s="483">
        <f>+M103-M104+M105-M106</f>
        <v>0</v>
      </c>
      <c r="O107" s="483"/>
      <c r="P107" s="483"/>
      <c r="Q107" s="483">
        <f>+O103-O104+O105-O106</f>
        <v>0</v>
      </c>
      <c r="R107" s="413"/>
    </row>
    <row r="108" spans="2:18" ht="15" customHeight="1" x14ac:dyDescent="0.3">
      <c r="B108" s="579">
        <f t="shared" si="43"/>
        <v>8.5999999999999979</v>
      </c>
      <c r="C108" s="838" t="s">
        <v>470</v>
      </c>
      <c r="D108" s="482"/>
      <c r="E108" s="443">
        <f>AVERAGE(E103,E107)</f>
        <v>0</v>
      </c>
      <c r="F108" s="482">
        <f t="shared" si="40"/>
        <v>0</v>
      </c>
      <c r="G108" s="482"/>
      <c r="H108" s="443">
        <f>AVERAGE(H103,H107)</f>
        <v>0</v>
      </c>
      <c r="I108" s="482">
        <f t="shared" si="41"/>
        <v>0</v>
      </c>
      <c r="J108" s="483"/>
      <c r="K108" s="482"/>
      <c r="L108" s="482">
        <f t="shared" si="42"/>
        <v>0</v>
      </c>
      <c r="M108" s="483"/>
      <c r="N108" s="483"/>
      <c r="O108" s="483"/>
      <c r="P108" s="483"/>
      <c r="Q108" s="483"/>
      <c r="R108" s="413"/>
    </row>
    <row r="109" spans="2:18" s="575" customFormat="1" ht="15" customHeight="1" x14ac:dyDescent="0.3">
      <c r="B109" s="583">
        <f t="shared" si="43"/>
        <v>8.6999999999999975</v>
      </c>
      <c r="C109" s="839" t="s">
        <v>31</v>
      </c>
      <c r="D109" s="572"/>
      <c r="E109" s="572">
        <f>IFERROR(E110/E108,0)</f>
        <v>0</v>
      </c>
      <c r="F109" s="572" t="e">
        <f>F110/F108</f>
        <v>#DIV/0!</v>
      </c>
      <c r="G109" s="572"/>
      <c r="H109" s="572">
        <f>IFERROR(H110/H108,0)</f>
        <v>0</v>
      </c>
      <c r="I109" s="572" t="e">
        <f>I110/I108</f>
        <v>#DIV/0!</v>
      </c>
      <c r="J109" s="573"/>
      <c r="K109" s="573" t="e">
        <f>J110/K108</f>
        <v>#DIV/0!</v>
      </c>
      <c r="L109" s="572" t="e">
        <f>L110/L108</f>
        <v>#DIV/0!</v>
      </c>
      <c r="M109" s="573"/>
      <c r="N109" s="573" t="e">
        <f>M110/N108</f>
        <v>#DIV/0!</v>
      </c>
      <c r="O109" s="573"/>
      <c r="P109" s="573"/>
      <c r="Q109" s="573" t="e">
        <f>O110/Q108</f>
        <v>#DIV/0!</v>
      </c>
      <c r="R109" s="574"/>
    </row>
    <row r="110" spans="2:18" ht="15" customHeight="1" x14ac:dyDescent="0.3">
      <c r="B110" s="579">
        <f t="shared" si="43"/>
        <v>8.7999999999999972</v>
      </c>
      <c r="C110" s="838" t="s">
        <v>32</v>
      </c>
      <c r="D110" s="482"/>
      <c r="E110" s="482">
        <v>0</v>
      </c>
      <c r="F110" s="482">
        <f t="shared" si="40"/>
        <v>0</v>
      </c>
      <c r="G110" s="482"/>
      <c r="H110" s="482">
        <v>0</v>
      </c>
      <c r="I110" s="482">
        <f t="shared" si="41"/>
        <v>0</v>
      </c>
      <c r="J110" s="483"/>
      <c r="K110" s="482"/>
      <c r="L110" s="482">
        <f t="shared" si="42"/>
        <v>0</v>
      </c>
      <c r="M110" s="483"/>
      <c r="N110" s="483"/>
      <c r="O110" s="483"/>
      <c r="P110" s="483"/>
      <c r="Q110" s="483"/>
      <c r="R110" s="413"/>
    </row>
    <row r="111" spans="2:18" ht="15" customHeight="1" x14ac:dyDescent="0.3">
      <c r="B111" s="579"/>
      <c r="C111" s="838" t="s">
        <v>23</v>
      </c>
      <c r="D111" s="484"/>
      <c r="E111" s="484"/>
      <c r="F111" s="484"/>
      <c r="G111" s="484"/>
      <c r="H111" s="484"/>
      <c r="I111" s="484"/>
      <c r="J111" s="484"/>
      <c r="K111" s="484"/>
      <c r="L111" s="484"/>
      <c r="M111" s="484"/>
      <c r="N111" s="484"/>
      <c r="O111" s="484"/>
      <c r="P111" s="484"/>
      <c r="Q111" s="484"/>
      <c r="R111" s="413"/>
    </row>
    <row r="112" spans="2:18" ht="15" customHeight="1" x14ac:dyDescent="0.3">
      <c r="B112" s="579"/>
      <c r="C112" s="838" t="s">
        <v>23</v>
      </c>
      <c r="D112" s="484"/>
      <c r="E112" s="484"/>
      <c r="F112" s="484"/>
      <c r="G112" s="484"/>
      <c r="H112" s="484"/>
      <c r="I112" s="484"/>
      <c r="J112" s="484"/>
      <c r="K112" s="484"/>
      <c r="L112" s="484"/>
      <c r="M112" s="484"/>
      <c r="N112" s="484"/>
      <c r="O112" s="484"/>
      <c r="P112" s="484"/>
      <c r="Q112" s="484"/>
      <c r="R112" s="413"/>
    </row>
    <row r="113" spans="2:18" ht="15" customHeight="1" x14ac:dyDescent="0.3">
      <c r="B113" s="579"/>
      <c r="C113" s="838" t="s">
        <v>23</v>
      </c>
      <c r="D113" s="484"/>
      <c r="E113" s="484"/>
      <c r="F113" s="484"/>
      <c r="G113" s="484"/>
      <c r="H113" s="484"/>
      <c r="I113" s="484"/>
      <c r="J113" s="484"/>
      <c r="K113" s="484"/>
      <c r="L113" s="484"/>
      <c r="M113" s="484"/>
      <c r="N113" s="484"/>
      <c r="O113" s="484"/>
      <c r="P113" s="484"/>
      <c r="Q113" s="484"/>
      <c r="R113" s="413"/>
    </row>
    <row r="114" spans="2:18" ht="15" customHeight="1" x14ac:dyDescent="0.3">
      <c r="B114" s="579"/>
      <c r="C114" s="838"/>
      <c r="D114" s="484"/>
      <c r="E114" s="484"/>
      <c r="F114" s="484"/>
      <c r="G114" s="484"/>
      <c r="H114" s="484"/>
      <c r="I114" s="484"/>
      <c r="J114" s="484"/>
      <c r="K114" s="484"/>
      <c r="L114" s="484"/>
      <c r="M114" s="484"/>
      <c r="N114" s="484"/>
      <c r="O114" s="484"/>
      <c r="P114" s="484"/>
      <c r="Q114" s="484"/>
      <c r="R114" s="413"/>
    </row>
    <row r="115" spans="2:18" ht="15" customHeight="1" x14ac:dyDescent="0.3">
      <c r="B115" s="581">
        <v>9</v>
      </c>
      <c r="C115" s="840" t="s">
        <v>270</v>
      </c>
      <c r="D115" s="484"/>
      <c r="E115" s="484"/>
      <c r="F115" s="484"/>
      <c r="G115" s="484"/>
      <c r="H115" s="484"/>
      <c r="I115" s="484"/>
      <c r="J115" s="484"/>
      <c r="K115" s="484"/>
      <c r="L115" s="484"/>
      <c r="M115" s="484"/>
      <c r="N115" s="484"/>
      <c r="O115" s="484"/>
      <c r="P115" s="484"/>
      <c r="Q115" s="484"/>
      <c r="R115" s="413"/>
    </row>
    <row r="116" spans="2:18" ht="15" customHeight="1" x14ac:dyDescent="0.3">
      <c r="B116" s="579">
        <f t="shared" ref="B116:B123" si="44">B115+0.1</f>
        <v>9.1</v>
      </c>
      <c r="C116" s="838" t="s">
        <v>28</v>
      </c>
      <c r="D116" s="484"/>
      <c r="E116" s="484">
        <f t="shared" ref="E116:E123" si="45">E33+E43+E53+E63+E73+E83+E93+E103</f>
        <v>0</v>
      </c>
      <c r="F116" s="484"/>
      <c r="G116" s="484"/>
      <c r="H116" s="484">
        <f t="shared" ref="H116:H123" si="46">H33+H43+H53+H63+H73+H83+H93+H103</f>
        <v>2.7946408186357985</v>
      </c>
      <c r="I116" s="484"/>
      <c r="J116" s="484"/>
      <c r="K116" s="484">
        <f t="shared" ref="K116:K123" si="47">K33+K43+K53+K63+K73+K83+K93+K103</f>
        <v>0</v>
      </c>
      <c r="L116" s="484"/>
      <c r="M116" s="484"/>
      <c r="N116" s="484">
        <f t="shared" ref="N116:N123" si="48">N33+N43+N53+N63+N73+N83+N93+N103</f>
        <v>0</v>
      </c>
      <c r="O116" s="484"/>
      <c r="P116" s="484"/>
      <c r="Q116" s="484">
        <f t="shared" ref="Q116:Q123" si="49">Q33+Q43+Q53+Q63+Q73+Q83+Q93+Q103</f>
        <v>0</v>
      </c>
      <c r="R116" s="413"/>
    </row>
    <row r="117" spans="2:18" ht="15" customHeight="1" x14ac:dyDescent="0.3">
      <c r="B117" s="579">
        <f t="shared" si="44"/>
        <v>9.1999999999999993</v>
      </c>
      <c r="C117" s="838" t="s">
        <v>399</v>
      </c>
      <c r="D117" s="484"/>
      <c r="E117" s="484">
        <f t="shared" si="45"/>
        <v>0</v>
      </c>
      <c r="F117" s="484"/>
      <c r="G117" s="484"/>
      <c r="H117" s="484">
        <f t="shared" si="46"/>
        <v>0</v>
      </c>
      <c r="I117" s="484"/>
      <c r="J117" s="484"/>
      <c r="K117" s="484">
        <f t="shared" si="47"/>
        <v>0</v>
      </c>
      <c r="L117" s="484"/>
      <c r="M117" s="484"/>
      <c r="N117" s="484">
        <f t="shared" si="48"/>
        <v>0</v>
      </c>
      <c r="O117" s="484"/>
      <c r="P117" s="484"/>
      <c r="Q117" s="484">
        <f t="shared" si="49"/>
        <v>0</v>
      </c>
      <c r="R117" s="413"/>
    </row>
    <row r="118" spans="2:18" ht="15" customHeight="1" x14ac:dyDescent="0.3">
      <c r="B118" s="579">
        <f t="shared" si="44"/>
        <v>9.2999999999999989</v>
      </c>
      <c r="C118" s="838" t="s">
        <v>341</v>
      </c>
      <c r="D118" s="484"/>
      <c r="E118" s="484">
        <f t="shared" si="45"/>
        <v>0</v>
      </c>
      <c r="F118" s="484"/>
      <c r="G118" s="484"/>
      <c r="H118" s="484">
        <f t="shared" si="46"/>
        <v>0.27733594757609925</v>
      </c>
      <c r="I118" s="484"/>
      <c r="J118" s="484"/>
      <c r="K118" s="484">
        <f t="shared" si="47"/>
        <v>0</v>
      </c>
      <c r="L118" s="484"/>
      <c r="M118" s="484"/>
      <c r="N118" s="484">
        <f t="shared" si="48"/>
        <v>0</v>
      </c>
      <c r="O118" s="484"/>
      <c r="P118" s="484"/>
      <c r="Q118" s="484">
        <f t="shared" si="49"/>
        <v>0</v>
      </c>
      <c r="R118" s="413"/>
    </row>
    <row r="119" spans="2:18" ht="15" customHeight="1" x14ac:dyDescent="0.3">
      <c r="B119" s="579">
        <f t="shared" si="44"/>
        <v>9.3999999999999986</v>
      </c>
      <c r="C119" s="838" t="s">
        <v>29</v>
      </c>
      <c r="D119" s="484"/>
      <c r="E119" s="484">
        <f t="shared" si="45"/>
        <v>0</v>
      </c>
      <c r="F119" s="484"/>
      <c r="G119" s="484"/>
      <c r="H119" s="484">
        <f t="shared" si="46"/>
        <v>0.35654726150730681</v>
      </c>
      <c r="I119" s="484"/>
      <c r="J119" s="484"/>
      <c r="K119" s="484">
        <f t="shared" si="47"/>
        <v>0</v>
      </c>
      <c r="L119" s="484"/>
      <c r="M119" s="484"/>
      <c r="N119" s="484">
        <f t="shared" si="48"/>
        <v>0</v>
      </c>
      <c r="O119" s="484"/>
      <c r="P119" s="484"/>
      <c r="Q119" s="484">
        <f t="shared" si="49"/>
        <v>0</v>
      </c>
      <c r="R119" s="413"/>
    </row>
    <row r="120" spans="2:18" ht="15" customHeight="1" x14ac:dyDescent="0.3">
      <c r="B120" s="579">
        <f t="shared" si="44"/>
        <v>9.4999999999999982</v>
      </c>
      <c r="C120" s="838" t="s">
        <v>30</v>
      </c>
      <c r="D120" s="484"/>
      <c r="E120" s="484">
        <f t="shared" si="45"/>
        <v>0</v>
      </c>
      <c r="F120" s="484"/>
      <c r="G120" s="484"/>
      <c r="H120" s="484">
        <f t="shared" si="46"/>
        <v>2.7154295047045909</v>
      </c>
      <c r="I120" s="484"/>
      <c r="J120" s="484"/>
      <c r="K120" s="484">
        <f t="shared" si="47"/>
        <v>0</v>
      </c>
      <c r="L120" s="484"/>
      <c r="M120" s="484"/>
      <c r="N120" s="484">
        <f t="shared" si="48"/>
        <v>0</v>
      </c>
      <c r="O120" s="484"/>
      <c r="P120" s="484"/>
      <c r="Q120" s="484">
        <f t="shared" si="49"/>
        <v>0</v>
      </c>
      <c r="R120" s="413"/>
    </row>
    <row r="121" spans="2:18" ht="15" customHeight="1" x14ac:dyDescent="0.3">
      <c r="B121" s="579">
        <f t="shared" si="44"/>
        <v>9.5999999999999979</v>
      </c>
      <c r="C121" s="838" t="s">
        <v>470</v>
      </c>
      <c r="D121" s="484"/>
      <c r="E121" s="484">
        <f t="shared" si="45"/>
        <v>0</v>
      </c>
      <c r="F121" s="484"/>
      <c r="G121" s="484"/>
      <c r="H121" s="484">
        <f t="shared" si="46"/>
        <v>2.7550351616701945</v>
      </c>
      <c r="I121" s="484"/>
      <c r="J121" s="484"/>
      <c r="K121" s="484">
        <f t="shared" si="47"/>
        <v>0</v>
      </c>
      <c r="L121" s="484"/>
      <c r="M121" s="484"/>
      <c r="N121" s="484">
        <f t="shared" si="48"/>
        <v>0</v>
      </c>
      <c r="O121" s="484"/>
      <c r="P121" s="484"/>
      <c r="Q121" s="484">
        <f t="shared" si="49"/>
        <v>0</v>
      </c>
      <c r="R121" s="413"/>
    </row>
    <row r="122" spans="2:18" s="575" customFormat="1" ht="15" customHeight="1" x14ac:dyDescent="0.3">
      <c r="B122" s="583">
        <f t="shared" si="44"/>
        <v>9.6999999999999975</v>
      </c>
      <c r="C122" s="839" t="s">
        <v>31</v>
      </c>
      <c r="D122" s="574"/>
      <c r="E122" s="572">
        <f>IFERROR(E123/E121,0)</f>
        <v>0</v>
      </c>
      <c r="F122" s="574"/>
      <c r="G122" s="574"/>
      <c r="H122" s="574">
        <f t="shared" si="46"/>
        <v>0.19450653160008652</v>
      </c>
      <c r="I122" s="574"/>
      <c r="J122" s="574"/>
      <c r="K122" s="574" t="e">
        <f t="shared" si="47"/>
        <v>#DIV/0!</v>
      </c>
      <c r="L122" s="574"/>
      <c r="M122" s="574"/>
      <c r="N122" s="574" t="e">
        <f t="shared" si="48"/>
        <v>#DIV/0!</v>
      </c>
      <c r="O122" s="574"/>
      <c r="P122" s="574"/>
      <c r="Q122" s="574" t="e">
        <f t="shared" si="49"/>
        <v>#DIV/0!</v>
      </c>
      <c r="R122" s="574"/>
    </row>
    <row r="123" spans="2:18" ht="15" customHeight="1" x14ac:dyDescent="0.3">
      <c r="B123" s="579">
        <f t="shared" si="44"/>
        <v>9.7999999999999972</v>
      </c>
      <c r="C123" s="838" t="s">
        <v>32</v>
      </c>
      <c r="D123" s="484"/>
      <c r="E123" s="484">
        <f t="shared" si="45"/>
        <v>0</v>
      </c>
      <c r="F123" s="484"/>
      <c r="G123" s="484"/>
      <c r="H123" s="484">
        <f t="shared" si="46"/>
        <v>0.29439853135873273</v>
      </c>
      <c r="I123" s="484"/>
      <c r="J123" s="484"/>
      <c r="K123" s="484">
        <f t="shared" si="47"/>
        <v>0</v>
      </c>
      <c r="L123" s="484"/>
      <c r="M123" s="484"/>
      <c r="N123" s="484">
        <f t="shared" si="48"/>
        <v>0</v>
      </c>
      <c r="O123" s="484"/>
      <c r="P123" s="484"/>
      <c r="Q123" s="484">
        <f t="shared" si="49"/>
        <v>0</v>
      </c>
      <c r="R123" s="413"/>
    </row>
    <row r="124" spans="2:18" ht="15" customHeight="1" x14ac:dyDescent="0.3">
      <c r="B124" s="579"/>
      <c r="C124" s="838"/>
      <c r="D124" s="484"/>
      <c r="E124" s="591"/>
      <c r="F124" s="484"/>
      <c r="G124" s="484"/>
      <c r="H124" s="484"/>
      <c r="I124" s="484"/>
      <c r="J124" s="484"/>
      <c r="K124" s="484"/>
      <c r="L124" s="484"/>
      <c r="M124" s="484"/>
      <c r="N124" s="484"/>
      <c r="O124" s="484"/>
      <c r="P124" s="484"/>
      <c r="Q124" s="484"/>
      <c r="R124" s="413"/>
    </row>
    <row r="125" spans="2:18" ht="15" customHeight="1" x14ac:dyDescent="0.3">
      <c r="B125" s="579"/>
      <c r="C125" s="838"/>
      <c r="D125" s="484"/>
      <c r="E125" s="484"/>
      <c r="F125" s="484"/>
      <c r="G125" s="484"/>
      <c r="H125" s="484"/>
      <c r="I125" s="484"/>
      <c r="J125" s="484"/>
      <c r="K125" s="484"/>
      <c r="L125" s="484"/>
      <c r="M125" s="484"/>
      <c r="N125" s="484"/>
      <c r="O125" s="484"/>
      <c r="P125" s="484"/>
      <c r="Q125" s="484"/>
      <c r="R125" s="413"/>
    </row>
    <row r="126" spans="2:18" s="22" customFormat="1" ht="15" customHeight="1" x14ac:dyDescent="0.3">
      <c r="B126" s="581">
        <v>10</v>
      </c>
      <c r="C126" s="840" t="s">
        <v>33</v>
      </c>
      <c r="D126" s="485"/>
      <c r="E126" s="485">
        <f>E123</f>
        <v>0</v>
      </c>
      <c r="F126" s="485"/>
      <c r="G126" s="485"/>
      <c r="H126" s="485">
        <f>H123</f>
        <v>0.29439853135873273</v>
      </c>
      <c r="I126" s="485"/>
      <c r="J126" s="485"/>
      <c r="K126" s="485">
        <f>K123</f>
        <v>0</v>
      </c>
      <c r="L126" s="485"/>
      <c r="M126" s="485"/>
      <c r="N126" s="485">
        <f>N123</f>
        <v>0</v>
      </c>
      <c r="O126" s="485"/>
      <c r="P126" s="485"/>
      <c r="Q126" s="485">
        <f>Q123</f>
        <v>0</v>
      </c>
      <c r="R126" s="425"/>
    </row>
    <row r="127" spans="2:18" ht="15" customHeight="1" x14ac:dyDescent="0.3">
      <c r="B127" s="579">
        <v>11</v>
      </c>
      <c r="C127" s="841" t="s">
        <v>34</v>
      </c>
      <c r="D127" s="484"/>
      <c r="E127" s="484"/>
      <c r="F127" s="484"/>
      <c r="G127" s="484"/>
      <c r="H127" s="484"/>
      <c r="I127" s="484"/>
      <c r="J127" s="484"/>
      <c r="K127" s="484"/>
      <c r="L127" s="484"/>
      <c r="M127" s="484"/>
      <c r="N127" s="484"/>
      <c r="O127" s="484"/>
      <c r="P127" s="484"/>
      <c r="Q127" s="484"/>
      <c r="R127" s="413"/>
    </row>
    <row r="128" spans="2:18" s="315" customFormat="1" ht="15" customHeight="1" x14ac:dyDescent="0.25">
      <c r="B128" s="584">
        <v>12</v>
      </c>
      <c r="C128" s="432" t="s">
        <v>35</v>
      </c>
      <c r="D128" s="484"/>
      <c r="E128" s="484">
        <f>E126-E127</f>
        <v>0</v>
      </c>
      <c r="F128" s="484"/>
      <c r="G128" s="484"/>
      <c r="H128" s="484">
        <f>H126-H127</f>
        <v>0.29439853135873273</v>
      </c>
      <c r="I128" s="484"/>
      <c r="J128" s="484"/>
      <c r="K128" s="484">
        <f>K126-K127</f>
        <v>0</v>
      </c>
      <c r="L128" s="484"/>
      <c r="M128" s="484"/>
      <c r="N128" s="484">
        <f>N126-N127</f>
        <v>0</v>
      </c>
      <c r="O128" s="484"/>
      <c r="P128" s="484"/>
      <c r="Q128" s="484">
        <f>Q126-Q127</f>
        <v>0</v>
      </c>
      <c r="R128" s="413"/>
    </row>
    <row r="129" spans="2:18" ht="15" customHeight="1" x14ac:dyDescent="0.25">
      <c r="B129" s="579"/>
      <c r="C129" s="433"/>
      <c r="D129" s="484"/>
      <c r="E129" s="484"/>
      <c r="F129" s="484"/>
      <c r="G129" s="484"/>
      <c r="H129" s="484"/>
      <c r="I129" s="484"/>
      <c r="J129" s="484"/>
      <c r="K129" s="484"/>
      <c r="L129" s="484"/>
      <c r="M129" s="484"/>
      <c r="N129" s="484"/>
      <c r="O129" s="484"/>
      <c r="P129" s="484"/>
      <c r="Q129" s="484"/>
      <c r="R129" s="413"/>
    </row>
    <row r="130" spans="2:18" x14ac:dyDescent="0.25">
      <c r="B130" s="585"/>
      <c r="C130" s="434"/>
      <c r="D130" s="434"/>
      <c r="E130" s="434"/>
      <c r="F130" s="434"/>
      <c r="G130" s="434"/>
      <c r="H130" s="435"/>
      <c r="I130" s="435"/>
      <c r="J130" s="216"/>
      <c r="L130" s="216"/>
      <c r="M130" s="216"/>
      <c r="N130" s="23"/>
      <c r="O130" s="23"/>
      <c r="P130" s="23"/>
      <c r="Q130" s="23"/>
    </row>
    <row r="131" spans="2:18" x14ac:dyDescent="0.25">
      <c r="B131" s="585"/>
      <c r="C131" s="1960" t="s">
        <v>143</v>
      </c>
      <c r="D131" s="1960"/>
      <c r="E131" s="1960"/>
      <c r="F131" s="1960"/>
      <c r="G131" s="1960"/>
      <c r="H131" s="435"/>
      <c r="I131" s="435"/>
      <c r="J131" s="216"/>
      <c r="L131" s="216"/>
      <c r="M131" s="216"/>
      <c r="N131" s="23"/>
      <c r="O131" s="23"/>
      <c r="P131" s="23"/>
      <c r="Q131" s="23"/>
    </row>
    <row r="132" spans="2:18" x14ac:dyDescent="0.25">
      <c r="C132" s="427" t="s">
        <v>487</v>
      </c>
    </row>
    <row r="134" spans="2:18" ht="17.5" x14ac:dyDescent="0.25">
      <c r="C134" s="684" t="s">
        <v>818</v>
      </c>
      <c r="D134" s="436"/>
      <c r="E134" s="436"/>
      <c r="F134" s="436"/>
      <c r="G134" s="436"/>
    </row>
    <row r="135" spans="2:18" x14ac:dyDescent="0.25">
      <c r="O135" s="21"/>
      <c r="P135" s="21"/>
      <c r="Q135" s="21" t="s">
        <v>10</v>
      </c>
    </row>
    <row r="136" spans="2:18" ht="15" customHeight="1" x14ac:dyDescent="0.25">
      <c r="B136" s="1952" t="s">
        <v>342</v>
      </c>
      <c r="C136" s="1959" t="s">
        <v>25</v>
      </c>
      <c r="D136" s="1866" t="s">
        <v>506</v>
      </c>
      <c r="E136" s="1867"/>
      <c r="F136" s="1868"/>
      <c r="G136" s="1866" t="s">
        <v>507</v>
      </c>
      <c r="H136" s="1867"/>
      <c r="I136" s="1868"/>
      <c r="J136" s="1866" t="s">
        <v>508</v>
      </c>
      <c r="K136" s="1867"/>
      <c r="L136" s="1868"/>
      <c r="M136" s="1757" t="s">
        <v>967</v>
      </c>
      <c r="N136" s="1757"/>
      <c r="O136" s="1757"/>
      <c r="P136" s="1757"/>
      <c r="Q136" s="1757"/>
      <c r="R136" s="1769" t="s">
        <v>26</v>
      </c>
    </row>
    <row r="137" spans="2:18" ht="28" x14ac:dyDescent="0.25">
      <c r="B137" s="1952"/>
      <c r="C137" s="1959"/>
      <c r="D137" s="437" t="s">
        <v>448</v>
      </c>
      <c r="E137" s="438" t="s">
        <v>78</v>
      </c>
      <c r="F137" s="438" t="s">
        <v>449</v>
      </c>
      <c r="G137" s="437" t="s">
        <v>448</v>
      </c>
      <c r="H137" s="438" t="s">
        <v>78</v>
      </c>
      <c r="I137" s="438" t="s">
        <v>449</v>
      </c>
      <c r="J137" s="409" t="s">
        <v>448</v>
      </c>
      <c r="K137" s="409" t="s">
        <v>79</v>
      </c>
      <c r="L137" s="409" t="s">
        <v>450</v>
      </c>
      <c r="M137" s="773" t="s">
        <v>968</v>
      </c>
      <c r="N137" s="773" t="s">
        <v>969</v>
      </c>
      <c r="O137" s="773" t="s">
        <v>970</v>
      </c>
      <c r="P137" s="773" t="s">
        <v>971</v>
      </c>
      <c r="Q137" s="773" t="s">
        <v>972</v>
      </c>
      <c r="R137" s="1769"/>
    </row>
    <row r="138" spans="2:18" x14ac:dyDescent="0.25">
      <c r="B138" s="582"/>
      <c r="C138" s="439"/>
      <c r="D138" s="438" t="s">
        <v>80</v>
      </c>
      <c r="E138" s="438" t="s">
        <v>81</v>
      </c>
      <c r="F138" s="438" t="s">
        <v>676</v>
      </c>
      <c r="G138" s="438" t="s">
        <v>390</v>
      </c>
      <c r="H138" s="438" t="s">
        <v>408</v>
      </c>
      <c r="I138" s="438" t="s">
        <v>454</v>
      </c>
      <c r="J138" s="774" t="s">
        <v>409</v>
      </c>
      <c r="K138" s="774" t="s">
        <v>410</v>
      </c>
      <c r="L138" s="774" t="s">
        <v>510</v>
      </c>
      <c r="M138" s="772" t="s">
        <v>21</v>
      </c>
      <c r="N138" s="772" t="s">
        <v>21</v>
      </c>
      <c r="O138" s="772" t="s">
        <v>21</v>
      </c>
      <c r="P138" s="772" t="s">
        <v>21</v>
      </c>
      <c r="Q138" s="772" t="s">
        <v>21</v>
      </c>
      <c r="R138" s="1770"/>
    </row>
    <row r="139" spans="2:18" x14ac:dyDescent="0.3">
      <c r="B139" s="581">
        <v>1</v>
      </c>
      <c r="C139" s="430" t="s">
        <v>1481</v>
      </c>
      <c r="D139" s="430"/>
      <c r="E139" s="430"/>
      <c r="F139" s="430"/>
      <c r="G139" s="430"/>
      <c r="H139" s="440"/>
      <c r="I139" s="440"/>
      <c r="J139" s="410"/>
      <c r="K139" s="411"/>
      <c r="L139" s="410"/>
      <c r="M139" s="410"/>
      <c r="N139" s="412"/>
      <c r="O139" s="412"/>
      <c r="P139" s="412"/>
      <c r="Q139" s="412"/>
      <c r="R139" s="410"/>
    </row>
    <row r="140" spans="2:18" x14ac:dyDescent="0.3">
      <c r="B140" s="579">
        <v>1.1000000000000001</v>
      </c>
      <c r="C140" s="838" t="s">
        <v>28</v>
      </c>
      <c r="D140" s="482"/>
      <c r="E140" s="482">
        <v>285.06871430000001</v>
      </c>
      <c r="F140" s="482">
        <f>E140-D140</f>
        <v>285.06871430000001</v>
      </c>
      <c r="G140" s="482"/>
      <c r="H140" s="482">
        <v>212.57365589999998</v>
      </c>
      <c r="I140" s="482">
        <f>H140-G140</f>
        <v>212.57365589999998</v>
      </c>
      <c r="J140" s="483"/>
      <c r="K140" s="482"/>
      <c r="L140" s="482">
        <f>K140-J140</f>
        <v>0</v>
      </c>
      <c r="M140" s="483"/>
      <c r="N140" s="483"/>
      <c r="O140" s="483"/>
      <c r="P140" s="483"/>
      <c r="Q140" s="483"/>
      <c r="R140" s="413"/>
    </row>
    <row r="141" spans="2:18" x14ac:dyDescent="0.3">
      <c r="B141" s="579">
        <f t="shared" ref="B141:B147" si="50">B140+0.1</f>
        <v>1.2000000000000002</v>
      </c>
      <c r="C141" s="838" t="s">
        <v>399</v>
      </c>
      <c r="D141" s="482"/>
      <c r="E141" s="482">
        <v>0</v>
      </c>
      <c r="F141" s="482">
        <f t="shared" ref="F141:F147" si="51">E141-D141</f>
        <v>0</v>
      </c>
      <c r="G141" s="482"/>
      <c r="H141" s="482">
        <v>0</v>
      </c>
      <c r="I141" s="482">
        <f t="shared" ref="I141:I147" si="52">H141-G141</f>
        <v>0</v>
      </c>
      <c r="J141" s="483"/>
      <c r="K141" s="482"/>
      <c r="L141" s="482">
        <f t="shared" ref="L141:L147" si="53">K141-J141</f>
        <v>0</v>
      </c>
      <c r="M141" s="483"/>
      <c r="N141" s="483"/>
      <c r="O141" s="483"/>
      <c r="P141" s="483"/>
      <c r="Q141" s="483"/>
      <c r="R141" s="413"/>
    </row>
    <row r="142" spans="2:18" x14ac:dyDescent="0.3">
      <c r="B142" s="579">
        <f t="shared" si="50"/>
        <v>1.3000000000000003</v>
      </c>
      <c r="C142" s="838" t="s">
        <v>341</v>
      </c>
      <c r="D142" s="482"/>
      <c r="E142" s="482">
        <v>10.65</v>
      </c>
      <c r="F142" s="482">
        <f t="shared" si="51"/>
        <v>10.65</v>
      </c>
      <c r="G142" s="482"/>
      <c r="H142" s="482">
        <v>0</v>
      </c>
      <c r="I142" s="482">
        <f t="shared" si="52"/>
        <v>0</v>
      </c>
      <c r="J142" s="483"/>
      <c r="K142" s="482"/>
      <c r="L142" s="482">
        <f t="shared" si="53"/>
        <v>0</v>
      </c>
      <c r="M142" s="483"/>
      <c r="N142" s="483"/>
      <c r="O142" s="483"/>
      <c r="P142" s="483"/>
      <c r="Q142" s="483"/>
      <c r="R142" s="413"/>
    </row>
    <row r="143" spans="2:18" x14ac:dyDescent="0.3">
      <c r="B143" s="579">
        <f t="shared" si="50"/>
        <v>1.4000000000000004</v>
      </c>
      <c r="C143" s="838" t="s">
        <v>29</v>
      </c>
      <c r="D143" s="482"/>
      <c r="E143" s="482">
        <v>83.145058400000011</v>
      </c>
      <c r="F143" s="482">
        <f t="shared" si="51"/>
        <v>83.145058400000011</v>
      </c>
      <c r="G143" s="482"/>
      <c r="H143" s="482">
        <v>71.267193500000005</v>
      </c>
      <c r="I143" s="482">
        <f t="shared" si="52"/>
        <v>71.267193500000005</v>
      </c>
      <c r="J143" s="483"/>
      <c r="K143" s="482"/>
      <c r="L143" s="482">
        <f t="shared" si="53"/>
        <v>0</v>
      </c>
      <c r="M143" s="483"/>
      <c r="N143" s="483"/>
      <c r="O143" s="483"/>
      <c r="P143" s="483"/>
      <c r="Q143" s="483"/>
      <c r="R143" s="413"/>
    </row>
    <row r="144" spans="2:18" x14ac:dyDescent="0.3">
      <c r="B144" s="579">
        <f t="shared" si="50"/>
        <v>1.5000000000000004</v>
      </c>
      <c r="C144" s="838" t="s">
        <v>30</v>
      </c>
      <c r="D144" s="482"/>
      <c r="E144" s="482">
        <f>+E140-E141+E142-E143</f>
        <v>212.57365589999998</v>
      </c>
      <c r="F144" s="482">
        <f t="shared" si="51"/>
        <v>212.57365589999998</v>
      </c>
      <c r="G144" s="482"/>
      <c r="H144" s="482">
        <f>+H140-H141+H142-H143</f>
        <v>141.30646239999999</v>
      </c>
      <c r="I144" s="482">
        <f t="shared" si="52"/>
        <v>141.30646239999999</v>
      </c>
      <c r="J144" s="483"/>
      <c r="K144" s="483">
        <f>+J140-J141+J142-J143</f>
        <v>0</v>
      </c>
      <c r="L144" s="482">
        <f t="shared" si="53"/>
        <v>0</v>
      </c>
      <c r="M144" s="483"/>
      <c r="N144" s="483">
        <f>+M140-M141+M142-M143</f>
        <v>0</v>
      </c>
      <c r="O144" s="483"/>
      <c r="P144" s="483"/>
      <c r="Q144" s="483">
        <f>+O140-O141+O142-O143</f>
        <v>0</v>
      </c>
      <c r="R144" s="413"/>
    </row>
    <row r="145" spans="2:18" x14ac:dyDescent="0.3">
      <c r="B145" s="579">
        <f t="shared" si="50"/>
        <v>1.6000000000000005</v>
      </c>
      <c r="C145" s="838" t="s">
        <v>470</v>
      </c>
      <c r="D145" s="482"/>
      <c r="E145" s="443">
        <f>AVERAGE(E140,E144)</f>
        <v>248.82118509999998</v>
      </c>
      <c r="F145" s="482">
        <f t="shared" si="51"/>
        <v>248.82118509999998</v>
      </c>
      <c r="G145" s="482"/>
      <c r="H145" s="443">
        <f>AVERAGE(H140,H144)</f>
        <v>176.94005914999997</v>
      </c>
      <c r="I145" s="482">
        <f t="shared" si="52"/>
        <v>176.94005914999997</v>
      </c>
      <c r="J145" s="483"/>
      <c r="K145" s="482"/>
      <c r="L145" s="482">
        <f t="shared" si="53"/>
        <v>0</v>
      </c>
      <c r="M145" s="483"/>
      <c r="N145" s="483"/>
      <c r="O145" s="483"/>
      <c r="P145" s="483"/>
      <c r="Q145" s="483"/>
      <c r="R145" s="413"/>
    </row>
    <row r="146" spans="2:18" s="575" customFormat="1" x14ac:dyDescent="0.3">
      <c r="B146" s="583">
        <f t="shared" si="50"/>
        <v>1.7000000000000006</v>
      </c>
      <c r="C146" s="839" t="s">
        <v>31</v>
      </c>
      <c r="D146" s="572"/>
      <c r="E146" s="572">
        <f>IFERROR(E147/E145,0)</f>
        <v>9.3609938762404837E-2</v>
      </c>
      <c r="F146" s="572">
        <f>F147/F145</f>
        <v>9.3609938762404837E-2</v>
      </c>
      <c r="G146" s="572"/>
      <c r="H146" s="572">
        <f>IFERROR(H147/H145,0)</f>
        <v>9.4833566817367904E-2</v>
      </c>
      <c r="I146" s="572">
        <f>I147/I145</f>
        <v>9.4833566817367904E-2</v>
      </c>
      <c r="J146" s="573"/>
      <c r="K146" s="573" t="e">
        <f>J147/K145</f>
        <v>#DIV/0!</v>
      </c>
      <c r="L146" s="572" t="e">
        <f>L147/L145</f>
        <v>#DIV/0!</v>
      </c>
      <c r="M146" s="573"/>
      <c r="N146" s="573" t="e">
        <f>M147/N145</f>
        <v>#DIV/0!</v>
      </c>
      <c r="O146" s="573"/>
      <c r="P146" s="573"/>
      <c r="Q146" s="573" t="e">
        <f>O147/Q145</f>
        <v>#DIV/0!</v>
      </c>
      <c r="R146" s="574"/>
    </row>
    <row r="147" spans="2:18" x14ac:dyDescent="0.3">
      <c r="B147" s="579">
        <f t="shared" si="50"/>
        <v>1.8000000000000007</v>
      </c>
      <c r="C147" s="838" t="s">
        <v>32</v>
      </c>
      <c r="D147" s="482"/>
      <c r="E147" s="482">
        <v>23.292135899999998</v>
      </c>
      <c r="F147" s="482">
        <f t="shared" si="51"/>
        <v>23.292135899999998</v>
      </c>
      <c r="G147" s="482"/>
      <c r="H147" s="482">
        <v>16.77985692207055</v>
      </c>
      <c r="I147" s="482">
        <f t="shared" si="52"/>
        <v>16.77985692207055</v>
      </c>
      <c r="J147" s="483"/>
      <c r="K147" s="482"/>
      <c r="L147" s="482">
        <f t="shared" si="53"/>
        <v>0</v>
      </c>
      <c r="M147" s="483"/>
      <c r="N147" s="483"/>
      <c r="O147" s="483"/>
      <c r="P147" s="483"/>
      <c r="Q147" s="483"/>
      <c r="R147" s="413"/>
    </row>
    <row r="148" spans="2:18" x14ac:dyDescent="0.3">
      <c r="B148" s="579"/>
      <c r="C148" s="838"/>
      <c r="D148" s="482"/>
      <c r="E148" s="482"/>
      <c r="F148" s="482"/>
      <c r="G148" s="482"/>
      <c r="H148" s="482"/>
      <c r="I148" s="482"/>
      <c r="J148" s="483"/>
      <c r="K148" s="482"/>
      <c r="L148" s="482"/>
      <c r="M148" s="483"/>
      <c r="N148" s="483"/>
      <c r="O148" s="483"/>
      <c r="P148" s="483"/>
      <c r="Q148" s="483"/>
      <c r="R148" s="413"/>
    </row>
    <row r="149" spans="2:18" x14ac:dyDescent="0.3">
      <c r="B149" s="581">
        <v>2</v>
      </c>
      <c r="C149" s="840" t="s">
        <v>1482</v>
      </c>
      <c r="D149" s="482"/>
      <c r="E149" s="482"/>
      <c r="F149" s="482"/>
      <c r="G149" s="482"/>
      <c r="H149" s="482"/>
      <c r="I149" s="482"/>
      <c r="J149" s="483"/>
      <c r="K149" s="482"/>
      <c r="L149" s="482"/>
      <c r="M149" s="483"/>
      <c r="N149" s="483"/>
      <c r="O149" s="483"/>
      <c r="P149" s="483"/>
      <c r="Q149" s="483"/>
      <c r="R149" s="413"/>
    </row>
    <row r="150" spans="2:18" x14ac:dyDescent="0.3">
      <c r="B150" s="579">
        <f t="shared" ref="B150:B157" si="54">B149+0.1</f>
        <v>2.1</v>
      </c>
      <c r="C150" s="838" t="s">
        <v>28</v>
      </c>
      <c r="D150" s="482"/>
      <c r="E150" s="482">
        <v>4.4057377000162106</v>
      </c>
      <c r="F150" s="482">
        <f t="shared" ref="F150:F157" si="55">E150-D150</f>
        <v>4.4057377000162106</v>
      </c>
      <c r="G150" s="482"/>
      <c r="H150" s="482">
        <v>2.0576862422585473</v>
      </c>
      <c r="I150" s="482">
        <f t="shared" ref="I150:I157" si="56">H150-G150</f>
        <v>2.0576862422585473</v>
      </c>
      <c r="J150" s="483"/>
      <c r="K150" s="482"/>
      <c r="L150" s="482">
        <f t="shared" ref="L150:L157" si="57">K150-J150</f>
        <v>0</v>
      </c>
      <c r="M150" s="483"/>
      <c r="N150" s="483"/>
      <c r="O150" s="483"/>
      <c r="P150" s="483"/>
      <c r="Q150" s="483"/>
      <c r="R150" s="413"/>
    </row>
    <row r="151" spans="2:18" x14ac:dyDescent="0.3">
      <c r="B151" s="579">
        <f t="shared" si="54"/>
        <v>2.2000000000000002</v>
      </c>
      <c r="C151" s="838" t="s">
        <v>399</v>
      </c>
      <c r="D151" s="482"/>
      <c r="E151" s="482">
        <v>0</v>
      </c>
      <c r="F151" s="482">
        <f t="shared" si="55"/>
        <v>0</v>
      </c>
      <c r="G151" s="482"/>
      <c r="H151" s="482">
        <v>0</v>
      </c>
      <c r="I151" s="482">
        <f t="shared" si="56"/>
        <v>0</v>
      </c>
      <c r="J151" s="483"/>
      <c r="K151" s="482"/>
      <c r="L151" s="482">
        <f t="shared" si="57"/>
        <v>0</v>
      </c>
      <c r="M151" s="483"/>
      <c r="N151" s="483"/>
      <c r="O151" s="483"/>
      <c r="P151" s="483"/>
      <c r="Q151" s="483"/>
      <c r="R151" s="413"/>
    </row>
    <row r="152" spans="2:18" x14ac:dyDescent="0.3">
      <c r="B152" s="579">
        <f t="shared" si="54"/>
        <v>2.3000000000000003</v>
      </c>
      <c r="C152" s="838" t="s">
        <v>341</v>
      </c>
      <c r="D152" s="482"/>
      <c r="E152" s="482">
        <v>0</v>
      </c>
      <c r="F152" s="482">
        <f t="shared" si="55"/>
        <v>0</v>
      </c>
      <c r="G152" s="482"/>
      <c r="H152" s="482">
        <v>0</v>
      </c>
      <c r="I152" s="482">
        <f t="shared" si="56"/>
        <v>0</v>
      </c>
      <c r="J152" s="483"/>
      <c r="K152" s="482"/>
      <c r="L152" s="482">
        <f t="shared" si="57"/>
        <v>0</v>
      </c>
      <c r="M152" s="483"/>
      <c r="N152" s="483"/>
      <c r="O152" s="483"/>
      <c r="P152" s="483"/>
      <c r="Q152" s="483"/>
      <c r="R152" s="413"/>
    </row>
    <row r="153" spans="2:18" x14ac:dyDescent="0.3">
      <c r="B153" s="579">
        <f t="shared" si="54"/>
        <v>2.4000000000000004</v>
      </c>
      <c r="C153" s="838" t="s">
        <v>29</v>
      </c>
      <c r="D153" s="482"/>
      <c r="E153" s="482">
        <v>2.3480514577576632</v>
      </c>
      <c r="F153" s="482">
        <f t="shared" si="55"/>
        <v>2.3480514577576632</v>
      </c>
      <c r="G153" s="482"/>
      <c r="H153" s="482">
        <v>1.4375398308206968</v>
      </c>
      <c r="I153" s="482">
        <f t="shared" si="56"/>
        <v>1.4375398308206968</v>
      </c>
      <c r="J153" s="483"/>
      <c r="K153" s="482"/>
      <c r="L153" s="482">
        <f t="shared" si="57"/>
        <v>0</v>
      </c>
      <c r="M153" s="483"/>
      <c r="N153" s="483"/>
      <c r="O153" s="483"/>
      <c r="P153" s="483"/>
      <c r="Q153" s="483"/>
      <c r="R153" s="413"/>
    </row>
    <row r="154" spans="2:18" x14ac:dyDescent="0.3">
      <c r="B154" s="579">
        <f t="shared" si="54"/>
        <v>2.5000000000000004</v>
      </c>
      <c r="C154" s="838" t="s">
        <v>30</v>
      </c>
      <c r="D154" s="482"/>
      <c r="E154" s="482">
        <f>+E150-E151+E152-E153</f>
        <v>2.0576862422585473</v>
      </c>
      <c r="F154" s="482">
        <f t="shared" si="55"/>
        <v>2.0576862422585473</v>
      </c>
      <c r="G154" s="482"/>
      <c r="H154" s="482">
        <f>+H150-H151+H152-H153</f>
        <v>0.62014641143785054</v>
      </c>
      <c r="I154" s="482">
        <f t="shared" si="56"/>
        <v>0.62014641143785054</v>
      </c>
      <c r="J154" s="483"/>
      <c r="K154" s="483">
        <f>+J150-J151+J152-J153</f>
        <v>0</v>
      </c>
      <c r="L154" s="482">
        <f t="shared" si="57"/>
        <v>0</v>
      </c>
      <c r="M154" s="483"/>
      <c r="N154" s="483">
        <f>+M150-M151+M152-M153</f>
        <v>0</v>
      </c>
      <c r="O154" s="483"/>
      <c r="P154" s="483"/>
      <c r="Q154" s="483">
        <f>+O150-O151+O152-O153</f>
        <v>0</v>
      </c>
      <c r="R154" s="413"/>
    </row>
    <row r="155" spans="2:18" x14ac:dyDescent="0.3">
      <c r="B155" s="579">
        <f t="shared" si="54"/>
        <v>2.6000000000000005</v>
      </c>
      <c r="C155" s="838" t="s">
        <v>470</v>
      </c>
      <c r="D155" s="482"/>
      <c r="E155" s="443">
        <f>AVERAGE(E150,E154)</f>
        <v>3.2317119711373792</v>
      </c>
      <c r="F155" s="482">
        <f t="shared" si="55"/>
        <v>3.2317119711373792</v>
      </c>
      <c r="G155" s="482"/>
      <c r="H155" s="443">
        <f>AVERAGE(H150,H154)</f>
        <v>1.3389163268481989</v>
      </c>
      <c r="I155" s="482">
        <f t="shared" si="56"/>
        <v>1.3389163268481989</v>
      </c>
      <c r="J155" s="483"/>
      <c r="K155" s="482"/>
      <c r="L155" s="482">
        <f t="shared" si="57"/>
        <v>0</v>
      </c>
      <c r="M155" s="483"/>
      <c r="N155" s="483"/>
      <c r="O155" s="483"/>
      <c r="P155" s="483"/>
      <c r="Q155" s="483"/>
      <c r="R155" s="413"/>
    </row>
    <row r="156" spans="2:18" s="575" customFormat="1" x14ac:dyDescent="0.3">
      <c r="B156" s="583">
        <f t="shared" si="54"/>
        <v>2.7000000000000006</v>
      </c>
      <c r="C156" s="839" t="s">
        <v>31</v>
      </c>
      <c r="D156" s="572"/>
      <c r="E156" s="572">
        <f>IFERROR(E157/E155,0)</f>
        <v>9.8942662356928668E-2</v>
      </c>
      <c r="F156" s="572">
        <f>F157/F155</f>
        <v>9.8942662356928668E-2</v>
      </c>
      <c r="G156" s="572"/>
      <c r="H156" s="572">
        <f>IFERROR(H157/H155,0)</f>
        <v>8.7636431219473621E-2</v>
      </c>
      <c r="I156" s="572">
        <f>I157/I155</f>
        <v>8.7636431219473621E-2</v>
      </c>
      <c r="J156" s="573"/>
      <c r="K156" s="573" t="e">
        <f>J157/K155</f>
        <v>#DIV/0!</v>
      </c>
      <c r="L156" s="572" t="e">
        <f>L157/L155</f>
        <v>#DIV/0!</v>
      </c>
      <c r="M156" s="573"/>
      <c r="N156" s="573" t="e">
        <f>M157/N155</f>
        <v>#DIV/0!</v>
      </c>
      <c r="O156" s="573"/>
      <c r="P156" s="573"/>
      <c r="Q156" s="573" t="e">
        <f>O157/Q155</f>
        <v>#DIV/0!</v>
      </c>
      <c r="R156" s="574"/>
    </row>
    <row r="157" spans="2:18" x14ac:dyDescent="0.3">
      <c r="B157" s="579">
        <f t="shared" si="54"/>
        <v>2.8000000000000007</v>
      </c>
      <c r="C157" s="838" t="s">
        <v>32</v>
      </c>
      <c r="D157" s="482"/>
      <c r="E157" s="482">
        <v>0.31975418639509012</v>
      </c>
      <c r="F157" s="482">
        <f t="shared" si="55"/>
        <v>0.31975418639509012</v>
      </c>
      <c r="G157" s="482"/>
      <c r="H157" s="482">
        <v>0.11733784858646246</v>
      </c>
      <c r="I157" s="482">
        <f t="shared" si="56"/>
        <v>0.11733784858646246</v>
      </c>
      <c r="J157" s="483"/>
      <c r="K157" s="482"/>
      <c r="L157" s="482">
        <f t="shared" si="57"/>
        <v>0</v>
      </c>
      <c r="M157" s="483"/>
      <c r="N157" s="483"/>
      <c r="O157" s="483"/>
      <c r="P157" s="483"/>
      <c r="Q157" s="483"/>
      <c r="R157" s="413"/>
    </row>
    <row r="158" spans="2:18" x14ac:dyDescent="0.3">
      <c r="B158" s="579"/>
      <c r="C158" s="838"/>
      <c r="D158" s="482"/>
      <c r="E158" s="482"/>
      <c r="F158" s="482"/>
      <c r="G158" s="482"/>
      <c r="H158" s="482"/>
      <c r="I158" s="482"/>
      <c r="J158" s="483"/>
      <c r="K158" s="482"/>
      <c r="L158" s="482"/>
      <c r="M158" s="483"/>
      <c r="N158" s="483"/>
      <c r="O158" s="483"/>
      <c r="P158" s="483"/>
      <c r="Q158" s="483"/>
      <c r="R158" s="413"/>
    </row>
    <row r="159" spans="2:18" x14ac:dyDescent="0.3">
      <c r="B159" s="581">
        <v>3</v>
      </c>
      <c r="C159" s="840" t="s">
        <v>1475</v>
      </c>
      <c r="D159" s="482"/>
      <c r="E159" s="482"/>
      <c r="F159" s="482"/>
      <c r="G159" s="482"/>
      <c r="H159" s="482"/>
      <c r="I159" s="482"/>
      <c r="J159" s="483"/>
      <c r="K159" s="482"/>
      <c r="L159" s="482"/>
      <c r="M159" s="483"/>
      <c r="N159" s="483"/>
      <c r="O159" s="483"/>
      <c r="P159" s="483"/>
      <c r="Q159" s="483"/>
      <c r="R159" s="413"/>
    </row>
    <row r="160" spans="2:18" x14ac:dyDescent="0.3">
      <c r="B160" s="579">
        <f>B159+0.1</f>
        <v>3.1</v>
      </c>
      <c r="C160" s="838" t="s">
        <v>28</v>
      </c>
      <c r="D160" s="482"/>
      <c r="E160" s="482">
        <v>91.641565649000029</v>
      </c>
      <c r="F160" s="482">
        <f t="shared" ref="F160:F167" si="58">E160-D160</f>
        <v>91.641565649000029</v>
      </c>
      <c r="G160" s="482"/>
      <c r="H160" s="482">
        <v>88.172421706000009</v>
      </c>
      <c r="I160" s="482">
        <f t="shared" ref="I160:I167" si="59">H160-G160</f>
        <v>88.172421706000009</v>
      </c>
      <c r="J160" s="483"/>
      <c r="K160" s="482"/>
      <c r="L160" s="482">
        <f t="shared" ref="L160:L167" si="60">K160-J160</f>
        <v>0</v>
      </c>
      <c r="M160" s="483"/>
      <c r="N160" s="483"/>
      <c r="O160" s="483"/>
      <c r="P160" s="483"/>
      <c r="Q160" s="483"/>
      <c r="R160" s="413"/>
    </row>
    <row r="161" spans="2:18" x14ac:dyDescent="0.3">
      <c r="B161" s="579">
        <f t="shared" ref="B161:B167" si="61">B160+0.1</f>
        <v>3.2</v>
      </c>
      <c r="C161" s="838" t="s">
        <v>399</v>
      </c>
      <c r="D161" s="482"/>
      <c r="E161" s="482">
        <v>0</v>
      </c>
      <c r="F161" s="482">
        <f t="shared" si="58"/>
        <v>0</v>
      </c>
      <c r="G161" s="482"/>
      <c r="H161" s="482">
        <v>0</v>
      </c>
      <c r="I161" s="482">
        <f t="shared" si="59"/>
        <v>0</v>
      </c>
      <c r="J161" s="483"/>
      <c r="K161" s="482"/>
      <c r="L161" s="482">
        <f t="shared" si="60"/>
        <v>0</v>
      </c>
      <c r="M161" s="483"/>
      <c r="N161" s="483"/>
      <c r="O161" s="483"/>
      <c r="P161" s="483"/>
      <c r="Q161" s="483"/>
      <c r="R161" s="413"/>
    </row>
    <row r="162" spans="2:18" x14ac:dyDescent="0.3">
      <c r="B162" s="579">
        <f t="shared" si="61"/>
        <v>3.3000000000000003</v>
      </c>
      <c r="C162" s="838" t="s">
        <v>341</v>
      </c>
      <c r="D162" s="482"/>
      <c r="E162" s="482">
        <v>2.9890208999999999</v>
      </c>
      <c r="F162" s="482">
        <f t="shared" si="58"/>
        <v>2.9890208999999999</v>
      </c>
      <c r="G162" s="482"/>
      <c r="H162" s="482">
        <v>20.330955299999999</v>
      </c>
      <c r="I162" s="482">
        <f t="shared" si="59"/>
        <v>20.330955299999999</v>
      </c>
      <c r="J162" s="483"/>
      <c r="K162" s="482"/>
      <c r="L162" s="482">
        <f t="shared" si="60"/>
        <v>0</v>
      </c>
      <c r="M162" s="483"/>
      <c r="N162" s="483"/>
      <c r="O162" s="483"/>
      <c r="P162" s="483"/>
      <c r="Q162" s="483"/>
      <c r="R162" s="413"/>
    </row>
    <row r="163" spans="2:18" x14ac:dyDescent="0.3">
      <c r="B163" s="579">
        <f t="shared" si="61"/>
        <v>3.4000000000000004</v>
      </c>
      <c r="C163" s="838" t="s">
        <v>29</v>
      </c>
      <c r="D163" s="482"/>
      <c r="E163" s="482">
        <v>6.4581648429999996</v>
      </c>
      <c r="F163" s="482">
        <f t="shared" si="58"/>
        <v>6.4581648429999996</v>
      </c>
      <c r="G163" s="482"/>
      <c r="H163" s="482">
        <v>8.7585737580000007</v>
      </c>
      <c r="I163" s="482">
        <f t="shared" si="59"/>
        <v>8.7585737580000007</v>
      </c>
      <c r="J163" s="483"/>
      <c r="K163" s="482"/>
      <c r="L163" s="482">
        <f t="shared" si="60"/>
        <v>0</v>
      </c>
      <c r="M163" s="483"/>
      <c r="N163" s="483"/>
      <c r="O163" s="483"/>
      <c r="P163" s="483"/>
      <c r="Q163" s="483"/>
      <c r="R163" s="413"/>
    </row>
    <row r="164" spans="2:18" x14ac:dyDescent="0.3">
      <c r="B164" s="579">
        <f t="shared" si="61"/>
        <v>3.5000000000000004</v>
      </c>
      <c r="C164" s="838" t="s">
        <v>30</v>
      </c>
      <c r="D164" s="482"/>
      <c r="E164" s="482">
        <f>+E160-E161+E162-E163</f>
        <v>88.172421706000023</v>
      </c>
      <c r="F164" s="482">
        <f t="shared" si="58"/>
        <v>88.172421706000023</v>
      </c>
      <c r="G164" s="482"/>
      <c r="H164" s="482">
        <f>+H160-H161+H162-H163</f>
        <v>99.744803248000011</v>
      </c>
      <c r="I164" s="482">
        <f t="shared" si="59"/>
        <v>99.744803248000011</v>
      </c>
      <c r="J164" s="483"/>
      <c r="K164" s="483">
        <f>+J160-J161+J162-J163</f>
        <v>0</v>
      </c>
      <c r="L164" s="482">
        <f t="shared" si="60"/>
        <v>0</v>
      </c>
      <c r="M164" s="483"/>
      <c r="N164" s="483">
        <f>+M160-M161+M162-M163</f>
        <v>0</v>
      </c>
      <c r="O164" s="483"/>
      <c r="P164" s="483"/>
      <c r="Q164" s="483">
        <f>+O160-O161+O162-O163</f>
        <v>0</v>
      </c>
      <c r="R164" s="413"/>
    </row>
    <row r="165" spans="2:18" x14ac:dyDescent="0.3">
      <c r="B165" s="579">
        <f t="shared" si="61"/>
        <v>3.6000000000000005</v>
      </c>
      <c r="C165" s="838" t="s">
        <v>470</v>
      </c>
      <c r="D165" s="482"/>
      <c r="E165" s="443">
        <f>AVERAGE(E160,E164)</f>
        <v>89.906993677500026</v>
      </c>
      <c r="F165" s="482">
        <f t="shared" si="58"/>
        <v>89.906993677500026</v>
      </c>
      <c r="G165" s="482"/>
      <c r="H165" s="443">
        <f>AVERAGE(H160,H164)</f>
        <v>93.958612477000003</v>
      </c>
      <c r="I165" s="482">
        <f t="shared" si="59"/>
        <v>93.958612477000003</v>
      </c>
      <c r="J165" s="483"/>
      <c r="K165" s="482"/>
      <c r="L165" s="482">
        <f t="shared" si="60"/>
        <v>0</v>
      </c>
      <c r="M165" s="483"/>
      <c r="N165" s="483"/>
      <c r="O165" s="483"/>
      <c r="P165" s="483"/>
      <c r="Q165" s="483"/>
      <c r="R165" s="413"/>
    </row>
    <row r="166" spans="2:18" s="575" customFormat="1" x14ac:dyDescent="0.3">
      <c r="B166" s="583">
        <f t="shared" si="61"/>
        <v>3.7000000000000006</v>
      </c>
      <c r="C166" s="839" t="s">
        <v>31</v>
      </c>
      <c r="D166" s="572"/>
      <c r="E166" s="572">
        <f>IFERROR(E167/E165,0)</f>
        <v>0.10423271488357491</v>
      </c>
      <c r="F166" s="572">
        <f>F167/F165</f>
        <v>0.10423271488357491</v>
      </c>
      <c r="G166" s="572"/>
      <c r="H166" s="572">
        <f>IFERROR(H167/H165,0)</f>
        <v>0.10159055539323011</v>
      </c>
      <c r="I166" s="572">
        <f>I167/I165</f>
        <v>0.10159055539323011</v>
      </c>
      <c r="J166" s="573"/>
      <c r="K166" s="573" t="e">
        <f>J167/K165</f>
        <v>#DIV/0!</v>
      </c>
      <c r="L166" s="572" t="e">
        <f>L167/L165</f>
        <v>#DIV/0!</v>
      </c>
      <c r="M166" s="573"/>
      <c r="N166" s="573" t="e">
        <f>M167/N165</f>
        <v>#DIV/0!</v>
      </c>
      <c r="O166" s="573"/>
      <c r="P166" s="573"/>
      <c r="Q166" s="573" t="e">
        <f>O167/Q165</f>
        <v>#DIV/0!</v>
      </c>
      <c r="R166" s="574"/>
    </row>
    <row r="167" spans="2:18" x14ac:dyDescent="0.3">
      <c r="B167" s="579">
        <f t="shared" si="61"/>
        <v>3.8000000000000007</v>
      </c>
      <c r="C167" s="838" t="s">
        <v>32</v>
      </c>
      <c r="D167" s="482"/>
      <c r="E167" s="482">
        <v>9.3712500380262327</v>
      </c>
      <c r="F167" s="482">
        <f t="shared" si="58"/>
        <v>9.3712500380262327</v>
      </c>
      <c r="G167" s="482"/>
      <c r="H167" s="482">
        <v>9.5453076255157114</v>
      </c>
      <c r="I167" s="482">
        <f t="shared" si="59"/>
        <v>9.5453076255157114</v>
      </c>
      <c r="J167" s="483"/>
      <c r="K167" s="482"/>
      <c r="L167" s="482">
        <f t="shared" si="60"/>
        <v>0</v>
      </c>
      <c r="M167" s="483"/>
      <c r="N167" s="483"/>
      <c r="O167" s="483"/>
      <c r="P167" s="483"/>
      <c r="Q167" s="483"/>
      <c r="R167" s="413"/>
    </row>
    <row r="168" spans="2:18" x14ac:dyDescent="0.3">
      <c r="B168" s="581"/>
      <c r="C168" s="840"/>
      <c r="D168" s="482"/>
      <c r="E168" s="482"/>
      <c r="F168" s="482"/>
      <c r="G168" s="482"/>
      <c r="H168" s="482"/>
      <c r="I168" s="482"/>
      <c r="J168" s="483"/>
      <c r="K168" s="482"/>
      <c r="L168" s="482"/>
      <c r="M168" s="483"/>
      <c r="N168" s="483"/>
      <c r="O168" s="483"/>
      <c r="P168" s="483"/>
      <c r="Q168" s="483"/>
      <c r="R168" s="413"/>
    </row>
    <row r="169" spans="2:18" x14ac:dyDescent="0.3">
      <c r="B169" s="581">
        <v>4</v>
      </c>
      <c r="C169" s="840" t="s">
        <v>1476</v>
      </c>
      <c r="D169" s="482"/>
      <c r="E169" s="482"/>
      <c r="F169" s="482"/>
      <c r="G169" s="482"/>
      <c r="H169" s="482"/>
      <c r="I169" s="482"/>
      <c r="J169" s="483"/>
      <c r="K169" s="482"/>
      <c r="L169" s="482"/>
      <c r="M169" s="483"/>
      <c r="N169" s="483"/>
      <c r="O169" s="483"/>
      <c r="P169" s="483"/>
      <c r="Q169" s="483"/>
      <c r="R169" s="413"/>
    </row>
    <row r="170" spans="2:18" x14ac:dyDescent="0.3">
      <c r="B170" s="579">
        <f>B169+0.1</f>
        <v>4.0999999999999996</v>
      </c>
      <c r="C170" s="838" t="s">
        <v>28</v>
      </c>
      <c r="D170" s="482"/>
      <c r="E170" s="482">
        <v>0</v>
      </c>
      <c r="F170" s="482">
        <f t="shared" ref="F170:F177" si="62">E170-D170</f>
        <v>0</v>
      </c>
      <c r="G170" s="482"/>
      <c r="H170" s="482">
        <v>0</v>
      </c>
      <c r="I170" s="482">
        <f t="shared" ref="I170:I177" si="63">H170-G170</f>
        <v>0</v>
      </c>
      <c r="J170" s="483"/>
      <c r="K170" s="482"/>
      <c r="L170" s="482">
        <f t="shared" ref="L170:L177" si="64">K170-J170</f>
        <v>0</v>
      </c>
      <c r="M170" s="483"/>
      <c r="N170" s="483"/>
      <c r="O170" s="483"/>
      <c r="P170" s="483"/>
      <c r="Q170" s="483"/>
      <c r="R170" s="413"/>
    </row>
    <row r="171" spans="2:18" x14ac:dyDescent="0.3">
      <c r="B171" s="579">
        <f t="shared" ref="B171:B177" si="65">B170+0.1</f>
        <v>4.1999999999999993</v>
      </c>
      <c r="C171" s="838" t="s">
        <v>399</v>
      </c>
      <c r="D171" s="482"/>
      <c r="E171" s="482">
        <v>0</v>
      </c>
      <c r="F171" s="482">
        <f t="shared" si="62"/>
        <v>0</v>
      </c>
      <c r="G171" s="482"/>
      <c r="H171" s="482">
        <v>0</v>
      </c>
      <c r="I171" s="482">
        <f t="shared" si="63"/>
        <v>0</v>
      </c>
      <c r="J171" s="483"/>
      <c r="K171" s="482"/>
      <c r="L171" s="482">
        <f t="shared" si="64"/>
        <v>0</v>
      </c>
      <c r="M171" s="483"/>
      <c r="N171" s="483"/>
      <c r="O171" s="483"/>
      <c r="P171" s="483"/>
      <c r="Q171" s="483"/>
      <c r="R171" s="413"/>
    </row>
    <row r="172" spans="2:18" x14ac:dyDescent="0.3">
      <c r="B172" s="579">
        <f t="shared" si="65"/>
        <v>4.2999999999999989</v>
      </c>
      <c r="C172" s="838" t="s">
        <v>341</v>
      </c>
      <c r="D172" s="482"/>
      <c r="E172" s="482">
        <v>0</v>
      </c>
      <c r="F172" s="482">
        <f t="shared" si="62"/>
        <v>0</v>
      </c>
      <c r="G172" s="482"/>
      <c r="H172" s="482">
        <v>0</v>
      </c>
      <c r="I172" s="482">
        <f t="shared" si="63"/>
        <v>0</v>
      </c>
      <c r="J172" s="483"/>
      <c r="K172" s="482"/>
      <c r="L172" s="482">
        <f t="shared" si="64"/>
        <v>0</v>
      </c>
      <c r="M172" s="483"/>
      <c r="N172" s="483"/>
      <c r="O172" s="483"/>
      <c r="P172" s="483"/>
      <c r="Q172" s="483"/>
      <c r="R172" s="413"/>
    </row>
    <row r="173" spans="2:18" x14ac:dyDescent="0.3">
      <c r="B173" s="579">
        <f t="shared" si="65"/>
        <v>4.3999999999999986</v>
      </c>
      <c r="C173" s="838" t="s">
        <v>29</v>
      </c>
      <c r="D173" s="482"/>
      <c r="E173" s="482">
        <v>0</v>
      </c>
      <c r="F173" s="482">
        <f t="shared" si="62"/>
        <v>0</v>
      </c>
      <c r="G173" s="482"/>
      <c r="H173" s="482">
        <v>0</v>
      </c>
      <c r="I173" s="482">
        <f t="shared" si="63"/>
        <v>0</v>
      </c>
      <c r="J173" s="483"/>
      <c r="K173" s="482"/>
      <c r="L173" s="482">
        <f t="shared" si="64"/>
        <v>0</v>
      </c>
      <c r="M173" s="483"/>
      <c r="N173" s="483"/>
      <c r="O173" s="483"/>
      <c r="P173" s="483"/>
      <c r="Q173" s="483"/>
      <c r="R173" s="413"/>
    </row>
    <row r="174" spans="2:18" x14ac:dyDescent="0.3">
      <c r="B174" s="579">
        <f t="shared" si="65"/>
        <v>4.4999999999999982</v>
      </c>
      <c r="C174" s="838" t="s">
        <v>30</v>
      </c>
      <c r="D174" s="482"/>
      <c r="E174" s="482">
        <f>+E170-E171+E172-E173</f>
        <v>0</v>
      </c>
      <c r="F174" s="482">
        <f t="shared" si="62"/>
        <v>0</v>
      </c>
      <c r="G174" s="482"/>
      <c r="H174" s="482">
        <f>+H170-H171+H172-H173</f>
        <v>0</v>
      </c>
      <c r="I174" s="482">
        <f t="shared" si="63"/>
        <v>0</v>
      </c>
      <c r="J174" s="483"/>
      <c r="K174" s="483">
        <f>+J170-J171+J172-J173</f>
        <v>0</v>
      </c>
      <c r="L174" s="482">
        <f t="shared" si="64"/>
        <v>0</v>
      </c>
      <c r="M174" s="483"/>
      <c r="N174" s="483">
        <f>+M170-M171+M172-M173</f>
        <v>0</v>
      </c>
      <c r="O174" s="483"/>
      <c r="P174" s="483"/>
      <c r="Q174" s="483">
        <f>+O170-O171+O172-O173</f>
        <v>0</v>
      </c>
      <c r="R174" s="413"/>
    </row>
    <row r="175" spans="2:18" x14ac:dyDescent="0.3">
      <c r="B175" s="579">
        <f t="shared" si="65"/>
        <v>4.5999999999999979</v>
      </c>
      <c r="C175" s="838" t="s">
        <v>470</v>
      </c>
      <c r="D175" s="482"/>
      <c r="E175" s="443">
        <f>AVERAGE(E170,E174)</f>
        <v>0</v>
      </c>
      <c r="F175" s="482">
        <f t="shared" si="62"/>
        <v>0</v>
      </c>
      <c r="G175" s="482"/>
      <c r="H175" s="443">
        <f>AVERAGE(H170,H174)</f>
        <v>0</v>
      </c>
      <c r="I175" s="482">
        <f t="shared" si="63"/>
        <v>0</v>
      </c>
      <c r="J175" s="483"/>
      <c r="K175" s="482"/>
      <c r="L175" s="482">
        <f t="shared" si="64"/>
        <v>0</v>
      </c>
      <c r="M175" s="483"/>
      <c r="N175" s="483"/>
      <c r="O175" s="483"/>
      <c r="P175" s="483"/>
      <c r="Q175" s="483"/>
      <c r="R175" s="413"/>
    </row>
    <row r="176" spans="2:18" s="575" customFormat="1" x14ac:dyDescent="0.3">
      <c r="B176" s="583">
        <f t="shared" si="65"/>
        <v>4.6999999999999975</v>
      </c>
      <c r="C176" s="839" t="s">
        <v>31</v>
      </c>
      <c r="D176" s="572"/>
      <c r="E176" s="572">
        <f>IFERROR(E177/E175,0)</f>
        <v>0</v>
      </c>
      <c r="F176" s="572">
        <f t="shared" si="62"/>
        <v>0</v>
      </c>
      <c r="G176" s="572"/>
      <c r="H176" s="572">
        <f>IFERROR(H177/H175,0)</f>
        <v>0</v>
      </c>
      <c r="I176" s="572" t="e">
        <f>I177/I175</f>
        <v>#DIV/0!</v>
      </c>
      <c r="J176" s="573"/>
      <c r="K176" s="573" t="e">
        <f>J177/K175</f>
        <v>#DIV/0!</v>
      </c>
      <c r="L176" s="572" t="e">
        <f>L177/L175</f>
        <v>#DIV/0!</v>
      </c>
      <c r="M176" s="573"/>
      <c r="N176" s="573" t="e">
        <f>M177/N175</f>
        <v>#DIV/0!</v>
      </c>
      <c r="O176" s="573"/>
      <c r="P176" s="573"/>
      <c r="Q176" s="573" t="e">
        <f>O177/Q175</f>
        <v>#DIV/0!</v>
      </c>
      <c r="R176" s="574"/>
    </row>
    <row r="177" spans="2:18" x14ac:dyDescent="0.3">
      <c r="B177" s="579">
        <f t="shared" si="65"/>
        <v>4.7999999999999972</v>
      </c>
      <c r="C177" s="838" t="s">
        <v>32</v>
      </c>
      <c r="D177" s="482"/>
      <c r="E177" s="482">
        <v>0</v>
      </c>
      <c r="F177" s="482">
        <f t="shared" si="62"/>
        <v>0</v>
      </c>
      <c r="G177" s="482"/>
      <c r="H177" s="482">
        <v>0</v>
      </c>
      <c r="I177" s="482">
        <f t="shared" si="63"/>
        <v>0</v>
      </c>
      <c r="J177" s="483"/>
      <c r="K177" s="482"/>
      <c r="L177" s="482">
        <f t="shared" si="64"/>
        <v>0</v>
      </c>
      <c r="M177" s="483"/>
      <c r="N177" s="483"/>
      <c r="O177" s="483"/>
      <c r="P177" s="483"/>
      <c r="Q177" s="483"/>
      <c r="R177" s="413"/>
    </row>
    <row r="178" spans="2:18" x14ac:dyDescent="0.3">
      <c r="B178" s="581"/>
      <c r="C178" s="840"/>
      <c r="D178" s="482"/>
      <c r="E178" s="482"/>
      <c r="F178" s="482"/>
      <c r="G178" s="482"/>
      <c r="H178" s="482"/>
      <c r="I178" s="482"/>
      <c r="J178" s="483"/>
      <c r="K178" s="482"/>
      <c r="L178" s="482"/>
      <c r="M178" s="483"/>
      <c r="N178" s="483"/>
      <c r="O178" s="483"/>
      <c r="P178" s="483"/>
      <c r="Q178" s="483"/>
      <c r="R178" s="413"/>
    </row>
    <row r="179" spans="2:18" x14ac:dyDescent="0.3">
      <c r="B179" s="581">
        <v>5</v>
      </c>
      <c r="C179" s="840" t="s">
        <v>1483</v>
      </c>
      <c r="D179" s="482"/>
      <c r="E179" s="482"/>
      <c r="F179" s="482"/>
      <c r="G179" s="482"/>
      <c r="H179" s="482"/>
      <c r="I179" s="482"/>
      <c r="J179" s="483"/>
      <c r="K179" s="482"/>
      <c r="L179" s="482"/>
      <c r="M179" s="483"/>
      <c r="N179" s="483"/>
      <c r="O179" s="483"/>
      <c r="P179" s="483"/>
      <c r="Q179" s="483"/>
      <c r="R179" s="413"/>
    </row>
    <row r="180" spans="2:18" x14ac:dyDescent="0.3">
      <c r="B180" s="579">
        <f>B179+0.1</f>
        <v>5.0999999999999996</v>
      </c>
      <c r="C180" s="838" t="s">
        <v>28</v>
      </c>
      <c r="D180" s="482"/>
      <c r="E180" s="482">
        <v>0.27768641076148998</v>
      </c>
      <c r="F180" s="482">
        <f t="shared" ref="F180:F187" si="66">E180-D180</f>
        <v>0.27768641076148998</v>
      </c>
      <c r="G180" s="482"/>
      <c r="H180" s="482">
        <v>1.0761489939170587E-8</v>
      </c>
      <c r="I180" s="482">
        <f t="shared" ref="I180:I187" si="67">H180-G180</f>
        <v>1.0761489939170587E-8</v>
      </c>
      <c r="J180" s="483"/>
      <c r="K180" s="482"/>
      <c r="L180" s="482">
        <f t="shared" ref="L180:L187" si="68">K180-J180</f>
        <v>0</v>
      </c>
      <c r="M180" s="483"/>
      <c r="N180" s="483"/>
      <c r="O180" s="483"/>
      <c r="P180" s="483"/>
      <c r="Q180" s="483"/>
      <c r="R180" s="413"/>
    </row>
    <row r="181" spans="2:18" x14ac:dyDescent="0.3">
      <c r="B181" s="579">
        <f t="shared" ref="B181:B187" si="69">B180+0.1</f>
        <v>5.1999999999999993</v>
      </c>
      <c r="C181" s="838" t="s">
        <v>399</v>
      </c>
      <c r="D181" s="482"/>
      <c r="E181" s="482">
        <v>0</v>
      </c>
      <c r="F181" s="482">
        <f t="shared" si="66"/>
        <v>0</v>
      </c>
      <c r="G181" s="482"/>
      <c r="H181" s="482">
        <v>0</v>
      </c>
      <c r="I181" s="482">
        <f t="shared" si="67"/>
        <v>0</v>
      </c>
      <c r="J181" s="483"/>
      <c r="K181" s="482"/>
      <c r="L181" s="482">
        <f t="shared" si="68"/>
        <v>0</v>
      </c>
      <c r="M181" s="483"/>
      <c r="N181" s="483"/>
      <c r="O181" s="483"/>
      <c r="P181" s="483"/>
      <c r="Q181" s="483"/>
      <c r="R181" s="413"/>
    </row>
    <row r="182" spans="2:18" x14ac:dyDescent="0.3">
      <c r="B182" s="579">
        <f t="shared" si="69"/>
        <v>5.2999999999999989</v>
      </c>
      <c r="C182" s="838" t="s">
        <v>341</v>
      </c>
      <c r="D182" s="482"/>
      <c r="E182" s="482">
        <v>0</v>
      </c>
      <c r="F182" s="482">
        <f t="shared" si="66"/>
        <v>0</v>
      </c>
      <c r="G182" s="482"/>
      <c r="H182" s="482">
        <v>0</v>
      </c>
      <c r="I182" s="482">
        <f t="shared" si="67"/>
        <v>0</v>
      </c>
      <c r="J182" s="483"/>
      <c r="K182" s="482"/>
      <c r="L182" s="482">
        <f t="shared" si="68"/>
        <v>0</v>
      </c>
      <c r="M182" s="483"/>
      <c r="N182" s="483"/>
      <c r="O182" s="483"/>
      <c r="P182" s="483"/>
      <c r="Q182" s="483"/>
      <c r="R182" s="413"/>
    </row>
    <row r="183" spans="2:18" x14ac:dyDescent="0.3">
      <c r="B183" s="579">
        <f t="shared" si="69"/>
        <v>5.3999999999999986</v>
      </c>
      <c r="C183" s="838" t="s">
        <v>29</v>
      </c>
      <c r="D183" s="482"/>
      <c r="E183" s="482">
        <v>0.2776864</v>
      </c>
      <c r="F183" s="482">
        <f t="shared" si="66"/>
        <v>0.2776864</v>
      </c>
      <c r="G183" s="482"/>
      <c r="H183" s="482">
        <v>0</v>
      </c>
      <c r="I183" s="482">
        <f t="shared" si="67"/>
        <v>0</v>
      </c>
      <c r="J183" s="483"/>
      <c r="K183" s="482"/>
      <c r="L183" s="482">
        <f t="shared" si="68"/>
        <v>0</v>
      </c>
      <c r="M183" s="483"/>
      <c r="N183" s="483"/>
      <c r="O183" s="483"/>
      <c r="P183" s="483"/>
      <c r="Q183" s="483"/>
      <c r="R183" s="413"/>
    </row>
    <row r="184" spans="2:18" x14ac:dyDescent="0.3">
      <c r="B184" s="579">
        <f t="shared" si="69"/>
        <v>5.4999999999999982</v>
      </c>
      <c r="C184" s="838" t="s">
        <v>30</v>
      </c>
      <c r="D184" s="482"/>
      <c r="E184" s="482">
        <f>+E180-E181+E182-E183</f>
        <v>1.076148997691817E-8</v>
      </c>
      <c r="F184" s="482">
        <f t="shared" si="66"/>
        <v>1.076148997691817E-8</v>
      </c>
      <c r="G184" s="482"/>
      <c r="H184" s="482">
        <f>+H180-H181+H182-H183</f>
        <v>1.0761489939170587E-8</v>
      </c>
      <c r="I184" s="482">
        <f t="shared" si="67"/>
        <v>1.0761489939170587E-8</v>
      </c>
      <c r="J184" s="483"/>
      <c r="K184" s="483">
        <f>+J180-J181+J182-J183</f>
        <v>0</v>
      </c>
      <c r="L184" s="482">
        <f t="shared" si="68"/>
        <v>0</v>
      </c>
      <c r="M184" s="483"/>
      <c r="N184" s="483">
        <f>+M180-M181+M182-M183</f>
        <v>0</v>
      </c>
      <c r="O184" s="483"/>
      <c r="P184" s="483"/>
      <c r="Q184" s="483">
        <f>+O180-O181+O182-O183</f>
        <v>0</v>
      </c>
      <c r="R184" s="413"/>
    </row>
    <row r="185" spans="2:18" x14ac:dyDescent="0.3">
      <c r="B185" s="579">
        <f t="shared" si="69"/>
        <v>5.5999999999999979</v>
      </c>
      <c r="C185" s="838" t="s">
        <v>470</v>
      </c>
      <c r="D185" s="482"/>
      <c r="E185" s="443">
        <f>AVERAGE(E180,E184)</f>
        <v>0.13884321076148998</v>
      </c>
      <c r="F185" s="482">
        <f t="shared" si="66"/>
        <v>0.13884321076148998</v>
      </c>
      <c r="G185" s="482"/>
      <c r="H185" s="443">
        <f>AVERAGE(H180,H184)</f>
        <v>1.0761489939170587E-8</v>
      </c>
      <c r="I185" s="482">
        <f t="shared" si="67"/>
        <v>1.0761489939170587E-8</v>
      </c>
      <c r="J185" s="483"/>
      <c r="K185" s="482"/>
      <c r="L185" s="482">
        <f t="shared" si="68"/>
        <v>0</v>
      </c>
      <c r="M185" s="483"/>
      <c r="N185" s="483"/>
      <c r="O185" s="483"/>
      <c r="P185" s="483"/>
      <c r="Q185" s="483"/>
      <c r="R185" s="413"/>
    </row>
    <row r="186" spans="2:18" s="575" customFormat="1" x14ac:dyDescent="0.3">
      <c r="B186" s="583">
        <f t="shared" si="69"/>
        <v>5.6999999999999975</v>
      </c>
      <c r="C186" s="839" t="s">
        <v>31</v>
      </c>
      <c r="D186" s="572"/>
      <c r="E186" s="572">
        <f>IFERROR(E187/E185,0)</f>
        <v>1.9062589218164734E-2</v>
      </c>
      <c r="F186" s="572">
        <f>F187/F185</f>
        <v>1.9062589218164734E-2</v>
      </c>
      <c r="G186" s="572"/>
      <c r="H186" s="572">
        <f>IFERROR(H187/H185,0)</f>
        <v>0</v>
      </c>
      <c r="I186" s="572">
        <f>I187/I185</f>
        <v>0</v>
      </c>
      <c r="J186" s="573"/>
      <c r="K186" s="573" t="e">
        <f>J187/K185</f>
        <v>#DIV/0!</v>
      </c>
      <c r="L186" s="572" t="e">
        <f>L187/L185</f>
        <v>#DIV/0!</v>
      </c>
      <c r="M186" s="573"/>
      <c r="N186" s="573" t="e">
        <f>M187/N185</f>
        <v>#DIV/0!</v>
      </c>
      <c r="O186" s="573"/>
      <c r="P186" s="573"/>
      <c r="Q186" s="573" t="e">
        <f>O187/Q185</f>
        <v>#DIV/0!</v>
      </c>
      <c r="R186" s="574"/>
    </row>
    <row r="187" spans="2:18" x14ac:dyDescent="0.3">
      <c r="B187" s="579">
        <f t="shared" si="69"/>
        <v>5.7999999999999972</v>
      </c>
      <c r="C187" s="838" t="s">
        <v>32</v>
      </c>
      <c r="D187" s="482"/>
      <c r="E187" s="482">
        <v>2.6467110924773525E-3</v>
      </c>
      <c r="F187" s="482">
        <f t="shared" si="66"/>
        <v>2.6467110924773525E-3</v>
      </c>
      <c r="G187" s="482"/>
      <c r="H187" s="482">
        <v>0</v>
      </c>
      <c r="I187" s="482">
        <f t="shared" si="67"/>
        <v>0</v>
      </c>
      <c r="J187" s="483"/>
      <c r="K187" s="482"/>
      <c r="L187" s="482">
        <f t="shared" si="68"/>
        <v>0</v>
      </c>
      <c r="M187" s="483"/>
      <c r="N187" s="483"/>
      <c r="O187" s="483"/>
      <c r="P187" s="483"/>
      <c r="Q187" s="483"/>
      <c r="R187" s="413"/>
    </row>
    <row r="188" spans="2:18" x14ac:dyDescent="0.3">
      <c r="B188" s="581"/>
      <c r="C188" s="840"/>
      <c r="D188" s="482"/>
      <c r="E188" s="482"/>
      <c r="F188" s="482"/>
      <c r="G188" s="482"/>
      <c r="H188" s="482"/>
      <c r="I188" s="482"/>
      <c r="J188" s="483"/>
      <c r="K188" s="482"/>
      <c r="L188" s="482"/>
      <c r="M188" s="483"/>
      <c r="N188" s="483"/>
      <c r="O188" s="483"/>
      <c r="P188" s="483"/>
      <c r="Q188" s="483"/>
      <c r="R188" s="413"/>
    </row>
    <row r="189" spans="2:18" x14ac:dyDescent="0.3">
      <c r="B189" s="581">
        <v>6</v>
      </c>
      <c r="C189" s="840" t="s">
        <v>1484</v>
      </c>
      <c r="D189" s="482"/>
      <c r="E189" s="482"/>
      <c r="F189" s="482"/>
      <c r="G189" s="482"/>
      <c r="H189" s="482"/>
      <c r="I189" s="482"/>
      <c r="J189" s="483"/>
      <c r="K189" s="482"/>
      <c r="L189" s="482"/>
      <c r="M189" s="483"/>
      <c r="N189" s="483"/>
      <c r="O189" s="483"/>
      <c r="P189" s="483"/>
      <c r="Q189" s="483"/>
      <c r="R189" s="413"/>
    </row>
    <row r="190" spans="2:18" x14ac:dyDescent="0.3">
      <c r="B190" s="579">
        <f>B189+0.1</f>
        <v>6.1</v>
      </c>
      <c r="C190" s="838" t="s">
        <v>28</v>
      </c>
      <c r="D190" s="482"/>
      <c r="E190" s="482">
        <v>0</v>
      </c>
      <c r="F190" s="482">
        <f t="shared" ref="F190:F197" si="70">E190-D190</f>
        <v>0</v>
      </c>
      <c r="G190" s="482"/>
      <c r="H190" s="482">
        <v>0</v>
      </c>
      <c r="I190" s="482">
        <f t="shared" ref="I190:I197" si="71">H190-G190</f>
        <v>0</v>
      </c>
      <c r="J190" s="483"/>
      <c r="K190" s="482"/>
      <c r="L190" s="482">
        <f t="shared" ref="L190:L197" si="72">K190-J190</f>
        <v>0</v>
      </c>
      <c r="M190" s="483"/>
      <c r="N190" s="483"/>
      <c r="O190" s="483"/>
      <c r="P190" s="483"/>
      <c r="Q190" s="483"/>
      <c r="R190" s="413"/>
    </row>
    <row r="191" spans="2:18" x14ac:dyDescent="0.3">
      <c r="B191" s="579">
        <f t="shared" ref="B191:B197" si="73">B190+0.1</f>
        <v>6.1999999999999993</v>
      </c>
      <c r="C191" s="838" t="s">
        <v>399</v>
      </c>
      <c r="D191" s="482"/>
      <c r="E191" s="482">
        <v>0</v>
      </c>
      <c r="F191" s="482">
        <f t="shared" si="70"/>
        <v>0</v>
      </c>
      <c r="G191" s="482"/>
      <c r="H191" s="482">
        <v>0</v>
      </c>
      <c r="I191" s="482">
        <f t="shared" si="71"/>
        <v>0</v>
      </c>
      <c r="J191" s="483"/>
      <c r="K191" s="482"/>
      <c r="L191" s="482">
        <f t="shared" si="72"/>
        <v>0</v>
      </c>
      <c r="M191" s="483"/>
      <c r="N191" s="483"/>
      <c r="O191" s="483"/>
      <c r="P191" s="483"/>
      <c r="Q191" s="483"/>
      <c r="R191" s="413"/>
    </row>
    <row r="192" spans="2:18" x14ac:dyDescent="0.3">
      <c r="B192" s="579">
        <f t="shared" si="73"/>
        <v>6.2999999999999989</v>
      </c>
      <c r="C192" s="838" t="s">
        <v>341</v>
      </c>
      <c r="D192" s="482"/>
      <c r="E192" s="482">
        <v>0</v>
      </c>
      <c r="F192" s="482">
        <f t="shared" si="70"/>
        <v>0</v>
      </c>
      <c r="G192" s="482"/>
      <c r="H192" s="482">
        <v>0</v>
      </c>
      <c r="I192" s="482">
        <f t="shared" si="71"/>
        <v>0</v>
      </c>
      <c r="J192" s="483"/>
      <c r="K192" s="482"/>
      <c r="L192" s="482">
        <f t="shared" si="72"/>
        <v>0</v>
      </c>
      <c r="M192" s="483"/>
      <c r="N192" s="483"/>
      <c r="O192" s="483"/>
      <c r="P192" s="483"/>
      <c r="Q192" s="483"/>
      <c r="R192" s="413"/>
    </row>
    <row r="193" spans="2:18" x14ac:dyDescent="0.3">
      <c r="B193" s="579">
        <f t="shared" si="73"/>
        <v>6.3999999999999986</v>
      </c>
      <c r="C193" s="838" t="s">
        <v>29</v>
      </c>
      <c r="D193" s="482"/>
      <c r="E193" s="482">
        <v>0</v>
      </c>
      <c r="F193" s="482">
        <f t="shared" si="70"/>
        <v>0</v>
      </c>
      <c r="G193" s="482"/>
      <c r="H193" s="482">
        <v>0</v>
      </c>
      <c r="I193" s="482">
        <f t="shared" si="71"/>
        <v>0</v>
      </c>
      <c r="J193" s="483"/>
      <c r="K193" s="482"/>
      <c r="L193" s="482">
        <f t="shared" si="72"/>
        <v>0</v>
      </c>
      <c r="M193" s="483"/>
      <c r="N193" s="483"/>
      <c r="O193" s="483"/>
      <c r="P193" s="483"/>
      <c r="Q193" s="483"/>
      <c r="R193" s="413"/>
    </row>
    <row r="194" spans="2:18" x14ac:dyDescent="0.3">
      <c r="B194" s="579">
        <f t="shared" si="73"/>
        <v>6.4999999999999982</v>
      </c>
      <c r="C194" s="838" t="s">
        <v>30</v>
      </c>
      <c r="D194" s="482"/>
      <c r="E194" s="482">
        <f>+E190-E191+E192-E193</f>
        <v>0</v>
      </c>
      <c r="F194" s="482">
        <f t="shared" si="70"/>
        <v>0</v>
      </c>
      <c r="G194" s="482"/>
      <c r="H194" s="482">
        <f>+H190-H191+H192-H193</f>
        <v>0</v>
      </c>
      <c r="I194" s="482">
        <f t="shared" si="71"/>
        <v>0</v>
      </c>
      <c r="J194" s="483"/>
      <c r="K194" s="483">
        <f>+J190-J191+J192-J193</f>
        <v>0</v>
      </c>
      <c r="L194" s="482">
        <f t="shared" si="72"/>
        <v>0</v>
      </c>
      <c r="M194" s="483"/>
      <c r="N194" s="483">
        <f>+M190-M191+M192-M193</f>
        <v>0</v>
      </c>
      <c r="O194" s="483"/>
      <c r="P194" s="483"/>
      <c r="Q194" s="483">
        <f>+O190-O191+O192-O193</f>
        <v>0</v>
      </c>
      <c r="R194" s="413"/>
    </row>
    <row r="195" spans="2:18" x14ac:dyDescent="0.3">
      <c r="B195" s="579">
        <f t="shared" si="73"/>
        <v>6.5999999999999979</v>
      </c>
      <c r="C195" s="838" t="s">
        <v>470</v>
      </c>
      <c r="D195" s="482"/>
      <c r="E195" s="443">
        <f>AVERAGE(E190,E194)</f>
        <v>0</v>
      </c>
      <c r="F195" s="482">
        <f t="shared" si="70"/>
        <v>0</v>
      </c>
      <c r="G195" s="482"/>
      <c r="H195" s="443">
        <f>AVERAGE(H190,H194)</f>
        <v>0</v>
      </c>
      <c r="I195" s="482">
        <f t="shared" si="71"/>
        <v>0</v>
      </c>
      <c r="J195" s="483"/>
      <c r="K195" s="482"/>
      <c r="L195" s="482">
        <f t="shared" si="72"/>
        <v>0</v>
      </c>
      <c r="M195" s="483"/>
      <c r="N195" s="483"/>
      <c r="O195" s="483"/>
      <c r="P195" s="483"/>
      <c r="Q195" s="483"/>
      <c r="R195" s="413"/>
    </row>
    <row r="196" spans="2:18" s="575" customFormat="1" x14ac:dyDescent="0.3">
      <c r="B196" s="583">
        <f t="shared" si="73"/>
        <v>6.6999999999999975</v>
      </c>
      <c r="C196" s="839" t="s">
        <v>31</v>
      </c>
      <c r="D196" s="572"/>
      <c r="E196" s="572">
        <f>IFERROR(E197/E195,0)</f>
        <v>0</v>
      </c>
      <c r="F196" s="572" t="e">
        <f>F197/F195</f>
        <v>#DIV/0!</v>
      </c>
      <c r="G196" s="572"/>
      <c r="H196" s="572">
        <f>IFERROR(H197/H195,0)</f>
        <v>0</v>
      </c>
      <c r="I196" s="572" t="e">
        <f>I197/I195</f>
        <v>#DIV/0!</v>
      </c>
      <c r="J196" s="573"/>
      <c r="K196" s="573" t="e">
        <f>J197/K195</f>
        <v>#DIV/0!</v>
      </c>
      <c r="L196" s="572" t="e">
        <f>L197/L195</f>
        <v>#DIV/0!</v>
      </c>
      <c r="M196" s="573"/>
      <c r="N196" s="573" t="e">
        <f>M197/N195</f>
        <v>#DIV/0!</v>
      </c>
      <c r="O196" s="573"/>
      <c r="P196" s="573"/>
      <c r="Q196" s="573" t="e">
        <f>O197/Q195</f>
        <v>#DIV/0!</v>
      </c>
      <c r="R196" s="574"/>
    </row>
    <row r="197" spans="2:18" x14ac:dyDescent="0.3">
      <c r="B197" s="579">
        <f t="shared" si="73"/>
        <v>6.7999999999999972</v>
      </c>
      <c r="C197" s="838" t="s">
        <v>32</v>
      </c>
      <c r="D197" s="482"/>
      <c r="E197" s="482">
        <v>0</v>
      </c>
      <c r="F197" s="482">
        <f t="shared" si="70"/>
        <v>0</v>
      </c>
      <c r="G197" s="482"/>
      <c r="H197" s="482">
        <v>0</v>
      </c>
      <c r="I197" s="482">
        <f t="shared" si="71"/>
        <v>0</v>
      </c>
      <c r="J197" s="483"/>
      <c r="K197" s="482"/>
      <c r="L197" s="482">
        <f t="shared" si="72"/>
        <v>0</v>
      </c>
      <c r="M197" s="483"/>
      <c r="N197" s="483"/>
      <c r="O197" s="483"/>
      <c r="P197" s="483"/>
      <c r="Q197" s="483"/>
      <c r="R197" s="413"/>
    </row>
    <row r="198" spans="2:18" x14ac:dyDescent="0.3">
      <c r="B198" s="581"/>
      <c r="C198" s="840"/>
      <c r="D198" s="482"/>
      <c r="E198" s="482"/>
      <c r="F198" s="482"/>
      <c r="G198" s="482"/>
      <c r="H198" s="482"/>
      <c r="I198" s="482"/>
      <c r="J198" s="483"/>
      <c r="K198" s="482"/>
      <c r="L198" s="482"/>
      <c r="M198" s="483"/>
      <c r="N198" s="483"/>
      <c r="O198" s="483"/>
      <c r="P198" s="483"/>
      <c r="Q198" s="483"/>
      <c r="R198" s="413"/>
    </row>
    <row r="199" spans="2:18" x14ac:dyDescent="0.3">
      <c r="B199" s="581">
        <v>7</v>
      </c>
      <c r="C199" s="840" t="s">
        <v>1478</v>
      </c>
      <c r="D199" s="482"/>
      <c r="E199" s="482"/>
      <c r="F199" s="482"/>
      <c r="G199" s="482"/>
      <c r="H199" s="482"/>
      <c r="I199" s="482"/>
      <c r="J199" s="483"/>
      <c r="K199" s="482"/>
      <c r="L199" s="482"/>
      <c r="M199" s="483"/>
      <c r="N199" s="483"/>
      <c r="O199" s="483"/>
      <c r="P199" s="483"/>
      <c r="Q199" s="483"/>
      <c r="R199" s="413"/>
    </row>
    <row r="200" spans="2:18" x14ac:dyDescent="0.3">
      <c r="B200" s="579">
        <f>B199+0.1</f>
        <v>7.1</v>
      </c>
      <c r="C200" s="838" t="s">
        <v>28</v>
      </c>
      <c r="D200" s="482"/>
      <c r="E200" s="482">
        <v>0</v>
      </c>
      <c r="F200" s="482">
        <f t="shared" ref="F200:F207" si="74">E200-D200</f>
        <v>0</v>
      </c>
      <c r="G200" s="482"/>
      <c r="H200" s="482">
        <v>0</v>
      </c>
      <c r="I200" s="482">
        <f t="shared" ref="I200:I207" si="75">H200-G200</f>
        <v>0</v>
      </c>
      <c r="J200" s="483"/>
      <c r="K200" s="482"/>
      <c r="L200" s="482">
        <f t="shared" ref="L200:L207" si="76">K200-J200</f>
        <v>0</v>
      </c>
      <c r="M200" s="483"/>
      <c r="N200" s="483"/>
      <c r="O200" s="483"/>
      <c r="P200" s="483"/>
      <c r="Q200" s="483"/>
      <c r="R200" s="413"/>
    </row>
    <row r="201" spans="2:18" x14ac:dyDescent="0.3">
      <c r="B201" s="579">
        <f t="shared" ref="B201:B207" si="77">B200+0.1</f>
        <v>7.1999999999999993</v>
      </c>
      <c r="C201" s="838" t="s">
        <v>399</v>
      </c>
      <c r="D201" s="482"/>
      <c r="E201" s="482">
        <v>0</v>
      </c>
      <c r="F201" s="482">
        <f t="shared" si="74"/>
        <v>0</v>
      </c>
      <c r="G201" s="482"/>
      <c r="H201" s="482">
        <v>0</v>
      </c>
      <c r="I201" s="482">
        <f t="shared" si="75"/>
        <v>0</v>
      </c>
      <c r="J201" s="483"/>
      <c r="K201" s="482"/>
      <c r="L201" s="482">
        <f t="shared" si="76"/>
        <v>0</v>
      </c>
      <c r="M201" s="483"/>
      <c r="N201" s="483"/>
      <c r="O201" s="483"/>
      <c r="P201" s="483"/>
      <c r="Q201" s="483"/>
      <c r="R201" s="413"/>
    </row>
    <row r="202" spans="2:18" x14ac:dyDescent="0.3">
      <c r="B202" s="579">
        <f t="shared" si="77"/>
        <v>7.2999999999999989</v>
      </c>
      <c r="C202" s="838" t="s">
        <v>341</v>
      </c>
      <c r="D202" s="482"/>
      <c r="E202" s="482">
        <v>0</v>
      </c>
      <c r="F202" s="482">
        <f t="shared" si="74"/>
        <v>0</v>
      </c>
      <c r="G202" s="482"/>
      <c r="H202" s="482">
        <v>0</v>
      </c>
      <c r="I202" s="482">
        <f t="shared" si="75"/>
        <v>0</v>
      </c>
      <c r="J202" s="483"/>
      <c r="K202" s="482"/>
      <c r="L202" s="482">
        <f t="shared" si="76"/>
        <v>0</v>
      </c>
      <c r="M202" s="483"/>
      <c r="N202" s="483"/>
      <c r="O202" s="483"/>
      <c r="P202" s="483"/>
      <c r="Q202" s="483"/>
      <c r="R202" s="413"/>
    </row>
    <row r="203" spans="2:18" x14ac:dyDescent="0.3">
      <c r="B203" s="579">
        <f t="shared" si="77"/>
        <v>7.3999999999999986</v>
      </c>
      <c r="C203" s="838" t="s">
        <v>29</v>
      </c>
      <c r="D203" s="482"/>
      <c r="E203" s="482">
        <v>0</v>
      </c>
      <c r="F203" s="482">
        <f t="shared" si="74"/>
        <v>0</v>
      </c>
      <c r="G203" s="482"/>
      <c r="H203" s="482">
        <v>0</v>
      </c>
      <c r="I203" s="482">
        <f t="shared" si="75"/>
        <v>0</v>
      </c>
      <c r="J203" s="483"/>
      <c r="K203" s="482"/>
      <c r="L203" s="482">
        <f t="shared" si="76"/>
        <v>0</v>
      </c>
      <c r="M203" s="483"/>
      <c r="N203" s="483"/>
      <c r="O203" s="483"/>
      <c r="P203" s="483"/>
      <c r="Q203" s="483"/>
      <c r="R203" s="413"/>
    </row>
    <row r="204" spans="2:18" x14ac:dyDescent="0.3">
      <c r="B204" s="579">
        <f t="shared" si="77"/>
        <v>7.4999999999999982</v>
      </c>
      <c r="C204" s="838" t="s">
        <v>30</v>
      </c>
      <c r="D204" s="482"/>
      <c r="E204" s="482">
        <f>+E200-E201+E202-E203</f>
        <v>0</v>
      </c>
      <c r="F204" s="482">
        <f t="shared" si="74"/>
        <v>0</v>
      </c>
      <c r="G204" s="482"/>
      <c r="H204" s="482">
        <f>+H200-H201+H202-H203</f>
        <v>0</v>
      </c>
      <c r="I204" s="482">
        <f t="shared" si="75"/>
        <v>0</v>
      </c>
      <c r="J204" s="483"/>
      <c r="K204" s="483">
        <f>+J200-J201+J202-J203</f>
        <v>0</v>
      </c>
      <c r="L204" s="482">
        <f t="shared" si="76"/>
        <v>0</v>
      </c>
      <c r="M204" s="483"/>
      <c r="N204" s="483">
        <f>+M200-M201+M202-M203</f>
        <v>0</v>
      </c>
      <c r="O204" s="483"/>
      <c r="P204" s="483"/>
      <c r="Q204" s="483">
        <f>+O200-O201+O202-O203</f>
        <v>0</v>
      </c>
      <c r="R204" s="413"/>
    </row>
    <row r="205" spans="2:18" x14ac:dyDescent="0.3">
      <c r="B205" s="579">
        <f t="shared" si="77"/>
        <v>7.5999999999999979</v>
      </c>
      <c r="C205" s="838" t="s">
        <v>470</v>
      </c>
      <c r="D205" s="482"/>
      <c r="E205" s="443">
        <f>AVERAGE(E200,E204)</f>
        <v>0</v>
      </c>
      <c r="F205" s="482">
        <f t="shared" si="74"/>
        <v>0</v>
      </c>
      <c r="G205" s="482"/>
      <c r="H205" s="443">
        <f>AVERAGE(H200,H204)</f>
        <v>0</v>
      </c>
      <c r="I205" s="482">
        <f t="shared" si="75"/>
        <v>0</v>
      </c>
      <c r="J205" s="483"/>
      <c r="K205" s="482"/>
      <c r="L205" s="482">
        <f t="shared" si="76"/>
        <v>0</v>
      </c>
      <c r="M205" s="483"/>
      <c r="N205" s="483"/>
      <c r="O205" s="483"/>
      <c r="P205" s="483"/>
      <c r="Q205" s="483"/>
      <c r="R205" s="413"/>
    </row>
    <row r="206" spans="2:18" s="575" customFormat="1" x14ac:dyDescent="0.3">
      <c r="B206" s="583">
        <f t="shared" si="77"/>
        <v>7.6999999999999975</v>
      </c>
      <c r="C206" s="839" t="s">
        <v>31</v>
      </c>
      <c r="D206" s="572"/>
      <c r="E206" s="572">
        <f>IFERROR(E207/E205,0)</f>
        <v>0</v>
      </c>
      <c r="F206" s="572" t="e">
        <f>F207/F205</f>
        <v>#DIV/0!</v>
      </c>
      <c r="G206" s="572"/>
      <c r="H206" s="572">
        <f>IFERROR(H207/H205,0)</f>
        <v>0</v>
      </c>
      <c r="I206" s="572" t="e">
        <f>I207/I205</f>
        <v>#DIV/0!</v>
      </c>
      <c r="J206" s="573"/>
      <c r="K206" s="573" t="e">
        <f>J207/K205</f>
        <v>#DIV/0!</v>
      </c>
      <c r="L206" s="572" t="e">
        <f>L207/L205</f>
        <v>#DIV/0!</v>
      </c>
      <c r="M206" s="573"/>
      <c r="N206" s="573" t="e">
        <f>M207/N205</f>
        <v>#DIV/0!</v>
      </c>
      <c r="O206" s="573"/>
      <c r="P206" s="573"/>
      <c r="Q206" s="573" t="e">
        <f>O207/Q205</f>
        <v>#DIV/0!</v>
      </c>
      <c r="R206" s="574"/>
    </row>
    <row r="207" spans="2:18" x14ac:dyDescent="0.3">
      <c r="B207" s="579">
        <f t="shared" si="77"/>
        <v>7.7999999999999972</v>
      </c>
      <c r="C207" s="838" t="s">
        <v>32</v>
      </c>
      <c r="D207" s="482"/>
      <c r="E207" s="482">
        <v>0</v>
      </c>
      <c r="F207" s="482">
        <f t="shared" si="74"/>
        <v>0</v>
      </c>
      <c r="G207" s="482"/>
      <c r="H207" s="482">
        <v>0</v>
      </c>
      <c r="I207" s="482">
        <f t="shared" si="75"/>
        <v>0</v>
      </c>
      <c r="J207" s="483"/>
      <c r="K207" s="482"/>
      <c r="L207" s="482">
        <f t="shared" si="76"/>
        <v>0</v>
      </c>
      <c r="M207" s="483"/>
      <c r="N207" s="483"/>
      <c r="O207" s="483"/>
      <c r="P207" s="483"/>
      <c r="Q207" s="483"/>
      <c r="R207" s="413"/>
    </row>
    <row r="208" spans="2:18" x14ac:dyDescent="0.3">
      <c r="B208" s="581"/>
      <c r="C208" s="840"/>
      <c r="D208" s="482"/>
      <c r="E208" s="482"/>
      <c r="F208" s="482"/>
      <c r="G208" s="482"/>
      <c r="H208" s="482"/>
      <c r="I208" s="482"/>
      <c r="J208" s="483"/>
      <c r="K208" s="482"/>
      <c r="L208" s="482"/>
      <c r="M208" s="483"/>
      <c r="N208" s="483"/>
      <c r="O208" s="483"/>
      <c r="P208" s="483"/>
      <c r="Q208" s="483"/>
      <c r="R208" s="413"/>
    </row>
    <row r="209" spans="2:18" x14ac:dyDescent="0.3">
      <c r="B209" s="581">
        <v>8</v>
      </c>
      <c r="C209" s="840" t="s">
        <v>1479</v>
      </c>
      <c r="D209" s="482"/>
      <c r="E209" s="482"/>
      <c r="F209" s="482"/>
      <c r="G209" s="482"/>
      <c r="H209" s="482"/>
      <c r="I209" s="482"/>
      <c r="J209" s="483"/>
      <c r="K209" s="482"/>
      <c r="L209" s="482"/>
      <c r="M209" s="483"/>
      <c r="N209" s="483"/>
      <c r="O209" s="483"/>
      <c r="P209" s="483"/>
      <c r="Q209" s="483"/>
      <c r="R209" s="413"/>
    </row>
    <row r="210" spans="2:18" x14ac:dyDescent="0.3">
      <c r="B210" s="579">
        <f>B209+0.1</f>
        <v>8.1</v>
      </c>
      <c r="C210" s="838" t="s">
        <v>28</v>
      </c>
      <c r="D210" s="482"/>
      <c r="E210" s="482">
        <v>0</v>
      </c>
      <c r="F210" s="482">
        <f t="shared" ref="F210:F217" si="78">E210-D210</f>
        <v>0</v>
      </c>
      <c r="G210" s="482"/>
      <c r="H210" s="482">
        <v>0</v>
      </c>
      <c r="I210" s="482">
        <f t="shared" ref="I210:I217" si="79">H210-G210</f>
        <v>0</v>
      </c>
      <c r="J210" s="483"/>
      <c r="K210" s="482"/>
      <c r="L210" s="482">
        <f t="shared" ref="L210:L217" si="80">K210-J210</f>
        <v>0</v>
      </c>
      <c r="M210" s="483"/>
      <c r="N210" s="483"/>
      <c r="O210" s="483"/>
      <c r="P210" s="483"/>
      <c r="Q210" s="483"/>
      <c r="R210" s="413"/>
    </row>
    <row r="211" spans="2:18" x14ac:dyDescent="0.3">
      <c r="B211" s="579">
        <f t="shared" ref="B211:B217" si="81">B210+0.1</f>
        <v>8.1999999999999993</v>
      </c>
      <c r="C211" s="838" t="s">
        <v>399</v>
      </c>
      <c r="D211" s="482"/>
      <c r="E211" s="482">
        <v>0</v>
      </c>
      <c r="F211" s="482">
        <f t="shared" si="78"/>
        <v>0</v>
      </c>
      <c r="G211" s="482"/>
      <c r="H211" s="482">
        <v>0</v>
      </c>
      <c r="I211" s="482">
        <f t="shared" si="79"/>
        <v>0</v>
      </c>
      <c r="J211" s="483"/>
      <c r="K211" s="482"/>
      <c r="L211" s="482">
        <f t="shared" si="80"/>
        <v>0</v>
      </c>
      <c r="M211" s="483"/>
      <c r="N211" s="483"/>
      <c r="O211" s="483"/>
      <c r="P211" s="483"/>
      <c r="Q211" s="483"/>
      <c r="R211" s="413"/>
    </row>
    <row r="212" spans="2:18" x14ac:dyDescent="0.3">
      <c r="B212" s="579">
        <f t="shared" si="81"/>
        <v>8.2999999999999989</v>
      </c>
      <c r="C212" s="838" t="s">
        <v>341</v>
      </c>
      <c r="D212" s="482"/>
      <c r="E212" s="482">
        <v>0</v>
      </c>
      <c r="F212" s="482">
        <f t="shared" si="78"/>
        <v>0</v>
      </c>
      <c r="G212" s="482"/>
      <c r="H212" s="482">
        <v>0</v>
      </c>
      <c r="I212" s="482">
        <f t="shared" si="79"/>
        <v>0</v>
      </c>
      <c r="J212" s="483"/>
      <c r="K212" s="482"/>
      <c r="L212" s="482">
        <f t="shared" si="80"/>
        <v>0</v>
      </c>
      <c r="M212" s="483"/>
      <c r="N212" s="483"/>
      <c r="O212" s="483"/>
      <c r="P212" s="483"/>
      <c r="Q212" s="483"/>
      <c r="R212" s="413"/>
    </row>
    <row r="213" spans="2:18" x14ac:dyDescent="0.3">
      <c r="B213" s="579">
        <f t="shared" si="81"/>
        <v>8.3999999999999986</v>
      </c>
      <c r="C213" s="838" t="s">
        <v>29</v>
      </c>
      <c r="D213" s="482"/>
      <c r="E213" s="482">
        <v>0</v>
      </c>
      <c r="F213" s="482">
        <f t="shared" si="78"/>
        <v>0</v>
      </c>
      <c r="G213" s="482"/>
      <c r="H213" s="482">
        <v>0</v>
      </c>
      <c r="I213" s="482">
        <f t="shared" si="79"/>
        <v>0</v>
      </c>
      <c r="J213" s="483"/>
      <c r="K213" s="482"/>
      <c r="L213" s="482">
        <f t="shared" si="80"/>
        <v>0</v>
      </c>
      <c r="M213" s="483"/>
      <c r="N213" s="483"/>
      <c r="O213" s="483"/>
      <c r="P213" s="483"/>
      <c r="Q213" s="483"/>
      <c r="R213" s="413"/>
    </row>
    <row r="214" spans="2:18" x14ac:dyDescent="0.3">
      <c r="B214" s="579">
        <f t="shared" si="81"/>
        <v>8.4999999999999982</v>
      </c>
      <c r="C214" s="838" t="s">
        <v>30</v>
      </c>
      <c r="D214" s="482"/>
      <c r="E214" s="482">
        <f>+E210-E211+E212-E213</f>
        <v>0</v>
      </c>
      <c r="F214" s="482">
        <f t="shared" si="78"/>
        <v>0</v>
      </c>
      <c r="G214" s="482"/>
      <c r="H214" s="482">
        <f>+H210-H211+H212-H213</f>
        <v>0</v>
      </c>
      <c r="I214" s="482">
        <f t="shared" si="79"/>
        <v>0</v>
      </c>
      <c r="J214" s="483"/>
      <c r="K214" s="483">
        <f>+J210-J211+J212-J213</f>
        <v>0</v>
      </c>
      <c r="L214" s="482">
        <f t="shared" si="80"/>
        <v>0</v>
      </c>
      <c r="M214" s="483"/>
      <c r="N214" s="483">
        <f>+M210-M211+M212-M213</f>
        <v>0</v>
      </c>
      <c r="O214" s="483"/>
      <c r="P214" s="483"/>
      <c r="Q214" s="483">
        <f>+O210-O211+O212-O213</f>
        <v>0</v>
      </c>
      <c r="R214" s="413"/>
    </row>
    <row r="215" spans="2:18" x14ac:dyDescent="0.3">
      <c r="B215" s="579">
        <f t="shared" si="81"/>
        <v>8.5999999999999979</v>
      </c>
      <c r="C215" s="838" t="s">
        <v>470</v>
      </c>
      <c r="D215" s="482"/>
      <c r="E215" s="443">
        <f>AVERAGE(E210,E214)</f>
        <v>0</v>
      </c>
      <c r="F215" s="482">
        <f t="shared" si="78"/>
        <v>0</v>
      </c>
      <c r="G215" s="482"/>
      <c r="H215" s="443">
        <f>AVERAGE(H210,H214)</f>
        <v>0</v>
      </c>
      <c r="I215" s="482">
        <f t="shared" si="79"/>
        <v>0</v>
      </c>
      <c r="J215" s="483"/>
      <c r="K215" s="482"/>
      <c r="L215" s="482">
        <f t="shared" si="80"/>
        <v>0</v>
      </c>
      <c r="M215" s="483"/>
      <c r="N215" s="483"/>
      <c r="O215" s="483"/>
      <c r="P215" s="483"/>
      <c r="Q215" s="483"/>
      <c r="R215" s="413"/>
    </row>
    <row r="216" spans="2:18" s="575" customFormat="1" x14ac:dyDescent="0.3">
      <c r="B216" s="583">
        <f t="shared" si="81"/>
        <v>8.6999999999999975</v>
      </c>
      <c r="C216" s="839" t="s">
        <v>31</v>
      </c>
      <c r="D216" s="572"/>
      <c r="E216" s="572">
        <f>IFERROR(E217/E215,0)</f>
        <v>0</v>
      </c>
      <c r="F216" s="572" t="e">
        <f>F217/F215</f>
        <v>#DIV/0!</v>
      </c>
      <c r="G216" s="572"/>
      <c r="H216" s="572">
        <f>IFERROR(H217/H215,0)</f>
        <v>0</v>
      </c>
      <c r="I216" s="572" t="e">
        <f>I217/I215</f>
        <v>#DIV/0!</v>
      </c>
      <c r="J216" s="573"/>
      <c r="K216" s="573" t="e">
        <f>J217/K215</f>
        <v>#DIV/0!</v>
      </c>
      <c r="L216" s="572" t="e">
        <f>L217/L215</f>
        <v>#DIV/0!</v>
      </c>
      <c r="M216" s="573"/>
      <c r="N216" s="573" t="e">
        <f>M217/N215</f>
        <v>#DIV/0!</v>
      </c>
      <c r="O216" s="573"/>
      <c r="P216" s="573"/>
      <c r="Q216" s="573" t="e">
        <f>O217/Q215</f>
        <v>#DIV/0!</v>
      </c>
      <c r="R216" s="574"/>
    </row>
    <row r="217" spans="2:18" x14ac:dyDescent="0.3">
      <c r="B217" s="579">
        <f t="shared" si="81"/>
        <v>8.7999999999999972</v>
      </c>
      <c r="C217" s="838" t="s">
        <v>32</v>
      </c>
      <c r="D217" s="482"/>
      <c r="E217" s="482">
        <v>0</v>
      </c>
      <c r="F217" s="482">
        <f t="shared" si="78"/>
        <v>0</v>
      </c>
      <c r="G217" s="482"/>
      <c r="H217" s="482">
        <v>0</v>
      </c>
      <c r="I217" s="482">
        <f t="shared" si="79"/>
        <v>0</v>
      </c>
      <c r="J217" s="483"/>
      <c r="K217" s="482"/>
      <c r="L217" s="482">
        <f t="shared" si="80"/>
        <v>0</v>
      </c>
      <c r="M217" s="483"/>
      <c r="N217" s="483"/>
      <c r="O217" s="483"/>
      <c r="P217" s="483"/>
      <c r="Q217" s="483"/>
      <c r="R217" s="413"/>
    </row>
    <row r="218" spans="2:18" x14ac:dyDescent="0.3">
      <c r="B218" s="579"/>
      <c r="C218" s="838"/>
      <c r="D218" s="482"/>
      <c r="E218" s="482"/>
      <c r="F218" s="482"/>
      <c r="G218" s="482"/>
      <c r="H218" s="482"/>
      <c r="I218" s="482"/>
      <c r="J218" s="483"/>
      <c r="K218" s="482"/>
      <c r="L218" s="482"/>
      <c r="M218" s="483"/>
      <c r="N218" s="483"/>
      <c r="O218" s="483"/>
      <c r="P218" s="483"/>
      <c r="Q218" s="483"/>
      <c r="R218" s="413"/>
    </row>
    <row r="219" spans="2:18" s="22" customFormat="1" x14ac:dyDescent="0.3">
      <c r="B219" s="581">
        <v>9</v>
      </c>
      <c r="C219" s="840" t="s">
        <v>1480</v>
      </c>
      <c r="D219" s="482"/>
      <c r="E219" s="482"/>
      <c r="F219" s="482"/>
      <c r="G219" s="482"/>
      <c r="H219" s="482"/>
      <c r="I219" s="482"/>
      <c r="J219" s="483"/>
      <c r="K219" s="482"/>
      <c r="L219" s="482"/>
      <c r="M219" s="483"/>
      <c r="N219" s="483"/>
      <c r="O219" s="483"/>
      <c r="P219" s="483"/>
      <c r="Q219" s="483"/>
      <c r="R219" s="425"/>
    </row>
    <row r="220" spans="2:18" x14ac:dyDescent="0.3">
      <c r="B220" s="579">
        <f>B219+0.1</f>
        <v>9.1</v>
      </c>
      <c r="C220" s="838" t="s">
        <v>28</v>
      </c>
      <c r="D220" s="482"/>
      <c r="E220" s="482">
        <v>0</v>
      </c>
      <c r="F220" s="482">
        <f t="shared" ref="F220:F227" si="82">E220-D220</f>
        <v>0</v>
      </c>
      <c r="G220" s="482"/>
      <c r="H220" s="482">
        <v>0</v>
      </c>
      <c r="I220" s="482">
        <f t="shared" ref="I220:I227" si="83">H220-G220</f>
        <v>0</v>
      </c>
      <c r="J220" s="483"/>
      <c r="K220" s="482"/>
      <c r="L220" s="482">
        <f t="shared" ref="L220:L227" si="84">K220-J220</f>
        <v>0</v>
      </c>
      <c r="M220" s="483"/>
      <c r="N220" s="483"/>
      <c r="O220" s="483"/>
      <c r="P220" s="483"/>
      <c r="Q220" s="483"/>
      <c r="R220" s="413"/>
    </row>
    <row r="221" spans="2:18" x14ac:dyDescent="0.3">
      <c r="B221" s="579">
        <f t="shared" ref="B221:B227" si="85">B220+0.1</f>
        <v>9.1999999999999993</v>
      </c>
      <c r="C221" s="838" t="s">
        <v>399</v>
      </c>
      <c r="D221" s="482"/>
      <c r="E221" s="482">
        <v>0</v>
      </c>
      <c r="F221" s="482">
        <f t="shared" si="82"/>
        <v>0</v>
      </c>
      <c r="G221" s="482"/>
      <c r="H221" s="482">
        <v>0</v>
      </c>
      <c r="I221" s="482">
        <f t="shared" si="83"/>
        <v>0</v>
      </c>
      <c r="J221" s="483"/>
      <c r="K221" s="482"/>
      <c r="L221" s="482">
        <f t="shared" si="84"/>
        <v>0</v>
      </c>
      <c r="M221" s="483"/>
      <c r="N221" s="483"/>
      <c r="O221" s="483"/>
      <c r="P221" s="483"/>
      <c r="Q221" s="483"/>
      <c r="R221" s="413"/>
    </row>
    <row r="222" spans="2:18" x14ac:dyDescent="0.3">
      <c r="B222" s="579">
        <f t="shared" si="85"/>
        <v>9.2999999999999989</v>
      </c>
      <c r="C222" s="838" t="s">
        <v>341</v>
      </c>
      <c r="D222" s="482"/>
      <c r="E222" s="482">
        <v>0</v>
      </c>
      <c r="F222" s="482">
        <f t="shared" si="82"/>
        <v>0</v>
      </c>
      <c r="G222" s="482"/>
      <c r="H222" s="482">
        <v>0</v>
      </c>
      <c r="I222" s="482">
        <f t="shared" si="83"/>
        <v>0</v>
      </c>
      <c r="J222" s="483"/>
      <c r="K222" s="482"/>
      <c r="L222" s="482">
        <f t="shared" si="84"/>
        <v>0</v>
      </c>
      <c r="M222" s="483"/>
      <c r="N222" s="483"/>
      <c r="O222" s="483"/>
      <c r="P222" s="483"/>
      <c r="Q222" s="483"/>
      <c r="R222" s="413"/>
    </row>
    <row r="223" spans="2:18" x14ac:dyDescent="0.3">
      <c r="B223" s="579">
        <f t="shared" si="85"/>
        <v>9.3999999999999986</v>
      </c>
      <c r="C223" s="838" t="s">
        <v>29</v>
      </c>
      <c r="D223" s="482"/>
      <c r="E223" s="482">
        <v>0</v>
      </c>
      <c r="F223" s="482">
        <f t="shared" si="82"/>
        <v>0</v>
      </c>
      <c r="G223" s="482"/>
      <c r="H223" s="482">
        <v>0</v>
      </c>
      <c r="I223" s="482">
        <f t="shared" si="83"/>
        <v>0</v>
      </c>
      <c r="J223" s="483"/>
      <c r="K223" s="482"/>
      <c r="L223" s="482">
        <f t="shared" si="84"/>
        <v>0</v>
      </c>
      <c r="M223" s="483"/>
      <c r="N223" s="483"/>
      <c r="O223" s="483"/>
      <c r="P223" s="483"/>
      <c r="Q223" s="483"/>
      <c r="R223" s="413"/>
    </row>
    <row r="224" spans="2:18" x14ac:dyDescent="0.3">
      <c r="B224" s="579">
        <f t="shared" si="85"/>
        <v>9.4999999999999982</v>
      </c>
      <c r="C224" s="838" t="s">
        <v>30</v>
      </c>
      <c r="D224" s="482"/>
      <c r="E224" s="482">
        <f>+E220-E221+E222-E223</f>
        <v>0</v>
      </c>
      <c r="F224" s="482">
        <f t="shared" si="82"/>
        <v>0</v>
      </c>
      <c r="G224" s="482"/>
      <c r="H224" s="482">
        <f>+H220-H221+H222-H223</f>
        <v>0</v>
      </c>
      <c r="I224" s="482">
        <f t="shared" si="83"/>
        <v>0</v>
      </c>
      <c r="J224" s="483"/>
      <c r="K224" s="483">
        <f>+J220-J221+J222-J223</f>
        <v>0</v>
      </c>
      <c r="L224" s="482">
        <f t="shared" si="84"/>
        <v>0</v>
      </c>
      <c r="M224" s="483"/>
      <c r="N224" s="483">
        <f>+M220-M221+M222-M223</f>
        <v>0</v>
      </c>
      <c r="O224" s="483"/>
      <c r="P224" s="483"/>
      <c r="Q224" s="483">
        <f>+O220-O221+O222-O223</f>
        <v>0</v>
      </c>
      <c r="R224" s="413"/>
    </row>
    <row r="225" spans="2:18" x14ac:dyDescent="0.3">
      <c r="B225" s="579">
        <f t="shared" si="85"/>
        <v>9.5999999999999979</v>
      </c>
      <c r="C225" s="838" t="s">
        <v>470</v>
      </c>
      <c r="D225" s="482"/>
      <c r="E225" s="443">
        <f>AVERAGE(E220,E224)</f>
        <v>0</v>
      </c>
      <c r="F225" s="482">
        <f t="shared" si="82"/>
        <v>0</v>
      </c>
      <c r="G225" s="482"/>
      <c r="H225" s="443">
        <f>AVERAGE(H220,H224)</f>
        <v>0</v>
      </c>
      <c r="I225" s="482">
        <f t="shared" si="83"/>
        <v>0</v>
      </c>
      <c r="J225" s="483"/>
      <c r="K225" s="482"/>
      <c r="L225" s="482">
        <f t="shared" si="84"/>
        <v>0</v>
      </c>
      <c r="M225" s="483"/>
      <c r="N225" s="483"/>
      <c r="O225" s="483"/>
      <c r="P225" s="483"/>
      <c r="Q225" s="483"/>
      <c r="R225" s="413"/>
    </row>
    <row r="226" spans="2:18" s="575" customFormat="1" x14ac:dyDescent="0.3">
      <c r="B226" s="583">
        <f t="shared" si="85"/>
        <v>9.6999999999999975</v>
      </c>
      <c r="C226" s="839" t="s">
        <v>31</v>
      </c>
      <c r="D226" s="572"/>
      <c r="E226" s="572">
        <f>IFERROR(E227/E225,0)</f>
        <v>0</v>
      </c>
      <c r="F226" s="572" t="e">
        <f>F227/F225</f>
        <v>#DIV/0!</v>
      </c>
      <c r="G226" s="572"/>
      <c r="H226" s="572">
        <f>IFERROR(H227/H225,0)</f>
        <v>0</v>
      </c>
      <c r="I226" s="572" t="e">
        <f>I227/I225</f>
        <v>#DIV/0!</v>
      </c>
      <c r="J226" s="573"/>
      <c r="K226" s="573" t="e">
        <f>J227/K225</f>
        <v>#DIV/0!</v>
      </c>
      <c r="L226" s="572" t="e">
        <f>L227/L225</f>
        <v>#DIV/0!</v>
      </c>
      <c r="M226" s="573"/>
      <c r="N226" s="573" t="e">
        <f>M227/N225</f>
        <v>#DIV/0!</v>
      </c>
      <c r="O226" s="573"/>
      <c r="P226" s="573"/>
      <c r="Q226" s="573" t="e">
        <f>O227/Q225</f>
        <v>#DIV/0!</v>
      </c>
      <c r="R226" s="574"/>
    </row>
    <row r="227" spans="2:18" x14ac:dyDescent="0.3">
      <c r="B227" s="579">
        <f t="shared" si="85"/>
        <v>9.7999999999999972</v>
      </c>
      <c r="C227" s="838" t="s">
        <v>32</v>
      </c>
      <c r="D227" s="482"/>
      <c r="E227" s="482">
        <v>0</v>
      </c>
      <c r="F227" s="482">
        <f t="shared" si="82"/>
        <v>0</v>
      </c>
      <c r="G227" s="482"/>
      <c r="H227" s="482">
        <v>0</v>
      </c>
      <c r="I227" s="482">
        <f t="shared" si="83"/>
        <v>0</v>
      </c>
      <c r="J227" s="483"/>
      <c r="K227" s="482"/>
      <c r="L227" s="482">
        <f t="shared" si="84"/>
        <v>0</v>
      </c>
      <c r="M227" s="483"/>
      <c r="N227" s="483"/>
      <c r="O227" s="483"/>
      <c r="P227" s="483"/>
      <c r="Q227" s="483"/>
      <c r="R227" s="413"/>
    </row>
    <row r="228" spans="2:18" x14ac:dyDescent="0.3">
      <c r="B228" s="579"/>
      <c r="C228" s="838"/>
      <c r="D228" s="482"/>
      <c r="E228" s="482"/>
      <c r="F228" s="482"/>
      <c r="G228" s="482"/>
      <c r="H228" s="482"/>
      <c r="I228" s="482"/>
      <c r="J228" s="483"/>
      <c r="K228" s="482"/>
      <c r="L228" s="482"/>
      <c r="M228" s="483"/>
      <c r="N228" s="483"/>
      <c r="O228" s="483"/>
      <c r="P228" s="483"/>
      <c r="Q228" s="483"/>
      <c r="R228" s="413"/>
    </row>
    <row r="229" spans="2:18" s="22" customFormat="1" x14ac:dyDescent="0.3">
      <c r="B229" s="581">
        <v>10</v>
      </c>
      <c r="C229" s="840" t="s">
        <v>1485</v>
      </c>
      <c r="D229" s="482"/>
      <c r="E229" s="482"/>
      <c r="F229" s="482"/>
      <c r="G229" s="482"/>
      <c r="H229" s="482"/>
      <c r="I229" s="482"/>
      <c r="J229" s="483"/>
      <c r="K229" s="482"/>
      <c r="L229" s="482"/>
      <c r="M229" s="483"/>
      <c r="N229" s="483"/>
      <c r="O229" s="483"/>
      <c r="P229" s="483"/>
      <c r="Q229" s="483"/>
      <c r="R229" s="425"/>
    </row>
    <row r="230" spans="2:18" x14ac:dyDescent="0.3">
      <c r="B230" s="579">
        <f>B229+0.1</f>
        <v>10.1</v>
      </c>
      <c r="C230" s="838" t="s">
        <v>28</v>
      </c>
      <c r="D230" s="482"/>
      <c r="E230" s="482">
        <v>0</v>
      </c>
      <c r="F230" s="482">
        <f t="shared" ref="F230:F237" si="86">E230-D230</f>
        <v>0</v>
      </c>
      <c r="G230" s="482"/>
      <c r="H230" s="482">
        <v>0</v>
      </c>
      <c r="I230" s="482">
        <f t="shared" ref="I230:I237" si="87">H230-G230</f>
        <v>0</v>
      </c>
      <c r="J230" s="483"/>
      <c r="K230" s="482"/>
      <c r="L230" s="482">
        <f t="shared" ref="L230:L237" si="88">K230-J230</f>
        <v>0</v>
      </c>
      <c r="M230" s="483"/>
      <c r="N230" s="483"/>
      <c r="O230" s="483"/>
      <c r="P230" s="483"/>
      <c r="Q230" s="483"/>
      <c r="R230" s="413"/>
    </row>
    <row r="231" spans="2:18" x14ac:dyDescent="0.3">
      <c r="B231" s="579">
        <f t="shared" ref="B231:B237" si="89">B230+0.1</f>
        <v>10.199999999999999</v>
      </c>
      <c r="C231" s="838" t="s">
        <v>399</v>
      </c>
      <c r="D231" s="482"/>
      <c r="E231" s="482">
        <v>0</v>
      </c>
      <c r="F231" s="482">
        <f t="shared" si="86"/>
        <v>0</v>
      </c>
      <c r="G231" s="482"/>
      <c r="H231" s="482">
        <v>0</v>
      </c>
      <c r="I231" s="482">
        <f t="shared" si="87"/>
        <v>0</v>
      </c>
      <c r="J231" s="483"/>
      <c r="K231" s="482"/>
      <c r="L231" s="482">
        <f t="shared" si="88"/>
        <v>0</v>
      </c>
      <c r="M231" s="483"/>
      <c r="N231" s="483"/>
      <c r="O231" s="483"/>
      <c r="P231" s="483"/>
      <c r="Q231" s="483"/>
      <c r="R231" s="413"/>
    </row>
    <row r="232" spans="2:18" x14ac:dyDescent="0.3">
      <c r="B232" s="579">
        <f t="shared" si="89"/>
        <v>10.299999999999999</v>
      </c>
      <c r="C232" s="838" t="s">
        <v>341</v>
      </c>
      <c r="D232" s="482"/>
      <c r="E232" s="482">
        <v>0</v>
      </c>
      <c r="F232" s="482">
        <f t="shared" si="86"/>
        <v>0</v>
      </c>
      <c r="G232" s="482"/>
      <c r="H232" s="482">
        <v>0</v>
      </c>
      <c r="I232" s="482">
        <f t="shared" si="87"/>
        <v>0</v>
      </c>
      <c r="J232" s="483"/>
      <c r="K232" s="482"/>
      <c r="L232" s="482">
        <f t="shared" si="88"/>
        <v>0</v>
      </c>
      <c r="M232" s="483"/>
      <c r="N232" s="483"/>
      <c r="O232" s="483"/>
      <c r="P232" s="483"/>
      <c r="Q232" s="483"/>
      <c r="R232" s="413"/>
    </row>
    <row r="233" spans="2:18" x14ac:dyDescent="0.3">
      <c r="B233" s="579">
        <f t="shared" si="89"/>
        <v>10.399999999999999</v>
      </c>
      <c r="C233" s="838" t="s">
        <v>29</v>
      </c>
      <c r="D233" s="482"/>
      <c r="E233" s="482">
        <v>0</v>
      </c>
      <c r="F233" s="482">
        <f t="shared" si="86"/>
        <v>0</v>
      </c>
      <c r="G233" s="482"/>
      <c r="H233" s="482">
        <v>0</v>
      </c>
      <c r="I233" s="482">
        <f t="shared" si="87"/>
        <v>0</v>
      </c>
      <c r="J233" s="483"/>
      <c r="K233" s="482"/>
      <c r="L233" s="482">
        <f t="shared" si="88"/>
        <v>0</v>
      </c>
      <c r="M233" s="483"/>
      <c r="N233" s="483"/>
      <c r="O233" s="483"/>
      <c r="P233" s="483"/>
      <c r="Q233" s="483"/>
      <c r="R233" s="413"/>
    </row>
    <row r="234" spans="2:18" x14ac:dyDescent="0.3">
      <c r="B234" s="579">
        <f t="shared" si="89"/>
        <v>10.499999999999998</v>
      </c>
      <c r="C234" s="838" t="s">
        <v>30</v>
      </c>
      <c r="D234" s="482"/>
      <c r="E234" s="482">
        <f>+E230-E231+E232-E233</f>
        <v>0</v>
      </c>
      <c r="F234" s="482">
        <f t="shared" si="86"/>
        <v>0</v>
      </c>
      <c r="G234" s="482"/>
      <c r="H234" s="482">
        <f>+H230-H231+H232-H233</f>
        <v>0</v>
      </c>
      <c r="I234" s="482">
        <f t="shared" si="87"/>
        <v>0</v>
      </c>
      <c r="J234" s="483"/>
      <c r="K234" s="483">
        <f>+J230-J231+J232-J233</f>
        <v>0</v>
      </c>
      <c r="L234" s="482">
        <f t="shared" si="88"/>
        <v>0</v>
      </c>
      <c r="M234" s="483"/>
      <c r="N234" s="483">
        <f>+M230-M231+M232-M233</f>
        <v>0</v>
      </c>
      <c r="O234" s="483"/>
      <c r="P234" s="483"/>
      <c r="Q234" s="483">
        <f>+O230-O231+O232-O233</f>
        <v>0</v>
      </c>
      <c r="R234" s="413"/>
    </row>
    <row r="235" spans="2:18" x14ac:dyDescent="0.3">
      <c r="B235" s="579">
        <f t="shared" si="89"/>
        <v>10.599999999999998</v>
      </c>
      <c r="C235" s="838" t="s">
        <v>470</v>
      </c>
      <c r="D235" s="482"/>
      <c r="E235" s="443">
        <f>AVERAGE(E230,E234)</f>
        <v>0</v>
      </c>
      <c r="F235" s="482">
        <f t="shared" si="86"/>
        <v>0</v>
      </c>
      <c r="G235" s="482"/>
      <c r="H235" s="443">
        <f>AVERAGE(H230,H234)</f>
        <v>0</v>
      </c>
      <c r="I235" s="482">
        <f t="shared" si="87"/>
        <v>0</v>
      </c>
      <c r="J235" s="483"/>
      <c r="K235" s="482"/>
      <c r="L235" s="482">
        <f t="shared" si="88"/>
        <v>0</v>
      </c>
      <c r="M235" s="483"/>
      <c r="N235" s="483"/>
      <c r="O235" s="483"/>
      <c r="P235" s="483"/>
      <c r="Q235" s="483"/>
      <c r="R235" s="413"/>
    </row>
    <row r="236" spans="2:18" s="575" customFormat="1" x14ac:dyDescent="0.3">
      <c r="B236" s="583">
        <f t="shared" si="89"/>
        <v>10.699999999999998</v>
      </c>
      <c r="C236" s="839" t="s">
        <v>31</v>
      </c>
      <c r="D236" s="572"/>
      <c r="E236" s="572">
        <f>IFERROR(E237/E235,0)</f>
        <v>0</v>
      </c>
      <c r="F236" s="572" t="e">
        <f>F237/F235</f>
        <v>#DIV/0!</v>
      </c>
      <c r="G236" s="572"/>
      <c r="H236" s="572">
        <f>IFERROR(H237/H235,0)</f>
        <v>0</v>
      </c>
      <c r="I236" s="572" t="e">
        <f>I237/I235</f>
        <v>#DIV/0!</v>
      </c>
      <c r="J236" s="573"/>
      <c r="K236" s="573" t="e">
        <f>J237/K235</f>
        <v>#DIV/0!</v>
      </c>
      <c r="L236" s="572" t="e">
        <f>L237/L235</f>
        <v>#DIV/0!</v>
      </c>
      <c r="M236" s="573"/>
      <c r="N236" s="573" t="e">
        <f>M237/N235</f>
        <v>#DIV/0!</v>
      </c>
      <c r="O236" s="573"/>
      <c r="P236" s="573"/>
      <c r="Q236" s="573" t="e">
        <f>O237/Q235</f>
        <v>#DIV/0!</v>
      </c>
      <c r="R236" s="574"/>
    </row>
    <row r="237" spans="2:18" x14ac:dyDescent="0.3">
      <c r="B237" s="579">
        <f t="shared" si="89"/>
        <v>10.799999999999997</v>
      </c>
      <c r="C237" s="838" t="s">
        <v>32</v>
      </c>
      <c r="D237" s="482"/>
      <c r="E237" s="482">
        <v>0</v>
      </c>
      <c r="F237" s="482">
        <f t="shared" si="86"/>
        <v>0</v>
      </c>
      <c r="G237" s="482"/>
      <c r="H237" s="482">
        <v>0</v>
      </c>
      <c r="I237" s="482">
        <f t="shared" si="87"/>
        <v>0</v>
      </c>
      <c r="J237" s="483"/>
      <c r="K237" s="482"/>
      <c r="L237" s="482">
        <f t="shared" si="88"/>
        <v>0</v>
      </c>
      <c r="M237" s="483"/>
      <c r="N237" s="483"/>
      <c r="O237" s="483"/>
      <c r="P237" s="483"/>
      <c r="Q237" s="483"/>
      <c r="R237" s="413"/>
    </row>
    <row r="238" spans="2:18" x14ac:dyDescent="0.3">
      <c r="B238" s="579"/>
      <c r="C238" s="838"/>
      <c r="D238" s="482"/>
      <c r="E238" s="482"/>
      <c r="F238" s="482"/>
      <c r="G238" s="482"/>
      <c r="H238" s="482"/>
      <c r="I238" s="482"/>
      <c r="J238" s="483"/>
      <c r="K238" s="482"/>
      <c r="L238" s="482"/>
      <c r="M238" s="483"/>
      <c r="N238" s="483"/>
      <c r="O238" s="483"/>
      <c r="P238" s="483"/>
      <c r="Q238" s="483"/>
      <c r="R238" s="413"/>
    </row>
    <row r="239" spans="2:18" s="22" customFormat="1" x14ac:dyDescent="0.3">
      <c r="B239" s="581">
        <v>11</v>
      </c>
      <c r="C239" s="840" t="s">
        <v>1486</v>
      </c>
      <c r="D239" s="482"/>
      <c r="E239" s="482"/>
      <c r="F239" s="482"/>
      <c r="G239" s="482"/>
      <c r="H239" s="482"/>
      <c r="I239" s="482"/>
      <c r="J239" s="483"/>
      <c r="K239" s="482"/>
      <c r="L239" s="482"/>
      <c r="M239" s="483"/>
      <c r="N239" s="483"/>
      <c r="O239" s="483"/>
      <c r="P239" s="483"/>
      <c r="Q239" s="483"/>
      <c r="R239" s="425"/>
    </row>
    <row r="240" spans="2:18" x14ac:dyDescent="0.3">
      <c r="B240" s="579">
        <f>B239+0.1</f>
        <v>11.1</v>
      </c>
      <c r="C240" s="838" t="s">
        <v>28</v>
      </c>
      <c r="D240" s="482"/>
      <c r="E240" s="482">
        <v>0</v>
      </c>
      <c r="F240" s="482">
        <f t="shared" ref="F240:F247" si="90">E240-D240</f>
        <v>0</v>
      </c>
      <c r="G240" s="482"/>
      <c r="H240" s="482">
        <v>0</v>
      </c>
      <c r="I240" s="482">
        <f t="shared" ref="I240:I247" si="91">H240-G240</f>
        <v>0</v>
      </c>
      <c r="J240" s="483"/>
      <c r="K240" s="482"/>
      <c r="L240" s="482">
        <f t="shared" ref="L240:L247" si="92">K240-J240</f>
        <v>0</v>
      </c>
      <c r="M240" s="483"/>
      <c r="N240" s="483"/>
      <c r="O240" s="483"/>
      <c r="P240" s="483"/>
      <c r="Q240" s="483"/>
      <c r="R240" s="413"/>
    </row>
    <row r="241" spans="2:18" x14ac:dyDescent="0.3">
      <c r="B241" s="579">
        <f t="shared" ref="B241:B247" si="93">B240+0.1</f>
        <v>11.2</v>
      </c>
      <c r="C241" s="838" t="s">
        <v>399</v>
      </c>
      <c r="D241" s="482"/>
      <c r="E241" s="482">
        <v>0</v>
      </c>
      <c r="F241" s="482">
        <f t="shared" si="90"/>
        <v>0</v>
      </c>
      <c r="G241" s="482"/>
      <c r="H241" s="482">
        <v>0</v>
      </c>
      <c r="I241" s="482">
        <f t="shared" si="91"/>
        <v>0</v>
      </c>
      <c r="J241" s="483"/>
      <c r="K241" s="482"/>
      <c r="L241" s="482">
        <f t="shared" si="92"/>
        <v>0</v>
      </c>
      <c r="M241" s="483"/>
      <c r="N241" s="483"/>
      <c r="O241" s="483"/>
      <c r="P241" s="483"/>
      <c r="Q241" s="483"/>
      <c r="R241" s="413"/>
    </row>
    <row r="242" spans="2:18" x14ac:dyDescent="0.3">
      <c r="B242" s="579">
        <f t="shared" si="93"/>
        <v>11.299999999999999</v>
      </c>
      <c r="C242" s="838" t="s">
        <v>341</v>
      </c>
      <c r="D242" s="482"/>
      <c r="E242" s="482">
        <v>0</v>
      </c>
      <c r="F242" s="482">
        <f t="shared" si="90"/>
        <v>0</v>
      </c>
      <c r="G242" s="482"/>
      <c r="H242" s="482">
        <v>0</v>
      </c>
      <c r="I242" s="482">
        <f t="shared" si="91"/>
        <v>0</v>
      </c>
      <c r="J242" s="483"/>
      <c r="K242" s="482"/>
      <c r="L242" s="482">
        <f t="shared" si="92"/>
        <v>0</v>
      </c>
      <c r="M242" s="483"/>
      <c r="N242" s="483"/>
      <c r="O242" s="483"/>
      <c r="P242" s="483"/>
      <c r="Q242" s="483"/>
      <c r="R242" s="413"/>
    </row>
    <row r="243" spans="2:18" x14ac:dyDescent="0.3">
      <c r="B243" s="579">
        <f t="shared" si="93"/>
        <v>11.399999999999999</v>
      </c>
      <c r="C243" s="838" t="s">
        <v>29</v>
      </c>
      <c r="D243" s="482"/>
      <c r="E243" s="482">
        <v>0</v>
      </c>
      <c r="F243" s="482">
        <f t="shared" si="90"/>
        <v>0</v>
      </c>
      <c r="G243" s="482"/>
      <c r="H243" s="482">
        <v>0</v>
      </c>
      <c r="I243" s="482">
        <f t="shared" si="91"/>
        <v>0</v>
      </c>
      <c r="J243" s="483"/>
      <c r="K243" s="482"/>
      <c r="L243" s="482">
        <f t="shared" si="92"/>
        <v>0</v>
      </c>
      <c r="M243" s="483"/>
      <c r="N243" s="483"/>
      <c r="O243" s="483"/>
      <c r="P243" s="483"/>
      <c r="Q243" s="483"/>
      <c r="R243" s="413"/>
    </row>
    <row r="244" spans="2:18" x14ac:dyDescent="0.3">
      <c r="B244" s="579">
        <f t="shared" si="93"/>
        <v>11.499999999999998</v>
      </c>
      <c r="C244" s="838" t="s">
        <v>30</v>
      </c>
      <c r="D244" s="482"/>
      <c r="E244" s="482">
        <f>+E240-E241+E242-E243</f>
        <v>0</v>
      </c>
      <c r="F244" s="482">
        <f t="shared" si="90"/>
        <v>0</v>
      </c>
      <c r="G244" s="482"/>
      <c r="H244" s="482">
        <f>+H240-H241+H242-H243</f>
        <v>0</v>
      </c>
      <c r="I244" s="482">
        <f t="shared" si="91"/>
        <v>0</v>
      </c>
      <c r="J244" s="483"/>
      <c r="K244" s="483">
        <f>+J240-J241+J242-J243</f>
        <v>0</v>
      </c>
      <c r="L244" s="482">
        <f t="shared" si="92"/>
        <v>0</v>
      </c>
      <c r="M244" s="483"/>
      <c r="N244" s="483">
        <f>+M240-M241+M242-M243</f>
        <v>0</v>
      </c>
      <c r="O244" s="483"/>
      <c r="P244" s="483"/>
      <c r="Q244" s="483">
        <f>+O240-O241+O242-O243</f>
        <v>0</v>
      </c>
      <c r="R244" s="413"/>
    </row>
    <row r="245" spans="2:18" x14ac:dyDescent="0.3">
      <c r="B245" s="579">
        <f t="shared" si="93"/>
        <v>11.599999999999998</v>
      </c>
      <c r="C245" s="838" t="s">
        <v>470</v>
      </c>
      <c r="D245" s="482"/>
      <c r="E245" s="443">
        <f>AVERAGE(E240,E244)</f>
        <v>0</v>
      </c>
      <c r="F245" s="482">
        <f t="shared" si="90"/>
        <v>0</v>
      </c>
      <c r="G245" s="482"/>
      <c r="H245" s="443">
        <f>AVERAGE(H240,H244)</f>
        <v>0</v>
      </c>
      <c r="I245" s="482">
        <f t="shared" si="91"/>
        <v>0</v>
      </c>
      <c r="J245" s="483"/>
      <c r="K245" s="482"/>
      <c r="L245" s="482">
        <f t="shared" si="92"/>
        <v>0</v>
      </c>
      <c r="M245" s="483"/>
      <c r="N245" s="483"/>
      <c r="O245" s="483"/>
      <c r="P245" s="483"/>
      <c r="Q245" s="483"/>
      <c r="R245" s="413"/>
    </row>
    <row r="246" spans="2:18" s="575" customFormat="1" x14ac:dyDescent="0.3">
      <c r="B246" s="583">
        <f t="shared" si="93"/>
        <v>11.699999999999998</v>
      </c>
      <c r="C246" s="839" t="s">
        <v>31</v>
      </c>
      <c r="D246" s="572"/>
      <c r="E246" s="572">
        <f>IFERROR(E247/E245,0)</f>
        <v>0</v>
      </c>
      <c r="F246" s="572" t="e">
        <f>F247/F245</f>
        <v>#DIV/0!</v>
      </c>
      <c r="G246" s="572"/>
      <c r="H246" s="572">
        <f>IFERROR(H247/H245,0)</f>
        <v>0</v>
      </c>
      <c r="I246" s="572" t="e">
        <f>I247/I245</f>
        <v>#DIV/0!</v>
      </c>
      <c r="J246" s="573"/>
      <c r="K246" s="573" t="e">
        <f>J247/K245</f>
        <v>#DIV/0!</v>
      </c>
      <c r="L246" s="572" t="e">
        <f>L247/L245</f>
        <v>#DIV/0!</v>
      </c>
      <c r="M246" s="573"/>
      <c r="N246" s="573" t="e">
        <f>M247/N245</f>
        <v>#DIV/0!</v>
      </c>
      <c r="O246" s="573"/>
      <c r="P246" s="573"/>
      <c r="Q246" s="573" t="e">
        <f>O247/Q245</f>
        <v>#DIV/0!</v>
      </c>
      <c r="R246" s="574"/>
    </row>
    <row r="247" spans="2:18" x14ac:dyDescent="0.3">
      <c r="B247" s="579">
        <f t="shared" si="93"/>
        <v>11.799999999999997</v>
      </c>
      <c r="C247" s="838" t="s">
        <v>32</v>
      </c>
      <c r="D247" s="482"/>
      <c r="E247" s="482">
        <v>0</v>
      </c>
      <c r="F247" s="482">
        <f t="shared" si="90"/>
        <v>0</v>
      </c>
      <c r="G247" s="482"/>
      <c r="H247" s="482">
        <v>0</v>
      </c>
      <c r="I247" s="482">
        <f t="shared" si="91"/>
        <v>0</v>
      </c>
      <c r="J247" s="483"/>
      <c r="K247" s="482"/>
      <c r="L247" s="482">
        <f t="shared" si="92"/>
        <v>0</v>
      </c>
      <c r="M247" s="483"/>
      <c r="N247" s="483"/>
      <c r="O247" s="483"/>
      <c r="P247" s="483"/>
      <c r="Q247" s="483"/>
      <c r="R247" s="413"/>
    </row>
    <row r="248" spans="2:18" x14ac:dyDescent="0.3">
      <c r="B248" s="579"/>
      <c r="C248" s="838"/>
      <c r="D248" s="482"/>
      <c r="E248" s="482"/>
      <c r="F248" s="482"/>
      <c r="G248" s="482"/>
      <c r="H248" s="482"/>
      <c r="I248" s="482"/>
      <c r="J248" s="483"/>
      <c r="K248" s="482"/>
      <c r="L248" s="482"/>
      <c r="M248" s="483"/>
      <c r="N248" s="483"/>
      <c r="O248" s="483"/>
      <c r="P248" s="483"/>
      <c r="Q248" s="483"/>
      <c r="R248" s="413"/>
    </row>
    <row r="249" spans="2:18" s="22" customFormat="1" x14ac:dyDescent="0.3">
      <c r="B249" s="581">
        <v>12</v>
      </c>
      <c r="C249" s="840" t="s">
        <v>1487</v>
      </c>
      <c r="D249" s="482"/>
      <c r="E249" s="482"/>
      <c r="F249" s="482"/>
      <c r="G249" s="482"/>
      <c r="H249" s="482"/>
      <c r="I249" s="482"/>
      <c r="J249" s="483"/>
      <c r="K249" s="482"/>
      <c r="L249" s="482"/>
      <c r="M249" s="483"/>
      <c r="N249" s="483"/>
      <c r="O249" s="483"/>
      <c r="P249" s="483"/>
      <c r="Q249" s="483"/>
      <c r="R249" s="425"/>
    </row>
    <row r="250" spans="2:18" x14ac:dyDescent="0.3">
      <c r="B250" s="579">
        <f>B249+0.1</f>
        <v>12.1</v>
      </c>
      <c r="C250" s="838" t="s">
        <v>28</v>
      </c>
      <c r="D250" s="482"/>
      <c r="E250" s="482">
        <v>0</v>
      </c>
      <c r="F250" s="482">
        <f t="shared" ref="F250:F257" si="94">E250-D250</f>
        <v>0</v>
      </c>
      <c r="G250" s="482"/>
      <c r="H250" s="482">
        <v>0</v>
      </c>
      <c r="I250" s="482">
        <f t="shared" ref="I250:I257" si="95">H250-G250</f>
        <v>0</v>
      </c>
      <c r="J250" s="483"/>
      <c r="K250" s="482"/>
      <c r="L250" s="482">
        <f t="shared" ref="L250:L257" si="96">K250-J250</f>
        <v>0</v>
      </c>
      <c r="M250" s="483"/>
      <c r="N250" s="483"/>
      <c r="O250" s="483"/>
      <c r="P250" s="483"/>
      <c r="Q250" s="483"/>
      <c r="R250" s="413"/>
    </row>
    <row r="251" spans="2:18" x14ac:dyDescent="0.3">
      <c r="B251" s="579">
        <f t="shared" ref="B251:B257" si="97">B250+0.1</f>
        <v>12.2</v>
      </c>
      <c r="C251" s="838" t="s">
        <v>399</v>
      </c>
      <c r="D251" s="482"/>
      <c r="E251" s="482">
        <v>0</v>
      </c>
      <c r="F251" s="482">
        <f t="shared" si="94"/>
        <v>0</v>
      </c>
      <c r="G251" s="482"/>
      <c r="H251" s="482">
        <v>0</v>
      </c>
      <c r="I251" s="482">
        <f t="shared" si="95"/>
        <v>0</v>
      </c>
      <c r="J251" s="483"/>
      <c r="K251" s="482"/>
      <c r="L251" s="482">
        <f t="shared" si="96"/>
        <v>0</v>
      </c>
      <c r="M251" s="483"/>
      <c r="N251" s="483"/>
      <c r="O251" s="483"/>
      <c r="P251" s="483"/>
      <c r="Q251" s="483"/>
      <c r="R251" s="413"/>
    </row>
    <row r="252" spans="2:18" x14ac:dyDescent="0.3">
      <c r="B252" s="579">
        <f t="shared" si="97"/>
        <v>12.299999999999999</v>
      </c>
      <c r="C252" s="838" t="s">
        <v>341</v>
      </c>
      <c r="D252" s="482"/>
      <c r="E252" s="482">
        <v>0</v>
      </c>
      <c r="F252" s="482">
        <f t="shared" si="94"/>
        <v>0</v>
      </c>
      <c r="G252" s="482"/>
      <c r="H252" s="482">
        <v>0</v>
      </c>
      <c r="I252" s="482">
        <f t="shared" si="95"/>
        <v>0</v>
      </c>
      <c r="J252" s="483"/>
      <c r="K252" s="482"/>
      <c r="L252" s="482">
        <f t="shared" si="96"/>
        <v>0</v>
      </c>
      <c r="M252" s="483"/>
      <c r="N252" s="483"/>
      <c r="O252" s="483"/>
      <c r="P252" s="483"/>
      <c r="Q252" s="483"/>
      <c r="R252" s="413"/>
    </row>
    <row r="253" spans="2:18" x14ac:dyDescent="0.3">
      <c r="B253" s="579">
        <f t="shared" si="97"/>
        <v>12.399999999999999</v>
      </c>
      <c r="C253" s="838" t="s">
        <v>29</v>
      </c>
      <c r="D253" s="482"/>
      <c r="E253" s="482">
        <v>0</v>
      </c>
      <c r="F253" s="482">
        <f t="shared" si="94"/>
        <v>0</v>
      </c>
      <c r="G253" s="482"/>
      <c r="H253" s="482">
        <v>0</v>
      </c>
      <c r="I253" s="482">
        <f t="shared" si="95"/>
        <v>0</v>
      </c>
      <c r="J253" s="483"/>
      <c r="K253" s="482"/>
      <c r="L253" s="482">
        <f t="shared" si="96"/>
        <v>0</v>
      </c>
      <c r="M253" s="483"/>
      <c r="N253" s="483"/>
      <c r="O253" s="483"/>
      <c r="P253" s="483"/>
      <c r="Q253" s="483"/>
      <c r="R253" s="413"/>
    </row>
    <row r="254" spans="2:18" x14ac:dyDescent="0.3">
      <c r="B254" s="579">
        <f t="shared" si="97"/>
        <v>12.499999999999998</v>
      </c>
      <c r="C254" s="838" t="s">
        <v>30</v>
      </c>
      <c r="D254" s="482"/>
      <c r="E254" s="482">
        <f>+E250-E251+E252-E253</f>
        <v>0</v>
      </c>
      <c r="F254" s="482">
        <f t="shared" si="94"/>
        <v>0</v>
      </c>
      <c r="G254" s="482"/>
      <c r="H254" s="482">
        <f>+H250-H251+H252-H253</f>
        <v>0</v>
      </c>
      <c r="I254" s="482">
        <f t="shared" si="95"/>
        <v>0</v>
      </c>
      <c r="J254" s="483"/>
      <c r="K254" s="483">
        <f>+J250-J251+J252-J253</f>
        <v>0</v>
      </c>
      <c r="L254" s="482">
        <f t="shared" si="96"/>
        <v>0</v>
      </c>
      <c r="M254" s="483"/>
      <c r="N254" s="483">
        <f>+M250-M251+M252-M253</f>
        <v>0</v>
      </c>
      <c r="O254" s="483"/>
      <c r="P254" s="483"/>
      <c r="Q254" s="483">
        <f>+O250-O251+O252-O253</f>
        <v>0</v>
      </c>
      <c r="R254" s="413"/>
    </row>
    <row r="255" spans="2:18" x14ac:dyDescent="0.3">
      <c r="B255" s="579">
        <f t="shared" si="97"/>
        <v>12.599999999999998</v>
      </c>
      <c r="C255" s="838" t="s">
        <v>470</v>
      </c>
      <c r="D255" s="482"/>
      <c r="E255" s="443">
        <f>AVERAGE(E250,E254)</f>
        <v>0</v>
      </c>
      <c r="F255" s="482">
        <f t="shared" si="94"/>
        <v>0</v>
      </c>
      <c r="G255" s="482"/>
      <c r="H255" s="443">
        <f>AVERAGE(H250,H254)</f>
        <v>0</v>
      </c>
      <c r="I255" s="482">
        <f t="shared" si="95"/>
        <v>0</v>
      </c>
      <c r="J255" s="483"/>
      <c r="K255" s="482"/>
      <c r="L255" s="482">
        <f t="shared" si="96"/>
        <v>0</v>
      </c>
      <c r="M255" s="483"/>
      <c r="N255" s="483"/>
      <c r="O255" s="483"/>
      <c r="P255" s="483"/>
      <c r="Q255" s="483"/>
      <c r="R255" s="413"/>
    </row>
    <row r="256" spans="2:18" s="575" customFormat="1" x14ac:dyDescent="0.3">
      <c r="B256" s="583">
        <f t="shared" si="97"/>
        <v>12.699999999999998</v>
      </c>
      <c r="C256" s="839" t="s">
        <v>31</v>
      </c>
      <c r="D256" s="572"/>
      <c r="E256" s="572">
        <f>IFERROR(E257/E255,0)</f>
        <v>0</v>
      </c>
      <c r="F256" s="572" t="e">
        <f>F257/F255</f>
        <v>#DIV/0!</v>
      </c>
      <c r="G256" s="572"/>
      <c r="H256" s="572">
        <f>IFERROR(H257/H255,0)</f>
        <v>0</v>
      </c>
      <c r="I256" s="572" t="e">
        <f>I257/I255</f>
        <v>#DIV/0!</v>
      </c>
      <c r="J256" s="573"/>
      <c r="K256" s="573" t="e">
        <f>J257/K255</f>
        <v>#DIV/0!</v>
      </c>
      <c r="L256" s="572" t="e">
        <f>L257/L255</f>
        <v>#DIV/0!</v>
      </c>
      <c r="M256" s="573"/>
      <c r="N256" s="573" t="e">
        <f>M257/N255</f>
        <v>#DIV/0!</v>
      </c>
      <c r="O256" s="573"/>
      <c r="P256" s="573"/>
      <c r="Q256" s="573" t="e">
        <f>O257/Q255</f>
        <v>#DIV/0!</v>
      </c>
      <c r="R256" s="574"/>
    </row>
    <row r="257" spans="2:18" x14ac:dyDescent="0.3">
      <c r="B257" s="579">
        <f t="shared" si="97"/>
        <v>12.799999999999997</v>
      </c>
      <c r="C257" s="838" t="s">
        <v>32</v>
      </c>
      <c r="D257" s="482"/>
      <c r="E257" s="482">
        <v>0</v>
      </c>
      <c r="F257" s="482">
        <f t="shared" si="94"/>
        <v>0</v>
      </c>
      <c r="G257" s="482"/>
      <c r="H257" s="482"/>
      <c r="I257" s="482">
        <f t="shared" si="95"/>
        <v>0</v>
      </c>
      <c r="J257" s="483"/>
      <c r="K257" s="482"/>
      <c r="L257" s="482">
        <f t="shared" si="96"/>
        <v>0</v>
      </c>
      <c r="M257" s="483"/>
      <c r="N257" s="483"/>
      <c r="O257" s="483"/>
      <c r="P257" s="483"/>
      <c r="Q257" s="483"/>
      <c r="R257" s="413"/>
    </row>
    <row r="258" spans="2:18" x14ac:dyDescent="0.3">
      <c r="B258" s="579"/>
      <c r="C258" s="838" t="s">
        <v>23</v>
      </c>
      <c r="D258" s="484"/>
      <c r="E258" s="484"/>
      <c r="F258" s="484"/>
      <c r="G258" s="484"/>
      <c r="H258" s="484"/>
      <c r="I258" s="484"/>
      <c r="J258" s="484"/>
      <c r="K258" s="484"/>
      <c r="L258" s="484"/>
      <c r="M258" s="484"/>
      <c r="N258" s="484"/>
      <c r="O258" s="484"/>
      <c r="P258" s="484"/>
      <c r="Q258" s="484"/>
      <c r="R258" s="413"/>
    </row>
    <row r="259" spans="2:18" x14ac:dyDescent="0.3">
      <c r="B259" s="579"/>
      <c r="C259" s="838" t="s">
        <v>23</v>
      </c>
      <c r="D259" s="484"/>
      <c r="E259" s="484"/>
      <c r="F259" s="484"/>
      <c r="G259" s="484"/>
      <c r="H259" s="484"/>
      <c r="I259" s="484"/>
      <c r="J259" s="484"/>
      <c r="K259" s="484"/>
      <c r="L259" s="484"/>
      <c r="M259" s="484"/>
      <c r="N259" s="484"/>
      <c r="O259" s="484"/>
      <c r="P259" s="484"/>
      <c r="Q259" s="484"/>
      <c r="R259" s="413"/>
    </row>
    <row r="260" spans="2:18" x14ac:dyDescent="0.3">
      <c r="B260" s="579"/>
      <c r="C260" s="838"/>
      <c r="D260" s="484"/>
      <c r="E260" s="484"/>
      <c r="F260" s="484"/>
      <c r="G260" s="484"/>
      <c r="H260" s="484"/>
      <c r="I260" s="484"/>
      <c r="J260" s="484"/>
      <c r="K260" s="484"/>
      <c r="L260" s="484"/>
      <c r="M260" s="484"/>
      <c r="N260" s="484"/>
      <c r="O260" s="484"/>
      <c r="P260" s="484"/>
      <c r="Q260" s="484"/>
      <c r="R260" s="413"/>
    </row>
    <row r="261" spans="2:18" x14ac:dyDescent="0.3">
      <c r="B261" s="581">
        <v>13</v>
      </c>
      <c r="C261" s="840" t="s">
        <v>270</v>
      </c>
      <c r="D261" s="484"/>
      <c r="E261" s="484"/>
      <c r="F261" s="484"/>
      <c r="G261" s="484"/>
      <c r="H261" s="484"/>
      <c r="I261" s="484"/>
      <c r="J261" s="484"/>
      <c r="K261" s="484"/>
      <c r="L261" s="484"/>
      <c r="M261" s="484"/>
      <c r="N261" s="484"/>
      <c r="O261" s="484"/>
      <c r="P261" s="484"/>
      <c r="Q261" s="484"/>
      <c r="R261" s="413"/>
    </row>
    <row r="262" spans="2:18" x14ac:dyDescent="0.3">
      <c r="B262" s="579">
        <f t="shared" ref="B262:B269" si="98">B261+0.1</f>
        <v>13.1</v>
      </c>
      <c r="C262" s="838" t="s">
        <v>28</v>
      </c>
      <c r="D262" s="484"/>
      <c r="E262" s="484">
        <f t="shared" ref="E262:E269" si="99">E140+E150+E160+E170+E180+E190+E200+E210+E220+E230+E240+E250</f>
        <v>381.39370405977775</v>
      </c>
      <c r="F262" s="484"/>
      <c r="G262" s="484"/>
      <c r="H262" s="484">
        <f t="shared" ref="H262:H269" si="100">H140+H150+H160+H170+H180+H190+H200+H210+H220+H230+H240+H250</f>
        <v>302.80376385902002</v>
      </c>
      <c r="I262" s="484"/>
      <c r="J262" s="484"/>
      <c r="K262" s="484">
        <f t="shared" ref="K262:K269" si="101">K140+K150+K160+K170+K180+K190+K200+K210+K220+K230+K240+K250</f>
        <v>0</v>
      </c>
      <c r="L262" s="484"/>
      <c r="M262" s="484"/>
      <c r="N262" s="484">
        <f t="shared" ref="N262:N269" si="102">N140+N150+N160+N170+N180+N190+N200+N210+N220+N230+N240+N250</f>
        <v>0</v>
      </c>
      <c r="O262" s="484"/>
      <c r="P262" s="484"/>
      <c r="Q262" s="484">
        <f t="shared" ref="Q262:Q269" si="103">Q140+Q150+Q160+Q170+Q180+Q190+Q200+Q210+Q220+Q230+Q240+Q250</f>
        <v>0</v>
      </c>
      <c r="R262" s="413"/>
    </row>
    <row r="263" spans="2:18" x14ac:dyDescent="0.3">
      <c r="B263" s="579">
        <f t="shared" si="98"/>
        <v>13.2</v>
      </c>
      <c r="C263" s="838" t="s">
        <v>399</v>
      </c>
      <c r="D263" s="484"/>
      <c r="E263" s="484">
        <f t="shared" si="99"/>
        <v>0</v>
      </c>
      <c r="F263" s="484"/>
      <c r="G263" s="484"/>
      <c r="H263" s="484">
        <f t="shared" si="100"/>
        <v>0</v>
      </c>
      <c r="I263" s="484"/>
      <c r="J263" s="484"/>
      <c r="K263" s="484">
        <f t="shared" si="101"/>
        <v>0</v>
      </c>
      <c r="L263" s="484"/>
      <c r="M263" s="484"/>
      <c r="N263" s="484">
        <f t="shared" si="102"/>
        <v>0</v>
      </c>
      <c r="O263" s="484"/>
      <c r="P263" s="484"/>
      <c r="Q263" s="484">
        <f t="shared" si="103"/>
        <v>0</v>
      </c>
      <c r="R263" s="413"/>
    </row>
    <row r="264" spans="2:18" x14ac:dyDescent="0.3">
      <c r="B264" s="579">
        <f t="shared" si="98"/>
        <v>13.299999999999999</v>
      </c>
      <c r="C264" s="838" t="s">
        <v>341</v>
      </c>
      <c r="D264" s="484"/>
      <c r="E264" s="484">
        <f t="shared" si="99"/>
        <v>13.6390209</v>
      </c>
      <c r="F264" s="484"/>
      <c r="G264" s="484"/>
      <c r="H264" s="484">
        <f t="shared" si="100"/>
        <v>20.330955299999999</v>
      </c>
      <c r="I264" s="484"/>
      <c r="J264" s="484"/>
      <c r="K264" s="484">
        <f t="shared" si="101"/>
        <v>0</v>
      </c>
      <c r="L264" s="484"/>
      <c r="M264" s="484"/>
      <c r="N264" s="484">
        <f t="shared" si="102"/>
        <v>0</v>
      </c>
      <c r="O264" s="484"/>
      <c r="P264" s="484"/>
      <c r="Q264" s="484">
        <f t="shared" si="103"/>
        <v>0</v>
      </c>
      <c r="R264" s="413"/>
    </row>
    <row r="265" spans="2:18" x14ac:dyDescent="0.3">
      <c r="B265" s="579">
        <f t="shared" si="98"/>
        <v>13.399999999999999</v>
      </c>
      <c r="C265" s="838" t="s">
        <v>29</v>
      </c>
      <c r="D265" s="484"/>
      <c r="E265" s="484">
        <f t="shared" si="99"/>
        <v>92.228961100757672</v>
      </c>
      <c r="F265" s="484"/>
      <c r="G265" s="484"/>
      <c r="H265" s="484">
        <f t="shared" si="100"/>
        <v>81.463307088820699</v>
      </c>
      <c r="I265" s="484"/>
      <c r="J265" s="484"/>
      <c r="K265" s="484">
        <f t="shared" si="101"/>
        <v>0</v>
      </c>
      <c r="L265" s="484"/>
      <c r="M265" s="484"/>
      <c r="N265" s="484">
        <f t="shared" si="102"/>
        <v>0</v>
      </c>
      <c r="O265" s="484"/>
      <c r="P265" s="484"/>
      <c r="Q265" s="484">
        <f t="shared" si="103"/>
        <v>0</v>
      </c>
      <c r="R265" s="413"/>
    </row>
    <row r="266" spans="2:18" x14ac:dyDescent="0.3">
      <c r="B266" s="579">
        <f t="shared" si="98"/>
        <v>13.499999999999998</v>
      </c>
      <c r="C266" s="838" t="s">
        <v>30</v>
      </c>
      <c r="D266" s="484"/>
      <c r="E266" s="484">
        <f t="shared" si="99"/>
        <v>302.80376385902002</v>
      </c>
      <c r="F266" s="484"/>
      <c r="G266" s="484"/>
      <c r="H266" s="484">
        <f t="shared" si="100"/>
        <v>241.67141207019932</v>
      </c>
      <c r="I266" s="484"/>
      <c r="J266" s="484"/>
      <c r="K266" s="484">
        <f t="shared" si="101"/>
        <v>0</v>
      </c>
      <c r="L266" s="484"/>
      <c r="M266" s="484"/>
      <c r="N266" s="484">
        <f t="shared" si="102"/>
        <v>0</v>
      </c>
      <c r="O266" s="484"/>
      <c r="P266" s="484"/>
      <c r="Q266" s="484">
        <f t="shared" si="103"/>
        <v>0</v>
      </c>
      <c r="R266" s="413"/>
    </row>
    <row r="267" spans="2:18" x14ac:dyDescent="0.3">
      <c r="B267" s="579">
        <f t="shared" si="98"/>
        <v>13.599999999999998</v>
      </c>
      <c r="C267" s="838" t="s">
        <v>470</v>
      </c>
      <c r="D267" s="484"/>
      <c r="E267" s="484">
        <f t="shared" si="99"/>
        <v>342.09873395939883</v>
      </c>
      <c r="F267" s="484"/>
      <c r="G267" s="484"/>
      <c r="H267" s="484">
        <f t="shared" si="100"/>
        <v>272.23758796460965</v>
      </c>
      <c r="I267" s="484"/>
      <c r="J267" s="484"/>
      <c r="K267" s="484">
        <f t="shared" si="101"/>
        <v>0</v>
      </c>
      <c r="L267" s="484"/>
      <c r="M267" s="484"/>
      <c r="N267" s="484">
        <f t="shared" si="102"/>
        <v>0</v>
      </c>
      <c r="O267" s="484"/>
      <c r="P267" s="484"/>
      <c r="Q267" s="484">
        <f t="shared" si="103"/>
        <v>0</v>
      </c>
      <c r="R267" s="413"/>
    </row>
    <row r="268" spans="2:18" s="575" customFormat="1" x14ac:dyDescent="0.3">
      <c r="B268" s="583">
        <f t="shared" si="98"/>
        <v>13.699999999999998</v>
      </c>
      <c r="C268" s="839" t="s">
        <v>31</v>
      </c>
      <c r="D268" s="574"/>
      <c r="E268" s="572">
        <f>IFERROR(E269/E267,0)</f>
        <v>9.6421832532793406E-2</v>
      </c>
      <c r="F268" s="574"/>
      <c r="G268" s="574"/>
      <c r="H268" s="574">
        <f t="shared" si="100"/>
        <v>0.28406055343007164</v>
      </c>
      <c r="I268" s="574"/>
      <c r="J268" s="574"/>
      <c r="K268" s="574" t="e">
        <f t="shared" si="101"/>
        <v>#DIV/0!</v>
      </c>
      <c r="L268" s="574"/>
      <c r="M268" s="574"/>
      <c r="N268" s="574" t="e">
        <f t="shared" si="102"/>
        <v>#DIV/0!</v>
      </c>
      <c r="O268" s="574"/>
      <c r="P268" s="574"/>
      <c r="Q268" s="574" t="e">
        <f t="shared" si="103"/>
        <v>#DIV/0!</v>
      </c>
      <c r="R268" s="574"/>
    </row>
    <row r="269" spans="2:18" x14ac:dyDescent="0.3">
      <c r="B269" s="579">
        <f t="shared" si="98"/>
        <v>13.799999999999997</v>
      </c>
      <c r="C269" s="838" t="s">
        <v>32</v>
      </c>
      <c r="D269" s="484"/>
      <c r="E269" s="484">
        <f t="shared" si="99"/>
        <v>32.9857868355138</v>
      </c>
      <c r="F269" s="484"/>
      <c r="G269" s="484"/>
      <c r="H269" s="484">
        <f t="shared" si="100"/>
        <v>26.442502396172724</v>
      </c>
      <c r="I269" s="484"/>
      <c r="J269" s="484"/>
      <c r="K269" s="484">
        <f t="shared" si="101"/>
        <v>0</v>
      </c>
      <c r="L269" s="484"/>
      <c r="M269" s="484"/>
      <c r="N269" s="484">
        <f t="shared" si="102"/>
        <v>0</v>
      </c>
      <c r="O269" s="484"/>
      <c r="P269" s="484"/>
      <c r="Q269" s="484">
        <f t="shared" si="103"/>
        <v>0</v>
      </c>
      <c r="R269" s="413"/>
    </row>
    <row r="270" spans="2:18" x14ac:dyDescent="0.3">
      <c r="B270" s="579"/>
      <c r="C270" s="838"/>
      <c r="D270" s="484"/>
      <c r="E270" s="591"/>
      <c r="F270" s="484"/>
      <c r="G270" s="484"/>
      <c r="H270" s="484"/>
      <c r="I270" s="484"/>
      <c r="J270" s="484"/>
      <c r="K270" s="484"/>
      <c r="L270" s="484"/>
      <c r="M270" s="484"/>
      <c r="N270" s="484"/>
      <c r="O270" s="484"/>
      <c r="P270" s="484"/>
      <c r="Q270" s="484"/>
      <c r="R270" s="413"/>
    </row>
    <row r="271" spans="2:18" x14ac:dyDescent="0.3">
      <c r="B271" s="579"/>
      <c r="C271" s="429"/>
      <c r="D271" s="484"/>
      <c r="E271" s="484"/>
      <c r="F271" s="484"/>
      <c r="G271" s="484"/>
      <c r="H271" s="484"/>
      <c r="I271" s="484"/>
      <c r="J271" s="484"/>
      <c r="K271" s="484"/>
      <c r="L271" s="484"/>
      <c r="M271" s="484"/>
      <c r="N271" s="484"/>
      <c r="O271" s="484"/>
      <c r="P271" s="484"/>
      <c r="Q271" s="484"/>
      <c r="R271" s="413"/>
    </row>
    <row r="272" spans="2:18" x14ac:dyDescent="0.3">
      <c r="B272" s="579">
        <v>14</v>
      </c>
      <c r="C272" s="430" t="s">
        <v>33</v>
      </c>
      <c r="D272" s="484"/>
      <c r="E272" s="484">
        <f>E269</f>
        <v>32.9857868355138</v>
      </c>
      <c r="F272" s="484"/>
      <c r="G272" s="484"/>
      <c r="H272" s="484">
        <f>H269</f>
        <v>26.442502396172724</v>
      </c>
      <c r="I272" s="484"/>
      <c r="J272" s="484"/>
      <c r="K272" s="484">
        <f>K269</f>
        <v>0</v>
      </c>
      <c r="L272" s="484"/>
      <c r="M272" s="484"/>
      <c r="N272" s="484">
        <f>N269</f>
        <v>0</v>
      </c>
      <c r="O272" s="484"/>
      <c r="P272" s="484"/>
      <c r="Q272" s="484">
        <f>Q269</f>
        <v>0</v>
      </c>
      <c r="R272" s="413"/>
    </row>
    <row r="273" spans="2:18" x14ac:dyDescent="0.3">
      <c r="B273" s="579">
        <v>15</v>
      </c>
      <c r="C273" s="431" t="s">
        <v>34</v>
      </c>
      <c r="D273" s="484"/>
      <c r="E273" s="484"/>
      <c r="F273" s="484"/>
      <c r="G273" s="484"/>
      <c r="H273" s="484"/>
      <c r="I273" s="484"/>
      <c r="J273" s="484"/>
      <c r="K273" s="484"/>
      <c r="L273" s="484"/>
      <c r="M273" s="484"/>
      <c r="N273" s="484"/>
      <c r="O273" s="484"/>
      <c r="P273" s="484"/>
      <c r="Q273" s="484"/>
      <c r="R273" s="413"/>
    </row>
    <row r="274" spans="2:18" x14ac:dyDescent="0.25">
      <c r="B274" s="584">
        <v>16</v>
      </c>
      <c r="C274" s="432" t="s">
        <v>35</v>
      </c>
      <c r="D274" s="484"/>
      <c r="E274" s="484">
        <f>E272-E273</f>
        <v>32.9857868355138</v>
      </c>
      <c r="F274" s="484"/>
      <c r="G274" s="484"/>
      <c r="H274" s="484">
        <f>H272-H273</f>
        <v>26.442502396172724</v>
      </c>
      <c r="I274" s="484"/>
      <c r="J274" s="484"/>
      <c r="K274" s="484">
        <f>K272-K273</f>
        <v>0</v>
      </c>
      <c r="L274" s="484"/>
      <c r="M274" s="484"/>
      <c r="N274" s="484">
        <f>N272-N273</f>
        <v>0</v>
      </c>
      <c r="O274" s="484"/>
      <c r="P274" s="484"/>
      <c r="Q274" s="484">
        <f>Q272-Q273</f>
        <v>0</v>
      </c>
      <c r="R274" s="413"/>
    </row>
    <row r="277" spans="2:18" ht="17.5" x14ac:dyDescent="0.25">
      <c r="C277" s="684" t="s">
        <v>819</v>
      </c>
      <c r="D277" s="436"/>
      <c r="E277" s="436"/>
      <c r="F277" s="436"/>
      <c r="G277" s="436"/>
    </row>
    <row r="278" spans="2:18" x14ac:dyDescent="0.25">
      <c r="B278" s="586"/>
      <c r="M278" s="21" t="s">
        <v>10</v>
      </c>
    </row>
    <row r="279" spans="2:18" ht="21.65" customHeight="1" x14ac:dyDescent="0.25">
      <c r="B279" s="1956" t="s">
        <v>339</v>
      </c>
      <c r="C279" s="1953" t="s">
        <v>25</v>
      </c>
      <c r="D279" s="1961" t="s">
        <v>680</v>
      </c>
      <c r="E279" s="1962"/>
      <c r="F279" s="1963"/>
      <c r="G279" s="1961" t="s">
        <v>504</v>
      </c>
      <c r="H279" s="1962"/>
      <c r="I279" s="1963"/>
      <c r="J279" s="1866" t="s">
        <v>506</v>
      </c>
      <c r="K279" s="1867"/>
      <c r="L279" s="1868"/>
      <c r="M279" s="1866" t="s">
        <v>507</v>
      </c>
      <c r="N279" s="1868"/>
      <c r="O279" s="1866" t="s">
        <v>508</v>
      </c>
      <c r="P279" s="1867"/>
      <c r="Q279" s="1868"/>
      <c r="R279" s="1769" t="s">
        <v>26</v>
      </c>
    </row>
    <row r="280" spans="2:18" ht="43.5" customHeight="1" x14ac:dyDescent="0.25">
      <c r="B280" s="1957"/>
      <c r="C280" s="1954"/>
      <c r="D280" s="437" t="s">
        <v>448</v>
      </c>
      <c r="E280" s="438" t="s">
        <v>78</v>
      </c>
      <c r="F280" s="438" t="s">
        <v>449</v>
      </c>
      <c r="G280" s="437" t="s">
        <v>448</v>
      </c>
      <c r="H280" s="438" t="s">
        <v>78</v>
      </c>
      <c r="I280" s="438" t="s">
        <v>449</v>
      </c>
      <c r="J280" s="295" t="s">
        <v>448</v>
      </c>
      <c r="K280" s="335" t="s">
        <v>79</v>
      </c>
      <c r="L280" s="295" t="s">
        <v>450</v>
      </c>
      <c r="M280" s="295" t="s">
        <v>448</v>
      </c>
      <c r="N280" s="295" t="s">
        <v>675</v>
      </c>
      <c r="O280" s="295" t="s">
        <v>448</v>
      </c>
      <c r="P280" s="661"/>
      <c r="Q280" s="295" t="s">
        <v>675</v>
      </c>
      <c r="R280" s="1769"/>
    </row>
    <row r="281" spans="2:18" x14ac:dyDescent="0.25">
      <c r="B281" s="1958"/>
      <c r="C281" s="1955"/>
      <c r="D281" s="438" t="s">
        <v>80</v>
      </c>
      <c r="E281" s="438" t="s">
        <v>81</v>
      </c>
      <c r="F281" s="438" t="s">
        <v>676</v>
      </c>
      <c r="G281" s="438" t="s">
        <v>390</v>
      </c>
      <c r="H281" s="438" t="s">
        <v>408</v>
      </c>
      <c r="I281" s="438" t="s">
        <v>454</v>
      </c>
      <c r="J281" s="295" t="s">
        <v>654</v>
      </c>
      <c r="K281" s="335" t="s">
        <v>590</v>
      </c>
      <c r="L281" s="295" t="s">
        <v>711</v>
      </c>
      <c r="M281" s="295" t="s">
        <v>592</v>
      </c>
      <c r="N281" s="295" t="s">
        <v>593</v>
      </c>
      <c r="O281" s="295" t="s">
        <v>655</v>
      </c>
      <c r="P281" s="661"/>
      <c r="Q281" s="295" t="s">
        <v>594</v>
      </c>
      <c r="R281" s="1770"/>
    </row>
    <row r="282" spans="2:18" x14ac:dyDescent="0.3">
      <c r="B282" s="579"/>
      <c r="C282" s="440"/>
      <c r="D282" s="430"/>
      <c r="E282" s="430"/>
      <c r="F282" s="430"/>
      <c r="G282" s="430"/>
      <c r="H282" s="440"/>
      <c r="I282" s="440"/>
      <c r="J282" s="24"/>
      <c r="K282" s="119"/>
      <c r="L282" s="24"/>
      <c r="M282" s="24"/>
      <c r="N282" s="24"/>
      <c r="O282" s="24"/>
      <c r="P282" s="24"/>
      <c r="Q282" s="24"/>
      <c r="R282" s="24"/>
    </row>
    <row r="283" spans="2:18" ht="15" customHeight="1" x14ac:dyDescent="0.3">
      <c r="B283" s="581">
        <v>1</v>
      </c>
      <c r="C283" s="430" t="s">
        <v>421</v>
      </c>
      <c r="D283" s="441"/>
      <c r="E283" s="441"/>
      <c r="F283" s="441"/>
      <c r="G283" s="441"/>
      <c r="H283" s="441"/>
      <c r="I283" s="441"/>
      <c r="J283" s="414"/>
      <c r="K283" s="414"/>
      <c r="L283" s="414"/>
      <c r="M283" s="414"/>
      <c r="N283" s="414"/>
      <c r="O283" s="414"/>
      <c r="P283" s="414"/>
      <c r="Q283" s="414"/>
      <c r="R283" s="414"/>
    </row>
    <row r="284" spans="2:18" ht="15" customHeight="1" x14ac:dyDescent="0.3">
      <c r="B284" s="579">
        <v>1.1000000000000001</v>
      </c>
      <c r="C284" s="429" t="s">
        <v>28</v>
      </c>
      <c r="D284" s="441"/>
      <c r="E284" s="441"/>
      <c r="F284" s="441"/>
      <c r="G284" s="441"/>
      <c r="H284" s="441"/>
      <c r="I284" s="441"/>
      <c r="J284" s="414"/>
      <c r="K284" s="414"/>
      <c r="L284" s="414"/>
      <c r="M284" s="414"/>
      <c r="N284" s="414"/>
      <c r="O284" s="414"/>
      <c r="P284" s="414"/>
      <c r="Q284" s="414"/>
      <c r="R284" s="414"/>
    </row>
    <row r="285" spans="2:18" ht="15" customHeight="1" x14ac:dyDescent="0.3">
      <c r="B285" s="579">
        <f t="shared" ref="B285:B291" si="104">B284+0.1</f>
        <v>1.2000000000000002</v>
      </c>
      <c r="C285" s="429" t="s">
        <v>399</v>
      </c>
      <c r="D285" s="441"/>
      <c r="E285" s="441"/>
      <c r="F285" s="441"/>
      <c r="G285" s="441"/>
      <c r="H285" s="441"/>
      <c r="I285" s="441"/>
      <c r="J285" s="414"/>
      <c r="K285" s="414"/>
      <c r="L285" s="414"/>
      <c r="M285" s="414"/>
      <c r="N285" s="414"/>
      <c r="O285" s="414"/>
      <c r="P285" s="414"/>
      <c r="Q285" s="414"/>
      <c r="R285" s="414"/>
    </row>
    <row r="286" spans="2:18" ht="15" customHeight="1" x14ac:dyDescent="0.3">
      <c r="B286" s="579">
        <f t="shared" si="104"/>
        <v>1.3000000000000003</v>
      </c>
      <c r="C286" s="429" t="s">
        <v>341</v>
      </c>
      <c r="D286" s="441"/>
      <c r="E286" s="441"/>
      <c r="F286" s="441"/>
      <c r="G286" s="441"/>
      <c r="H286" s="441"/>
      <c r="I286" s="441"/>
      <c r="J286" s="414"/>
      <c r="K286" s="414"/>
      <c r="L286" s="414"/>
      <c r="M286" s="414"/>
      <c r="N286" s="414"/>
      <c r="O286" s="414"/>
      <c r="P286" s="414"/>
      <c r="Q286" s="414"/>
      <c r="R286" s="414"/>
    </row>
    <row r="287" spans="2:18" ht="15" customHeight="1" x14ac:dyDescent="0.3">
      <c r="B287" s="579">
        <f t="shared" si="104"/>
        <v>1.4000000000000004</v>
      </c>
      <c r="C287" s="429" t="s">
        <v>29</v>
      </c>
      <c r="D287" s="441"/>
      <c r="E287" s="441"/>
      <c r="F287" s="441"/>
      <c r="G287" s="441"/>
      <c r="H287" s="441"/>
      <c r="I287" s="441"/>
      <c r="J287" s="414"/>
      <c r="K287" s="414"/>
      <c r="L287" s="414"/>
      <c r="M287" s="414"/>
      <c r="N287" s="414"/>
      <c r="O287" s="414"/>
      <c r="P287" s="414"/>
      <c r="Q287" s="414"/>
      <c r="R287" s="414"/>
    </row>
    <row r="288" spans="2:18" ht="15" customHeight="1" x14ac:dyDescent="0.3">
      <c r="B288" s="579">
        <f t="shared" si="104"/>
        <v>1.5000000000000004</v>
      </c>
      <c r="C288" s="429" t="s">
        <v>30</v>
      </c>
      <c r="D288" s="441"/>
      <c r="E288" s="426">
        <f>+E284-E285+E286-E287</f>
        <v>0</v>
      </c>
      <c r="F288" s="426"/>
      <c r="G288" s="426"/>
      <c r="H288" s="426">
        <f>+H284-H285+H286-H287</f>
        <v>0</v>
      </c>
      <c r="I288" s="426"/>
      <c r="J288" s="415"/>
      <c r="K288" s="415">
        <f>+K284-K285+K286-K287</f>
        <v>0</v>
      </c>
      <c r="L288" s="415"/>
      <c r="M288" s="415"/>
      <c r="N288" s="415">
        <f>+M284-M285+M286-M287</f>
        <v>0</v>
      </c>
      <c r="O288" s="415"/>
      <c r="P288" s="415"/>
      <c r="Q288" s="415">
        <f>+O284-O285+O286-O287</f>
        <v>0</v>
      </c>
      <c r="R288" s="415"/>
    </row>
    <row r="289" spans="2:18" ht="15" customHeight="1" x14ac:dyDescent="0.3">
      <c r="B289" s="579">
        <f t="shared" si="104"/>
        <v>1.6000000000000005</v>
      </c>
      <c r="C289" s="429" t="s">
        <v>470</v>
      </c>
      <c r="D289" s="441"/>
      <c r="E289" s="777">
        <f>AVERAGE(E284,E288)</f>
        <v>0</v>
      </c>
      <c r="F289" s="426"/>
      <c r="G289" s="426"/>
      <c r="H289" s="426"/>
      <c r="I289" s="426"/>
      <c r="J289" s="415"/>
      <c r="K289" s="415"/>
      <c r="L289" s="415"/>
      <c r="M289" s="415"/>
      <c r="N289" s="415"/>
      <c r="O289" s="415"/>
      <c r="P289" s="415"/>
      <c r="Q289" s="415"/>
      <c r="R289" s="415"/>
    </row>
    <row r="290" spans="2:18" ht="15" customHeight="1" x14ac:dyDescent="0.3">
      <c r="B290" s="579">
        <f t="shared" si="104"/>
        <v>1.7000000000000006</v>
      </c>
      <c r="C290" s="429" t="s">
        <v>31</v>
      </c>
      <c r="D290" s="441"/>
      <c r="E290" s="572">
        <f>IFERROR(E291/E289,0)</f>
        <v>0</v>
      </c>
      <c r="F290" s="426"/>
      <c r="G290" s="426"/>
      <c r="H290" s="426" t="e">
        <f>H291/H289</f>
        <v>#DIV/0!</v>
      </c>
      <c r="I290" s="426"/>
      <c r="J290" s="415"/>
      <c r="K290" s="415" t="e">
        <f>K291/K289</f>
        <v>#DIV/0!</v>
      </c>
      <c r="L290" s="415"/>
      <c r="M290" s="415"/>
      <c r="N290" s="415" t="e">
        <f>M291/N289</f>
        <v>#DIV/0!</v>
      </c>
      <c r="O290" s="415"/>
      <c r="P290" s="415"/>
      <c r="Q290" s="415" t="e">
        <f>O291/Q289</f>
        <v>#DIV/0!</v>
      </c>
      <c r="R290" s="415"/>
    </row>
    <row r="291" spans="2:18" ht="15" customHeight="1" x14ac:dyDescent="0.3">
      <c r="B291" s="579">
        <f t="shared" si="104"/>
        <v>1.8000000000000007</v>
      </c>
      <c r="C291" s="429" t="s">
        <v>32</v>
      </c>
      <c r="D291" s="441"/>
      <c r="E291" s="441"/>
      <c r="F291" s="441"/>
      <c r="G291" s="441"/>
      <c r="H291" s="441"/>
      <c r="I291" s="441"/>
      <c r="J291" s="414"/>
      <c r="K291" s="414"/>
      <c r="L291" s="414"/>
      <c r="M291" s="414"/>
      <c r="N291" s="414"/>
      <c r="O291" s="414"/>
      <c r="P291" s="414"/>
      <c r="Q291" s="414"/>
      <c r="R291" s="414"/>
    </row>
    <row r="292" spans="2:18" ht="15" customHeight="1" x14ac:dyDescent="0.3">
      <c r="B292" s="579"/>
      <c r="C292" s="429"/>
      <c r="D292" s="441"/>
      <c r="E292" s="441"/>
      <c r="F292" s="441"/>
      <c r="G292" s="441"/>
      <c r="H292" s="441"/>
      <c r="I292" s="441"/>
      <c r="J292" s="414"/>
      <c r="K292" s="414"/>
      <c r="L292" s="414"/>
      <c r="M292" s="414"/>
      <c r="N292" s="414"/>
      <c r="O292" s="414"/>
      <c r="P292" s="414"/>
      <c r="Q292" s="414"/>
      <c r="R292" s="414"/>
    </row>
    <row r="293" spans="2:18" ht="15" customHeight="1" x14ac:dyDescent="0.3">
      <c r="B293" s="581">
        <v>2</v>
      </c>
      <c r="C293" s="430" t="s">
        <v>420</v>
      </c>
      <c r="D293" s="441"/>
      <c r="E293" s="441"/>
      <c r="F293" s="441"/>
      <c r="G293" s="441"/>
      <c r="H293" s="441"/>
      <c r="I293" s="441"/>
      <c r="J293" s="414"/>
      <c r="K293" s="414"/>
      <c r="L293" s="414"/>
      <c r="M293" s="414"/>
      <c r="N293" s="414"/>
      <c r="O293" s="414"/>
      <c r="P293" s="414"/>
      <c r="Q293" s="414"/>
      <c r="R293" s="414"/>
    </row>
    <row r="294" spans="2:18" ht="15" customHeight="1" x14ac:dyDescent="0.3">
      <c r="B294" s="579">
        <f t="shared" ref="B294:B301" si="105">B293+0.1</f>
        <v>2.1</v>
      </c>
      <c r="C294" s="429" t="s">
        <v>28</v>
      </c>
      <c r="D294" s="441"/>
      <c r="E294" s="441"/>
      <c r="F294" s="441"/>
      <c r="G294" s="441"/>
      <c r="H294" s="441"/>
      <c r="I294" s="441"/>
      <c r="J294" s="414"/>
      <c r="K294" s="414"/>
      <c r="L294" s="414"/>
      <c r="M294" s="414"/>
      <c r="N294" s="414"/>
      <c r="O294" s="414"/>
      <c r="P294" s="414"/>
      <c r="Q294" s="414"/>
      <c r="R294" s="414"/>
    </row>
    <row r="295" spans="2:18" ht="15" customHeight="1" x14ac:dyDescent="0.3">
      <c r="B295" s="579">
        <f t="shared" si="105"/>
        <v>2.2000000000000002</v>
      </c>
      <c r="C295" s="429" t="s">
        <v>399</v>
      </c>
      <c r="D295" s="441"/>
      <c r="E295" s="441"/>
      <c r="F295" s="441"/>
      <c r="G295" s="441"/>
      <c r="H295" s="441"/>
      <c r="I295" s="441"/>
      <c r="J295" s="414"/>
      <c r="K295" s="414"/>
      <c r="L295" s="414"/>
      <c r="M295" s="414"/>
      <c r="N295" s="414"/>
      <c r="O295" s="414"/>
      <c r="P295" s="414"/>
      <c r="Q295" s="414"/>
      <c r="R295" s="414"/>
    </row>
    <row r="296" spans="2:18" ht="15" customHeight="1" x14ac:dyDescent="0.3">
      <c r="B296" s="579">
        <f t="shared" si="105"/>
        <v>2.3000000000000003</v>
      </c>
      <c r="C296" s="429" t="s">
        <v>341</v>
      </c>
      <c r="D296" s="441"/>
      <c r="E296" s="441"/>
      <c r="F296" s="441"/>
      <c r="G296" s="441"/>
      <c r="H296" s="441"/>
      <c r="I296" s="441"/>
      <c r="J296" s="414"/>
      <c r="K296" s="414"/>
      <c r="L296" s="414"/>
      <c r="M296" s="414"/>
      <c r="N296" s="414"/>
      <c r="O296" s="414"/>
      <c r="P296" s="414"/>
      <c r="Q296" s="414"/>
      <c r="R296" s="414"/>
    </row>
    <row r="297" spans="2:18" ht="15" customHeight="1" x14ac:dyDescent="0.3">
      <c r="B297" s="579">
        <f t="shared" si="105"/>
        <v>2.4000000000000004</v>
      </c>
      <c r="C297" s="429" t="s">
        <v>29</v>
      </c>
      <c r="D297" s="441"/>
      <c r="E297" s="441"/>
      <c r="F297" s="441"/>
      <c r="G297" s="441"/>
      <c r="H297" s="441"/>
      <c r="I297" s="441"/>
      <c r="J297" s="414"/>
      <c r="K297" s="414"/>
      <c r="L297" s="414"/>
      <c r="M297" s="414"/>
      <c r="N297" s="414"/>
      <c r="O297" s="414"/>
      <c r="P297" s="414"/>
      <c r="Q297" s="414"/>
      <c r="R297" s="414"/>
    </row>
    <row r="298" spans="2:18" ht="15" customHeight="1" x14ac:dyDescent="0.3">
      <c r="B298" s="579">
        <f t="shared" si="105"/>
        <v>2.5000000000000004</v>
      </c>
      <c r="C298" s="429" t="s">
        <v>30</v>
      </c>
      <c r="D298" s="441"/>
      <c r="E298" s="426">
        <f>+E294-E295+E296-E297</f>
        <v>0</v>
      </c>
      <c r="F298" s="426"/>
      <c r="G298" s="426"/>
      <c r="H298" s="426">
        <f>+H294-H295+H296-H297</f>
        <v>0</v>
      </c>
      <c r="I298" s="426"/>
      <c r="J298" s="415"/>
      <c r="K298" s="415">
        <f>+K294-K295+K296-K297</f>
        <v>0</v>
      </c>
      <c r="L298" s="415"/>
      <c r="M298" s="415"/>
      <c r="N298" s="415">
        <f>+M294-M295+M296-M297</f>
        <v>0</v>
      </c>
      <c r="O298" s="415"/>
      <c r="P298" s="415"/>
      <c r="Q298" s="415">
        <f>+O294-O295+O296-O297</f>
        <v>0</v>
      </c>
      <c r="R298" s="415"/>
    </row>
    <row r="299" spans="2:18" ht="15" customHeight="1" x14ac:dyDescent="0.3">
      <c r="B299" s="579">
        <f t="shared" si="105"/>
        <v>2.6000000000000005</v>
      </c>
      <c r="C299" s="429" t="s">
        <v>470</v>
      </c>
      <c r="D299" s="441"/>
      <c r="E299" s="777">
        <f>AVERAGE(E294,E298)</f>
        <v>0</v>
      </c>
      <c r="F299" s="426"/>
      <c r="G299" s="426"/>
      <c r="H299" s="426"/>
      <c r="I299" s="426"/>
      <c r="J299" s="415"/>
      <c r="K299" s="415"/>
      <c r="L299" s="415"/>
      <c r="M299" s="415"/>
      <c r="N299" s="415"/>
      <c r="O299" s="415"/>
      <c r="P299" s="415"/>
      <c r="Q299" s="415"/>
      <c r="R299" s="415"/>
    </row>
    <row r="300" spans="2:18" ht="15" customHeight="1" x14ac:dyDescent="0.3">
      <c r="B300" s="579">
        <f t="shared" si="105"/>
        <v>2.7000000000000006</v>
      </c>
      <c r="C300" s="429" t="s">
        <v>31</v>
      </c>
      <c r="D300" s="441"/>
      <c r="E300" s="572">
        <f>IFERROR(E301/E299,0)</f>
        <v>0</v>
      </c>
      <c r="F300" s="426"/>
      <c r="G300" s="426"/>
      <c r="H300" s="426" t="e">
        <f>H301/H299</f>
        <v>#DIV/0!</v>
      </c>
      <c r="I300" s="426"/>
      <c r="J300" s="415"/>
      <c r="K300" s="415" t="e">
        <f>K301/K299</f>
        <v>#DIV/0!</v>
      </c>
      <c r="L300" s="415"/>
      <c r="M300" s="415"/>
      <c r="N300" s="415" t="e">
        <f>M301/N299</f>
        <v>#DIV/0!</v>
      </c>
      <c r="O300" s="415"/>
      <c r="P300" s="415"/>
      <c r="Q300" s="415" t="e">
        <f>O301/Q299</f>
        <v>#DIV/0!</v>
      </c>
      <c r="R300" s="415"/>
    </row>
    <row r="301" spans="2:18" ht="15" customHeight="1" x14ac:dyDescent="0.3">
      <c r="B301" s="579">
        <f t="shared" si="105"/>
        <v>2.8000000000000007</v>
      </c>
      <c r="C301" s="429" t="s">
        <v>32</v>
      </c>
      <c r="D301" s="441"/>
      <c r="E301" s="441"/>
      <c r="F301" s="441"/>
      <c r="G301" s="441"/>
      <c r="H301" s="441"/>
      <c r="I301" s="441"/>
      <c r="J301" s="414"/>
      <c r="K301" s="414"/>
      <c r="L301" s="414"/>
      <c r="M301" s="414"/>
      <c r="N301" s="414"/>
      <c r="O301" s="414"/>
      <c r="P301" s="414"/>
      <c r="Q301" s="414"/>
      <c r="R301" s="414"/>
    </row>
    <row r="302" spans="2:18" ht="15" customHeight="1" x14ac:dyDescent="0.3">
      <c r="B302" s="579"/>
      <c r="C302" s="429"/>
      <c r="D302" s="441"/>
      <c r="E302" s="441"/>
      <c r="F302" s="441"/>
      <c r="G302" s="441"/>
      <c r="H302" s="441"/>
      <c r="I302" s="441"/>
      <c r="J302" s="414"/>
      <c r="K302" s="414"/>
      <c r="L302" s="414"/>
      <c r="M302" s="414"/>
      <c r="N302" s="414"/>
      <c r="O302" s="414"/>
      <c r="P302" s="414"/>
      <c r="Q302" s="414"/>
      <c r="R302" s="414"/>
    </row>
    <row r="303" spans="2:18" ht="15" customHeight="1" x14ac:dyDescent="0.3">
      <c r="B303" s="581">
        <v>3</v>
      </c>
      <c r="C303" s="430" t="s">
        <v>486</v>
      </c>
      <c r="D303" s="441"/>
      <c r="E303" s="441"/>
      <c r="F303" s="441"/>
      <c r="G303" s="441"/>
      <c r="H303" s="441"/>
      <c r="I303" s="441"/>
      <c r="J303" s="414"/>
      <c r="K303" s="414"/>
      <c r="L303" s="414"/>
      <c r="M303" s="414"/>
      <c r="N303" s="414"/>
      <c r="O303" s="414"/>
      <c r="P303" s="414"/>
      <c r="Q303" s="414"/>
      <c r="R303" s="414"/>
    </row>
    <row r="304" spans="2:18" ht="15" customHeight="1" x14ac:dyDescent="0.3">
      <c r="B304" s="579"/>
      <c r="C304" s="429" t="s">
        <v>23</v>
      </c>
      <c r="D304" s="441"/>
      <c r="E304" s="441"/>
      <c r="F304" s="441"/>
      <c r="G304" s="441"/>
      <c r="H304" s="441"/>
      <c r="I304" s="441"/>
      <c r="J304" s="414"/>
      <c r="K304" s="414"/>
      <c r="L304" s="414"/>
      <c r="M304" s="414"/>
      <c r="N304" s="414"/>
      <c r="O304" s="414"/>
      <c r="P304" s="414"/>
      <c r="Q304" s="414"/>
      <c r="R304" s="414"/>
    </row>
    <row r="305" spans="2:18" ht="15" customHeight="1" x14ac:dyDescent="0.3">
      <c r="B305" s="579"/>
      <c r="C305" s="429" t="s">
        <v>23</v>
      </c>
      <c r="D305" s="441"/>
      <c r="E305" s="441"/>
      <c r="F305" s="441"/>
      <c r="G305" s="441"/>
      <c r="H305" s="441"/>
      <c r="I305" s="441"/>
      <c r="J305" s="414"/>
      <c r="K305" s="414"/>
      <c r="L305" s="414"/>
      <c r="M305" s="414"/>
      <c r="N305" s="414"/>
      <c r="O305" s="414"/>
      <c r="P305" s="414"/>
      <c r="Q305" s="414"/>
      <c r="R305" s="414"/>
    </row>
    <row r="306" spans="2:18" ht="15" customHeight="1" x14ac:dyDescent="0.3">
      <c r="B306" s="579"/>
      <c r="C306" s="429" t="s">
        <v>23</v>
      </c>
      <c r="D306" s="441"/>
      <c r="E306" s="441"/>
      <c r="F306" s="441"/>
      <c r="G306" s="441"/>
      <c r="H306" s="441"/>
      <c r="I306" s="441"/>
      <c r="J306" s="414"/>
      <c r="K306" s="414"/>
      <c r="L306" s="414"/>
      <c r="M306" s="414"/>
      <c r="N306" s="414"/>
      <c r="O306" s="414"/>
      <c r="P306" s="414"/>
      <c r="Q306" s="414"/>
      <c r="R306" s="414"/>
    </row>
    <row r="307" spans="2:18" ht="15" customHeight="1" x14ac:dyDescent="0.3">
      <c r="B307" s="579"/>
      <c r="C307" s="429"/>
      <c r="D307" s="441"/>
      <c r="E307" s="441"/>
      <c r="F307" s="441"/>
      <c r="G307" s="441"/>
      <c r="H307" s="441"/>
      <c r="I307" s="441"/>
      <c r="J307" s="414"/>
      <c r="K307" s="414"/>
      <c r="L307" s="414"/>
      <c r="M307" s="414"/>
      <c r="N307" s="414"/>
      <c r="O307" s="414"/>
      <c r="P307" s="414"/>
      <c r="Q307" s="414"/>
      <c r="R307" s="414"/>
    </row>
    <row r="308" spans="2:18" ht="15" customHeight="1" x14ac:dyDescent="0.3">
      <c r="B308" s="581">
        <v>10</v>
      </c>
      <c r="C308" s="430" t="s">
        <v>270</v>
      </c>
      <c r="D308" s="441"/>
      <c r="E308" s="441"/>
      <c r="F308" s="441"/>
      <c r="G308" s="441"/>
      <c r="H308" s="441"/>
      <c r="I308" s="441"/>
      <c r="J308" s="414"/>
      <c r="K308" s="414"/>
      <c r="L308" s="414"/>
      <c r="M308" s="414"/>
      <c r="N308" s="414"/>
      <c r="O308" s="414"/>
      <c r="P308" s="414"/>
      <c r="Q308" s="414"/>
      <c r="R308" s="414"/>
    </row>
    <row r="309" spans="2:18" ht="15" customHeight="1" x14ac:dyDescent="0.3">
      <c r="B309" s="579">
        <f t="shared" ref="B309:B316" si="106">B308+0.1</f>
        <v>10.1</v>
      </c>
      <c r="C309" s="429" t="s">
        <v>28</v>
      </c>
      <c r="D309" s="441"/>
      <c r="E309" s="441"/>
      <c r="F309" s="441"/>
      <c r="G309" s="441"/>
      <c r="H309" s="441"/>
      <c r="I309" s="441"/>
      <c r="J309" s="414"/>
      <c r="K309" s="414"/>
      <c r="L309" s="414"/>
      <c r="M309" s="414"/>
      <c r="N309" s="414"/>
      <c r="O309" s="414"/>
      <c r="P309" s="414"/>
      <c r="Q309" s="414"/>
      <c r="R309" s="414"/>
    </row>
    <row r="310" spans="2:18" ht="15" customHeight="1" x14ac:dyDescent="0.3">
      <c r="B310" s="579">
        <f t="shared" si="106"/>
        <v>10.199999999999999</v>
      </c>
      <c r="C310" s="429" t="s">
        <v>399</v>
      </c>
      <c r="D310" s="441"/>
      <c r="E310" s="441"/>
      <c r="F310" s="441"/>
      <c r="G310" s="441"/>
      <c r="H310" s="441"/>
      <c r="I310" s="441"/>
      <c r="J310" s="414"/>
      <c r="K310" s="414"/>
      <c r="L310" s="414"/>
      <c r="M310" s="414"/>
      <c r="N310" s="414"/>
      <c r="O310" s="414"/>
      <c r="P310" s="414"/>
      <c r="Q310" s="414"/>
      <c r="R310" s="414"/>
    </row>
    <row r="311" spans="2:18" ht="15" customHeight="1" x14ac:dyDescent="0.3">
      <c r="B311" s="579">
        <f t="shared" si="106"/>
        <v>10.299999999999999</v>
      </c>
      <c r="C311" s="429" t="s">
        <v>341</v>
      </c>
      <c r="D311" s="441"/>
      <c r="E311" s="441"/>
      <c r="F311" s="441"/>
      <c r="G311" s="441"/>
      <c r="H311" s="441"/>
      <c r="I311" s="441"/>
      <c r="J311" s="414"/>
      <c r="K311" s="414"/>
      <c r="L311" s="414"/>
      <c r="M311" s="414"/>
      <c r="N311" s="414"/>
      <c r="O311" s="414"/>
      <c r="P311" s="414"/>
      <c r="Q311" s="414"/>
      <c r="R311" s="414"/>
    </row>
    <row r="312" spans="2:18" ht="15" customHeight="1" x14ac:dyDescent="0.3">
      <c r="B312" s="579">
        <f t="shared" si="106"/>
        <v>10.399999999999999</v>
      </c>
      <c r="C312" s="429" t="s">
        <v>29</v>
      </c>
      <c r="D312" s="441"/>
      <c r="E312" s="441"/>
      <c r="F312" s="441"/>
      <c r="G312" s="441"/>
      <c r="H312" s="441"/>
      <c r="I312" s="441"/>
      <c r="J312" s="414"/>
      <c r="K312" s="414"/>
      <c r="L312" s="414"/>
      <c r="M312" s="414"/>
      <c r="N312" s="414"/>
      <c r="O312" s="414"/>
      <c r="P312" s="414"/>
      <c r="Q312" s="414"/>
      <c r="R312" s="414"/>
    </row>
    <row r="313" spans="2:18" ht="15" customHeight="1" x14ac:dyDescent="0.3">
      <c r="B313" s="579">
        <f t="shared" si="106"/>
        <v>10.499999999999998</v>
      </c>
      <c r="C313" s="429" t="s">
        <v>30</v>
      </c>
      <c r="D313" s="441"/>
      <c r="E313" s="441"/>
      <c r="F313" s="441"/>
      <c r="G313" s="441"/>
      <c r="H313" s="441"/>
      <c r="I313" s="441"/>
      <c r="J313" s="414"/>
      <c r="K313" s="414"/>
      <c r="L313" s="414"/>
      <c r="M313" s="414"/>
      <c r="N313" s="414"/>
      <c r="O313" s="414"/>
      <c r="P313" s="414"/>
      <c r="Q313" s="414"/>
      <c r="R313" s="414"/>
    </row>
    <row r="314" spans="2:18" ht="15" customHeight="1" x14ac:dyDescent="0.3">
      <c r="B314" s="579">
        <f t="shared" si="106"/>
        <v>10.599999999999998</v>
      </c>
      <c r="C314" s="429" t="s">
        <v>470</v>
      </c>
      <c r="D314" s="441"/>
      <c r="E314" s="441"/>
      <c r="F314" s="441"/>
      <c r="G314" s="441"/>
      <c r="H314" s="441"/>
      <c r="I314" s="441"/>
      <c r="J314" s="414"/>
      <c r="K314" s="414"/>
      <c r="L314" s="414"/>
      <c r="M314" s="414"/>
      <c r="N314" s="414"/>
      <c r="O314" s="414"/>
      <c r="P314" s="414"/>
      <c r="Q314" s="414"/>
      <c r="R314" s="414"/>
    </row>
    <row r="315" spans="2:18" ht="15" customHeight="1" x14ac:dyDescent="0.3">
      <c r="B315" s="579">
        <f t="shared" si="106"/>
        <v>10.699999999999998</v>
      </c>
      <c r="C315" s="429" t="s">
        <v>31</v>
      </c>
      <c r="D315" s="441"/>
      <c r="E315" s="572">
        <f>IFERROR(E316/E314,0)</f>
        <v>0</v>
      </c>
      <c r="F315" s="441"/>
      <c r="G315" s="441"/>
      <c r="H315" s="441"/>
      <c r="I315" s="441"/>
      <c r="J315" s="414"/>
      <c r="K315" s="414"/>
      <c r="L315" s="414"/>
      <c r="M315" s="414"/>
      <c r="N315" s="414"/>
      <c r="O315" s="414"/>
      <c r="P315" s="414"/>
      <c r="Q315" s="414"/>
      <c r="R315" s="414"/>
    </row>
    <row r="316" spans="2:18" ht="15" customHeight="1" x14ac:dyDescent="0.3">
      <c r="B316" s="579">
        <f t="shared" si="106"/>
        <v>10.799999999999997</v>
      </c>
      <c r="C316" s="429" t="s">
        <v>32</v>
      </c>
      <c r="D316" s="441"/>
      <c r="E316" s="441"/>
      <c r="F316" s="441"/>
      <c r="G316" s="441"/>
      <c r="H316" s="441"/>
      <c r="I316" s="441"/>
      <c r="J316" s="414"/>
      <c r="K316" s="414"/>
      <c r="L316" s="414"/>
      <c r="M316" s="414"/>
      <c r="N316" s="414"/>
      <c r="O316" s="414"/>
      <c r="P316" s="414"/>
      <c r="Q316" s="414"/>
      <c r="R316" s="414"/>
    </row>
    <row r="317" spans="2:18" ht="15" customHeight="1" x14ac:dyDescent="0.3">
      <c r="B317" s="579"/>
      <c r="C317" s="430"/>
      <c r="D317" s="441"/>
      <c r="E317" s="441"/>
      <c r="F317" s="441"/>
      <c r="G317" s="441"/>
      <c r="H317" s="441"/>
      <c r="I317" s="441"/>
      <c r="J317" s="414"/>
      <c r="K317" s="414"/>
      <c r="L317" s="414"/>
      <c r="M317" s="414"/>
      <c r="N317" s="414"/>
      <c r="O317" s="414"/>
      <c r="P317" s="414"/>
      <c r="Q317" s="414"/>
      <c r="R317" s="414"/>
    </row>
    <row r="318" spans="2:18" ht="15" customHeight="1" x14ac:dyDescent="0.3">
      <c r="B318" s="579"/>
      <c r="C318" s="429"/>
      <c r="D318" s="441"/>
      <c r="E318" s="441"/>
      <c r="F318" s="441"/>
      <c r="G318" s="441"/>
      <c r="H318" s="441"/>
      <c r="I318" s="441"/>
      <c r="J318" s="414"/>
      <c r="K318" s="414"/>
      <c r="L318" s="414"/>
      <c r="M318" s="414"/>
      <c r="N318" s="414"/>
      <c r="O318" s="414"/>
      <c r="P318" s="414"/>
      <c r="Q318" s="414"/>
      <c r="R318" s="414"/>
    </row>
    <row r="319" spans="2:18" ht="15" customHeight="1" x14ac:dyDescent="0.3">
      <c r="B319" s="579">
        <v>9</v>
      </c>
      <c r="C319" s="430" t="s">
        <v>33</v>
      </c>
      <c r="D319" s="441"/>
      <c r="E319" s="441"/>
      <c r="F319" s="441"/>
      <c r="G319" s="441"/>
      <c r="H319" s="441"/>
      <c r="I319" s="441"/>
      <c r="J319" s="414"/>
      <c r="K319" s="414"/>
      <c r="L319" s="414"/>
      <c r="M319" s="414"/>
      <c r="N319" s="414"/>
      <c r="O319" s="414"/>
      <c r="P319" s="414"/>
      <c r="Q319" s="414"/>
      <c r="R319" s="414"/>
    </row>
    <row r="320" spans="2:18" ht="15" customHeight="1" x14ac:dyDescent="0.3">
      <c r="B320" s="579">
        <v>10</v>
      </c>
      <c r="C320" s="431" t="s">
        <v>34</v>
      </c>
      <c r="D320" s="441"/>
      <c r="E320" s="441"/>
      <c r="F320" s="441"/>
      <c r="G320" s="441"/>
      <c r="H320" s="441"/>
      <c r="I320" s="441"/>
      <c r="J320" s="414"/>
      <c r="K320" s="414"/>
      <c r="L320" s="414"/>
      <c r="M320" s="414"/>
      <c r="N320" s="414"/>
      <c r="O320" s="414"/>
      <c r="P320" s="414"/>
      <c r="Q320" s="414"/>
      <c r="R320" s="414"/>
    </row>
    <row r="321" spans="2:18" ht="15" customHeight="1" x14ac:dyDescent="0.25">
      <c r="B321" s="581">
        <v>11</v>
      </c>
      <c r="C321" s="442" t="s">
        <v>35</v>
      </c>
      <c r="D321" s="441"/>
      <c r="E321" s="441"/>
      <c r="F321" s="441"/>
      <c r="G321" s="441"/>
      <c r="H321" s="441"/>
      <c r="I321" s="441"/>
      <c r="J321" s="414"/>
      <c r="K321" s="414"/>
      <c r="L321" s="414"/>
      <c r="M321" s="414"/>
      <c r="N321" s="414"/>
      <c r="O321" s="414"/>
      <c r="P321" s="414"/>
      <c r="Q321" s="414"/>
      <c r="R321" s="414"/>
    </row>
    <row r="322" spans="2:18" x14ac:dyDescent="0.25">
      <c r="B322" s="579"/>
      <c r="C322" s="433"/>
      <c r="D322" s="433"/>
      <c r="E322" s="433"/>
      <c r="F322" s="433"/>
      <c r="G322" s="433"/>
      <c r="H322" s="440"/>
      <c r="I322" s="440"/>
      <c r="J322" s="24"/>
      <c r="K322" s="119"/>
      <c r="L322" s="24"/>
      <c r="M322" s="24"/>
      <c r="N322" s="24"/>
      <c r="O322" s="24"/>
      <c r="P322" s="24"/>
      <c r="Q322" s="24"/>
      <c r="R322" s="24"/>
    </row>
    <row r="324" spans="2:18" x14ac:dyDescent="0.25">
      <c r="C324" s="1960" t="s">
        <v>143</v>
      </c>
      <c r="D324" s="1960"/>
      <c r="E324" s="1960"/>
      <c r="F324" s="1960"/>
      <c r="G324" s="1960"/>
    </row>
    <row r="325" spans="2:18" x14ac:dyDescent="0.25">
      <c r="C325" s="427" t="s">
        <v>487</v>
      </c>
    </row>
  </sheetData>
  <mergeCells count="31">
    <mergeCell ref="R10:R12"/>
    <mergeCell ref="R29:R31"/>
    <mergeCell ref="J10:L10"/>
    <mergeCell ref="M10:Q10"/>
    <mergeCell ref="J29:L29"/>
    <mergeCell ref="J136:L136"/>
    <mergeCell ref="M279:N279"/>
    <mergeCell ref="M29:Q29"/>
    <mergeCell ref="M136:Q136"/>
    <mergeCell ref="R279:R281"/>
    <mergeCell ref="R136:R138"/>
    <mergeCell ref="O279:Q279"/>
    <mergeCell ref="J279:L279"/>
    <mergeCell ref="C324:G324"/>
    <mergeCell ref="C29:C30"/>
    <mergeCell ref="G10:I10"/>
    <mergeCell ref="G29:I29"/>
    <mergeCell ref="G279:I279"/>
    <mergeCell ref="C131:G131"/>
    <mergeCell ref="D136:F136"/>
    <mergeCell ref="G136:I136"/>
    <mergeCell ref="D10:F10"/>
    <mergeCell ref="D29:F29"/>
    <mergeCell ref="D279:F279"/>
    <mergeCell ref="B10:B11"/>
    <mergeCell ref="C10:C11"/>
    <mergeCell ref="B29:B30"/>
    <mergeCell ref="C279:C281"/>
    <mergeCell ref="B279:B281"/>
    <mergeCell ref="B136:B137"/>
    <mergeCell ref="C136:C137"/>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5"/>
  <sheetViews>
    <sheetView showGridLines="0" zoomScale="75" zoomScaleNormal="75" workbookViewId="0">
      <pane xSplit="3" ySplit="9" topLeftCell="D38" activePane="bottomRight" state="frozen"/>
      <selection pane="topRight" activeCell="D1" sqref="D1"/>
      <selection pane="bottomLeft" activeCell="A10" sqref="A10"/>
      <selection pane="bottomRight" activeCell="D54" sqref="D54"/>
    </sheetView>
  </sheetViews>
  <sheetFormatPr defaultColWidth="9.36328125" defaultRowHeight="14" x14ac:dyDescent="0.25"/>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15" customWidth="1"/>
    <col min="12" max="20" width="16.6328125" style="14" customWidth="1"/>
    <col min="21" max="16384" width="9.36328125" style="14"/>
  </cols>
  <sheetData>
    <row r="2" spans="2:24" x14ac:dyDescent="0.25">
      <c r="B2" s="1758" t="str">
        <f>Index!B2</f>
        <v xml:space="preserve">      Maharashtra State Power Generation Company Ltd.</v>
      </c>
      <c r="C2" s="1758"/>
      <c r="D2" s="1758"/>
      <c r="E2" s="1758"/>
      <c r="F2" s="1758"/>
      <c r="G2" s="1758"/>
      <c r="H2" s="1758"/>
      <c r="I2" s="1758"/>
      <c r="J2" s="1758"/>
      <c r="K2" s="1758"/>
      <c r="L2" s="1758"/>
      <c r="M2" s="1758"/>
      <c r="N2" s="1758"/>
    </row>
    <row r="3" spans="2:24" ht="15" customHeight="1" x14ac:dyDescent="0.25">
      <c r="B3" s="1758" t="str">
        <f>Index!B3</f>
        <v>MYT Petition Formats for Parli Units 6 &amp; 7</v>
      </c>
      <c r="C3" s="1758"/>
      <c r="D3" s="1758"/>
      <c r="E3" s="1758"/>
      <c r="F3" s="1758"/>
      <c r="G3" s="1758"/>
      <c r="H3" s="1758"/>
      <c r="I3" s="1758"/>
      <c r="J3" s="1758"/>
      <c r="K3" s="1758"/>
      <c r="L3" s="1758"/>
      <c r="M3" s="1758"/>
      <c r="N3" s="1758"/>
    </row>
    <row r="4" spans="2:24" ht="15" x14ac:dyDescent="0.25">
      <c r="B4" s="1965" t="s">
        <v>1019</v>
      </c>
      <c r="C4" s="1965"/>
      <c r="D4" s="1965"/>
      <c r="E4" s="1965"/>
      <c r="F4" s="1965"/>
      <c r="G4" s="1965"/>
      <c r="H4" s="1965"/>
      <c r="I4" s="1965"/>
      <c r="J4" s="1965"/>
      <c r="K4" s="1965"/>
      <c r="L4" s="1965"/>
      <c r="M4" s="1965"/>
      <c r="N4" s="1965"/>
    </row>
    <row r="6" spans="2:24" x14ac:dyDescent="0.25">
      <c r="K6" s="14"/>
      <c r="O6" s="22" t="s">
        <v>10</v>
      </c>
    </row>
    <row r="7" spans="2:24" ht="15" customHeight="1" x14ac:dyDescent="0.25">
      <c r="B7" s="1760" t="s">
        <v>342</v>
      </c>
      <c r="C7" s="1760" t="s">
        <v>36</v>
      </c>
      <c r="D7" s="1866" t="s">
        <v>506</v>
      </c>
      <c r="E7" s="1867"/>
      <c r="F7" s="1868"/>
      <c r="G7" s="1866" t="s">
        <v>507</v>
      </c>
      <c r="H7" s="1867"/>
      <c r="I7" s="1868"/>
      <c r="J7" s="1866" t="s">
        <v>508</v>
      </c>
      <c r="K7" s="1867"/>
      <c r="L7" s="1868"/>
    </row>
    <row r="8" spans="2:24" ht="28" x14ac:dyDescent="0.25">
      <c r="B8" s="1761"/>
      <c r="C8" s="1761"/>
      <c r="D8" s="300" t="s">
        <v>966</v>
      </c>
      <c r="E8" s="295" t="s">
        <v>78</v>
      </c>
      <c r="F8" s="295" t="s">
        <v>449</v>
      </c>
      <c r="G8" s="300" t="s">
        <v>966</v>
      </c>
      <c r="H8" s="719" t="s">
        <v>78</v>
      </c>
      <c r="I8" s="719" t="s">
        <v>449</v>
      </c>
      <c r="J8" s="295" t="s">
        <v>966</v>
      </c>
      <c r="K8" s="316" t="s">
        <v>79</v>
      </c>
      <c r="L8" s="295" t="s">
        <v>450</v>
      </c>
    </row>
    <row r="9" spans="2:24" x14ac:dyDescent="0.25">
      <c r="B9" s="1795"/>
      <c r="C9" s="1795"/>
      <c r="D9" s="295" t="s">
        <v>80</v>
      </c>
      <c r="E9" s="295" t="s">
        <v>81</v>
      </c>
      <c r="F9" s="295" t="s">
        <v>676</v>
      </c>
      <c r="G9" s="719" t="s">
        <v>390</v>
      </c>
      <c r="H9" s="719" t="s">
        <v>408</v>
      </c>
      <c r="I9" s="719" t="s">
        <v>454</v>
      </c>
      <c r="J9" s="295" t="s">
        <v>409</v>
      </c>
      <c r="K9" s="316" t="s">
        <v>410</v>
      </c>
      <c r="L9" s="295" t="s">
        <v>718</v>
      </c>
    </row>
    <row r="10" spans="2:24" x14ac:dyDescent="0.25">
      <c r="B10" s="103">
        <v>1</v>
      </c>
      <c r="C10" s="102" t="s">
        <v>601</v>
      </c>
      <c r="D10" s="319">
        <v>932.2106692520947</v>
      </c>
      <c r="E10" s="338">
        <v>932.2106692520947</v>
      </c>
      <c r="F10" s="307">
        <f>E10-D10</f>
        <v>0</v>
      </c>
      <c r="G10" s="307">
        <f>D14</f>
        <v>943.48166925209466</v>
      </c>
      <c r="H10" s="338">
        <v>942.5068690178947</v>
      </c>
      <c r="I10" s="307"/>
      <c r="J10" s="307">
        <f>G14</f>
        <v>951.22166925209467</v>
      </c>
      <c r="K10" s="307">
        <f>H14</f>
        <v>944.86630383749468</v>
      </c>
      <c r="L10" s="307">
        <f>K10-J10</f>
        <v>-6.3553654145999872</v>
      </c>
      <c r="V10" s="326"/>
      <c r="W10" s="326"/>
      <c r="X10" s="326"/>
    </row>
    <row r="11" spans="2:24" x14ac:dyDescent="0.25">
      <c r="B11" s="103">
        <f>B10+1</f>
        <v>2</v>
      </c>
      <c r="C11" s="102" t="s">
        <v>547</v>
      </c>
      <c r="D11" s="119"/>
      <c r="E11" s="119"/>
      <c r="F11" s="307">
        <f>E11-D11</f>
        <v>0</v>
      </c>
      <c r="G11" s="307"/>
      <c r="H11" s="307"/>
      <c r="I11" s="307"/>
      <c r="J11" s="307"/>
      <c r="K11" s="319"/>
      <c r="L11" s="307">
        <f>K11-J11</f>
        <v>0</v>
      </c>
      <c r="V11" s="326"/>
      <c r="W11" s="326"/>
      <c r="X11" s="326"/>
    </row>
    <row r="12" spans="2:24" x14ac:dyDescent="0.25">
      <c r="B12" s="103">
        <f t="shared" ref="B12:B21" si="0">B11+1</f>
        <v>3</v>
      </c>
      <c r="C12" s="102" t="s">
        <v>602</v>
      </c>
      <c r="D12" s="338">
        <f>'F4'!D14*30%</f>
        <v>11.271000000000003</v>
      </c>
      <c r="E12" s="338">
        <f>'F4'!E14*30%</f>
        <v>10.296199765799999</v>
      </c>
      <c r="F12" s="307">
        <f>E12-D12</f>
        <v>-0.9748002342000035</v>
      </c>
      <c r="G12" s="307">
        <f>'F4'!G14*30%</f>
        <v>7.74</v>
      </c>
      <c r="H12" s="307">
        <f>'F4'!H14*30%</f>
        <v>2.3594348196000001</v>
      </c>
      <c r="I12" s="307"/>
      <c r="J12" s="319">
        <f>'F4'!J14*30%</f>
        <v>43.506</v>
      </c>
      <c r="K12" s="307">
        <f>'F4'!M14*30%</f>
        <v>20.012999999999998</v>
      </c>
      <c r="L12" s="307">
        <f>K12-J12</f>
        <v>-23.493000000000002</v>
      </c>
      <c r="V12" s="326"/>
      <c r="W12" s="326"/>
      <c r="X12" s="326"/>
    </row>
    <row r="13" spans="2:24" x14ac:dyDescent="0.3">
      <c r="B13" s="248">
        <f t="shared" si="0"/>
        <v>4</v>
      </c>
      <c r="C13" s="29" t="s">
        <v>37</v>
      </c>
      <c r="D13" s="499"/>
      <c r="E13" s="781">
        <f>'F5'!F31*E10/'F5'!D31</f>
        <v>0</v>
      </c>
      <c r="F13" s="319">
        <f>E13-D13</f>
        <v>0</v>
      </c>
      <c r="G13" s="319"/>
      <c r="H13" s="673">
        <f>'F5'!K31*H10/'F5'!I31</f>
        <v>0</v>
      </c>
      <c r="I13" s="319">
        <f>H13-G13</f>
        <v>0</v>
      </c>
      <c r="J13" s="319"/>
      <c r="K13" s="319">
        <f>'F5'!P31*'F7'!K10/'F5'!N31</f>
        <v>0</v>
      </c>
      <c r="L13" s="307">
        <f>K13-J13</f>
        <v>0</v>
      </c>
      <c r="V13" s="326"/>
      <c r="W13" s="326"/>
      <c r="X13" s="326"/>
    </row>
    <row r="14" spans="2:24" x14ac:dyDescent="0.25">
      <c r="B14" s="103">
        <f t="shared" si="0"/>
        <v>5</v>
      </c>
      <c r="C14" s="102" t="s">
        <v>38</v>
      </c>
      <c r="D14" s="319">
        <f>D10+D12-D13</f>
        <v>943.48166925209466</v>
      </c>
      <c r="E14" s="319">
        <f>E10+E12-E13</f>
        <v>942.5068690178947</v>
      </c>
      <c r="F14" s="307">
        <f>E14-D14</f>
        <v>-0.97480023419996087</v>
      </c>
      <c r="G14" s="307">
        <f>G10+G12-G13</f>
        <v>951.22166925209467</v>
      </c>
      <c r="H14" s="307">
        <f>H10+H12-H13</f>
        <v>944.86630383749468</v>
      </c>
      <c r="I14" s="307">
        <f>H14-G14</f>
        <v>-6.3553654145999872</v>
      </c>
      <c r="J14" s="307">
        <f>J10+J12-J13</f>
        <v>994.72766925209464</v>
      </c>
      <c r="K14" s="307">
        <f>K10+K12-K13</f>
        <v>964.87930383749472</v>
      </c>
      <c r="L14" s="307">
        <f>K14-J14</f>
        <v>-29.848365414599925</v>
      </c>
      <c r="V14" s="326"/>
      <c r="W14" s="326"/>
      <c r="X14" s="326"/>
    </row>
    <row r="15" spans="2:24" x14ac:dyDescent="0.25">
      <c r="B15" s="103"/>
      <c r="C15" s="102"/>
      <c r="D15" s="24"/>
      <c r="E15" s="24"/>
      <c r="F15" s="307"/>
      <c r="G15" s="307"/>
      <c r="H15" s="307"/>
      <c r="I15" s="307"/>
      <c r="J15" s="307"/>
      <c r="K15" s="319"/>
      <c r="L15" s="307"/>
      <c r="V15" s="326"/>
      <c r="W15" s="326"/>
      <c r="X15" s="326"/>
    </row>
    <row r="16" spans="2:24" x14ac:dyDescent="0.25">
      <c r="B16" s="103"/>
      <c r="C16" s="104" t="s">
        <v>404</v>
      </c>
      <c r="D16" s="24"/>
      <c r="E16" s="24"/>
      <c r="F16" s="307"/>
      <c r="G16" s="307"/>
      <c r="H16" s="307"/>
      <c r="I16" s="307"/>
      <c r="J16" s="307"/>
      <c r="K16" s="319"/>
      <c r="L16" s="307"/>
      <c r="V16" s="326"/>
      <c r="W16" s="326"/>
      <c r="X16" s="326"/>
    </row>
    <row r="17" spans="2:24" x14ac:dyDescent="0.25">
      <c r="B17" s="103">
        <v>6</v>
      </c>
      <c r="C17" s="102" t="s">
        <v>549</v>
      </c>
      <c r="D17" s="328">
        <v>0.14000000000000001</v>
      </c>
      <c r="E17" s="328">
        <v>0.14000000000000001</v>
      </c>
      <c r="F17" s="329">
        <f>E17-D17</f>
        <v>0</v>
      </c>
      <c r="G17" s="328">
        <v>0.14000000000000001</v>
      </c>
      <c r="H17" s="328">
        <v>0.14000000000000001</v>
      </c>
      <c r="I17" s="830">
        <f>H17-G17</f>
        <v>0</v>
      </c>
      <c r="J17" s="328">
        <v>0.14000000000000001</v>
      </c>
      <c r="K17" s="328">
        <v>0.14000000000000001</v>
      </c>
      <c r="L17" s="329">
        <f>K17-J17</f>
        <v>0</v>
      </c>
      <c r="V17" s="326"/>
      <c r="W17" s="326"/>
      <c r="X17" s="326"/>
    </row>
    <row r="18" spans="2:24" x14ac:dyDescent="0.25">
      <c r="B18" s="103">
        <v>7</v>
      </c>
      <c r="C18" s="102" t="s">
        <v>583</v>
      </c>
      <c r="D18" s="329">
        <f>D17/(1-D23)</f>
        <v>0.14000000000000001</v>
      </c>
      <c r="E18" s="329">
        <f>E17/(1-E23)</f>
        <v>0.14000000000000001</v>
      </c>
      <c r="F18" s="329">
        <f>E18-D18</f>
        <v>0</v>
      </c>
      <c r="G18" s="329">
        <f>G17/(1-G23)</f>
        <v>0.14000000000000001</v>
      </c>
      <c r="H18" s="329">
        <f>H17/(1-H23)</f>
        <v>0.14000000000000001</v>
      </c>
      <c r="I18" s="329">
        <f>H18-G18</f>
        <v>0</v>
      </c>
      <c r="J18" s="329">
        <f>J17/(1-J23)</f>
        <v>0.14000000000000001</v>
      </c>
      <c r="K18" s="329">
        <f>K17/(1-K23)</f>
        <v>0.14000000000000001</v>
      </c>
      <c r="L18" s="329">
        <f>K18-J18</f>
        <v>0</v>
      </c>
      <c r="V18" s="326"/>
      <c r="W18" s="326"/>
      <c r="X18" s="326"/>
    </row>
    <row r="19" spans="2:24" x14ac:dyDescent="0.25">
      <c r="B19" s="103">
        <v>8</v>
      </c>
      <c r="C19" s="102" t="s">
        <v>550</v>
      </c>
      <c r="D19" s="307">
        <f>D10*D18</f>
        <v>130.50949369529326</v>
      </c>
      <c r="E19" s="307">
        <f>E10*E18</f>
        <v>130.50949369529326</v>
      </c>
      <c r="F19" s="307">
        <f>E19-D19</f>
        <v>0</v>
      </c>
      <c r="G19" s="307">
        <f>G10*G18</f>
        <v>132.08743369529327</v>
      </c>
      <c r="H19" s="307">
        <f>H10*H18</f>
        <v>131.95096166250528</v>
      </c>
      <c r="I19" s="307">
        <f>H19-G19</f>
        <v>-0.13647203278799225</v>
      </c>
      <c r="J19" s="307">
        <f>J10*J18</f>
        <v>133.17103369529326</v>
      </c>
      <c r="K19" s="307">
        <f>K10*K18</f>
        <v>132.28128253724927</v>
      </c>
      <c r="L19" s="307">
        <f>K19-J19</f>
        <v>-0.88975115804399252</v>
      </c>
      <c r="V19" s="326"/>
      <c r="W19" s="326"/>
      <c r="X19" s="326"/>
    </row>
    <row r="20" spans="2:24" x14ac:dyDescent="0.25">
      <c r="B20" s="103">
        <f t="shared" si="0"/>
        <v>9</v>
      </c>
      <c r="C20" s="102" t="s">
        <v>551</v>
      </c>
      <c r="D20" s="307">
        <f>(D12-D13)*D18/2</f>
        <v>0.78897000000000028</v>
      </c>
      <c r="E20" s="307">
        <f>(E12-E13)*E18/2</f>
        <v>0.72073398360600005</v>
      </c>
      <c r="F20" s="307">
        <f>E20-D20</f>
        <v>-6.8236016394000232E-2</v>
      </c>
      <c r="G20" s="307">
        <f>(G12-G13)*G18/2</f>
        <v>0.54180000000000006</v>
      </c>
      <c r="H20" s="307">
        <f>(H12-H13)*H18/2</f>
        <v>0.16516043737200004</v>
      </c>
      <c r="I20" s="307">
        <f>H20-G20</f>
        <v>-0.37663956262800002</v>
      </c>
      <c r="J20" s="307">
        <f>(J12-J13)*J18/2</f>
        <v>3.0454200000000005</v>
      </c>
      <c r="K20" s="307">
        <f>(K12-K13)*K18/2</f>
        <v>1.4009100000000001</v>
      </c>
      <c r="L20" s="307">
        <f>K20-J20</f>
        <v>-1.6445100000000004</v>
      </c>
      <c r="V20" s="326"/>
      <c r="W20" s="326"/>
      <c r="X20" s="326"/>
    </row>
    <row r="21" spans="2:24" x14ac:dyDescent="0.25">
      <c r="B21" s="118">
        <f t="shared" si="0"/>
        <v>10</v>
      </c>
      <c r="C21" s="104" t="s">
        <v>405</v>
      </c>
      <c r="D21" s="325">
        <f>SUM(D19:D20)</f>
        <v>131.29846369529326</v>
      </c>
      <c r="E21" s="325">
        <f>SUM(E19:E20)</f>
        <v>131.23022767889927</v>
      </c>
      <c r="F21" s="362">
        <f>E21-D21</f>
        <v>-6.8236016393996124E-2</v>
      </c>
      <c r="G21" s="325">
        <f>SUM(G19:G20)</f>
        <v>132.62923369529327</v>
      </c>
      <c r="H21" s="325">
        <f>SUM(H19:H20)</f>
        <v>132.11612209987729</v>
      </c>
      <c r="I21" s="362">
        <f>H21-G21</f>
        <v>-0.51311159541597817</v>
      </c>
      <c r="J21" s="325">
        <f>SUM(J19:J20)</f>
        <v>136.21645369529327</v>
      </c>
      <c r="K21" s="325">
        <f>SUM(K19:K20)</f>
        <v>133.68219253724928</v>
      </c>
      <c r="L21" s="362">
        <f>K21-J21</f>
        <v>-2.5342611580439893</v>
      </c>
      <c r="V21" s="326"/>
      <c r="W21" s="326"/>
      <c r="X21" s="326"/>
    </row>
    <row r="22" spans="2:24" x14ac:dyDescent="0.25">
      <c r="B22" s="24"/>
      <c r="C22" s="24"/>
      <c r="D22" s="24"/>
      <c r="E22" s="24"/>
      <c r="F22" s="307"/>
      <c r="G22" s="307"/>
      <c r="H22" s="307"/>
      <c r="I22" s="307"/>
      <c r="J22" s="307"/>
      <c r="K22" s="319"/>
      <c r="L22" s="307"/>
      <c r="V22" s="326"/>
      <c r="W22" s="326"/>
      <c r="X22" s="326"/>
    </row>
    <row r="23" spans="2:24" x14ac:dyDescent="0.25">
      <c r="B23" s="103"/>
      <c r="C23" s="104" t="s">
        <v>781</v>
      </c>
      <c r="D23" s="24"/>
      <c r="E23" s="603"/>
      <c r="F23" s="319"/>
      <c r="G23" s="319"/>
      <c r="H23" s="319"/>
      <c r="I23" s="319"/>
      <c r="J23" s="119"/>
      <c r="K23" s="603"/>
      <c r="L23" s="119"/>
    </row>
    <row r="27" spans="2:24" x14ac:dyDescent="0.25">
      <c r="C27" s="302" t="s">
        <v>719</v>
      </c>
    </row>
    <row r="29" spans="2:24" x14ac:dyDescent="0.25">
      <c r="B29" s="1760" t="s">
        <v>339</v>
      </c>
      <c r="C29" s="1763" t="s">
        <v>36</v>
      </c>
      <c r="D29" s="1966" t="s">
        <v>138</v>
      </c>
      <c r="E29" s="292" t="s">
        <v>506</v>
      </c>
      <c r="F29" s="717" t="s">
        <v>507</v>
      </c>
    </row>
    <row r="30" spans="2:24" ht="28" x14ac:dyDescent="0.25">
      <c r="B30" s="1761"/>
      <c r="C30" s="1763"/>
      <c r="D30" s="1967"/>
      <c r="E30" s="291" t="s">
        <v>78</v>
      </c>
      <c r="F30" s="718" t="s">
        <v>78</v>
      </c>
    </row>
    <row r="31" spans="2:24" x14ac:dyDescent="0.25">
      <c r="B31" s="99">
        <v>1</v>
      </c>
      <c r="C31" s="102" t="s">
        <v>725</v>
      </c>
      <c r="D31" s="103" t="s">
        <v>98</v>
      </c>
      <c r="E31" s="119"/>
      <c r="F31" s="119"/>
    </row>
    <row r="32" spans="2:24" x14ac:dyDescent="0.25">
      <c r="B32" s="103">
        <f>B31+1</f>
        <v>2</v>
      </c>
      <c r="C32" s="102" t="s">
        <v>720</v>
      </c>
      <c r="D32" s="103" t="s">
        <v>98</v>
      </c>
      <c r="E32" s="360">
        <v>0</v>
      </c>
      <c r="F32" s="360">
        <v>0</v>
      </c>
    </row>
    <row r="33" spans="2:14" x14ac:dyDescent="0.25">
      <c r="B33" s="103"/>
      <c r="C33" s="102"/>
      <c r="D33" s="102"/>
      <c r="E33" s="119"/>
      <c r="F33" s="119"/>
    </row>
    <row r="34" spans="2:14" x14ac:dyDescent="0.3">
      <c r="B34" s="103">
        <v>3</v>
      </c>
      <c r="C34" s="29" t="s">
        <v>726</v>
      </c>
      <c r="D34" s="303" t="s">
        <v>721</v>
      </c>
      <c r="E34" s="119"/>
      <c r="F34" s="119"/>
    </row>
    <row r="35" spans="2:14" x14ac:dyDescent="0.25">
      <c r="B35" s="103">
        <f>B34+1</f>
        <v>4</v>
      </c>
      <c r="C35" s="102" t="s">
        <v>722</v>
      </c>
      <c r="D35" s="103" t="s">
        <v>98</v>
      </c>
      <c r="E35" s="360">
        <v>0</v>
      </c>
      <c r="F35" s="360">
        <v>0</v>
      </c>
    </row>
    <row r="36" spans="2:14" x14ac:dyDescent="0.25">
      <c r="B36" s="103"/>
      <c r="C36" s="102"/>
      <c r="D36" s="102"/>
      <c r="E36" s="119"/>
      <c r="F36" s="119"/>
    </row>
    <row r="37" spans="2:14" x14ac:dyDescent="0.25">
      <c r="B37" s="103">
        <v>5</v>
      </c>
      <c r="C37" s="102" t="s">
        <v>727</v>
      </c>
      <c r="D37" s="103" t="s">
        <v>98</v>
      </c>
      <c r="E37" s="566">
        <f>E32+E35</f>
        <v>0</v>
      </c>
      <c r="F37" s="566">
        <f>F32+F35</f>
        <v>0</v>
      </c>
    </row>
    <row r="38" spans="2:14" x14ac:dyDescent="0.25">
      <c r="B38" s="103"/>
      <c r="C38" s="102"/>
      <c r="D38" s="102"/>
      <c r="E38" s="119"/>
      <c r="F38" s="119"/>
    </row>
    <row r="39" spans="2:14" x14ac:dyDescent="0.25">
      <c r="B39" s="103"/>
      <c r="C39" s="104" t="s">
        <v>724</v>
      </c>
      <c r="D39" s="102"/>
      <c r="E39" s="119"/>
      <c r="F39" s="119"/>
    </row>
    <row r="40" spans="2:14" x14ac:dyDescent="0.25">
      <c r="B40" s="103">
        <v>6</v>
      </c>
      <c r="C40" s="102" t="s">
        <v>603</v>
      </c>
      <c r="D40" s="103" t="s">
        <v>441</v>
      </c>
      <c r="E40" s="338">
        <f>E10*E37</f>
        <v>0</v>
      </c>
      <c r="F40" s="338">
        <f>H10*F37</f>
        <v>0</v>
      </c>
    </row>
    <row r="41" spans="2:14" x14ac:dyDescent="0.25">
      <c r="B41" s="103">
        <v>7</v>
      </c>
      <c r="C41" s="102" t="s">
        <v>604</v>
      </c>
      <c r="D41" s="103" t="s">
        <v>441</v>
      </c>
      <c r="E41" s="338">
        <f>(E12-E13)*E37/2</f>
        <v>0</v>
      </c>
      <c r="F41" s="750">
        <f>(H12-H13)*F37/2</f>
        <v>0</v>
      </c>
    </row>
    <row r="42" spans="2:14" x14ac:dyDescent="0.25">
      <c r="B42" s="118">
        <v>8</v>
      </c>
      <c r="C42" s="104" t="s">
        <v>723</v>
      </c>
      <c r="D42" s="104"/>
      <c r="E42" s="497">
        <f>SUM(E40:E41)</f>
        <v>0</v>
      </c>
      <c r="F42" s="497">
        <f>SUM(F40:F41)</f>
        <v>0</v>
      </c>
    </row>
    <row r="43" spans="2:14" x14ac:dyDescent="0.25">
      <c r="E43" s="315"/>
      <c r="F43" s="315"/>
    </row>
    <row r="44" spans="2:14" x14ac:dyDescent="0.25">
      <c r="C44" s="1964"/>
      <c r="D44" s="1964"/>
      <c r="E44" s="1964"/>
      <c r="F44" s="1964"/>
      <c r="G44" s="1964"/>
      <c r="H44" s="1964"/>
      <c r="I44" s="1964"/>
      <c r="J44" s="1964"/>
      <c r="K44" s="1964"/>
      <c r="L44" s="1964"/>
      <c r="M44" s="1964"/>
      <c r="N44" s="1964"/>
    </row>
    <row r="51" spans="2:9" ht="15" x14ac:dyDescent="0.25">
      <c r="B51" s="183" t="s">
        <v>342</v>
      </c>
      <c r="C51" s="1082" t="s">
        <v>36</v>
      </c>
      <c r="D51" s="1788" t="s">
        <v>967</v>
      </c>
      <c r="E51" s="1789"/>
      <c r="F51" s="1789"/>
      <c r="G51" s="1789"/>
      <c r="H51" s="1790"/>
      <c r="I51" s="1087" t="s">
        <v>26</v>
      </c>
    </row>
    <row r="52" spans="2:9" ht="15" x14ac:dyDescent="0.25">
      <c r="B52" s="1091"/>
      <c r="C52" s="1083"/>
      <c r="D52" s="1080" t="s">
        <v>968</v>
      </c>
      <c r="E52" s="1080" t="s">
        <v>969</v>
      </c>
      <c r="F52" s="1080" t="s">
        <v>970</v>
      </c>
      <c r="G52" s="1080" t="s">
        <v>971</v>
      </c>
      <c r="H52" s="1080" t="s">
        <v>972</v>
      </c>
      <c r="I52" s="1088"/>
    </row>
    <row r="53" spans="2:9" x14ac:dyDescent="0.25">
      <c r="B53" s="1092"/>
      <c r="C53" s="1085"/>
      <c r="D53" s="1079" t="s">
        <v>21</v>
      </c>
      <c r="E53" s="1079" t="s">
        <v>21</v>
      </c>
      <c r="F53" s="1079" t="s">
        <v>21</v>
      </c>
      <c r="G53" s="1079" t="s">
        <v>21</v>
      </c>
      <c r="H53" s="1079" t="s">
        <v>21</v>
      </c>
      <c r="I53" s="1089"/>
    </row>
    <row r="54" spans="2:9" x14ac:dyDescent="0.25">
      <c r="B54" s="103">
        <v>1</v>
      </c>
      <c r="C54" s="102" t="s">
        <v>601</v>
      </c>
      <c r="D54" s="1740">
        <f>K14</f>
        <v>964.87930383749472</v>
      </c>
      <c r="E54" s="307">
        <f>D58</f>
        <v>1021.7773038374947</v>
      </c>
      <c r="F54" s="307">
        <f t="shared" ref="F54:H54" si="1">E58</f>
        <v>1057.7023038374948</v>
      </c>
      <c r="G54" s="307">
        <f t="shared" si="1"/>
        <v>1082.5873038374948</v>
      </c>
      <c r="H54" s="307">
        <f t="shared" si="1"/>
        <v>1185.1093038374947</v>
      </c>
      <c r="I54" s="307"/>
    </row>
    <row r="55" spans="2:9" x14ac:dyDescent="0.25">
      <c r="B55" s="103">
        <f>B54+1</f>
        <v>2</v>
      </c>
      <c r="C55" s="102" t="s">
        <v>547</v>
      </c>
      <c r="D55" s="1740"/>
      <c r="E55" s="307"/>
      <c r="F55" s="307"/>
      <c r="G55" s="307"/>
      <c r="H55" s="307"/>
      <c r="I55" s="307"/>
    </row>
    <row r="56" spans="2:9" x14ac:dyDescent="0.25">
      <c r="B56" s="103">
        <f t="shared" ref="B56:B65" si="2">B55+1</f>
        <v>3</v>
      </c>
      <c r="C56" s="102" t="s">
        <v>602</v>
      </c>
      <c r="D56" s="1740">
        <f>'F4'!O14*30%</f>
        <v>56.897999999999996</v>
      </c>
      <c r="E56" s="307">
        <f>'F4'!P14*30%</f>
        <v>35.924999999999997</v>
      </c>
      <c r="F56" s="307">
        <f>'F4'!Q14*30%</f>
        <v>24.885000000000002</v>
      </c>
      <c r="G56" s="307">
        <f>'F4'!R14*30%</f>
        <v>102.52199999999998</v>
      </c>
      <c r="H56" s="307">
        <f>'F4'!S14*30%</f>
        <v>21.923999999999999</v>
      </c>
      <c r="I56" s="307"/>
    </row>
    <row r="57" spans="2:9" x14ac:dyDescent="0.3">
      <c r="B57" s="248">
        <f t="shared" si="2"/>
        <v>4</v>
      </c>
      <c r="C57" s="29" t="s">
        <v>37</v>
      </c>
      <c r="D57" s="1740">
        <f>'F5'!U31*'F7'!D54/'F5'!S31</f>
        <v>0</v>
      </c>
      <c r="E57" s="307">
        <f>'F5'!F57*'F7'!E54/'F5'!D57</f>
        <v>0</v>
      </c>
      <c r="F57" s="307">
        <f>'F5'!K57*'F7'!F54/'F5'!I57</f>
        <v>0</v>
      </c>
      <c r="G57" s="307">
        <f>'F5'!P57*'F7'!G54/'F5'!N57</f>
        <v>0</v>
      </c>
      <c r="H57" s="307">
        <f>'F5'!U57*'F7'!H54/'F5'!S57</f>
        <v>0</v>
      </c>
      <c r="I57" s="307"/>
    </row>
    <row r="58" spans="2:9" x14ac:dyDescent="0.25">
      <c r="B58" s="103">
        <f t="shared" si="2"/>
        <v>5</v>
      </c>
      <c r="C58" s="102" t="s">
        <v>38</v>
      </c>
      <c r="D58" s="307">
        <f>D54+D56-D57</f>
        <v>1021.7773038374947</v>
      </c>
      <c r="E58" s="307">
        <f>E54+E56-E57</f>
        <v>1057.7023038374948</v>
      </c>
      <c r="F58" s="307">
        <f t="shared" ref="F58:H58" si="3">F54+F56-F57</f>
        <v>1082.5873038374948</v>
      </c>
      <c r="G58" s="307">
        <f t="shared" si="3"/>
        <v>1185.1093038374947</v>
      </c>
      <c r="H58" s="307">
        <f t="shared" si="3"/>
        <v>1207.0333038374947</v>
      </c>
      <c r="I58" s="307"/>
    </row>
    <row r="59" spans="2:9" x14ac:dyDescent="0.25">
      <c r="B59" s="103"/>
      <c r="C59" s="102"/>
      <c r="D59" s="307"/>
      <c r="E59" s="307"/>
      <c r="F59" s="307"/>
      <c r="G59" s="307"/>
      <c r="H59" s="307"/>
      <c r="I59" s="307"/>
    </row>
    <row r="60" spans="2:9" x14ac:dyDescent="0.25">
      <c r="B60" s="103"/>
      <c r="C60" s="104" t="s">
        <v>404</v>
      </c>
      <c r="D60" s="307"/>
      <c r="E60" s="307"/>
      <c r="F60" s="307"/>
      <c r="G60" s="307"/>
      <c r="H60" s="307"/>
      <c r="I60" s="307"/>
    </row>
    <row r="61" spans="2:9" x14ac:dyDescent="0.25">
      <c r="B61" s="103">
        <v>6</v>
      </c>
      <c r="C61" s="102" t="s">
        <v>549</v>
      </c>
      <c r="D61" s="1738">
        <v>0.14000000000000001</v>
      </c>
      <c r="E61" s="1738">
        <v>0.14000000000000001</v>
      </c>
      <c r="F61" s="1738">
        <v>0.14000000000000001</v>
      </c>
      <c r="G61" s="1738">
        <v>0.14000000000000001</v>
      </c>
      <c r="H61" s="1738">
        <v>0.14000000000000001</v>
      </c>
      <c r="I61" s="307"/>
    </row>
    <row r="62" spans="2:9" x14ac:dyDescent="0.25">
      <c r="B62" s="103">
        <v>7</v>
      </c>
      <c r="C62" s="102" t="s">
        <v>583</v>
      </c>
      <c r="D62" s="1739">
        <v>0.15500000000000003</v>
      </c>
      <c r="E62" s="1739">
        <v>0.15500000000000003</v>
      </c>
      <c r="F62" s="1739">
        <v>0.15500000000000003</v>
      </c>
      <c r="G62" s="1739">
        <v>0.15500000000000003</v>
      </c>
      <c r="H62" s="1739">
        <v>0.15500000000000003</v>
      </c>
      <c r="I62" s="307"/>
    </row>
    <row r="63" spans="2:9" x14ac:dyDescent="0.25">
      <c r="B63" s="103">
        <v>8</v>
      </c>
      <c r="C63" s="102" t="s">
        <v>550</v>
      </c>
      <c r="D63" s="307">
        <f>D54*D62</f>
        <v>149.55629209481171</v>
      </c>
      <c r="E63" s="307">
        <f>E54*E62</f>
        <v>158.3754820948117</v>
      </c>
      <c r="F63" s="307">
        <f t="shared" ref="F63:H63" si="4">F54*F62</f>
        <v>163.94385709481173</v>
      </c>
      <c r="G63" s="307">
        <f t="shared" si="4"/>
        <v>167.80103209481172</v>
      </c>
      <c r="H63" s="307">
        <f t="shared" si="4"/>
        <v>183.69194209481171</v>
      </c>
      <c r="I63" s="307"/>
    </row>
    <row r="64" spans="2:9" x14ac:dyDescent="0.25">
      <c r="B64" s="103">
        <f t="shared" si="2"/>
        <v>9</v>
      </c>
      <c r="C64" s="102" t="s">
        <v>551</v>
      </c>
      <c r="D64" s="307">
        <f>D56*D62/2</f>
        <v>4.4095950000000004</v>
      </c>
      <c r="E64" s="307">
        <f>E56*E62/2</f>
        <v>2.7841875000000003</v>
      </c>
      <c r="F64" s="307">
        <f t="shared" ref="F64:H64" si="5">F56*F62/2</f>
        <v>1.9285875000000003</v>
      </c>
      <c r="G64" s="307">
        <f t="shared" si="5"/>
        <v>7.9454549999999999</v>
      </c>
      <c r="H64" s="307">
        <f t="shared" si="5"/>
        <v>1.6991100000000003</v>
      </c>
      <c r="I64" s="307"/>
    </row>
    <row r="65" spans="2:9" x14ac:dyDescent="0.25">
      <c r="B65" s="118">
        <f t="shared" si="2"/>
        <v>10</v>
      </c>
      <c r="C65" s="104" t="s">
        <v>405</v>
      </c>
      <c r="D65" s="1740">
        <f>SUM(D63:D64)</f>
        <v>153.96588709481171</v>
      </c>
      <c r="E65" s="307">
        <f>SUM(E63:E64)</f>
        <v>161.1596695948117</v>
      </c>
      <c r="F65" s="307">
        <f t="shared" ref="F65:H65" si="6">SUM(F63:F64)</f>
        <v>165.87244459481172</v>
      </c>
      <c r="G65" s="307">
        <f t="shared" si="6"/>
        <v>175.74648709481173</v>
      </c>
      <c r="H65" s="307">
        <f t="shared" si="6"/>
        <v>185.3910520948117</v>
      </c>
      <c r="I65" s="307"/>
    </row>
  </sheetData>
  <mergeCells count="13">
    <mergeCell ref="D51:H51"/>
    <mergeCell ref="B2:N2"/>
    <mergeCell ref="C44:N44"/>
    <mergeCell ref="B4:N4"/>
    <mergeCell ref="G7:I7"/>
    <mergeCell ref="B7:B9"/>
    <mergeCell ref="C7:C9"/>
    <mergeCell ref="D7:F7"/>
    <mergeCell ref="J7:L7"/>
    <mergeCell ref="B3:N3"/>
    <mergeCell ref="B29:B30"/>
    <mergeCell ref="C29:C30"/>
    <mergeCell ref="D29:D30"/>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26" zoomScale="60" zoomScaleNormal="75" workbookViewId="0">
      <selection activeCell="C64" sqref="C64"/>
    </sheetView>
  </sheetViews>
  <sheetFormatPr defaultColWidth="9.36328125" defaultRowHeight="14" x14ac:dyDescent="0.3"/>
  <cols>
    <col min="1" max="1" width="4.36328125" style="5" customWidth="1"/>
    <col min="2" max="2" width="30.453125" style="5" customWidth="1"/>
    <col min="3" max="14" width="10.6328125" style="5" customWidth="1"/>
    <col min="15" max="15" width="12.6328125" style="5" customWidth="1"/>
    <col min="16" max="16384" width="9.36328125" style="5"/>
  </cols>
  <sheetData>
    <row r="1" spans="2:15" x14ac:dyDescent="0.3">
      <c r="B1" s="71"/>
    </row>
    <row r="2" spans="2:15" x14ac:dyDescent="0.3">
      <c r="B2" s="1758" t="str">
        <f>Index!B2</f>
        <v xml:space="preserve">      Maharashtra State Power Generation Company Ltd.</v>
      </c>
      <c r="C2" s="1811"/>
      <c r="D2" s="1811"/>
      <c r="E2" s="1811"/>
      <c r="F2" s="1811"/>
      <c r="G2" s="1811"/>
      <c r="H2" s="1811"/>
      <c r="I2" s="1811"/>
      <c r="J2" s="1811"/>
      <c r="K2" s="1811"/>
      <c r="L2" s="1811"/>
      <c r="M2" s="1811"/>
      <c r="N2" s="1811"/>
      <c r="O2" s="1811"/>
    </row>
    <row r="3" spans="2:15" x14ac:dyDescent="0.3">
      <c r="B3" s="1758" t="str">
        <f>Index!B3</f>
        <v>MYT Petition Formats for Parli Units 6 &amp; 7</v>
      </c>
      <c r="C3" s="1811"/>
      <c r="D3" s="1811"/>
      <c r="E3" s="1811"/>
      <c r="F3" s="1811"/>
      <c r="G3" s="1811"/>
      <c r="H3" s="1811"/>
      <c r="I3" s="1811"/>
      <c r="J3" s="1811"/>
      <c r="K3" s="1811"/>
      <c r="L3" s="1811"/>
      <c r="M3" s="1811"/>
      <c r="N3" s="1811"/>
      <c r="O3" s="1811"/>
    </row>
    <row r="4" spans="2:15" x14ac:dyDescent="0.3">
      <c r="B4" s="1821" t="s">
        <v>275</v>
      </c>
      <c r="C4" s="1968"/>
      <c r="D4" s="1968"/>
      <c r="E4" s="1968"/>
      <c r="F4" s="1968"/>
      <c r="G4" s="1968"/>
      <c r="H4" s="1968"/>
      <c r="I4" s="1968"/>
      <c r="J4" s="1968"/>
      <c r="K4" s="1968"/>
      <c r="L4" s="1968"/>
      <c r="M4" s="1968"/>
      <c r="N4" s="1968"/>
      <c r="O4" s="1968"/>
    </row>
    <row r="5" spans="2:15" x14ac:dyDescent="0.3">
      <c r="B5" s="17"/>
      <c r="C5" s="19"/>
      <c r="D5" s="19"/>
      <c r="E5" s="19"/>
      <c r="F5" s="19"/>
      <c r="G5" s="19"/>
      <c r="H5" s="19"/>
      <c r="I5" s="72"/>
    </row>
    <row r="6" spans="2:15" x14ac:dyDescent="0.3">
      <c r="B6" s="53" t="s">
        <v>728</v>
      </c>
      <c r="C6" s="19"/>
      <c r="D6" s="19"/>
      <c r="E6" s="19"/>
      <c r="F6" s="19"/>
      <c r="G6" s="19"/>
      <c r="H6" s="19"/>
      <c r="I6" s="72"/>
    </row>
    <row r="7" spans="2:15" x14ac:dyDescent="0.3">
      <c r="B7" s="53" t="s">
        <v>27</v>
      </c>
      <c r="C7" s="63"/>
      <c r="D7" s="63"/>
      <c r="O7" s="63" t="s">
        <v>276</v>
      </c>
    </row>
    <row r="8" spans="2:15" x14ac:dyDescent="0.3">
      <c r="B8" s="105" t="s">
        <v>277</v>
      </c>
      <c r="C8" s="230" t="s">
        <v>278</v>
      </c>
      <c r="D8" s="230" t="s">
        <v>279</v>
      </c>
      <c r="E8" s="106" t="s">
        <v>280</v>
      </c>
      <c r="F8" s="106" t="s">
        <v>281</v>
      </c>
      <c r="G8" s="106" t="s">
        <v>282</v>
      </c>
      <c r="H8" s="106" t="s">
        <v>283</v>
      </c>
      <c r="I8" s="106" t="s">
        <v>284</v>
      </c>
      <c r="J8" s="106" t="s">
        <v>285</v>
      </c>
      <c r="K8" s="106" t="s">
        <v>286</v>
      </c>
      <c r="L8" s="106" t="s">
        <v>287</v>
      </c>
      <c r="M8" s="106" t="s">
        <v>288</v>
      </c>
      <c r="N8" s="106" t="s">
        <v>289</v>
      </c>
      <c r="O8" s="106" t="s">
        <v>270</v>
      </c>
    </row>
    <row r="9" spans="2:15" x14ac:dyDescent="0.3">
      <c r="B9" s="147" t="s">
        <v>782</v>
      </c>
      <c r="C9" s="317">
        <f>'F9.1'!E17</f>
        <v>226.58032399999999</v>
      </c>
      <c r="D9" s="317">
        <f>'F9.1'!F17</f>
        <v>207.16168500000001</v>
      </c>
      <c r="E9" s="317">
        <f>'F9.1'!G17</f>
        <v>227.01225600000001</v>
      </c>
      <c r="F9" s="317">
        <f>'F9.1'!H17</f>
        <v>215.68315899999999</v>
      </c>
      <c r="G9" s="317">
        <f>'F9.1'!I17</f>
        <v>214.51800600000001</v>
      </c>
      <c r="H9" s="317">
        <f>'F9.1'!J17</f>
        <v>209.49528799999999</v>
      </c>
      <c r="I9" s="317">
        <f>'F9.1'!K17</f>
        <v>165.64251200000001</v>
      </c>
      <c r="J9" s="317">
        <f>'F9.1'!L17</f>
        <v>194.96745200000001</v>
      </c>
      <c r="K9" s="317">
        <f>'F9.1'!M17</f>
        <v>245.29588899999999</v>
      </c>
      <c r="L9" s="317">
        <f>'F9.1'!N17</f>
        <v>122.81415800000001</v>
      </c>
      <c r="M9" s="317">
        <f>'F9.1'!O17</f>
        <v>176.87279899999999</v>
      </c>
      <c r="N9" s="317">
        <f>'F9.1'!P17</f>
        <v>250.31307000000001</v>
      </c>
      <c r="O9" s="317">
        <f>SUM(C9:N9)</f>
        <v>2456.3565980000003</v>
      </c>
    </row>
    <row r="10" spans="2:15" x14ac:dyDescent="0.3">
      <c r="B10" s="107"/>
      <c r="C10" s="317"/>
      <c r="D10" s="317"/>
      <c r="E10" s="317"/>
      <c r="F10" s="317"/>
      <c r="G10" s="317"/>
      <c r="H10" s="317"/>
      <c r="I10" s="317"/>
      <c r="J10" s="317"/>
      <c r="K10" s="317"/>
      <c r="L10" s="317"/>
      <c r="M10" s="317"/>
      <c r="N10" s="317"/>
      <c r="O10" s="317">
        <f>SUM(C10:N10)</f>
        <v>0</v>
      </c>
    </row>
    <row r="11" spans="2:15" x14ac:dyDescent="0.3">
      <c r="B11" s="73" t="s">
        <v>270</v>
      </c>
      <c r="C11" s="346">
        <f>SUM(C9:C10)</f>
        <v>226.58032399999999</v>
      </c>
      <c r="D11" s="346">
        <f t="shared" ref="D11:O11" si="0">SUM(D9:D10)</f>
        <v>207.16168500000001</v>
      </c>
      <c r="E11" s="346">
        <f t="shared" si="0"/>
        <v>227.01225600000001</v>
      </c>
      <c r="F11" s="346">
        <f t="shared" si="0"/>
        <v>215.68315899999999</v>
      </c>
      <c r="G11" s="346">
        <f t="shared" si="0"/>
        <v>214.51800600000001</v>
      </c>
      <c r="H11" s="346">
        <f t="shared" si="0"/>
        <v>209.49528799999999</v>
      </c>
      <c r="I11" s="346">
        <f t="shared" si="0"/>
        <v>165.64251200000001</v>
      </c>
      <c r="J11" s="346">
        <f t="shared" si="0"/>
        <v>194.96745200000001</v>
      </c>
      <c r="K11" s="346">
        <f t="shared" si="0"/>
        <v>245.29588899999999</v>
      </c>
      <c r="L11" s="346">
        <f t="shared" si="0"/>
        <v>122.81415800000001</v>
      </c>
      <c r="M11" s="346">
        <f t="shared" si="0"/>
        <v>176.87279899999999</v>
      </c>
      <c r="N11" s="346">
        <f t="shared" si="0"/>
        <v>250.31307000000001</v>
      </c>
      <c r="O11" s="346">
        <f t="shared" si="0"/>
        <v>2456.3565980000003</v>
      </c>
    </row>
    <row r="12" spans="2:15" x14ac:dyDescent="0.3">
      <c r="B12" s="224"/>
      <c r="E12" s="232"/>
      <c r="F12" s="233"/>
      <c r="G12" s="232"/>
      <c r="H12" s="232"/>
    </row>
    <row r="13" spans="2:15" x14ac:dyDescent="0.3">
      <c r="B13" s="53" t="s">
        <v>977</v>
      </c>
      <c r="C13" s="19"/>
      <c r="D13" s="19"/>
      <c r="E13" s="19"/>
      <c r="F13" s="19"/>
      <c r="G13" s="19"/>
      <c r="H13" s="19"/>
      <c r="I13" s="72"/>
    </row>
    <row r="14" spans="2:15" x14ac:dyDescent="0.3">
      <c r="B14" s="53" t="s">
        <v>27</v>
      </c>
      <c r="C14" s="63"/>
      <c r="D14" s="63"/>
      <c r="O14" s="63" t="s">
        <v>276</v>
      </c>
    </row>
    <row r="15" spans="2:15" s="6" customFormat="1" ht="15" customHeight="1" x14ac:dyDescent="0.3">
      <c r="B15" s="105" t="s">
        <v>277</v>
      </c>
      <c r="C15" s="86" t="s">
        <v>278</v>
      </c>
      <c r="D15" s="86" t="s">
        <v>279</v>
      </c>
      <c r="E15" s="106" t="s">
        <v>280</v>
      </c>
      <c r="F15" s="106" t="s">
        <v>281</v>
      </c>
      <c r="G15" s="106" t="s">
        <v>282</v>
      </c>
      <c r="H15" s="106" t="s">
        <v>283</v>
      </c>
      <c r="I15" s="106" t="s">
        <v>284</v>
      </c>
      <c r="J15" s="106" t="s">
        <v>285</v>
      </c>
      <c r="K15" s="106" t="s">
        <v>286</v>
      </c>
      <c r="L15" s="106" t="s">
        <v>287</v>
      </c>
      <c r="M15" s="106" t="s">
        <v>288</v>
      </c>
      <c r="N15" s="106" t="s">
        <v>289</v>
      </c>
      <c r="O15" s="106" t="s">
        <v>270</v>
      </c>
    </row>
    <row r="16" spans="2:15" s="6" customFormat="1" x14ac:dyDescent="0.3">
      <c r="B16" s="147" t="s">
        <v>782</v>
      </c>
      <c r="C16" s="1157">
        <f>'F9.1'!E45</f>
        <v>276.54724900000002</v>
      </c>
      <c r="D16" s="1157">
        <f>'F9.1'!F45</f>
        <v>213.96894900000001</v>
      </c>
      <c r="E16" s="1157">
        <f>'F9.1'!G45</f>
        <v>221.674914</v>
      </c>
      <c r="F16" s="1157">
        <f>'F9.1'!H45</f>
        <v>87.169454999999999</v>
      </c>
      <c r="G16" s="1157">
        <f>'F9.1'!I45</f>
        <v>201.34548000000001</v>
      </c>
      <c r="H16" s="1157">
        <f>'F9.1'!J45</f>
        <v>219.076854</v>
      </c>
      <c r="I16" s="1157">
        <f>'F9.1'!K45</f>
        <v>257.53605599999997</v>
      </c>
      <c r="J16" s="1157">
        <f>'F9.1'!L45</f>
        <v>226.66983200000001</v>
      </c>
      <c r="K16" s="1157">
        <f>'F9.1'!M45</f>
        <v>141.60010600000001</v>
      </c>
      <c r="L16" s="1157">
        <f>'F9.1'!N45</f>
        <v>229.70366100000001</v>
      </c>
      <c r="M16" s="1157">
        <f>'F9.1'!O45</f>
        <v>202.00653399999999</v>
      </c>
      <c r="N16" s="1157">
        <f>'F9.1'!P45</f>
        <v>205.09966499999999</v>
      </c>
      <c r="O16" s="317">
        <f>SUM(C16:N16)</f>
        <v>2482.3987550000002</v>
      </c>
    </row>
    <row r="17" spans="1:17" s="6" customFormat="1" x14ac:dyDescent="0.3">
      <c r="B17" s="107"/>
      <c r="C17" s="317"/>
      <c r="D17" s="317"/>
      <c r="E17" s="317"/>
      <c r="F17" s="317"/>
      <c r="G17" s="317"/>
      <c r="H17" s="317"/>
      <c r="I17" s="317"/>
      <c r="J17" s="317"/>
      <c r="K17" s="317"/>
      <c r="L17" s="317"/>
      <c r="M17" s="317"/>
      <c r="N17" s="317"/>
      <c r="O17" s="317">
        <f>SUM(C17:N17)</f>
        <v>0</v>
      </c>
    </row>
    <row r="18" spans="1:17" s="1" customFormat="1" x14ac:dyDescent="0.3">
      <c r="B18" s="73" t="s">
        <v>270</v>
      </c>
      <c r="C18" s="346">
        <f t="shared" ref="C18:O18" si="1">SUM(C16:C17)</f>
        <v>276.54724900000002</v>
      </c>
      <c r="D18" s="346">
        <f t="shared" si="1"/>
        <v>213.96894900000001</v>
      </c>
      <c r="E18" s="346">
        <f t="shared" si="1"/>
        <v>221.674914</v>
      </c>
      <c r="F18" s="346">
        <f t="shared" si="1"/>
        <v>87.169454999999999</v>
      </c>
      <c r="G18" s="346">
        <f t="shared" si="1"/>
        <v>201.34548000000001</v>
      </c>
      <c r="H18" s="346">
        <f t="shared" si="1"/>
        <v>219.076854</v>
      </c>
      <c r="I18" s="346">
        <f t="shared" si="1"/>
        <v>257.53605599999997</v>
      </c>
      <c r="J18" s="346">
        <f t="shared" si="1"/>
        <v>226.66983200000001</v>
      </c>
      <c r="K18" s="346">
        <f t="shared" si="1"/>
        <v>141.60010600000001</v>
      </c>
      <c r="L18" s="346">
        <f t="shared" si="1"/>
        <v>229.70366100000001</v>
      </c>
      <c r="M18" s="346">
        <f t="shared" si="1"/>
        <v>202.00653399999999</v>
      </c>
      <c r="N18" s="346">
        <f t="shared" si="1"/>
        <v>205.09966499999999</v>
      </c>
      <c r="O18" s="346">
        <f t="shared" si="1"/>
        <v>2482.3987550000002</v>
      </c>
    </row>
    <row r="19" spans="1:17" s="1" customFormat="1" ht="16" x14ac:dyDescent="0.3">
      <c r="B19" s="53"/>
      <c r="C19" s="19"/>
      <c r="D19" s="19"/>
      <c r="E19" s="19"/>
      <c r="F19" s="19"/>
      <c r="G19" s="19"/>
      <c r="H19" s="19"/>
      <c r="I19" s="45"/>
      <c r="J19" s="69"/>
    </row>
    <row r="20" spans="1:17" s="1" customFormat="1" ht="16" x14ac:dyDescent="0.3">
      <c r="B20" s="53" t="s">
        <v>978</v>
      </c>
      <c r="C20" s="19"/>
      <c r="D20" s="19"/>
      <c r="E20" s="19"/>
      <c r="F20" s="19"/>
      <c r="G20" s="19"/>
      <c r="H20" s="19"/>
      <c r="I20" s="19"/>
      <c r="J20" s="19"/>
      <c r="K20" s="19"/>
      <c r="L20" s="19"/>
      <c r="M20" s="19"/>
      <c r="N20" s="19"/>
      <c r="O20" s="72"/>
      <c r="P20" s="45"/>
      <c r="Q20" s="69"/>
    </row>
    <row r="21" spans="1:17" s="1" customFormat="1" ht="16" x14ac:dyDescent="0.3">
      <c r="A21" s="1" t="s">
        <v>290</v>
      </c>
      <c r="B21" s="53" t="s">
        <v>12</v>
      </c>
      <c r="C21" s="63"/>
      <c r="D21" s="63"/>
      <c r="E21" s="5"/>
      <c r="F21" s="5"/>
      <c r="G21" s="5"/>
      <c r="H21" s="5"/>
      <c r="I21" s="5"/>
      <c r="J21" s="5"/>
      <c r="K21" s="5"/>
      <c r="L21" s="5"/>
      <c r="M21" s="5"/>
      <c r="N21" s="5"/>
      <c r="O21" s="63" t="s">
        <v>276</v>
      </c>
      <c r="P21" s="45"/>
    </row>
    <row r="22" spans="1:17" s="1" customFormat="1" ht="18.75" customHeight="1" x14ac:dyDescent="0.3">
      <c r="B22" s="1792" t="s">
        <v>277</v>
      </c>
      <c r="C22" s="1969" t="s">
        <v>291</v>
      </c>
      <c r="D22" s="1969"/>
      <c r="E22" s="1969"/>
      <c r="F22" s="1969"/>
      <c r="G22" s="1969"/>
      <c r="H22" s="1969"/>
      <c r="I22" s="1969"/>
      <c r="J22" s="1969"/>
      <c r="K22" s="1794" t="s">
        <v>12</v>
      </c>
      <c r="L22" s="1794"/>
      <c r="M22" s="1794"/>
      <c r="N22" s="1794"/>
      <c r="O22" s="86" t="s">
        <v>292</v>
      </c>
      <c r="P22" s="45"/>
      <c r="Q22" s="45"/>
    </row>
    <row r="23" spans="1:17" s="35" customFormat="1" x14ac:dyDescent="0.3">
      <c r="B23" s="1792"/>
      <c r="C23" s="86" t="s">
        <v>278</v>
      </c>
      <c r="D23" s="86" t="s">
        <v>279</v>
      </c>
      <c r="E23" s="106" t="s">
        <v>280</v>
      </c>
      <c r="F23" s="106" t="s">
        <v>281</v>
      </c>
      <c r="G23" s="106" t="s">
        <v>282</v>
      </c>
      <c r="H23" s="106" t="s">
        <v>283</v>
      </c>
      <c r="I23" s="106" t="s">
        <v>284</v>
      </c>
      <c r="J23" s="106" t="s">
        <v>285</v>
      </c>
      <c r="K23" s="106" t="s">
        <v>286</v>
      </c>
      <c r="L23" s="106" t="s">
        <v>287</v>
      </c>
      <c r="M23" s="106" t="s">
        <v>288</v>
      </c>
      <c r="N23" s="106" t="s">
        <v>289</v>
      </c>
      <c r="O23" s="108"/>
    </row>
    <row r="24" spans="1:17" s="6" customFormat="1" x14ac:dyDescent="0.3">
      <c r="B24" s="147" t="s">
        <v>782</v>
      </c>
      <c r="C24" s="444">
        <f>'F2.2'!$Q$37*30/365</f>
        <v>224.90601178385609</v>
      </c>
      <c r="D24" s="444">
        <f>'F2.2'!$Q$37*31/365</f>
        <v>232.40287884331798</v>
      </c>
      <c r="E24" s="444">
        <f>'F2.2'!$Q$37*30/365</f>
        <v>224.90601178385609</v>
      </c>
      <c r="F24" s="444">
        <f>'F2.2'!$Q$37*31/365</f>
        <v>232.40287884331798</v>
      </c>
      <c r="G24" s="444">
        <f>'F2.2'!$Q$37*31/365</f>
        <v>232.40287884331798</v>
      </c>
      <c r="H24" s="444">
        <f>'F2.2'!$Q$37*30/365</f>
        <v>224.90601178385609</v>
      </c>
      <c r="I24" s="741">
        <v>284.66412860222113</v>
      </c>
      <c r="J24" s="741">
        <v>275.48141477634306</v>
      </c>
      <c r="K24" s="741">
        <v>284.66412860222113</v>
      </c>
      <c r="L24" s="741">
        <v>284.66412860222113</v>
      </c>
      <c r="M24" s="741">
        <v>257.11598712458687</v>
      </c>
      <c r="N24" s="741">
        <v>284.66412860222113</v>
      </c>
      <c r="O24" s="317">
        <f>SUM(C24:N24)</f>
        <v>3043.180588191336</v>
      </c>
    </row>
    <row r="25" spans="1:17" s="6" customFormat="1" x14ac:dyDescent="0.3">
      <c r="B25" s="107"/>
      <c r="C25" s="317"/>
      <c r="D25" s="317"/>
      <c r="E25" s="317"/>
      <c r="F25" s="317"/>
      <c r="G25" s="317"/>
      <c r="H25" s="317"/>
      <c r="I25" s="317"/>
      <c r="J25" s="317"/>
      <c r="K25" s="317"/>
      <c r="L25" s="317"/>
      <c r="M25" s="317"/>
      <c r="N25" s="317"/>
      <c r="O25" s="317">
        <f>SUM(C25:N25)</f>
        <v>0</v>
      </c>
    </row>
    <row r="26" spans="1:17" s="1" customFormat="1" x14ac:dyDescent="0.3">
      <c r="B26" s="73" t="s">
        <v>270</v>
      </c>
      <c r="C26" s="346">
        <f t="shared" ref="C26:O26" si="2">SUM(C24:C25)</f>
        <v>224.90601178385609</v>
      </c>
      <c r="D26" s="346">
        <f t="shared" si="2"/>
        <v>232.40287884331798</v>
      </c>
      <c r="E26" s="346">
        <f t="shared" si="2"/>
        <v>224.90601178385609</v>
      </c>
      <c r="F26" s="346">
        <f t="shared" si="2"/>
        <v>232.40287884331798</v>
      </c>
      <c r="G26" s="346">
        <f t="shared" si="2"/>
        <v>232.40287884331798</v>
      </c>
      <c r="H26" s="346">
        <f t="shared" si="2"/>
        <v>224.90601178385609</v>
      </c>
      <c r="I26" s="346">
        <f t="shared" si="2"/>
        <v>284.66412860222113</v>
      </c>
      <c r="J26" s="346">
        <f t="shared" si="2"/>
        <v>275.48141477634306</v>
      </c>
      <c r="K26" s="346">
        <f t="shared" si="2"/>
        <v>284.66412860222113</v>
      </c>
      <c r="L26" s="346">
        <f t="shared" si="2"/>
        <v>284.66412860222113</v>
      </c>
      <c r="M26" s="346">
        <f t="shared" si="2"/>
        <v>257.11598712458687</v>
      </c>
      <c r="N26" s="346">
        <f t="shared" si="2"/>
        <v>284.66412860222113</v>
      </c>
      <c r="O26" s="346">
        <f t="shared" si="2"/>
        <v>3043.180588191336</v>
      </c>
    </row>
    <row r="28" spans="1:17" s="1" customFormat="1" ht="16" x14ac:dyDescent="0.3">
      <c r="B28" s="53"/>
      <c r="C28" s="19"/>
      <c r="D28" s="19"/>
      <c r="E28" s="19"/>
      <c r="F28" s="19"/>
      <c r="G28" s="19"/>
      <c r="H28" s="19"/>
      <c r="I28" s="19"/>
      <c r="J28" s="19"/>
      <c r="K28" s="19"/>
      <c r="L28" s="19"/>
      <c r="M28" s="19"/>
      <c r="N28" s="19"/>
      <c r="O28" s="72"/>
      <c r="P28" s="45"/>
      <c r="Q28" s="69"/>
    </row>
    <row r="29" spans="1:17" x14ac:dyDescent="0.3">
      <c r="B29" s="53" t="s">
        <v>979</v>
      </c>
      <c r="C29" s="19"/>
      <c r="D29" s="19"/>
      <c r="E29" s="19"/>
      <c r="F29" s="19"/>
      <c r="G29" s="19"/>
      <c r="H29" s="19"/>
      <c r="I29" s="72"/>
    </row>
    <row r="30" spans="1:17" x14ac:dyDescent="0.3">
      <c r="B30" s="53" t="s">
        <v>714</v>
      </c>
      <c r="C30" s="63"/>
      <c r="D30" s="63"/>
      <c r="O30" s="63" t="s">
        <v>276</v>
      </c>
    </row>
    <row r="31" spans="1:17" x14ac:dyDescent="0.3">
      <c r="B31" s="105" t="s">
        <v>277</v>
      </c>
      <c r="C31" s="230" t="s">
        <v>278</v>
      </c>
      <c r="D31" s="230" t="s">
        <v>279</v>
      </c>
      <c r="E31" s="106" t="s">
        <v>280</v>
      </c>
      <c r="F31" s="106" t="s">
        <v>281</v>
      </c>
      <c r="G31" s="106" t="s">
        <v>282</v>
      </c>
      <c r="H31" s="106" t="s">
        <v>283</v>
      </c>
      <c r="I31" s="106" t="s">
        <v>284</v>
      </c>
      <c r="J31" s="106" t="s">
        <v>285</v>
      </c>
      <c r="K31" s="106" t="s">
        <v>286</v>
      </c>
      <c r="L31" s="106" t="s">
        <v>287</v>
      </c>
      <c r="M31" s="106" t="s">
        <v>288</v>
      </c>
      <c r="N31" s="106" t="s">
        <v>289</v>
      </c>
      <c r="O31" s="106" t="s">
        <v>270</v>
      </c>
    </row>
    <row r="32" spans="1:17" x14ac:dyDescent="0.3">
      <c r="B32" s="147" t="s">
        <v>782</v>
      </c>
      <c r="C32" s="444">
        <f>'F2.2'!$S$37*30/365</f>
        <v>274.01622018971102</v>
      </c>
      <c r="D32" s="444">
        <f>'F2.2'!$S$37*31/365</f>
        <v>283.15009419603473</v>
      </c>
      <c r="E32" s="444">
        <f>'F2.2'!$S$37*30/365</f>
        <v>274.01622018971102</v>
      </c>
      <c r="F32" s="444">
        <f>'F2.2'!$S$37*31/365</f>
        <v>283.15009419603473</v>
      </c>
      <c r="G32" s="444">
        <f>'F2.2'!$S$37*31/365</f>
        <v>283.15009419603473</v>
      </c>
      <c r="H32" s="444">
        <f>'F2.2'!$S$37*30/365</f>
        <v>274.01622018971102</v>
      </c>
      <c r="I32" s="444">
        <f>'F2.2'!$S$37*31/365</f>
        <v>283.15009419603473</v>
      </c>
      <c r="J32" s="444">
        <f>'F2.2'!$S$37*30/365</f>
        <v>274.01622018971102</v>
      </c>
      <c r="K32" s="444">
        <f>'F2.2'!$S$37*31/365</f>
        <v>283.15009419603473</v>
      </c>
      <c r="L32" s="444">
        <f>'F2.2'!$S$37*31/365</f>
        <v>283.15009419603473</v>
      </c>
      <c r="M32" s="444">
        <f>'F2.2'!$S$37*28/365</f>
        <v>255.74847217706363</v>
      </c>
      <c r="N32" s="444">
        <f>'F2.2'!$S$37*31/365</f>
        <v>283.15009419603473</v>
      </c>
      <c r="O32" s="444">
        <f>SUM(C32:N32)</f>
        <v>3333.8640123081514</v>
      </c>
    </row>
    <row r="33" spans="2:15" x14ac:dyDescent="0.3">
      <c r="B33" s="107"/>
      <c r="C33" s="317"/>
      <c r="D33" s="317"/>
      <c r="E33" s="317"/>
      <c r="F33" s="317"/>
      <c r="G33" s="317"/>
      <c r="H33" s="317"/>
      <c r="I33" s="317"/>
      <c r="J33" s="317"/>
      <c r="K33" s="317"/>
      <c r="L33" s="317"/>
      <c r="M33" s="317"/>
      <c r="N33" s="317"/>
      <c r="O33" s="317">
        <f>SUM(C33:N33)</f>
        <v>0</v>
      </c>
    </row>
    <row r="34" spans="2:15" x14ac:dyDescent="0.3">
      <c r="B34" s="73" t="s">
        <v>270</v>
      </c>
      <c r="C34" s="346">
        <f t="shared" ref="C34:O34" si="3">SUM(C32:C33)</f>
        <v>274.01622018971102</v>
      </c>
      <c r="D34" s="346">
        <f t="shared" si="3"/>
        <v>283.15009419603473</v>
      </c>
      <c r="E34" s="346">
        <f t="shared" si="3"/>
        <v>274.01622018971102</v>
      </c>
      <c r="F34" s="346">
        <f t="shared" si="3"/>
        <v>283.15009419603473</v>
      </c>
      <c r="G34" s="346">
        <f t="shared" si="3"/>
        <v>283.15009419603473</v>
      </c>
      <c r="H34" s="346">
        <f t="shared" si="3"/>
        <v>274.01622018971102</v>
      </c>
      <c r="I34" s="346">
        <f t="shared" si="3"/>
        <v>283.15009419603473</v>
      </c>
      <c r="J34" s="346">
        <f t="shared" si="3"/>
        <v>274.01622018971102</v>
      </c>
      <c r="K34" s="346">
        <f t="shared" si="3"/>
        <v>283.15009419603473</v>
      </c>
      <c r="L34" s="346">
        <f t="shared" si="3"/>
        <v>283.15009419603473</v>
      </c>
      <c r="M34" s="346">
        <f t="shared" si="3"/>
        <v>255.74847217706363</v>
      </c>
      <c r="N34" s="346">
        <f t="shared" si="3"/>
        <v>283.15009419603473</v>
      </c>
      <c r="O34" s="346">
        <f t="shared" si="3"/>
        <v>3333.8640123081514</v>
      </c>
    </row>
    <row r="37" spans="2:15" x14ac:dyDescent="0.3">
      <c r="B37" s="53" t="s">
        <v>980</v>
      </c>
      <c r="C37" s="19"/>
      <c r="D37" s="19"/>
      <c r="E37" s="19"/>
      <c r="F37" s="19"/>
      <c r="G37" s="19"/>
      <c r="H37" s="19"/>
      <c r="I37" s="72"/>
    </row>
    <row r="38" spans="2:15" x14ac:dyDescent="0.3">
      <c r="B38" s="53" t="s">
        <v>714</v>
      </c>
      <c r="C38" s="63"/>
      <c r="D38" s="63"/>
      <c r="O38" s="63" t="s">
        <v>276</v>
      </c>
    </row>
    <row r="39" spans="2:15" x14ac:dyDescent="0.3">
      <c r="B39" s="105" t="s">
        <v>277</v>
      </c>
      <c r="C39" s="86" t="s">
        <v>278</v>
      </c>
      <c r="D39" s="86" t="s">
        <v>279</v>
      </c>
      <c r="E39" s="106" t="s">
        <v>280</v>
      </c>
      <c r="F39" s="106" t="s">
        <v>281</v>
      </c>
      <c r="G39" s="106" t="s">
        <v>282</v>
      </c>
      <c r="H39" s="106" t="s">
        <v>283</v>
      </c>
      <c r="I39" s="106" t="s">
        <v>284</v>
      </c>
      <c r="J39" s="106" t="s">
        <v>285</v>
      </c>
      <c r="K39" s="106" t="s">
        <v>286</v>
      </c>
      <c r="L39" s="106" t="s">
        <v>287</v>
      </c>
      <c r="M39" s="106" t="s">
        <v>288</v>
      </c>
      <c r="N39" s="106" t="s">
        <v>289</v>
      </c>
      <c r="O39" s="106" t="s">
        <v>270</v>
      </c>
    </row>
    <row r="40" spans="2:15" x14ac:dyDescent="0.3">
      <c r="B40" s="147" t="s">
        <v>782</v>
      </c>
      <c r="C40" s="444">
        <f>'F2.2'!$T$37*30/365</f>
        <v>274.02572288230488</v>
      </c>
      <c r="D40" s="444">
        <f>'F2.2'!$T$37*31/365</f>
        <v>283.15991364504833</v>
      </c>
      <c r="E40" s="444">
        <f>'F2.2'!$T$37*30/365</f>
        <v>274.02572288230488</v>
      </c>
      <c r="F40" s="444">
        <f>'F2.2'!$T$37*31/365</f>
        <v>283.15991364504833</v>
      </c>
      <c r="G40" s="444">
        <f>'F2.2'!$T$37*31/365</f>
        <v>283.15991364504833</v>
      </c>
      <c r="H40" s="444">
        <f>'F2.2'!$T$37*30/365</f>
        <v>274.02572288230488</v>
      </c>
      <c r="I40" s="444">
        <f>'F2.2'!$T$37*31/365</f>
        <v>283.15991364504833</v>
      </c>
      <c r="J40" s="444">
        <f>'F2.2'!$T$37*30/365</f>
        <v>274.02572288230488</v>
      </c>
      <c r="K40" s="444">
        <f>'F2.2'!$T$37*31/365</f>
        <v>283.15991364504833</v>
      </c>
      <c r="L40" s="444">
        <f>'F2.2'!$T$37*31/365</f>
        <v>283.15991364504833</v>
      </c>
      <c r="M40" s="444">
        <f>'F2.2'!$T$37*28/365</f>
        <v>255.75734135681785</v>
      </c>
      <c r="N40" s="444">
        <f>'F2.2'!$T$37*31/365</f>
        <v>283.15991364504833</v>
      </c>
      <c r="O40" s="444">
        <f>SUM(C40:N40)</f>
        <v>3333.9796284013755</v>
      </c>
    </row>
    <row r="41" spans="2:15" x14ac:dyDescent="0.3">
      <c r="B41" s="107"/>
      <c r="C41" s="317"/>
      <c r="D41" s="317"/>
      <c r="E41" s="317"/>
      <c r="F41" s="317"/>
      <c r="G41" s="317"/>
      <c r="H41" s="317"/>
      <c r="I41" s="317"/>
      <c r="J41" s="317"/>
      <c r="K41" s="317"/>
      <c r="L41" s="317"/>
      <c r="M41" s="317"/>
      <c r="N41" s="317"/>
      <c r="O41" s="317">
        <f>SUM(C41:N41)</f>
        <v>0</v>
      </c>
    </row>
    <row r="42" spans="2:15" x14ac:dyDescent="0.3">
      <c r="B42" s="73" t="s">
        <v>270</v>
      </c>
      <c r="C42" s="346">
        <f>SUM(C40:C41)</f>
        <v>274.02572288230488</v>
      </c>
      <c r="D42" s="346">
        <f t="shared" ref="D42:O42" si="4">SUM(D40:D41)</f>
        <v>283.15991364504833</v>
      </c>
      <c r="E42" s="346">
        <f t="shared" si="4"/>
        <v>274.02572288230488</v>
      </c>
      <c r="F42" s="346">
        <f t="shared" si="4"/>
        <v>283.15991364504833</v>
      </c>
      <c r="G42" s="346">
        <f t="shared" si="4"/>
        <v>283.15991364504833</v>
      </c>
      <c r="H42" s="346">
        <f t="shared" si="4"/>
        <v>274.02572288230488</v>
      </c>
      <c r="I42" s="346">
        <f t="shared" si="4"/>
        <v>283.15991364504833</v>
      </c>
      <c r="J42" s="346">
        <f t="shared" si="4"/>
        <v>274.02572288230488</v>
      </c>
      <c r="K42" s="346">
        <f t="shared" si="4"/>
        <v>283.15991364504833</v>
      </c>
      <c r="L42" s="346">
        <f t="shared" si="4"/>
        <v>283.15991364504833</v>
      </c>
      <c r="M42" s="346">
        <f t="shared" si="4"/>
        <v>255.75734135681785</v>
      </c>
      <c r="N42" s="346">
        <f t="shared" si="4"/>
        <v>283.15991364504833</v>
      </c>
      <c r="O42" s="346">
        <f t="shared" si="4"/>
        <v>3333.9796284013755</v>
      </c>
    </row>
    <row r="45" spans="2:15" x14ac:dyDescent="0.3">
      <c r="B45" s="53" t="s">
        <v>981</v>
      </c>
      <c r="C45" s="19"/>
      <c r="D45" s="19"/>
      <c r="E45" s="19"/>
      <c r="F45" s="19"/>
      <c r="G45" s="19"/>
      <c r="H45" s="19"/>
      <c r="I45" s="72"/>
    </row>
    <row r="46" spans="2:15" x14ac:dyDescent="0.3">
      <c r="B46" s="53" t="s">
        <v>714</v>
      </c>
      <c r="C46" s="63"/>
      <c r="D46" s="63"/>
      <c r="O46" s="63" t="s">
        <v>276</v>
      </c>
    </row>
    <row r="47" spans="2:15" x14ac:dyDescent="0.3">
      <c r="B47" s="105" t="s">
        <v>277</v>
      </c>
      <c r="C47" s="665" t="s">
        <v>278</v>
      </c>
      <c r="D47" s="665" t="s">
        <v>279</v>
      </c>
      <c r="E47" s="106" t="s">
        <v>280</v>
      </c>
      <c r="F47" s="106" t="s">
        <v>281</v>
      </c>
      <c r="G47" s="106" t="s">
        <v>282</v>
      </c>
      <c r="H47" s="106" t="s">
        <v>283</v>
      </c>
      <c r="I47" s="106" t="s">
        <v>284</v>
      </c>
      <c r="J47" s="106" t="s">
        <v>285</v>
      </c>
      <c r="K47" s="106" t="s">
        <v>286</v>
      </c>
      <c r="L47" s="106" t="s">
        <v>287</v>
      </c>
      <c r="M47" s="106" t="s">
        <v>288</v>
      </c>
      <c r="N47" s="106" t="s">
        <v>289</v>
      </c>
      <c r="O47" s="106" t="s">
        <v>270</v>
      </c>
    </row>
    <row r="48" spans="2:15" x14ac:dyDescent="0.3">
      <c r="B48" s="147" t="s">
        <v>782</v>
      </c>
      <c r="C48" s="444">
        <f>'F2.2'!$U$37*30/366</f>
        <v>273.27701872142427</v>
      </c>
      <c r="D48" s="444">
        <f>'F2.2'!$U$37*31/366</f>
        <v>282.38625267880502</v>
      </c>
      <c r="E48" s="444">
        <f>'F2.2'!$U$37*30/366</f>
        <v>273.27701872142427</v>
      </c>
      <c r="F48" s="444">
        <f>'F2.2'!$U$37*31/366</f>
        <v>282.38625267880502</v>
      </c>
      <c r="G48" s="444">
        <f>'F2.2'!$U$37*31/366</f>
        <v>282.38625267880502</v>
      </c>
      <c r="H48" s="444">
        <f>'F2.2'!$U$37*30/366</f>
        <v>273.27701872142427</v>
      </c>
      <c r="I48" s="444">
        <f>'F2.2'!$U$37*31/366</f>
        <v>282.38625267880502</v>
      </c>
      <c r="J48" s="444">
        <f>'F2.2'!$U$37*30/366</f>
        <v>273.27701872142427</v>
      </c>
      <c r="K48" s="444">
        <f>'F2.2'!$U$37*31/366</f>
        <v>282.38625267880502</v>
      </c>
      <c r="L48" s="444">
        <f>'F2.2'!$U$37*31/366</f>
        <v>282.38625267880502</v>
      </c>
      <c r="M48" s="444">
        <f>'F2.2'!$U$37*29/366</f>
        <v>264.1677847640434</v>
      </c>
      <c r="N48" s="444">
        <f>'F2.2'!$U$37*31/366</f>
        <v>282.38625267880502</v>
      </c>
      <c r="O48" s="444">
        <f>SUM(C48:N48)</f>
        <v>3333.9796284013755</v>
      </c>
    </row>
    <row r="49" spans="2:15" x14ac:dyDescent="0.3">
      <c r="B49" s="107"/>
      <c r="C49" s="317"/>
      <c r="D49" s="317"/>
      <c r="E49" s="317"/>
      <c r="F49" s="317"/>
      <c r="G49" s="317"/>
      <c r="H49" s="317"/>
      <c r="I49" s="317"/>
      <c r="J49" s="317"/>
      <c r="K49" s="317"/>
      <c r="L49" s="317"/>
      <c r="M49" s="317"/>
      <c r="N49" s="317"/>
      <c r="O49" s="317">
        <f>SUM(C49:N49)</f>
        <v>0</v>
      </c>
    </row>
    <row r="50" spans="2:15" x14ac:dyDescent="0.3">
      <c r="B50" s="73" t="s">
        <v>270</v>
      </c>
      <c r="C50" s="346">
        <f>SUM(C48:C49)</f>
        <v>273.27701872142427</v>
      </c>
      <c r="D50" s="346">
        <f t="shared" ref="D50:O50" si="5">SUM(D48:D49)</f>
        <v>282.38625267880502</v>
      </c>
      <c r="E50" s="346">
        <f t="shared" si="5"/>
        <v>273.27701872142427</v>
      </c>
      <c r="F50" s="346">
        <f t="shared" si="5"/>
        <v>282.38625267880502</v>
      </c>
      <c r="G50" s="346">
        <f t="shared" si="5"/>
        <v>282.38625267880502</v>
      </c>
      <c r="H50" s="346">
        <f t="shared" si="5"/>
        <v>273.27701872142427</v>
      </c>
      <c r="I50" s="346">
        <f t="shared" si="5"/>
        <v>282.38625267880502</v>
      </c>
      <c r="J50" s="346">
        <f t="shared" si="5"/>
        <v>273.27701872142427</v>
      </c>
      <c r="K50" s="346">
        <f t="shared" si="5"/>
        <v>282.38625267880502</v>
      </c>
      <c r="L50" s="346">
        <f t="shared" si="5"/>
        <v>282.38625267880502</v>
      </c>
      <c r="M50" s="346">
        <f t="shared" si="5"/>
        <v>264.1677847640434</v>
      </c>
      <c r="N50" s="346">
        <f t="shared" si="5"/>
        <v>282.38625267880502</v>
      </c>
      <c r="O50" s="346">
        <f t="shared" si="5"/>
        <v>3333.9796284013755</v>
      </c>
    </row>
    <row r="53" spans="2:15" x14ac:dyDescent="0.3">
      <c r="B53" s="53" t="s">
        <v>982</v>
      </c>
      <c r="C53" s="19"/>
      <c r="D53" s="19"/>
      <c r="E53" s="19"/>
      <c r="F53" s="19"/>
      <c r="G53" s="19"/>
      <c r="H53" s="19"/>
      <c r="I53" s="72"/>
    </row>
    <row r="54" spans="2:15" x14ac:dyDescent="0.3">
      <c r="B54" s="53" t="s">
        <v>714</v>
      </c>
      <c r="C54" s="63"/>
      <c r="D54" s="63"/>
      <c r="O54" s="63" t="s">
        <v>276</v>
      </c>
    </row>
    <row r="55" spans="2:15" x14ac:dyDescent="0.3">
      <c r="B55" s="105" t="s">
        <v>277</v>
      </c>
      <c r="C55" s="665" t="s">
        <v>278</v>
      </c>
      <c r="D55" s="665" t="s">
        <v>279</v>
      </c>
      <c r="E55" s="106" t="s">
        <v>280</v>
      </c>
      <c r="F55" s="106" t="s">
        <v>281</v>
      </c>
      <c r="G55" s="106" t="s">
        <v>282</v>
      </c>
      <c r="H55" s="106" t="s">
        <v>283</v>
      </c>
      <c r="I55" s="106" t="s">
        <v>284</v>
      </c>
      <c r="J55" s="106" t="s">
        <v>285</v>
      </c>
      <c r="K55" s="106" t="s">
        <v>286</v>
      </c>
      <c r="L55" s="106" t="s">
        <v>287</v>
      </c>
      <c r="M55" s="106" t="s">
        <v>288</v>
      </c>
      <c r="N55" s="106" t="s">
        <v>289</v>
      </c>
      <c r="O55" s="106" t="s">
        <v>270</v>
      </c>
    </row>
    <row r="56" spans="2:15" x14ac:dyDescent="0.3">
      <c r="B56" s="147" t="s">
        <v>782</v>
      </c>
      <c r="C56" s="444">
        <f>'F2.2'!$V$37*30/365</f>
        <v>274.03522557489873</v>
      </c>
      <c r="D56" s="444">
        <f>'F2.2'!$V$37*31/365</f>
        <v>283.16973309406205</v>
      </c>
      <c r="E56" s="444">
        <f>'F2.2'!$V$37*30/365</f>
        <v>274.03522557489873</v>
      </c>
      <c r="F56" s="444">
        <f>'F2.2'!$V$37*31/365</f>
        <v>283.16973309406205</v>
      </c>
      <c r="G56" s="444">
        <f>'F2.2'!$V$37*31/365</f>
        <v>283.16973309406205</v>
      </c>
      <c r="H56" s="444">
        <f>'F2.2'!$V$37*30/365</f>
        <v>274.03522557489873</v>
      </c>
      <c r="I56" s="444">
        <f>'F2.2'!$V$37*31/365</f>
        <v>283.16973309406205</v>
      </c>
      <c r="J56" s="444">
        <f>'F2.2'!$V$37*30/365</f>
        <v>274.03522557489873</v>
      </c>
      <c r="K56" s="444">
        <f>'F2.2'!$V$37*31/365</f>
        <v>283.16973309406205</v>
      </c>
      <c r="L56" s="444">
        <f>'F2.2'!$V$37*31/365</f>
        <v>283.16973309406205</v>
      </c>
      <c r="M56" s="444">
        <f>'F2.2'!$V$37*28/365</f>
        <v>255.76621053657217</v>
      </c>
      <c r="N56" s="444">
        <f>'F2.2'!$V$37*31/365</f>
        <v>283.16973309406205</v>
      </c>
      <c r="O56" s="444">
        <f>SUM(C56:N56)</f>
        <v>3334.0952444946015</v>
      </c>
    </row>
    <row r="57" spans="2:15" x14ac:dyDescent="0.3">
      <c r="B57" s="107"/>
      <c r="C57" s="317"/>
      <c r="D57" s="317"/>
      <c r="E57" s="317"/>
      <c r="F57" s="317"/>
      <c r="G57" s="317"/>
      <c r="H57" s="317"/>
      <c r="I57" s="317"/>
      <c r="J57" s="317"/>
      <c r="K57" s="317"/>
      <c r="L57" s="317"/>
      <c r="M57" s="317"/>
      <c r="N57" s="317"/>
      <c r="O57" s="317">
        <f>SUM(C57:N57)</f>
        <v>0</v>
      </c>
    </row>
    <row r="58" spans="2:15" x14ac:dyDescent="0.3">
      <c r="B58" s="73" t="s">
        <v>270</v>
      </c>
      <c r="C58" s="346">
        <f>SUM(C56:C57)</f>
        <v>274.03522557489873</v>
      </c>
      <c r="D58" s="346">
        <f t="shared" ref="D58:O58" si="6">SUM(D56:D57)</f>
        <v>283.16973309406205</v>
      </c>
      <c r="E58" s="346">
        <f t="shared" si="6"/>
        <v>274.03522557489873</v>
      </c>
      <c r="F58" s="346">
        <f t="shared" si="6"/>
        <v>283.16973309406205</v>
      </c>
      <c r="G58" s="346">
        <f t="shared" si="6"/>
        <v>283.16973309406205</v>
      </c>
      <c r="H58" s="346">
        <f t="shared" si="6"/>
        <v>274.03522557489873</v>
      </c>
      <c r="I58" s="346">
        <f t="shared" si="6"/>
        <v>283.16973309406205</v>
      </c>
      <c r="J58" s="346">
        <f t="shared" si="6"/>
        <v>274.03522557489873</v>
      </c>
      <c r="K58" s="346">
        <f t="shared" si="6"/>
        <v>283.16973309406205</v>
      </c>
      <c r="L58" s="346">
        <f t="shared" si="6"/>
        <v>283.16973309406205</v>
      </c>
      <c r="M58" s="346">
        <f t="shared" si="6"/>
        <v>255.76621053657217</v>
      </c>
      <c r="N58" s="346">
        <f t="shared" si="6"/>
        <v>283.16973309406205</v>
      </c>
      <c r="O58" s="346">
        <f t="shared" si="6"/>
        <v>3334.0952444946015</v>
      </c>
    </row>
    <row r="61" spans="2:15" x14ac:dyDescent="0.3">
      <c r="B61" s="53" t="s">
        <v>983</v>
      </c>
      <c r="C61" s="19"/>
      <c r="D61" s="19"/>
      <c r="E61" s="19"/>
      <c r="F61" s="19"/>
      <c r="G61" s="19"/>
      <c r="H61" s="19"/>
      <c r="I61" s="72"/>
    </row>
    <row r="62" spans="2:15" x14ac:dyDescent="0.3">
      <c r="B62" s="53" t="s">
        <v>714</v>
      </c>
      <c r="C62" s="63"/>
      <c r="D62" s="63"/>
      <c r="O62" s="63" t="s">
        <v>276</v>
      </c>
    </row>
    <row r="63" spans="2:15" x14ac:dyDescent="0.3">
      <c r="B63" s="105" t="s">
        <v>277</v>
      </c>
      <c r="C63" s="665" t="s">
        <v>278</v>
      </c>
      <c r="D63" s="665" t="s">
        <v>279</v>
      </c>
      <c r="E63" s="106" t="s">
        <v>280</v>
      </c>
      <c r="F63" s="106" t="s">
        <v>281</v>
      </c>
      <c r="G63" s="106" t="s">
        <v>282</v>
      </c>
      <c r="H63" s="106" t="s">
        <v>283</v>
      </c>
      <c r="I63" s="106" t="s">
        <v>284</v>
      </c>
      <c r="J63" s="106" t="s">
        <v>285</v>
      </c>
      <c r="K63" s="106" t="s">
        <v>286</v>
      </c>
      <c r="L63" s="106" t="s">
        <v>287</v>
      </c>
      <c r="M63" s="106" t="s">
        <v>288</v>
      </c>
      <c r="N63" s="106" t="s">
        <v>289</v>
      </c>
      <c r="O63" s="106" t="s">
        <v>270</v>
      </c>
    </row>
    <row r="64" spans="2:15" x14ac:dyDescent="0.3">
      <c r="B64" s="147" t="s">
        <v>782</v>
      </c>
      <c r="C64" s="444">
        <f>'F2.2'!$W$37*30/365</f>
        <v>274.01622018971102</v>
      </c>
      <c r="D64" s="444">
        <f>'F2.2'!$V$37*31/365</f>
        <v>283.16973309406205</v>
      </c>
      <c r="E64" s="444">
        <f>'F2.2'!$V$37*30/365</f>
        <v>274.03522557489873</v>
      </c>
      <c r="F64" s="444">
        <f>'F2.2'!$V$37*31/365</f>
        <v>283.16973309406205</v>
      </c>
      <c r="G64" s="444">
        <f>'F2.2'!$V$37*31/365</f>
        <v>283.16973309406205</v>
      </c>
      <c r="H64" s="444">
        <f>'F2.2'!$V$37*30/365</f>
        <v>274.03522557489873</v>
      </c>
      <c r="I64" s="444">
        <f>'F2.2'!$V$37*31/365</f>
        <v>283.16973309406205</v>
      </c>
      <c r="J64" s="444">
        <f>'F2.2'!$V$37*30/365</f>
        <v>274.03522557489873</v>
      </c>
      <c r="K64" s="444">
        <f>'F2.2'!$V$37*31/365</f>
        <v>283.16973309406205</v>
      </c>
      <c r="L64" s="444">
        <f>'F2.2'!$V$37*31/365</f>
        <v>283.16973309406205</v>
      </c>
      <c r="M64" s="444">
        <f>'F2.2'!$V$37*28/365</f>
        <v>255.76621053657217</v>
      </c>
      <c r="N64" s="444">
        <f>'F2.2'!$V$37*31/365</f>
        <v>283.16973309406205</v>
      </c>
      <c r="O64" s="444">
        <f>SUM(C64:N64)</f>
        <v>3334.0762391094131</v>
      </c>
    </row>
    <row r="65" spans="2:15" x14ac:dyDescent="0.3">
      <c r="B65" s="107"/>
      <c r="C65" s="317"/>
      <c r="D65" s="317"/>
      <c r="E65" s="317"/>
      <c r="F65" s="317"/>
      <c r="G65" s="317"/>
      <c r="H65" s="317"/>
      <c r="I65" s="317"/>
      <c r="J65" s="317"/>
      <c r="K65" s="317"/>
      <c r="L65" s="317"/>
      <c r="M65" s="317"/>
      <c r="N65" s="317"/>
      <c r="O65" s="317">
        <f>SUM(C65:N65)</f>
        <v>0</v>
      </c>
    </row>
    <row r="66" spans="2:15" x14ac:dyDescent="0.3">
      <c r="B66" s="73" t="s">
        <v>270</v>
      </c>
      <c r="C66" s="346">
        <f>SUM(C64:C65)</f>
        <v>274.01622018971102</v>
      </c>
      <c r="D66" s="346">
        <f t="shared" ref="D66:O66" si="7">SUM(D64:D65)</f>
        <v>283.16973309406205</v>
      </c>
      <c r="E66" s="346">
        <f t="shared" si="7"/>
        <v>274.03522557489873</v>
      </c>
      <c r="F66" s="346">
        <f t="shared" si="7"/>
        <v>283.16973309406205</v>
      </c>
      <c r="G66" s="346">
        <f t="shared" si="7"/>
        <v>283.16973309406205</v>
      </c>
      <c r="H66" s="346">
        <f t="shared" si="7"/>
        <v>274.03522557489873</v>
      </c>
      <c r="I66" s="346">
        <f t="shared" si="7"/>
        <v>283.16973309406205</v>
      </c>
      <c r="J66" s="346">
        <f t="shared" si="7"/>
        <v>274.03522557489873</v>
      </c>
      <c r="K66" s="346">
        <f t="shared" si="7"/>
        <v>283.16973309406205</v>
      </c>
      <c r="L66" s="346">
        <f t="shared" si="7"/>
        <v>283.16973309406205</v>
      </c>
      <c r="M66" s="346">
        <f t="shared" si="7"/>
        <v>255.76621053657217</v>
      </c>
      <c r="N66" s="346">
        <f t="shared" si="7"/>
        <v>283.16973309406205</v>
      </c>
      <c r="O66" s="346">
        <f t="shared" si="7"/>
        <v>3334.0762391094131</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1" zoomScale="70" zoomScaleNormal="75" zoomScaleSheetLayoutView="70" workbookViewId="0">
      <selection activeCell="F20" sqref="F20"/>
    </sheetView>
  </sheetViews>
  <sheetFormatPr defaultColWidth="9.36328125" defaultRowHeight="13" x14ac:dyDescent="0.25"/>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x14ac:dyDescent="0.3">
      <c r="B1" s="71"/>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Parli Units 6 &amp; 7</v>
      </c>
      <c r="C3" s="70"/>
      <c r="D3" s="70"/>
      <c r="E3" s="70"/>
      <c r="F3" s="70"/>
      <c r="G3" s="70"/>
      <c r="H3" s="70"/>
      <c r="I3" s="70"/>
      <c r="J3" s="70"/>
      <c r="K3" s="70"/>
      <c r="L3" s="70"/>
      <c r="M3" s="70"/>
      <c r="N3" s="18"/>
    </row>
    <row r="4" spans="2:14" s="5" customFormat="1" ht="14" x14ac:dyDescent="0.3">
      <c r="B4" s="17" t="s">
        <v>343</v>
      </c>
      <c r="C4" s="19"/>
      <c r="D4" s="19"/>
      <c r="E4" s="19"/>
      <c r="F4" s="19"/>
      <c r="G4" s="19"/>
      <c r="H4" s="19"/>
      <c r="I4" s="19"/>
      <c r="J4" s="19"/>
      <c r="K4" s="19"/>
      <c r="L4" s="19"/>
      <c r="M4" s="19"/>
      <c r="N4" s="19"/>
    </row>
    <row r="6" spans="2:14" ht="14" x14ac:dyDescent="0.3">
      <c r="B6" s="53" t="s">
        <v>506</v>
      </c>
    </row>
    <row r="7" spans="2:14" ht="14" x14ac:dyDescent="0.3">
      <c r="B7" s="53" t="s">
        <v>27</v>
      </c>
      <c r="N7" s="75" t="s">
        <v>10</v>
      </c>
    </row>
    <row r="8" spans="2:14" ht="13.25" customHeight="1" x14ac:dyDescent="0.25">
      <c r="B8" s="1970" t="s">
        <v>277</v>
      </c>
      <c r="C8" s="1794" t="s">
        <v>293</v>
      </c>
      <c r="D8" s="1794"/>
      <c r="E8" s="1794"/>
      <c r="F8" s="1794"/>
      <c r="G8" s="1792" t="s">
        <v>294</v>
      </c>
      <c r="H8" s="1792"/>
      <c r="I8" s="1792"/>
      <c r="J8" s="1792" t="s">
        <v>295</v>
      </c>
      <c r="K8" s="1792"/>
      <c r="L8" s="1792"/>
      <c r="M8" s="1792"/>
      <c r="N8" s="1792"/>
    </row>
    <row r="9" spans="2:14" ht="84" x14ac:dyDescent="0.25">
      <c r="B9" s="1972"/>
      <c r="C9" s="304" t="s">
        <v>346</v>
      </c>
      <c r="D9" s="304" t="s">
        <v>344</v>
      </c>
      <c r="E9" s="304" t="s">
        <v>743</v>
      </c>
      <c r="F9" s="304" t="s">
        <v>345</v>
      </c>
      <c r="G9" s="304" t="s">
        <v>296</v>
      </c>
      <c r="H9" s="304" t="s">
        <v>744</v>
      </c>
      <c r="I9" s="304" t="s">
        <v>297</v>
      </c>
      <c r="J9" s="304" t="s">
        <v>298</v>
      </c>
      <c r="K9" s="304" t="s">
        <v>299</v>
      </c>
      <c r="L9" s="304" t="s">
        <v>745</v>
      </c>
      <c r="M9" s="304" t="s">
        <v>746</v>
      </c>
      <c r="N9" s="305" t="s">
        <v>270</v>
      </c>
    </row>
    <row r="10" spans="2:14" x14ac:dyDescent="0.25">
      <c r="B10" s="110"/>
      <c r="C10" s="111"/>
      <c r="D10" s="111"/>
      <c r="E10" s="111"/>
      <c r="F10" s="111"/>
      <c r="G10" s="111"/>
      <c r="H10" s="111"/>
      <c r="I10" s="111"/>
      <c r="J10" s="111"/>
      <c r="K10" s="111"/>
      <c r="L10" s="111"/>
      <c r="M10" s="111"/>
      <c r="N10" s="112"/>
    </row>
    <row r="11" spans="2:14" ht="14" x14ac:dyDescent="0.25">
      <c r="B11" s="147" t="s">
        <v>782</v>
      </c>
      <c r="C11" s="330">
        <f>'F9.1'!Q22</f>
        <v>404.17358769999998</v>
      </c>
      <c r="D11" s="330">
        <f>'F9.1'!$Q$19</f>
        <v>4.2399999993811974</v>
      </c>
      <c r="E11" s="330">
        <f>'F9.1'!Q30</f>
        <v>0</v>
      </c>
      <c r="F11" s="330">
        <f>'F9.1'!Q21</f>
        <v>0.4815696770725954</v>
      </c>
      <c r="G11" s="330">
        <f>'F9.1'!Q17</f>
        <v>2456.3565980000003</v>
      </c>
      <c r="H11" s="330"/>
      <c r="I11" s="330"/>
      <c r="J11" s="330">
        <f>C11</f>
        <v>404.17358769999998</v>
      </c>
      <c r="K11" s="330">
        <f>'F9.1'!Q23</f>
        <v>1041.4951974000001</v>
      </c>
      <c r="L11" s="333">
        <f>SUM('F9.1'!Q25:Q27)</f>
        <v>-1.7645762000000007</v>
      </c>
      <c r="M11" s="330">
        <f>'F9.1'!Q24</f>
        <v>118.29068536739993</v>
      </c>
      <c r="N11" s="330">
        <f>SUM(J11:M11)</f>
        <v>1562.1948942674001</v>
      </c>
    </row>
    <row r="12" spans="2:14" ht="14" x14ac:dyDescent="0.25">
      <c r="B12" s="107"/>
      <c r="C12" s="113"/>
      <c r="D12" s="113"/>
      <c r="E12" s="113"/>
      <c r="F12" s="113"/>
      <c r="G12" s="113"/>
      <c r="H12" s="113"/>
      <c r="I12" s="113"/>
      <c r="J12" s="113"/>
      <c r="K12" s="113"/>
      <c r="L12" s="113"/>
      <c r="M12" s="113"/>
      <c r="N12" s="113"/>
    </row>
    <row r="13" spans="2:14" ht="14" x14ac:dyDescent="0.25">
      <c r="B13" s="107" t="s">
        <v>270</v>
      </c>
      <c r="C13" s="353"/>
      <c r="D13" s="353"/>
      <c r="E13" s="353"/>
      <c r="F13" s="353"/>
      <c r="G13" s="353">
        <f t="shared" ref="G13:N13" si="0">SUM(G10:G12)</f>
        <v>2456.3565980000003</v>
      </c>
      <c r="H13" s="353"/>
      <c r="I13" s="353"/>
      <c r="J13" s="353">
        <f t="shared" si="0"/>
        <v>404.17358769999998</v>
      </c>
      <c r="K13" s="353">
        <f t="shared" si="0"/>
        <v>1041.4951974000001</v>
      </c>
      <c r="L13" s="353">
        <f t="shared" si="0"/>
        <v>-1.7645762000000007</v>
      </c>
      <c r="M13" s="353">
        <f t="shared" si="0"/>
        <v>118.29068536739993</v>
      </c>
      <c r="N13" s="353">
        <f t="shared" si="0"/>
        <v>1562.1948942674001</v>
      </c>
    </row>
    <row r="14" spans="2:14" x14ac:dyDescent="0.25">
      <c r="B14" s="77"/>
      <c r="C14" s="78"/>
      <c r="D14" s="78"/>
      <c r="E14" s="78"/>
      <c r="F14" s="78"/>
      <c r="G14" s="78"/>
      <c r="H14" s="78"/>
      <c r="I14" s="78"/>
      <c r="J14" s="78"/>
      <c r="K14" s="78"/>
      <c r="L14" s="78"/>
      <c r="M14" s="78"/>
      <c r="N14" s="78"/>
    </row>
    <row r="15" spans="2:14" ht="14" x14ac:dyDescent="0.3">
      <c r="B15" s="53" t="s">
        <v>507</v>
      </c>
    </row>
    <row r="16" spans="2:14" ht="14" x14ac:dyDescent="0.3">
      <c r="B16" s="53" t="s">
        <v>27</v>
      </c>
      <c r="N16" s="75" t="s">
        <v>10</v>
      </c>
    </row>
    <row r="17" spans="2:14" s="114" customFormat="1" ht="45.75" customHeight="1" x14ac:dyDescent="0.25">
      <c r="B17" s="1970" t="s">
        <v>277</v>
      </c>
      <c r="C17" s="1794" t="s">
        <v>293</v>
      </c>
      <c r="D17" s="1794"/>
      <c r="E17" s="1794"/>
      <c r="F17" s="1794"/>
      <c r="G17" s="1792" t="s">
        <v>294</v>
      </c>
      <c r="H17" s="1792"/>
      <c r="I17" s="1792"/>
      <c r="J17" s="1792" t="s">
        <v>295</v>
      </c>
      <c r="K17" s="1792"/>
      <c r="L17" s="1792"/>
      <c r="M17" s="1792"/>
      <c r="N17" s="1792"/>
    </row>
    <row r="18" spans="2:14" ht="73.25" customHeight="1" x14ac:dyDescent="0.25">
      <c r="B18" s="1972"/>
      <c r="C18" s="304" t="s">
        <v>346</v>
      </c>
      <c r="D18" s="304" t="s">
        <v>344</v>
      </c>
      <c r="E18" s="304" t="s">
        <v>743</v>
      </c>
      <c r="F18" s="304" t="s">
        <v>345</v>
      </c>
      <c r="G18" s="304" t="s">
        <v>296</v>
      </c>
      <c r="H18" s="304" t="s">
        <v>744</v>
      </c>
      <c r="I18" s="304" t="s">
        <v>297</v>
      </c>
      <c r="J18" s="304" t="s">
        <v>298</v>
      </c>
      <c r="K18" s="304" t="s">
        <v>299</v>
      </c>
      <c r="L18" s="304" t="s">
        <v>745</v>
      </c>
      <c r="M18" s="304" t="s">
        <v>746</v>
      </c>
      <c r="N18" s="305" t="s">
        <v>270</v>
      </c>
    </row>
    <row r="19" spans="2:14" s="76" customFormat="1" x14ac:dyDescent="0.25">
      <c r="B19" s="110"/>
      <c r="C19" s="354"/>
      <c r="D19" s="354"/>
      <c r="E19" s="354"/>
      <c r="F19" s="354"/>
      <c r="G19" s="354"/>
      <c r="H19" s="354"/>
      <c r="I19" s="354"/>
      <c r="J19" s="354"/>
      <c r="K19" s="354"/>
      <c r="L19" s="354"/>
      <c r="M19" s="354"/>
      <c r="N19" s="355"/>
    </row>
    <row r="20" spans="2:14" ht="14" x14ac:dyDescent="0.25">
      <c r="B20" s="147" t="s">
        <v>782</v>
      </c>
      <c r="C20" s="330">
        <f>'F9.1'!Q50</f>
        <v>462.65137729999998</v>
      </c>
      <c r="D20" s="330">
        <f>'F9.1'!Q47</f>
        <v>4.2399999993811974</v>
      </c>
      <c r="E20" s="330">
        <f>'F9.1'!Q57</f>
        <v>0</v>
      </c>
      <c r="F20" s="330">
        <f>'F9.1'!Q49</f>
        <v>0.25860325406544121</v>
      </c>
      <c r="G20" s="1199">
        <f>'F9.1'!Q45</f>
        <v>2482.3987550000002</v>
      </c>
      <c r="H20" s="330"/>
      <c r="I20" s="330"/>
      <c r="J20" s="330">
        <f>C20</f>
        <v>462.65137729999998</v>
      </c>
      <c r="K20" s="330">
        <f>'F9.1'!Q51</f>
        <v>1266.0233650999999</v>
      </c>
      <c r="L20" s="333">
        <f>SUM('F9.1'!Q53:Q55)</f>
        <v>-2.0110039999999993</v>
      </c>
      <c r="M20" s="330">
        <f>'F9.1'!Q52</f>
        <v>64.195639593099997</v>
      </c>
      <c r="N20" s="330">
        <f>SUM(J20:M20)</f>
        <v>1790.8593779930998</v>
      </c>
    </row>
    <row r="21" spans="2:14" ht="14" x14ac:dyDescent="0.25">
      <c r="B21" s="107"/>
      <c r="C21" s="330"/>
      <c r="D21" s="330"/>
      <c r="E21" s="330"/>
      <c r="F21" s="330"/>
      <c r="G21" s="330"/>
      <c r="H21" s="330"/>
      <c r="I21" s="330"/>
      <c r="J21" s="330"/>
      <c r="K21" s="330"/>
      <c r="L21" s="330"/>
      <c r="M21" s="330"/>
      <c r="N21" s="330"/>
    </row>
    <row r="22" spans="2:14" ht="14" x14ac:dyDescent="0.25">
      <c r="B22" s="107" t="s">
        <v>270</v>
      </c>
      <c r="C22" s="353"/>
      <c r="D22" s="353"/>
      <c r="E22" s="353"/>
      <c r="F22" s="353"/>
      <c r="G22" s="353">
        <f>SUM(G19:G21)</f>
        <v>2482.3987550000002</v>
      </c>
      <c r="H22" s="353"/>
      <c r="I22" s="353"/>
      <c r="J22" s="353">
        <f>SUM(J19:J21)</f>
        <v>462.65137729999998</v>
      </c>
      <c r="K22" s="353">
        <f>SUM(K19:K21)</f>
        <v>1266.0233650999999</v>
      </c>
      <c r="L22" s="353">
        <f>SUM(L19:L21)</f>
        <v>-2.0110039999999993</v>
      </c>
      <c r="M22" s="353">
        <f>SUM(M19:M21)</f>
        <v>64.195639593099997</v>
      </c>
      <c r="N22" s="353">
        <f>SUM(N19:N21)</f>
        <v>1790.8593779930998</v>
      </c>
    </row>
    <row r="23" spans="2:14" x14ac:dyDescent="0.25">
      <c r="B23" s="77"/>
      <c r="C23" s="78"/>
      <c r="D23" s="78"/>
      <c r="E23" s="78"/>
      <c r="F23" s="78"/>
      <c r="G23" s="78"/>
      <c r="H23" s="78"/>
      <c r="I23" s="78"/>
      <c r="J23" s="78"/>
      <c r="K23" s="78"/>
      <c r="L23" s="78"/>
      <c r="M23" s="78"/>
      <c r="N23" s="78"/>
    </row>
    <row r="24" spans="2:14" ht="14" x14ac:dyDescent="0.3">
      <c r="B24" s="751" t="s">
        <v>978</v>
      </c>
    </row>
    <row r="25" spans="2:14" ht="14" x14ac:dyDescent="0.3">
      <c r="B25" s="53" t="s">
        <v>12</v>
      </c>
      <c r="N25" s="75" t="s">
        <v>10</v>
      </c>
    </row>
    <row r="26" spans="2:14" ht="30.75" customHeight="1" x14ac:dyDescent="0.25">
      <c r="B26" s="1970" t="s">
        <v>277</v>
      </c>
      <c r="C26" s="1794" t="s">
        <v>293</v>
      </c>
      <c r="D26" s="1794"/>
      <c r="E26" s="1794"/>
      <c r="F26" s="1794"/>
      <c r="G26" s="1792" t="s">
        <v>294</v>
      </c>
      <c r="H26" s="1792"/>
      <c r="I26" s="1792"/>
      <c r="J26" s="1971" t="s">
        <v>295</v>
      </c>
      <c r="K26" s="1971"/>
      <c r="L26" s="1971"/>
      <c r="M26" s="1971"/>
      <c r="N26" s="1971"/>
    </row>
    <row r="27" spans="2:14" ht="70.25" customHeight="1" x14ac:dyDescent="0.25">
      <c r="B27" s="1970"/>
      <c r="C27" s="304" t="s">
        <v>346</v>
      </c>
      <c r="D27" s="304" t="s">
        <v>344</v>
      </c>
      <c r="E27" s="304" t="s">
        <v>743</v>
      </c>
      <c r="F27" s="304" t="s">
        <v>345</v>
      </c>
      <c r="G27" s="304" t="s">
        <v>296</v>
      </c>
      <c r="H27" s="304" t="s">
        <v>744</v>
      </c>
      <c r="I27" s="304" t="s">
        <v>297</v>
      </c>
      <c r="J27" s="304" t="s">
        <v>298</v>
      </c>
      <c r="K27" s="304" t="s">
        <v>299</v>
      </c>
      <c r="L27" s="304" t="s">
        <v>745</v>
      </c>
      <c r="M27" s="304" t="s">
        <v>746</v>
      </c>
      <c r="N27" s="305" t="s">
        <v>270</v>
      </c>
    </row>
    <row r="28" spans="2:14" x14ac:dyDescent="0.25">
      <c r="B28" s="110"/>
      <c r="C28" s="111"/>
      <c r="D28" s="111"/>
      <c r="E28" s="111"/>
      <c r="F28" s="111"/>
      <c r="G28" s="111"/>
      <c r="H28" s="111"/>
      <c r="I28" s="111"/>
      <c r="J28" s="111"/>
      <c r="K28" s="111"/>
      <c r="L28" s="111"/>
      <c r="M28" s="111"/>
      <c r="N28" s="112"/>
    </row>
    <row r="29" spans="2:14" ht="14" x14ac:dyDescent="0.25">
      <c r="B29" s="147" t="s">
        <v>1557</v>
      </c>
      <c r="C29" s="1199">
        <v>216.91513079999999</v>
      </c>
      <c r="D29" s="1199">
        <f>K29/G29*10</f>
        <v>3.9674123597751958</v>
      </c>
      <c r="E29" s="113"/>
      <c r="F29" s="1200">
        <f>M29/G29*10</f>
        <v>1.8327157446044129E-2</v>
      </c>
      <c r="G29" s="1201">
        <f>SUM('F8'!C26:H26)</f>
        <v>1371.926671881522</v>
      </c>
      <c r="H29" s="113"/>
      <c r="I29" s="113"/>
      <c r="J29" s="332">
        <f>C29</f>
        <v>216.91513079999999</v>
      </c>
      <c r="K29" s="332">
        <v>544.29988347280005</v>
      </c>
      <c r="L29" s="113"/>
      <c r="M29" s="331">
        <v>2.5143516119999978</v>
      </c>
      <c r="N29" s="332">
        <f>SUM(J29:M29)</f>
        <v>763.72936588480013</v>
      </c>
    </row>
    <row r="30" spans="2:14" ht="14" x14ac:dyDescent="0.25">
      <c r="B30" s="147" t="s">
        <v>1558</v>
      </c>
      <c r="C30" s="1199">
        <v>241.08825422147166</v>
      </c>
      <c r="D30" s="1199">
        <v>5.0960049654743802</v>
      </c>
      <c r="E30" s="113"/>
      <c r="F30" s="113"/>
      <c r="G30" s="1199">
        <f>SUM('F8'!I26:N26)</f>
        <v>1671.2539163098143</v>
      </c>
      <c r="H30" s="113"/>
      <c r="I30" s="113"/>
      <c r="J30" s="332">
        <f>C30</f>
        <v>241.08825422147166</v>
      </c>
      <c r="K30" s="1199">
        <f>D30*G30/10</f>
        <v>851.67182560833169</v>
      </c>
      <c r="L30" s="113"/>
      <c r="M30" s="113"/>
      <c r="N30" s="332">
        <f>SUM(J30:M30)</f>
        <v>1092.7600798298033</v>
      </c>
    </row>
    <row r="31" spans="2:14" ht="14" x14ac:dyDescent="0.25">
      <c r="B31" s="147" t="s">
        <v>270</v>
      </c>
      <c r="C31" s="1202">
        <f>SUM(C29:C30)</f>
        <v>458.00338502147167</v>
      </c>
      <c r="D31" s="1202"/>
      <c r="E31" s="1202"/>
      <c r="F31" s="1202"/>
      <c r="G31" s="1202">
        <f>SUM(G28:G30)</f>
        <v>3043.180588191336</v>
      </c>
      <c r="H31" s="1202"/>
      <c r="I31" s="1202"/>
      <c r="J31" s="1202">
        <f t="shared" ref="J31:N31" si="1">SUM(J29:J30)</f>
        <v>458.00338502147167</v>
      </c>
      <c r="K31" s="1202">
        <f t="shared" si="1"/>
        <v>1395.9717090811318</v>
      </c>
      <c r="L31" s="1202">
        <f t="shared" si="1"/>
        <v>0</v>
      </c>
      <c r="M31" s="1202">
        <f t="shared" si="1"/>
        <v>2.5143516119999978</v>
      </c>
      <c r="N31" s="1202">
        <f t="shared" si="1"/>
        <v>1856.4894457146033</v>
      </c>
    </row>
    <row r="32" spans="2:14" x14ac:dyDescent="0.25">
      <c r="K32" s="589">
        <f>K31-'F2.2'!N155</f>
        <v>-113.04741393621998</v>
      </c>
    </row>
    <row r="37" spans="6:6" x14ac:dyDescent="0.25">
      <c r="F37" s="74" t="s">
        <v>957</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60"/>
  <sheetViews>
    <sheetView showGridLines="0" view="pageBreakPreview" zoomScale="70" zoomScaleNormal="80" zoomScaleSheetLayoutView="70" workbookViewId="0">
      <pane xSplit="4" ySplit="4" topLeftCell="G34" activePane="bottomRight" state="frozen"/>
      <selection activeCell="S39" sqref="S39"/>
      <selection pane="topRight" activeCell="S39" sqref="S39"/>
      <selection pane="bottomLeft" activeCell="S39" sqref="S39"/>
      <selection pane="bottomRight" activeCell="S39" sqref="S39"/>
    </sheetView>
  </sheetViews>
  <sheetFormatPr defaultColWidth="9.36328125" defaultRowHeight="13" x14ac:dyDescent="0.25"/>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88" customFormat="1" x14ac:dyDescent="0.3">
      <c r="B1" s="187"/>
    </row>
    <row r="2" spans="2:19" s="188" customFormat="1" ht="14" x14ac:dyDescent="0.3">
      <c r="C2" s="201"/>
      <c r="D2" s="189"/>
      <c r="E2" s="189"/>
      <c r="F2" s="15" t="str">
        <f>Index!B2</f>
        <v xml:space="preserve">      Maharashtra State Power Generation Company Ltd.</v>
      </c>
      <c r="G2" s="189"/>
      <c r="H2" s="189"/>
      <c r="I2" s="189"/>
      <c r="J2" s="189"/>
      <c r="K2" s="189"/>
      <c r="L2" s="189"/>
      <c r="M2" s="189"/>
    </row>
    <row r="3" spans="2:19" s="188" customFormat="1" ht="14" x14ac:dyDescent="0.3">
      <c r="C3" s="202"/>
      <c r="D3" s="190"/>
      <c r="E3" s="190"/>
      <c r="F3" s="15" t="str">
        <f>Index!B3</f>
        <v>MYT Petition Formats for Parli Units 6 &amp; 7</v>
      </c>
      <c r="G3" s="190"/>
      <c r="H3" s="190"/>
      <c r="I3" s="190"/>
      <c r="J3" s="190"/>
      <c r="K3" s="190"/>
      <c r="L3" s="190"/>
      <c r="M3" s="189"/>
    </row>
    <row r="4" spans="2:19" s="188" customFormat="1" ht="14" x14ac:dyDescent="0.3">
      <c r="C4" s="203"/>
      <c r="D4" s="191"/>
      <c r="E4" s="191"/>
      <c r="F4" s="17" t="s">
        <v>437</v>
      </c>
      <c r="G4" s="191"/>
      <c r="H4" s="191"/>
      <c r="I4" s="191"/>
      <c r="J4" s="191"/>
      <c r="K4" s="191"/>
      <c r="L4" s="191"/>
      <c r="M4" s="191"/>
    </row>
    <row r="6" spans="2:19" x14ac:dyDescent="0.25">
      <c r="B6" s="285" t="s">
        <v>1008</v>
      </c>
      <c r="C6" s="285" t="s">
        <v>506</v>
      </c>
    </row>
    <row r="7" spans="2:19" ht="26" x14ac:dyDescent="0.25">
      <c r="B7" s="192" t="s">
        <v>424</v>
      </c>
      <c r="C7" s="192" t="s">
        <v>36</v>
      </c>
      <c r="D7" s="192" t="s">
        <v>93</v>
      </c>
      <c r="E7" s="720" t="s">
        <v>278</v>
      </c>
      <c r="F7" s="720" t="s">
        <v>279</v>
      </c>
      <c r="G7" s="106" t="s">
        <v>280</v>
      </c>
      <c r="H7" s="106" t="s">
        <v>281</v>
      </c>
      <c r="I7" s="106" t="s">
        <v>282</v>
      </c>
      <c r="J7" s="106" t="s">
        <v>283</v>
      </c>
      <c r="K7" s="106" t="s">
        <v>284</v>
      </c>
      <c r="L7" s="106" t="s">
        <v>285</v>
      </c>
      <c r="M7" s="106" t="s">
        <v>286</v>
      </c>
      <c r="N7" s="106" t="s">
        <v>287</v>
      </c>
      <c r="O7" s="106" t="s">
        <v>288</v>
      </c>
      <c r="P7" s="106" t="s">
        <v>289</v>
      </c>
      <c r="Q7" s="193" t="s">
        <v>270</v>
      </c>
      <c r="R7" s="311"/>
    </row>
    <row r="8" spans="2:19" x14ac:dyDescent="0.25">
      <c r="B8" s="194">
        <v>1</v>
      </c>
      <c r="C8" s="195" t="s">
        <v>361</v>
      </c>
      <c r="D8" s="194" t="s">
        <v>98</v>
      </c>
      <c r="E8" s="780">
        <v>0.85</v>
      </c>
      <c r="F8" s="780">
        <v>0.85</v>
      </c>
      <c r="G8" s="780">
        <v>0.85</v>
      </c>
      <c r="H8" s="780">
        <v>0.85</v>
      </c>
      <c r="I8" s="780">
        <v>0.85</v>
      </c>
      <c r="J8" s="780">
        <v>0.85</v>
      </c>
      <c r="K8" s="780">
        <v>0.85</v>
      </c>
      <c r="L8" s="780">
        <v>0.85</v>
      </c>
      <c r="M8" s="780">
        <v>0.85</v>
      </c>
      <c r="N8" s="780">
        <v>0.85</v>
      </c>
      <c r="O8" s="780">
        <v>0.85</v>
      </c>
      <c r="P8" s="780">
        <v>0.85</v>
      </c>
      <c r="Q8" s="780">
        <f>AVERAGE(G8:P8)</f>
        <v>0.84999999999999987</v>
      </c>
      <c r="R8" s="311"/>
      <c r="S8" s="312"/>
    </row>
    <row r="9" spans="2:19" x14ac:dyDescent="0.25">
      <c r="B9" s="194">
        <f>B8+1</f>
        <v>2</v>
      </c>
      <c r="C9" s="195" t="s">
        <v>425</v>
      </c>
      <c r="D9" s="194" t="s">
        <v>98</v>
      </c>
      <c r="E9" s="571"/>
      <c r="F9" s="571"/>
      <c r="G9" s="571"/>
      <c r="H9" s="571"/>
      <c r="I9" s="571"/>
      <c r="J9" s="571"/>
      <c r="K9" s="571"/>
      <c r="L9" s="571"/>
      <c r="M9" s="571"/>
      <c r="N9" s="571"/>
      <c r="O9" s="571"/>
      <c r="P9" s="571"/>
      <c r="Q9" s="1459"/>
    </row>
    <row r="10" spans="2:19" x14ac:dyDescent="0.25">
      <c r="B10" s="194">
        <f>B9+1</f>
        <v>3</v>
      </c>
      <c r="C10" s="195" t="s">
        <v>426</v>
      </c>
      <c r="D10" s="194" t="s">
        <v>98</v>
      </c>
      <c r="E10" s="570"/>
      <c r="F10" s="570"/>
      <c r="G10" s="570"/>
      <c r="H10" s="570"/>
      <c r="I10" s="570"/>
      <c r="J10" s="570"/>
      <c r="K10" s="570"/>
      <c r="L10" s="570"/>
      <c r="M10" s="570"/>
      <c r="N10" s="570"/>
      <c r="O10" s="570"/>
      <c r="P10" s="570"/>
      <c r="Q10" s="780"/>
    </row>
    <row r="11" spans="2:19" x14ac:dyDescent="0.25">
      <c r="B11" s="194">
        <f t="shared" ref="B11:B29" si="0">B10+1</f>
        <v>4</v>
      </c>
      <c r="C11" s="195" t="s">
        <v>99</v>
      </c>
      <c r="D11" s="194" t="s">
        <v>98</v>
      </c>
      <c r="E11" s="780">
        <v>0.85</v>
      </c>
      <c r="F11" s="780">
        <v>0.85</v>
      </c>
      <c r="G11" s="780">
        <v>0.85</v>
      </c>
      <c r="H11" s="780">
        <v>0.85</v>
      </c>
      <c r="I11" s="780">
        <v>0.85</v>
      </c>
      <c r="J11" s="780">
        <v>0.85</v>
      </c>
      <c r="K11" s="780">
        <v>0.85</v>
      </c>
      <c r="L11" s="780">
        <v>0.85</v>
      </c>
      <c r="M11" s="780">
        <v>0.85</v>
      </c>
      <c r="N11" s="780">
        <v>0.85</v>
      </c>
      <c r="O11" s="780">
        <v>0.85</v>
      </c>
      <c r="P11" s="780">
        <v>0.85</v>
      </c>
      <c r="Q11" s="780">
        <f>AVERAGE(G11:P11)</f>
        <v>0.84999999999999987</v>
      </c>
    </row>
    <row r="12" spans="2:19" x14ac:dyDescent="0.25">
      <c r="B12" s="194">
        <f t="shared" si="0"/>
        <v>5</v>
      </c>
      <c r="C12" s="195" t="s">
        <v>427</v>
      </c>
      <c r="D12" s="194" t="s">
        <v>98</v>
      </c>
      <c r="E12" s="570"/>
      <c r="F12" s="570"/>
      <c r="G12" s="570"/>
      <c r="H12" s="570"/>
      <c r="I12" s="570"/>
      <c r="J12" s="570"/>
      <c r="K12" s="570"/>
      <c r="L12" s="570"/>
      <c r="M12" s="570"/>
      <c r="N12" s="570"/>
      <c r="O12" s="570"/>
      <c r="P12" s="570"/>
      <c r="Q12" s="570"/>
    </row>
    <row r="13" spans="2:19" x14ac:dyDescent="0.25">
      <c r="B13" s="194">
        <v>6</v>
      </c>
      <c r="C13" s="195" t="s">
        <v>737</v>
      </c>
      <c r="D13" s="194" t="s">
        <v>98</v>
      </c>
      <c r="E13" s="570"/>
      <c r="F13" s="570"/>
      <c r="G13" s="570"/>
      <c r="H13" s="570"/>
      <c r="I13" s="570"/>
      <c r="J13" s="570"/>
      <c r="K13" s="570"/>
      <c r="L13" s="570"/>
      <c r="M13" s="570"/>
      <c r="N13" s="570"/>
      <c r="O13" s="570"/>
      <c r="P13" s="570"/>
      <c r="Q13" s="570"/>
    </row>
    <row r="14" spans="2:19" x14ac:dyDescent="0.25">
      <c r="B14" s="194">
        <v>7</v>
      </c>
      <c r="C14" s="195" t="s">
        <v>428</v>
      </c>
      <c r="D14" s="194" t="s">
        <v>98</v>
      </c>
      <c r="E14" s="570"/>
      <c r="F14" s="570"/>
      <c r="G14" s="570"/>
      <c r="H14" s="570"/>
      <c r="I14" s="570"/>
      <c r="J14" s="570"/>
      <c r="K14" s="570"/>
      <c r="L14" s="570"/>
      <c r="M14" s="570"/>
      <c r="N14" s="570"/>
      <c r="O14" s="570"/>
      <c r="P14" s="570"/>
      <c r="Q14" s="570"/>
    </row>
    <row r="15" spans="2:19" x14ac:dyDescent="0.25">
      <c r="B15" s="194">
        <f t="shared" si="0"/>
        <v>8</v>
      </c>
      <c r="C15" s="196" t="s">
        <v>429</v>
      </c>
      <c r="D15" s="199" t="s">
        <v>100</v>
      </c>
      <c r="E15" s="487">
        <v>256.14999999999998</v>
      </c>
      <c r="F15" s="487">
        <v>233.61</v>
      </c>
      <c r="G15" s="487">
        <v>257.09100000000001</v>
      </c>
      <c r="H15" s="487">
        <v>248.31899999999999</v>
      </c>
      <c r="I15" s="487">
        <v>248.11</v>
      </c>
      <c r="J15" s="487">
        <v>241.072</v>
      </c>
      <c r="K15" s="487">
        <v>190.92500000000001</v>
      </c>
      <c r="L15" s="487">
        <v>224.81399999999999</v>
      </c>
      <c r="M15" s="487">
        <v>278.54899999999998</v>
      </c>
      <c r="N15" s="487">
        <v>141.416</v>
      </c>
      <c r="O15" s="487">
        <v>196.136</v>
      </c>
      <c r="P15" s="487">
        <v>279.65499999999997</v>
      </c>
      <c r="Q15" s="487">
        <f>SUM(E15:P15)</f>
        <v>2795.8469999999998</v>
      </c>
    </row>
    <row r="16" spans="2:19" x14ac:dyDescent="0.25">
      <c r="B16" s="194">
        <f t="shared" si="0"/>
        <v>9</v>
      </c>
      <c r="C16" s="196" t="s">
        <v>430</v>
      </c>
      <c r="D16" s="199" t="s">
        <v>100</v>
      </c>
      <c r="E16" s="487">
        <v>29.07</v>
      </c>
      <c r="F16" s="487">
        <v>27.4</v>
      </c>
      <c r="G16" s="487">
        <v>28.800899999999999</v>
      </c>
      <c r="H16" s="487">
        <v>28.920999999999999</v>
      </c>
      <c r="I16" s="487">
        <v>29</v>
      </c>
      <c r="J16" s="487">
        <v>28.172000000000001</v>
      </c>
      <c r="K16" s="487">
        <v>24.434999999999999</v>
      </c>
      <c r="L16" s="487">
        <v>11.981015417189321</v>
      </c>
      <c r="M16" s="487">
        <v>30.832999999999998</v>
      </c>
      <c r="N16" s="487">
        <v>17.791</v>
      </c>
      <c r="O16" s="487">
        <v>22.433</v>
      </c>
      <c r="P16" s="487">
        <v>29.965</v>
      </c>
      <c r="Q16" s="487">
        <f>SUM(E16:P16)</f>
        <v>308.80191541718932</v>
      </c>
    </row>
    <row r="17" spans="2:19" x14ac:dyDescent="0.25">
      <c r="B17" s="194">
        <f t="shared" si="0"/>
        <v>10</v>
      </c>
      <c r="C17" s="196" t="s">
        <v>471</v>
      </c>
      <c r="D17" s="199" t="s">
        <v>100</v>
      </c>
      <c r="E17" s="487">
        <v>226.58032399999999</v>
      </c>
      <c r="F17" s="487">
        <v>207.16168500000001</v>
      </c>
      <c r="G17" s="487">
        <v>227.01225600000001</v>
      </c>
      <c r="H17" s="487">
        <v>215.68315899999999</v>
      </c>
      <c r="I17" s="487">
        <v>214.51800600000001</v>
      </c>
      <c r="J17" s="487">
        <v>209.49528799999999</v>
      </c>
      <c r="K17" s="487">
        <v>165.64251200000001</v>
      </c>
      <c r="L17" s="487">
        <v>194.96745200000001</v>
      </c>
      <c r="M17" s="487">
        <v>245.29588899999999</v>
      </c>
      <c r="N17" s="487">
        <v>122.81415800000001</v>
      </c>
      <c r="O17" s="487">
        <v>176.87279899999999</v>
      </c>
      <c r="P17" s="487">
        <v>250.31307000000001</v>
      </c>
      <c r="Q17" s="487">
        <f>SUM(E17:P17)</f>
        <v>2456.3565980000003</v>
      </c>
    </row>
    <row r="18" spans="2:19" x14ac:dyDescent="0.25">
      <c r="B18" s="194">
        <f t="shared" si="0"/>
        <v>11</v>
      </c>
      <c r="C18" s="196" t="s">
        <v>476</v>
      </c>
      <c r="D18" s="199" t="s">
        <v>100</v>
      </c>
      <c r="E18" s="487"/>
      <c r="F18" s="487"/>
      <c r="G18" s="487"/>
      <c r="H18" s="487"/>
      <c r="I18" s="487"/>
      <c r="J18" s="487"/>
      <c r="K18" s="487"/>
      <c r="L18" s="487"/>
      <c r="M18" s="487"/>
      <c r="N18" s="487"/>
      <c r="O18" s="487"/>
      <c r="P18" s="487"/>
      <c r="Q18" s="487">
        <f>SUM(E18:P18)</f>
        <v>0</v>
      </c>
    </row>
    <row r="19" spans="2:19" x14ac:dyDescent="0.25">
      <c r="B19" s="194">
        <f t="shared" si="0"/>
        <v>12</v>
      </c>
      <c r="C19" s="196" t="s">
        <v>431</v>
      </c>
      <c r="D19" s="199" t="s">
        <v>440</v>
      </c>
      <c r="E19" s="487">
        <f>E23/E17*10</f>
        <v>4.2400000010592276</v>
      </c>
      <c r="F19" s="487">
        <f t="shared" ref="F19:P19" si="1">F23/F17*10</f>
        <v>4.2399999980691412</v>
      </c>
      <c r="G19" s="487">
        <f t="shared" si="1"/>
        <v>4.2399999980617782</v>
      </c>
      <c r="H19" s="487">
        <f t="shared" si="1"/>
        <v>4.2399999992581714</v>
      </c>
      <c r="I19" s="487">
        <f t="shared" si="1"/>
        <v>4.2399999979488898</v>
      </c>
      <c r="J19" s="487">
        <f t="shared" si="1"/>
        <v>4.2399999994271953</v>
      </c>
      <c r="K19" s="487">
        <f t="shared" si="1"/>
        <v>4.2400000007244518</v>
      </c>
      <c r="L19" s="487">
        <f t="shared" si="1"/>
        <v>4.2399999975380505</v>
      </c>
      <c r="M19" s="487">
        <f t="shared" si="1"/>
        <v>4.2399999985323857</v>
      </c>
      <c r="N19" s="487">
        <f t="shared" si="1"/>
        <v>4.2400000006513912</v>
      </c>
      <c r="O19" s="487">
        <f t="shared" si="1"/>
        <v>4.2400000013569077</v>
      </c>
      <c r="P19" s="487">
        <f t="shared" si="1"/>
        <v>4.2400000007989993</v>
      </c>
      <c r="Q19" s="487">
        <f>Q23/Q17*10</f>
        <v>4.2399999993811974</v>
      </c>
    </row>
    <row r="20" spans="2:19" x14ac:dyDescent="0.25">
      <c r="B20" s="194">
        <f t="shared" si="0"/>
        <v>13</v>
      </c>
      <c r="C20" s="196" t="s">
        <v>477</v>
      </c>
      <c r="D20" s="199" t="s">
        <v>441</v>
      </c>
      <c r="E20" s="487">
        <v>35.337669599999998</v>
      </c>
      <c r="F20" s="487">
        <v>35.337669599999998</v>
      </c>
      <c r="G20" s="487">
        <v>35.337669599999998</v>
      </c>
      <c r="H20" s="487">
        <v>35.337669599999998</v>
      </c>
      <c r="I20" s="487">
        <v>35.337669599999998</v>
      </c>
      <c r="J20" s="487">
        <v>35.337669599999998</v>
      </c>
      <c r="K20" s="487">
        <v>35.337669599999998</v>
      </c>
      <c r="L20" s="487">
        <v>35.337669599999998</v>
      </c>
      <c r="M20" s="487">
        <v>35.337669599999998</v>
      </c>
      <c r="N20" s="487">
        <v>35.337669599999998</v>
      </c>
      <c r="O20" s="487">
        <v>35.337669599999998</v>
      </c>
      <c r="P20" s="487">
        <v>35.337669599999998</v>
      </c>
      <c r="Q20" s="487">
        <f>SUM(E20:P20)</f>
        <v>424.05203520000009</v>
      </c>
    </row>
    <row r="21" spans="2:19" x14ac:dyDescent="0.25">
      <c r="B21" s="194">
        <f t="shared" si="0"/>
        <v>14</v>
      </c>
      <c r="C21" s="196" t="s">
        <v>478</v>
      </c>
      <c r="D21" s="199" t="s">
        <v>440</v>
      </c>
      <c r="E21" s="487">
        <f>E24*10/E17</f>
        <v>-0.36000000000000032</v>
      </c>
      <c r="F21" s="487">
        <f t="shared" ref="F21:P21" si="2">F24*10/F17</f>
        <v>3.7999999999999368E-2</v>
      </c>
      <c r="G21" s="487">
        <f t="shared" si="2"/>
        <v>-2.3000000000000579E-2</v>
      </c>
      <c r="H21" s="487">
        <f t="shared" si="2"/>
        <v>0.11699999999999999</v>
      </c>
      <c r="I21" s="487">
        <f t="shared" si="2"/>
        <v>0.86700000000000021</v>
      </c>
      <c r="J21" s="487">
        <f t="shared" si="2"/>
        <v>1.2269999999999994</v>
      </c>
      <c r="K21" s="487">
        <f t="shared" si="2"/>
        <v>1.0899999999999996</v>
      </c>
      <c r="L21" s="487">
        <f t="shared" si="2"/>
        <v>0.91800000000000026</v>
      </c>
      <c r="M21" s="487">
        <f t="shared" si="2"/>
        <v>0.44899999999999984</v>
      </c>
      <c r="N21" s="487">
        <f t="shared" si="2"/>
        <v>0.4489999999999999</v>
      </c>
      <c r="O21" s="487">
        <f t="shared" si="2"/>
        <v>0.60799999999999954</v>
      </c>
      <c r="P21" s="487">
        <f t="shared" si="2"/>
        <v>0.64400000000000002</v>
      </c>
      <c r="Q21" s="487">
        <f>Q24*10/Q17</f>
        <v>0.4815696770725954</v>
      </c>
    </row>
    <row r="22" spans="2:19" x14ac:dyDescent="0.25">
      <c r="B22" s="194">
        <f t="shared" si="0"/>
        <v>15</v>
      </c>
      <c r="C22" s="196" t="s">
        <v>432</v>
      </c>
      <c r="D22" s="199" t="s">
        <v>441</v>
      </c>
      <c r="E22" s="487">
        <v>31.766367499999998</v>
      </c>
      <c r="F22" s="487">
        <v>30.027363700000002</v>
      </c>
      <c r="G22" s="487">
        <v>36.805373000000003</v>
      </c>
      <c r="H22" s="487">
        <v>33.057746900000005</v>
      </c>
      <c r="I22" s="487">
        <v>31.136716400000001</v>
      </c>
      <c r="J22" s="487">
        <v>33.5027197</v>
      </c>
      <c r="K22" s="487">
        <v>36.347056100000003</v>
      </c>
      <c r="L22" s="487">
        <v>35.760430999999997</v>
      </c>
      <c r="M22" s="487">
        <v>41.125082599999999</v>
      </c>
      <c r="N22" s="487">
        <v>21.045532499999993</v>
      </c>
      <c r="O22" s="487">
        <v>30.398858700000002</v>
      </c>
      <c r="P22" s="487">
        <v>43.2003396</v>
      </c>
      <c r="Q22" s="487">
        <f>SUM(E22:P22)</f>
        <v>404.17358769999998</v>
      </c>
    </row>
    <row r="23" spans="2:19" x14ac:dyDescent="0.25">
      <c r="B23" s="194">
        <f t="shared" si="0"/>
        <v>16</v>
      </c>
      <c r="C23" s="196" t="s">
        <v>433</v>
      </c>
      <c r="D23" s="199" t="s">
        <v>441</v>
      </c>
      <c r="E23" s="487">
        <v>96.07005740000001</v>
      </c>
      <c r="F23" s="487">
        <v>87.836554400000011</v>
      </c>
      <c r="G23" s="487">
        <v>96.253196500000001</v>
      </c>
      <c r="H23" s="487">
        <v>91.449659400000002</v>
      </c>
      <c r="I23" s="487">
        <v>90.955634500000002</v>
      </c>
      <c r="J23" s="487">
        <v>88.826002100000011</v>
      </c>
      <c r="K23" s="487">
        <v>70.2324251</v>
      </c>
      <c r="L23" s="487">
        <v>82.666199599999999</v>
      </c>
      <c r="M23" s="487">
        <v>104.00545690000001</v>
      </c>
      <c r="N23" s="487">
        <v>52.073203000000007</v>
      </c>
      <c r="O23" s="487">
        <v>74.994066799999999</v>
      </c>
      <c r="P23" s="487">
        <v>106.13274170000001</v>
      </c>
      <c r="Q23" s="487">
        <f t="shared" ref="Q23:Q29" si="3">SUM(E23:P23)</f>
        <v>1041.4951974000001</v>
      </c>
    </row>
    <row r="24" spans="2:19" x14ac:dyDescent="0.25">
      <c r="B24" s="194">
        <f t="shared" si="0"/>
        <v>17</v>
      </c>
      <c r="C24" s="196" t="s">
        <v>479</v>
      </c>
      <c r="D24" s="199" t="s">
        <v>441</v>
      </c>
      <c r="E24" s="487">
        <v>-8.1568916640000069</v>
      </c>
      <c r="F24" s="487">
        <v>0.78721440299998691</v>
      </c>
      <c r="G24" s="487">
        <v>-0.5221281888000131</v>
      </c>
      <c r="H24" s="487">
        <v>2.5234929602999996</v>
      </c>
      <c r="I24" s="487">
        <v>18.598711120200004</v>
      </c>
      <c r="J24" s="487">
        <v>25.705071837599984</v>
      </c>
      <c r="K24" s="487">
        <v>18.055033807999997</v>
      </c>
      <c r="L24" s="487">
        <v>17.898012093600006</v>
      </c>
      <c r="M24" s="487">
        <v>11.013785416099996</v>
      </c>
      <c r="N24" s="487">
        <v>5.5143556941999989</v>
      </c>
      <c r="O24" s="487">
        <v>10.753866179199992</v>
      </c>
      <c r="P24" s="487">
        <v>16.120161708000001</v>
      </c>
      <c r="Q24" s="487">
        <f t="shared" si="3"/>
        <v>118.29068536739993</v>
      </c>
    </row>
    <row r="25" spans="2:19" x14ac:dyDescent="0.25">
      <c r="B25" s="194">
        <f t="shared" si="0"/>
        <v>18</v>
      </c>
      <c r="C25" s="196" t="s">
        <v>434</v>
      </c>
      <c r="D25" s="199" t="s">
        <v>441</v>
      </c>
      <c r="E25" s="487"/>
      <c r="F25" s="487"/>
      <c r="G25" s="487"/>
      <c r="H25" s="487"/>
      <c r="I25" s="487"/>
      <c r="J25" s="487"/>
      <c r="K25" s="487"/>
      <c r="L25" s="487"/>
      <c r="M25" s="487"/>
      <c r="N25" s="487"/>
      <c r="O25" s="487"/>
      <c r="P25" s="487"/>
      <c r="Q25" s="487">
        <f t="shared" si="3"/>
        <v>0</v>
      </c>
    </row>
    <row r="26" spans="2:19" x14ac:dyDescent="0.25">
      <c r="B26" s="194">
        <f t="shared" si="0"/>
        <v>19</v>
      </c>
      <c r="C26" s="196" t="s">
        <v>855</v>
      </c>
      <c r="D26" s="199" t="s">
        <v>441</v>
      </c>
      <c r="E26" s="487"/>
      <c r="F26" s="487"/>
      <c r="G26" s="487"/>
      <c r="H26" s="487"/>
      <c r="I26" s="487"/>
      <c r="J26" s="487"/>
      <c r="K26" s="487"/>
      <c r="L26" s="487"/>
      <c r="M26" s="487"/>
      <c r="N26" s="487"/>
      <c r="O26" s="487"/>
      <c r="P26" s="487"/>
      <c r="Q26" s="487">
        <f t="shared" si="3"/>
        <v>0</v>
      </c>
    </row>
    <row r="27" spans="2:19" x14ac:dyDescent="0.25">
      <c r="B27" s="194">
        <f t="shared" si="0"/>
        <v>20</v>
      </c>
      <c r="C27" s="488" t="s">
        <v>1020</v>
      </c>
      <c r="D27" s="489" t="s">
        <v>441</v>
      </c>
      <c r="E27" s="487">
        <v>-0.1470480166666667</v>
      </c>
      <c r="F27" s="487">
        <v>-0.1470480166666667</v>
      </c>
      <c r="G27" s="487">
        <v>-0.1470480166666667</v>
      </c>
      <c r="H27" s="487">
        <v>-0.1470480166666667</v>
      </c>
      <c r="I27" s="487">
        <v>-0.1470480166666667</v>
      </c>
      <c r="J27" s="487">
        <v>-0.1470480166666667</v>
      </c>
      <c r="K27" s="487">
        <v>-0.1470480166666667</v>
      </c>
      <c r="L27" s="487">
        <v>-0.1470480166666667</v>
      </c>
      <c r="M27" s="487">
        <v>-0.1470480166666667</v>
      </c>
      <c r="N27" s="487">
        <v>-0.1470480166666667</v>
      </c>
      <c r="O27" s="487">
        <v>-0.1470480166666667</v>
      </c>
      <c r="P27" s="487">
        <v>-0.1470480166666667</v>
      </c>
      <c r="Q27" s="487">
        <f t="shared" si="3"/>
        <v>-1.7645762000000007</v>
      </c>
    </row>
    <row r="28" spans="2:19" x14ac:dyDescent="0.25">
      <c r="B28" s="194">
        <f t="shared" si="0"/>
        <v>21</v>
      </c>
      <c r="C28" s="197" t="s">
        <v>435</v>
      </c>
      <c r="D28" s="199" t="s">
        <v>441</v>
      </c>
      <c r="E28" s="355">
        <f>SUM(E22:E27)</f>
        <v>119.53248521933332</v>
      </c>
      <c r="F28" s="355">
        <f t="shared" ref="F28:Q28" si="4">SUM(F22:F27)</f>
        <v>118.50408448633333</v>
      </c>
      <c r="G28" s="355">
        <f t="shared" si="4"/>
        <v>132.38939329453331</v>
      </c>
      <c r="H28" s="355">
        <f t="shared" si="4"/>
        <v>126.88385124363334</v>
      </c>
      <c r="I28" s="355">
        <f t="shared" si="4"/>
        <v>140.54401400353333</v>
      </c>
      <c r="J28" s="355">
        <f t="shared" si="4"/>
        <v>147.88674562093331</v>
      </c>
      <c r="K28" s="355">
        <f t="shared" si="4"/>
        <v>124.48746699133332</v>
      </c>
      <c r="L28" s="355">
        <f t="shared" si="4"/>
        <v>136.17759467693332</v>
      </c>
      <c r="M28" s="355">
        <f t="shared" si="4"/>
        <v>155.99727689943333</v>
      </c>
      <c r="N28" s="355">
        <f t="shared" si="4"/>
        <v>78.486043177533332</v>
      </c>
      <c r="O28" s="355">
        <f t="shared" si="4"/>
        <v>115.99974366253332</v>
      </c>
      <c r="P28" s="355">
        <f t="shared" si="4"/>
        <v>165.30619499133334</v>
      </c>
      <c r="Q28" s="355">
        <f t="shared" si="4"/>
        <v>1562.1948942674001</v>
      </c>
    </row>
    <row r="29" spans="2:19" x14ac:dyDescent="0.25">
      <c r="B29" s="194">
        <f t="shared" si="0"/>
        <v>22</v>
      </c>
      <c r="C29" s="198" t="s">
        <v>436</v>
      </c>
      <c r="D29" s="199"/>
      <c r="E29" s="487"/>
      <c r="F29" s="487"/>
      <c r="G29" s="487"/>
      <c r="H29" s="487"/>
      <c r="I29" s="487"/>
      <c r="J29" s="487"/>
      <c r="K29" s="487"/>
      <c r="L29" s="487"/>
      <c r="M29" s="487"/>
      <c r="N29" s="487"/>
      <c r="O29" s="487"/>
      <c r="P29" s="487"/>
      <c r="Q29" s="487">
        <f t="shared" si="3"/>
        <v>0</v>
      </c>
    </row>
    <row r="30" spans="2:19" x14ac:dyDescent="0.25">
      <c r="B30" s="194"/>
      <c r="C30" s="196" t="s">
        <v>419</v>
      </c>
      <c r="D30" s="199" t="s">
        <v>441</v>
      </c>
      <c r="E30" s="487"/>
      <c r="F30" s="487"/>
      <c r="G30" s="487"/>
      <c r="H30" s="487"/>
      <c r="I30" s="487"/>
      <c r="J30" s="487"/>
      <c r="K30" s="487"/>
      <c r="L30" s="487"/>
      <c r="M30" s="487"/>
      <c r="N30" s="487"/>
      <c r="O30" s="487"/>
      <c r="P30" s="487"/>
      <c r="Q30" s="487">
        <f t="shared" ref="Q30" si="5">SUM(E30:P30)</f>
        <v>0</v>
      </c>
    </row>
    <row r="31" spans="2:19" x14ac:dyDescent="0.25">
      <c r="B31" s="199">
        <f>B29+1</f>
        <v>23</v>
      </c>
      <c r="C31" s="200" t="s">
        <v>350</v>
      </c>
      <c r="D31" s="199" t="s">
        <v>441</v>
      </c>
      <c r="E31" s="487">
        <f t="shared" ref="E31:P31" si="6">SUM(E28:E30)</f>
        <v>119.53248521933332</v>
      </c>
      <c r="F31" s="487">
        <f t="shared" si="6"/>
        <v>118.50408448633333</v>
      </c>
      <c r="G31" s="487">
        <f t="shared" si="6"/>
        <v>132.38939329453331</v>
      </c>
      <c r="H31" s="487">
        <f t="shared" si="6"/>
        <v>126.88385124363334</v>
      </c>
      <c r="I31" s="487">
        <f t="shared" si="6"/>
        <v>140.54401400353333</v>
      </c>
      <c r="J31" s="487">
        <f t="shared" si="6"/>
        <v>147.88674562093331</v>
      </c>
      <c r="K31" s="487">
        <f t="shared" si="6"/>
        <v>124.48746699133332</v>
      </c>
      <c r="L31" s="487">
        <f t="shared" si="6"/>
        <v>136.17759467693332</v>
      </c>
      <c r="M31" s="487">
        <f t="shared" si="6"/>
        <v>155.99727689943333</v>
      </c>
      <c r="N31" s="487">
        <f t="shared" si="6"/>
        <v>78.486043177533332</v>
      </c>
      <c r="O31" s="487">
        <f t="shared" si="6"/>
        <v>115.99974366253332</v>
      </c>
      <c r="P31" s="487">
        <f t="shared" si="6"/>
        <v>165.30619499133334</v>
      </c>
      <c r="Q31" s="355">
        <f>SUM(Q28:Q30)</f>
        <v>1562.1948942674001</v>
      </c>
      <c r="R31" s="470">
        <f>Q31-'F9'!N13</f>
        <v>0</v>
      </c>
      <c r="S31" s="470"/>
    </row>
    <row r="32" spans="2:19" x14ac:dyDescent="0.25">
      <c r="B32" s="199">
        <f>B31+1</f>
        <v>24</v>
      </c>
      <c r="C32" s="200" t="s">
        <v>442</v>
      </c>
      <c r="D32" s="199" t="s">
        <v>441</v>
      </c>
      <c r="E32" s="487">
        <f t="shared" ref="E32:P32" si="7">E31</f>
        <v>119.53248521933332</v>
      </c>
      <c r="F32" s="487">
        <f t="shared" si="7"/>
        <v>118.50408448633333</v>
      </c>
      <c r="G32" s="487">
        <f t="shared" si="7"/>
        <v>132.38939329453331</v>
      </c>
      <c r="H32" s="487">
        <f t="shared" si="7"/>
        <v>126.88385124363334</v>
      </c>
      <c r="I32" s="487">
        <f t="shared" si="7"/>
        <v>140.54401400353333</v>
      </c>
      <c r="J32" s="487">
        <f t="shared" si="7"/>
        <v>147.88674562093331</v>
      </c>
      <c r="K32" s="487">
        <f t="shared" si="7"/>
        <v>124.48746699133332</v>
      </c>
      <c r="L32" s="487">
        <f t="shared" si="7"/>
        <v>136.17759467693332</v>
      </c>
      <c r="M32" s="487">
        <f t="shared" si="7"/>
        <v>155.99727689943333</v>
      </c>
      <c r="N32" s="487">
        <f t="shared" si="7"/>
        <v>78.486043177533332</v>
      </c>
      <c r="O32" s="487">
        <f t="shared" si="7"/>
        <v>115.99974366253332</v>
      </c>
      <c r="P32" s="487">
        <f t="shared" si="7"/>
        <v>165.30619499133334</v>
      </c>
      <c r="Q32" s="355">
        <f>Q31</f>
        <v>1562.1948942674001</v>
      </c>
    </row>
    <row r="33" spans="2:17" x14ac:dyDescent="0.25">
      <c r="B33" s="737"/>
      <c r="C33" s="738"/>
      <c r="D33" s="737"/>
      <c r="E33" s="739"/>
      <c r="F33" s="739"/>
      <c r="G33" s="739"/>
      <c r="H33" s="739"/>
      <c r="I33" s="739"/>
      <c r="J33" s="739"/>
      <c r="K33" s="739"/>
      <c r="L33" s="739"/>
      <c r="M33" s="739"/>
      <c r="N33" s="739"/>
      <c r="O33" s="739"/>
      <c r="P33" s="739"/>
      <c r="Q33" s="740"/>
    </row>
    <row r="34" spans="2:17" x14ac:dyDescent="0.25">
      <c r="B34" s="204" t="s">
        <v>1008</v>
      </c>
      <c r="C34" s="204" t="s">
        <v>507</v>
      </c>
    </row>
    <row r="35" spans="2:17" ht="26" x14ac:dyDescent="0.25">
      <c r="B35" s="192" t="s">
        <v>424</v>
      </c>
      <c r="C35" s="192" t="s">
        <v>36</v>
      </c>
      <c r="D35" s="192" t="s">
        <v>93</v>
      </c>
      <c r="E35" s="212" t="s">
        <v>278</v>
      </c>
      <c r="F35" s="212" t="s">
        <v>279</v>
      </c>
      <c r="G35" s="106" t="s">
        <v>280</v>
      </c>
      <c r="H35" s="106" t="s">
        <v>281</v>
      </c>
      <c r="I35" s="106" t="s">
        <v>282</v>
      </c>
      <c r="J35" s="106" t="s">
        <v>283</v>
      </c>
      <c r="K35" s="106" t="s">
        <v>284</v>
      </c>
      <c r="L35" s="106" t="s">
        <v>285</v>
      </c>
      <c r="M35" s="106" t="s">
        <v>286</v>
      </c>
      <c r="N35" s="106" t="s">
        <v>287</v>
      </c>
      <c r="O35" s="106" t="s">
        <v>288</v>
      </c>
      <c r="P35" s="106" t="s">
        <v>289</v>
      </c>
      <c r="Q35" s="193" t="s">
        <v>270</v>
      </c>
    </row>
    <row r="36" spans="2:17" x14ac:dyDescent="0.25">
      <c r="B36" s="194">
        <v>1</v>
      </c>
      <c r="C36" s="195" t="s">
        <v>361</v>
      </c>
      <c r="D36" s="194" t="s">
        <v>98</v>
      </c>
      <c r="E36" s="1113">
        <v>0.85</v>
      </c>
      <c r="F36" s="1113">
        <v>0.85</v>
      </c>
      <c r="G36" s="1460">
        <v>0.85</v>
      </c>
      <c r="H36" s="1460">
        <v>0.85</v>
      </c>
      <c r="I36" s="1460">
        <v>0.85</v>
      </c>
      <c r="J36" s="1460">
        <v>0.85</v>
      </c>
      <c r="K36" s="1460">
        <v>0.85</v>
      </c>
      <c r="L36" s="1460">
        <v>0.85</v>
      </c>
      <c r="M36" s="1460">
        <v>0.85</v>
      </c>
      <c r="N36" s="1460">
        <v>0.85</v>
      </c>
      <c r="O36" s="1460">
        <v>0.85</v>
      </c>
      <c r="P36" s="1460">
        <v>0.85</v>
      </c>
      <c r="Q36" s="780">
        <f>AVERAGE(G36:P36)</f>
        <v>0.84999999999999987</v>
      </c>
    </row>
    <row r="37" spans="2:17" x14ac:dyDescent="0.25">
      <c r="B37" s="194">
        <f>B36+1</f>
        <v>2</v>
      </c>
      <c r="C37" s="195" t="s">
        <v>425</v>
      </c>
      <c r="D37" s="194" t="s">
        <v>98</v>
      </c>
      <c r="E37" s="1114"/>
      <c r="F37" s="1114"/>
      <c r="G37" s="1461"/>
      <c r="H37" s="1461"/>
      <c r="I37" s="1461"/>
      <c r="J37" s="1461"/>
      <c r="K37" s="1461"/>
      <c r="L37" s="1461"/>
      <c r="M37" s="1461"/>
      <c r="N37" s="1461"/>
      <c r="O37" s="1461"/>
      <c r="P37" s="1461"/>
      <c r="Q37" s="1459"/>
    </row>
    <row r="38" spans="2:17" x14ac:dyDescent="0.25">
      <c r="B38" s="194">
        <f>B37+1</f>
        <v>3</v>
      </c>
      <c r="C38" s="195" t="s">
        <v>426</v>
      </c>
      <c r="D38" s="194" t="s">
        <v>98</v>
      </c>
      <c r="E38" s="1113"/>
      <c r="F38" s="1113"/>
      <c r="G38" s="1460"/>
      <c r="H38" s="1460"/>
      <c r="I38" s="1460"/>
      <c r="J38" s="1460"/>
      <c r="K38" s="1460"/>
      <c r="L38" s="1460"/>
      <c r="M38" s="1460"/>
      <c r="N38" s="1460"/>
      <c r="O38" s="1460"/>
      <c r="P38" s="1460"/>
      <c r="Q38" s="780"/>
    </row>
    <row r="39" spans="2:17" x14ac:dyDescent="0.25">
      <c r="B39" s="194">
        <f t="shared" ref="B39:B57" si="8">B38+1</f>
        <v>4</v>
      </c>
      <c r="C39" s="195" t="s">
        <v>99</v>
      </c>
      <c r="D39" s="194" t="s">
        <v>98</v>
      </c>
      <c r="E39" s="1113">
        <v>0.85</v>
      </c>
      <c r="F39" s="1113">
        <v>0.85</v>
      </c>
      <c r="G39" s="1460">
        <v>0.85</v>
      </c>
      <c r="H39" s="1460">
        <v>0.85</v>
      </c>
      <c r="I39" s="1460">
        <v>0.85</v>
      </c>
      <c r="J39" s="1460">
        <v>0.85</v>
      </c>
      <c r="K39" s="1460">
        <v>0.85</v>
      </c>
      <c r="L39" s="1460">
        <v>0.85</v>
      </c>
      <c r="M39" s="1460">
        <v>0.85</v>
      </c>
      <c r="N39" s="1460">
        <v>0.85</v>
      </c>
      <c r="O39" s="1460">
        <v>0.85</v>
      </c>
      <c r="P39" s="1460">
        <v>0.85</v>
      </c>
      <c r="Q39" s="780">
        <f>AVERAGE(G39:P39)</f>
        <v>0.84999999999999987</v>
      </c>
    </row>
    <row r="40" spans="2:17" x14ac:dyDescent="0.25">
      <c r="B40" s="194">
        <f t="shared" si="8"/>
        <v>5</v>
      </c>
      <c r="C40" s="195" t="s">
        <v>427</v>
      </c>
      <c r="D40" s="194" t="s">
        <v>98</v>
      </c>
      <c r="E40" s="1113"/>
      <c r="F40" s="1113"/>
      <c r="G40" s="1113"/>
      <c r="H40" s="1113"/>
      <c r="I40" s="1113"/>
      <c r="J40" s="1113"/>
      <c r="K40" s="1113"/>
      <c r="L40" s="1113"/>
      <c r="M40" s="1113"/>
      <c r="N40" s="1113"/>
      <c r="O40" s="1113"/>
      <c r="P40" s="1113"/>
      <c r="Q40" s="570"/>
    </row>
    <row r="41" spans="2:17" x14ac:dyDescent="0.25">
      <c r="B41" s="194">
        <v>6</v>
      </c>
      <c r="C41" s="195" t="s">
        <v>737</v>
      </c>
      <c r="D41" s="194" t="s">
        <v>98</v>
      </c>
      <c r="E41" s="1113"/>
      <c r="F41" s="1113"/>
      <c r="G41" s="1113"/>
      <c r="H41" s="1113"/>
      <c r="I41" s="1113"/>
      <c r="J41" s="1113"/>
      <c r="K41" s="1113"/>
      <c r="L41" s="1113"/>
      <c r="M41" s="1113"/>
      <c r="N41" s="1113"/>
      <c r="O41" s="1113"/>
      <c r="P41" s="1113"/>
      <c r="Q41" s="570"/>
    </row>
    <row r="42" spans="2:17" x14ac:dyDescent="0.25">
      <c r="B42" s="194">
        <v>7</v>
      </c>
      <c r="C42" s="195" t="s">
        <v>428</v>
      </c>
      <c r="D42" s="194" t="s">
        <v>98</v>
      </c>
    </row>
    <row r="43" spans="2:17" x14ac:dyDescent="0.25">
      <c r="B43" s="194">
        <f t="shared" si="8"/>
        <v>8</v>
      </c>
      <c r="C43" s="196" t="s">
        <v>429</v>
      </c>
      <c r="D43" s="199" t="s">
        <v>100</v>
      </c>
      <c r="E43" s="1115">
        <v>299.83999999999997</v>
      </c>
      <c r="F43" s="1115">
        <v>238.15</v>
      </c>
      <c r="G43" s="1115">
        <v>251.72</v>
      </c>
      <c r="H43" s="1115">
        <v>99.66</v>
      </c>
      <c r="I43" s="1115">
        <v>225.43</v>
      </c>
      <c r="J43" s="1115">
        <v>251.57</v>
      </c>
      <c r="K43" s="1115">
        <v>290.92</v>
      </c>
      <c r="L43" s="1115">
        <v>257.39999999999998</v>
      </c>
      <c r="M43" s="1115">
        <v>162.07</v>
      </c>
      <c r="N43" s="1115">
        <v>262.51</v>
      </c>
      <c r="O43" s="1115">
        <v>236.12</v>
      </c>
      <c r="P43" s="1115">
        <v>233.85</v>
      </c>
      <c r="Q43" s="1117">
        <f>SUM(E43:P43)</f>
        <v>2809.2400000000002</v>
      </c>
    </row>
    <row r="44" spans="2:17" x14ac:dyDescent="0.25">
      <c r="B44" s="194">
        <f t="shared" si="8"/>
        <v>9</v>
      </c>
      <c r="C44" s="196" t="s">
        <v>430</v>
      </c>
      <c r="D44" s="199" t="s">
        <v>100</v>
      </c>
      <c r="E44" s="1115">
        <v>30.8</v>
      </c>
      <c r="F44" s="1115">
        <v>26.55</v>
      </c>
      <c r="G44" s="1115">
        <v>28.17</v>
      </c>
      <c r="H44" s="1115">
        <v>13.86</v>
      </c>
      <c r="I44" s="1115">
        <v>24.32</v>
      </c>
      <c r="J44" s="1115">
        <v>29.03</v>
      </c>
      <c r="K44" s="1115">
        <v>29.03</v>
      </c>
      <c r="L44" s="1115">
        <v>31.74</v>
      </c>
      <c r="M44" s="1115">
        <v>29.32</v>
      </c>
      <c r="N44" s="1115">
        <v>21.39</v>
      </c>
      <c r="O44" s="1115">
        <v>30.75</v>
      </c>
      <c r="P44" s="1115">
        <v>28.07</v>
      </c>
      <c r="Q44" s="1117">
        <f>SUM(E44:P44)</f>
        <v>323.03000000000003</v>
      </c>
    </row>
    <row r="45" spans="2:17" x14ac:dyDescent="0.25">
      <c r="B45" s="194">
        <f t="shared" si="8"/>
        <v>10</v>
      </c>
      <c r="C45" s="196" t="s">
        <v>471</v>
      </c>
      <c r="D45" s="199" t="s">
        <v>100</v>
      </c>
      <c r="E45" s="1116">
        <v>276.54724900000002</v>
      </c>
      <c r="F45" s="1116">
        <v>213.96894900000001</v>
      </c>
      <c r="G45" s="1115">
        <v>221.674914</v>
      </c>
      <c r="H45" s="1115">
        <v>87.169454999999999</v>
      </c>
      <c r="I45" s="1115">
        <v>201.34548000000001</v>
      </c>
      <c r="J45" s="1115">
        <v>219.076854</v>
      </c>
      <c r="K45" s="1115">
        <v>257.53605599999997</v>
      </c>
      <c r="L45" s="1115">
        <v>226.66983200000001</v>
      </c>
      <c r="M45" s="1115">
        <v>141.60010600000001</v>
      </c>
      <c r="N45" s="1115">
        <v>229.70366100000001</v>
      </c>
      <c r="O45" s="1115">
        <v>202.00653399999999</v>
      </c>
      <c r="P45" s="1115">
        <v>205.09966499999999</v>
      </c>
      <c r="Q45" s="1117">
        <f>SUM(E45:P45)</f>
        <v>2482.3987550000002</v>
      </c>
    </row>
    <row r="46" spans="2:17" x14ac:dyDescent="0.25">
      <c r="B46" s="194">
        <f t="shared" si="8"/>
        <v>11</v>
      </c>
      <c r="C46" s="196" t="s">
        <v>476</v>
      </c>
      <c r="D46" s="199" t="s">
        <v>100</v>
      </c>
      <c r="E46" s="1115">
        <f t="shared" ref="E46:P46" si="9">E51/E45*10</f>
        <v>5.1000000003616011</v>
      </c>
      <c r="F46" s="1115">
        <f t="shared" si="9"/>
        <v>5.1000000004673574</v>
      </c>
      <c r="G46" s="1115">
        <f t="shared" si="9"/>
        <v>5.0999999981955559</v>
      </c>
      <c r="H46" s="1115">
        <f t="shared" si="9"/>
        <v>5.1000000057359536</v>
      </c>
      <c r="I46" s="1115">
        <f t="shared" si="9"/>
        <v>5.0999999999999996</v>
      </c>
      <c r="J46" s="1115">
        <f t="shared" si="9"/>
        <v>5.0999999981741571</v>
      </c>
      <c r="K46" s="1115">
        <f t="shared" si="9"/>
        <v>5.1000000015531812</v>
      </c>
      <c r="L46" s="1115">
        <f t="shared" si="9"/>
        <v>5.0999999991176592</v>
      </c>
      <c r="M46" s="1115">
        <f t="shared" si="9"/>
        <v>5.1000000028248573</v>
      </c>
      <c r="N46" s="1115">
        <f t="shared" si="9"/>
        <v>5.0999999995646563</v>
      </c>
      <c r="O46" s="1115">
        <f t="shared" si="9"/>
        <v>5.0999999980198663</v>
      </c>
      <c r="P46" s="1115">
        <f t="shared" si="9"/>
        <v>5.1000000024378398</v>
      </c>
      <c r="Q46" s="487">
        <f>SUM(E46:P46)</f>
        <v>61.200000006452683</v>
      </c>
    </row>
    <row r="47" spans="2:17" x14ac:dyDescent="0.25">
      <c r="B47" s="194">
        <f t="shared" si="8"/>
        <v>12</v>
      </c>
      <c r="C47" s="196" t="s">
        <v>431</v>
      </c>
      <c r="D47" s="199" t="s">
        <v>440</v>
      </c>
      <c r="E47" s="1115">
        <f t="shared" ref="E47:Q47" si="10">E19</f>
        <v>4.2400000010592276</v>
      </c>
      <c r="F47" s="1115">
        <f t="shared" si="10"/>
        <v>4.2399999980691412</v>
      </c>
      <c r="G47" s="1115">
        <f t="shared" si="10"/>
        <v>4.2399999980617782</v>
      </c>
      <c r="H47" s="1115">
        <f t="shared" si="10"/>
        <v>4.2399999992581714</v>
      </c>
      <c r="I47" s="1115">
        <f t="shared" si="10"/>
        <v>4.2399999979488898</v>
      </c>
      <c r="J47" s="1115">
        <f t="shared" si="10"/>
        <v>4.2399999994271953</v>
      </c>
      <c r="K47" s="1115">
        <f t="shared" si="10"/>
        <v>4.2400000007244518</v>
      </c>
      <c r="L47" s="1115">
        <f t="shared" si="10"/>
        <v>4.2399999975380505</v>
      </c>
      <c r="M47" s="1115">
        <f t="shared" si="10"/>
        <v>4.2399999985323857</v>
      </c>
      <c r="N47" s="1115">
        <f t="shared" si="10"/>
        <v>4.2400000006513912</v>
      </c>
      <c r="O47" s="1115">
        <f t="shared" si="10"/>
        <v>4.2400000013569077</v>
      </c>
      <c r="P47" s="1115">
        <f t="shared" si="10"/>
        <v>4.2400000007989993</v>
      </c>
      <c r="Q47" s="487">
        <f t="shared" si="10"/>
        <v>4.2399999993811974</v>
      </c>
    </row>
    <row r="48" spans="2:17" x14ac:dyDescent="0.25">
      <c r="B48" s="194">
        <f t="shared" si="8"/>
        <v>13</v>
      </c>
      <c r="C48" s="196" t="s">
        <v>477</v>
      </c>
      <c r="D48" s="199" t="s">
        <v>441</v>
      </c>
      <c r="E48" s="1115"/>
      <c r="F48" s="1115"/>
      <c r="G48" s="1115"/>
      <c r="H48" s="1115"/>
      <c r="I48" s="1115"/>
      <c r="J48" s="1115"/>
      <c r="K48" s="1115"/>
      <c r="L48" s="1115"/>
      <c r="M48" s="1115"/>
      <c r="N48" s="1115"/>
      <c r="O48" s="1115"/>
      <c r="P48" s="1115"/>
      <c r="Q48" s="487"/>
    </row>
    <row r="49" spans="2:19" x14ac:dyDescent="0.25">
      <c r="B49" s="194">
        <f t="shared" si="8"/>
        <v>14</v>
      </c>
      <c r="C49" s="196" t="s">
        <v>478</v>
      </c>
      <c r="D49" s="199" t="s">
        <v>440</v>
      </c>
      <c r="E49" s="487">
        <f>E52*10/E45</f>
        <v>-0.18500000000000003</v>
      </c>
      <c r="F49" s="487">
        <f t="shared" ref="F49:P49" si="11">F52*10/F45</f>
        <v>0.19399999950460098</v>
      </c>
      <c r="G49" s="487">
        <f t="shared" si="11"/>
        <v>0.22899999861960021</v>
      </c>
      <c r="H49" s="487">
        <f t="shared" si="11"/>
        <v>0.24499999455084351</v>
      </c>
      <c r="I49" s="487">
        <f t="shared" si="11"/>
        <v>0.34599999960267297</v>
      </c>
      <c r="J49" s="487">
        <f t="shared" si="11"/>
        <v>0.69399999999999995</v>
      </c>
      <c r="K49" s="487">
        <f t="shared" si="11"/>
        <v>0.316</v>
      </c>
      <c r="L49" s="487">
        <f t="shared" si="11"/>
        <v>0.38500000000000001</v>
      </c>
      <c r="M49" s="487">
        <f t="shared" si="11"/>
        <v>-6.8000000000000005E-2</v>
      </c>
      <c r="N49" s="487">
        <f t="shared" si="11"/>
        <v>0.13</v>
      </c>
      <c r="O49" s="487">
        <f t="shared" si="11"/>
        <v>0.29799999999999999</v>
      </c>
      <c r="P49" s="487">
        <f t="shared" si="11"/>
        <v>0.53</v>
      </c>
      <c r="Q49" s="487">
        <f>Q52*10/Q45</f>
        <v>0.25860325406544121</v>
      </c>
    </row>
    <row r="50" spans="2:19" x14ac:dyDescent="0.25">
      <c r="B50" s="194">
        <f t="shared" si="8"/>
        <v>15</v>
      </c>
      <c r="C50" s="196" t="s">
        <v>432</v>
      </c>
      <c r="D50" s="199" t="s">
        <v>441</v>
      </c>
      <c r="E50" s="1115">
        <v>38.554281400000001</v>
      </c>
      <c r="F50" s="1115">
        <v>37.714680899999998</v>
      </c>
      <c r="G50" s="1115">
        <v>38.554281400000001</v>
      </c>
      <c r="H50" s="1115">
        <v>38.554281500000002</v>
      </c>
      <c r="I50" s="1115">
        <v>38.554281400000001</v>
      </c>
      <c r="J50" s="1115">
        <v>38.554281500000002</v>
      </c>
      <c r="K50" s="1115">
        <v>38.554281400000001</v>
      </c>
      <c r="L50" s="1115">
        <v>38.554281500000002</v>
      </c>
      <c r="M50" s="1115">
        <v>38.554281400000001</v>
      </c>
      <c r="N50" s="1115">
        <v>38.554281400000001</v>
      </c>
      <c r="O50" s="1115">
        <v>38.554281500000002</v>
      </c>
      <c r="P50" s="1115">
        <v>39.393881999999998</v>
      </c>
      <c r="Q50" s="1117">
        <f>SUM(E50:P50)</f>
        <v>462.65137729999998</v>
      </c>
    </row>
    <row r="51" spans="2:19" x14ac:dyDescent="0.25">
      <c r="B51" s="194">
        <f t="shared" si="8"/>
        <v>16</v>
      </c>
      <c r="C51" s="196" t="s">
        <v>433</v>
      </c>
      <c r="D51" s="199" t="s">
        <v>441</v>
      </c>
      <c r="E51" s="1115">
        <v>141.039097</v>
      </c>
      <c r="F51" s="1115">
        <v>109.12416400000001</v>
      </c>
      <c r="G51" s="1115">
        <v>113.05420609999999</v>
      </c>
      <c r="H51" s="1115">
        <v>44.456422099999997</v>
      </c>
      <c r="I51" s="1115">
        <v>102.6861948</v>
      </c>
      <c r="J51" s="1115">
        <v>111.7291955</v>
      </c>
      <c r="K51" s="1115">
        <v>131.3433886</v>
      </c>
      <c r="L51" s="1115">
        <v>115.60161429999999</v>
      </c>
      <c r="M51" s="1115">
        <v>72.216054100000008</v>
      </c>
      <c r="N51" s="1115">
        <v>117.1488671</v>
      </c>
      <c r="O51" s="1115">
        <v>103.02333230000001</v>
      </c>
      <c r="P51" s="1115">
        <v>104.60082920000001</v>
      </c>
      <c r="Q51" s="1117">
        <f>SUM(E51:P51)</f>
        <v>1266.0233650999999</v>
      </c>
    </row>
    <row r="52" spans="2:19" x14ac:dyDescent="0.25">
      <c r="B52" s="194">
        <f t="shared" si="8"/>
        <v>17</v>
      </c>
      <c r="C52" s="196" t="s">
        <v>479</v>
      </c>
      <c r="D52" s="199" t="s">
        <v>441</v>
      </c>
      <c r="E52" s="1115">
        <v>-5.1161241065000009</v>
      </c>
      <c r="F52" s="1115">
        <v>4.1509975999999993</v>
      </c>
      <c r="G52" s="1115">
        <v>5.0763555</v>
      </c>
      <c r="H52" s="1115">
        <v>2.1356516000000001</v>
      </c>
      <c r="I52" s="1115">
        <v>6.966553600000001</v>
      </c>
      <c r="J52" s="1115">
        <v>15.203933667599998</v>
      </c>
      <c r="K52" s="1115">
        <v>8.1381393695999993</v>
      </c>
      <c r="L52" s="1115">
        <v>8.7267885320000005</v>
      </c>
      <c r="M52" s="1115">
        <v>-0.96288072080000009</v>
      </c>
      <c r="N52" s="1115">
        <v>2.9861475930000001</v>
      </c>
      <c r="O52" s="1115">
        <v>6.0197947131999987</v>
      </c>
      <c r="P52" s="1115">
        <v>10.870282245</v>
      </c>
      <c r="Q52" s="1117">
        <f>SUM(E52:P52)</f>
        <v>64.195639593099997</v>
      </c>
    </row>
    <row r="53" spans="2:19" x14ac:dyDescent="0.25">
      <c r="B53" s="194">
        <f t="shared" si="8"/>
        <v>18</v>
      </c>
      <c r="C53" s="196" t="s">
        <v>434</v>
      </c>
      <c r="D53" s="199" t="s">
        <v>441</v>
      </c>
      <c r="E53" s="487"/>
      <c r="F53" s="487"/>
      <c r="G53" s="487"/>
      <c r="H53" s="487"/>
      <c r="I53" s="487"/>
      <c r="J53" s="487"/>
      <c r="K53" s="487"/>
      <c r="L53" s="487"/>
      <c r="M53" s="487"/>
      <c r="N53" s="487"/>
      <c r="O53" s="487"/>
      <c r="P53" s="487"/>
      <c r="Q53" s="487"/>
    </row>
    <row r="54" spans="2:19" x14ac:dyDescent="0.25">
      <c r="B54" s="194">
        <f t="shared" si="8"/>
        <v>19</v>
      </c>
      <c r="C54" s="196" t="s">
        <v>855</v>
      </c>
      <c r="D54" s="199" t="s">
        <v>441</v>
      </c>
      <c r="E54" s="487"/>
      <c r="F54" s="487"/>
      <c r="G54" s="487"/>
      <c r="H54" s="487"/>
      <c r="I54" s="487"/>
      <c r="J54" s="487"/>
      <c r="K54" s="487"/>
      <c r="L54" s="487"/>
      <c r="M54" s="487"/>
      <c r="N54" s="487"/>
      <c r="O54" s="487"/>
      <c r="P54" s="487"/>
      <c r="Q54" s="487"/>
    </row>
    <row r="55" spans="2:19" x14ac:dyDescent="0.25">
      <c r="B55" s="194">
        <f t="shared" si="8"/>
        <v>20</v>
      </c>
      <c r="C55" s="488" t="s">
        <v>1472</v>
      </c>
      <c r="D55" s="489" t="s">
        <v>441</v>
      </c>
      <c r="E55" s="487">
        <v>-0.16758366666666666</v>
      </c>
      <c r="F55" s="487">
        <v>-0.16758366666666666</v>
      </c>
      <c r="G55" s="487">
        <v>-0.16758366666666666</v>
      </c>
      <c r="H55" s="487">
        <v>-0.16758366666666666</v>
      </c>
      <c r="I55" s="487">
        <v>-0.16758366666666666</v>
      </c>
      <c r="J55" s="487">
        <v>-0.16758366666666666</v>
      </c>
      <c r="K55" s="487">
        <v>-0.16758366666666666</v>
      </c>
      <c r="L55" s="487">
        <v>-0.16758366666666666</v>
      </c>
      <c r="M55" s="487">
        <v>-0.16758366666666666</v>
      </c>
      <c r="N55" s="487">
        <v>-0.16758366666666666</v>
      </c>
      <c r="O55" s="487">
        <v>-0.16758366666666666</v>
      </c>
      <c r="P55" s="487">
        <v>-0.16758366666666666</v>
      </c>
      <c r="Q55" s="1117">
        <f>SUM(E55:P55)</f>
        <v>-2.0110039999999993</v>
      </c>
    </row>
    <row r="56" spans="2:19" x14ac:dyDescent="0.25">
      <c r="B56" s="194">
        <f t="shared" si="8"/>
        <v>21</v>
      </c>
      <c r="C56" s="197" t="s">
        <v>435</v>
      </c>
      <c r="D56" s="199" t="s">
        <v>441</v>
      </c>
      <c r="E56" s="355">
        <f>SUM(E50:E55)</f>
        <v>174.30967062683334</v>
      </c>
      <c r="F56" s="355">
        <f t="shared" ref="F56:P56" si="12">SUM(F50:F55)</f>
        <v>150.82225883333334</v>
      </c>
      <c r="G56" s="355">
        <f t="shared" si="12"/>
        <v>156.51725933333333</v>
      </c>
      <c r="H56" s="355">
        <f t="shared" si="12"/>
        <v>84.97877153333333</v>
      </c>
      <c r="I56" s="355">
        <f t="shared" si="12"/>
        <v>148.03944613333331</v>
      </c>
      <c r="J56" s="355">
        <f t="shared" si="12"/>
        <v>165.31982700093332</v>
      </c>
      <c r="K56" s="355">
        <f t="shared" si="12"/>
        <v>177.86822570293333</v>
      </c>
      <c r="L56" s="355">
        <f t="shared" si="12"/>
        <v>162.71510066533332</v>
      </c>
      <c r="M56" s="355">
        <f t="shared" si="12"/>
        <v>109.63987111253334</v>
      </c>
      <c r="N56" s="355">
        <f t="shared" si="12"/>
        <v>158.52171242633332</v>
      </c>
      <c r="O56" s="355">
        <f t="shared" si="12"/>
        <v>147.42982484653331</v>
      </c>
      <c r="P56" s="355">
        <f t="shared" si="12"/>
        <v>154.69740977833334</v>
      </c>
      <c r="Q56" s="1118">
        <f>SUM(E56:P56)</f>
        <v>1790.8593779930998</v>
      </c>
    </row>
    <row r="57" spans="2:19" x14ac:dyDescent="0.25">
      <c r="B57" s="194">
        <f t="shared" si="8"/>
        <v>22</v>
      </c>
      <c r="C57" s="198" t="s">
        <v>436</v>
      </c>
      <c r="D57" s="199"/>
      <c r="E57" s="487"/>
      <c r="F57" s="487"/>
      <c r="G57" s="487"/>
      <c r="H57" s="487"/>
      <c r="I57" s="487"/>
      <c r="J57" s="487"/>
      <c r="K57" s="487"/>
      <c r="L57" s="487"/>
      <c r="M57" s="487"/>
      <c r="N57" s="487"/>
      <c r="O57" s="487"/>
      <c r="P57" s="487"/>
      <c r="Q57" s="355"/>
    </row>
    <row r="58" spans="2:19" x14ac:dyDescent="0.25">
      <c r="B58" s="194"/>
      <c r="C58" s="196" t="s">
        <v>419</v>
      </c>
      <c r="D58" s="199" t="s">
        <v>441</v>
      </c>
      <c r="E58" s="487"/>
      <c r="F58" s="487"/>
      <c r="G58" s="487"/>
      <c r="H58" s="487"/>
      <c r="I58" s="487"/>
      <c r="J58" s="487"/>
      <c r="K58" s="487"/>
      <c r="L58" s="487"/>
      <c r="M58" s="487"/>
      <c r="N58" s="487"/>
      <c r="O58" s="487"/>
      <c r="P58" s="487"/>
      <c r="Q58" s="355">
        <f t="shared" ref="Q58" si="13">SUM(E58:P58)</f>
        <v>0</v>
      </c>
    </row>
    <row r="59" spans="2:19" x14ac:dyDescent="0.25">
      <c r="B59" s="199">
        <f>B57+1</f>
        <v>23</v>
      </c>
      <c r="C59" s="200" t="s">
        <v>350</v>
      </c>
      <c r="D59" s="199" t="s">
        <v>441</v>
      </c>
      <c r="E59" s="487">
        <f t="shared" ref="E59:P59" si="14">SUM(E56:E58)</f>
        <v>174.30967062683334</v>
      </c>
      <c r="F59" s="487">
        <f t="shared" si="14"/>
        <v>150.82225883333334</v>
      </c>
      <c r="G59" s="487">
        <f t="shared" si="14"/>
        <v>156.51725933333333</v>
      </c>
      <c r="H59" s="487">
        <f t="shared" si="14"/>
        <v>84.97877153333333</v>
      </c>
      <c r="I59" s="487">
        <f t="shared" si="14"/>
        <v>148.03944613333331</v>
      </c>
      <c r="J59" s="487">
        <f t="shared" si="14"/>
        <v>165.31982700093332</v>
      </c>
      <c r="K59" s="487">
        <f t="shared" si="14"/>
        <v>177.86822570293333</v>
      </c>
      <c r="L59" s="487">
        <f t="shared" si="14"/>
        <v>162.71510066533332</v>
      </c>
      <c r="M59" s="487">
        <f t="shared" si="14"/>
        <v>109.63987111253334</v>
      </c>
      <c r="N59" s="487">
        <f t="shared" si="14"/>
        <v>158.52171242633332</v>
      </c>
      <c r="O59" s="487">
        <f t="shared" si="14"/>
        <v>147.42982484653331</v>
      </c>
      <c r="P59" s="487">
        <f t="shared" si="14"/>
        <v>154.69740977833334</v>
      </c>
      <c r="Q59" s="1118">
        <f>SUM(E59:P59)</f>
        <v>1790.8593779930998</v>
      </c>
    </row>
    <row r="60" spans="2:19" x14ac:dyDescent="0.25">
      <c r="B60" s="199">
        <f>B59+1</f>
        <v>24</v>
      </c>
      <c r="C60" s="200" t="s">
        <v>442</v>
      </c>
      <c r="D60" s="199" t="s">
        <v>441</v>
      </c>
      <c r="E60" s="487">
        <f t="shared" ref="E60:P60" si="15">E59</f>
        <v>174.30967062683334</v>
      </c>
      <c r="F60" s="487">
        <f t="shared" si="15"/>
        <v>150.82225883333334</v>
      </c>
      <c r="G60" s="487">
        <f t="shared" si="15"/>
        <v>156.51725933333333</v>
      </c>
      <c r="H60" s="487">
        <f t="shared" si="15"/>
        <v>84.97877153333333</v>
      </c>
      <c r="I60" s="487">
        <f t="shared" si="15"/>
        <v>148.03944613333331</v>
      </c>
      <c r="J60" s="487">
        <f t="shared" si="15"/>
        <v>165.31982700093332</v>
      </c>
      <c r="K60" s="487">
        <f t="shared" si="15"/>
        <v>177.86822570293333</v>
      </c>
      <c r="L60" s="487">
        <f t="shared" si="15"/>
        <v>162.71510066533332</v>
      </c>
      <c r="M60" s="487">
        <f t="shared" si="15"/>
        <v>109.63987111253334</v>
      </c>
      <c r="N60" s="487">
        <f t="shared" si="15"/>
        <v>158.52171242633332</v>
      </c>
      <c r="O60" s="487">
        <f t="shared" si="15"/>
        <v>147.42982484653331</v>
      </c>
      <c r="P60" s="487">
        <f t="shared" si="15"/>
        <v>154.69740977833334</v>
      </c>
      <c r="Q60" s="1118">
        <f>SUM(E60:P60)</f>
        <v>1790.8593779930998</v>
      </c>
      <c r="R60" s="470">
        <f>'F9'!N22-Q60</f>
        <v>0</v>
      </c>
      <c r="S60" s="470"/>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tabSelected="1" zoomScale="80" zoomScaleNormal="80" zoomScaleSheetLayoutView="78" workbookViewId="0">
      <pane xSplit="3" ySplit="9" topLeftCell="S10" activePane="bottomRight" state="frozen"/>
      <selection activeCell="G26" sqref="G26"/>
      <selection pane="topRight" activeCell="G26" sqref="G26"/>
      <selection pane="bottomLeft" activeCell="G26" sqref="G26"/>
      <selection pane="bottomRight" activeCell="A22" sqref="A22"/>
    </sheetView>
  </sheetViews>
  <sheetFormatPr defaultColWidth="9.36328125" defaultRowHeight="14" x14ac:dyDescent="0.25"/>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4.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758" t="str">
        <f>Index!B2</f>
        <v xml:space="preserve">      Maharashtra State Power Generation Company Ltd.</v>
      </c>
      <c r="C2" s="1758"/>
      <c r="D2" s="1758"/>
      <c r="E2" s="1758"/>
      <c r="F2" s="1758"/>
      <c r="G2" s="1758"/>
      <c r="H2" s="1758"/>
      <c r="I2" s="1758"/>
      <c r="J2" s="1758"/>
      <c r="K2" s="1758"/>
      <c r="L2" s="1758"/>
      <c r="M2" s="606"/>
      <c r="N2" s="1758" t="s">
        <v>779</v>
      </c>
      <c r="O2" s="1758"/>
      <c r="P2" s="1758"/>
      <c r="Q2" s="1758"/>
      <c r="R2" s="1758"/>
      <c r="S2" s="1758"/>
      <c r="T2" s="1758"/>
      <c r="U2" s="1758"/>
      <c r="V2" s="1758"/>
      <c r="W2" s="1758"/>
      <c r="X2" s="1758"/>
      <c r="Y2" s="185"/>
      <c r="Z2" s="185"/>
    </row>
    <row r="3" spans="2:26" s="5" customFormat="1" x14ac:dyDescent="0.3">
      <c r="B3" s="1759" t="str">
        <f>Index!B3</f>
        <v>MYT Petition Formats for Parli Units 6 &amp; 7</v>
      </c>
      <c r="C3" s="1759"/>
      <c r="D3" s="1759"/>
      <c r="E3" s="1759"/>
      <c r="F3" s="1759"/>
      <c r="G3" s="1759"/>
      <c r="H3" s="1759"/>
      <c r="I3" s="1759"/>
      <c r="J3" s="1759"/>
      <c r="K3" s="1759"/>
      <c r="L3" s="1759"/>
      <c r="M3" s="605"/>
      <c r="N3" s="1759" t="str">
        <f>Index!B3</f>
        <v>MYT Petition Formats for Parli Units 6 &amp; 7</v>
      </c>
      <c r="O3" s="1759"/>
      <c r="P3" s="1759"/>
      <c r="Q3" s="1759"/>
      <c r="R3" s="1759"/>
      <c r="S3" s="1759"/>
      <c r="T3" s="1759"/>
      <c r="U3" s="1759"/>
      <c r="V3" s="1759"/>
      <c r="W3" s="1759"/>
      <c r="X3" s="1759"/>
      <c r="Y3" s="65"/>
      <c r="Z3" s="65"/>
    </row>
    <row r="4" spans="2:26" s="5" customFormat="1" x14ac:dyDescent="0.3">
      <c r="B4" s="1759" t="s">
        <v>77</v>
      </c>
      <c r="C4" s="1759"/>
      <c r="D4" s="1759"/>
      <c r="E4" s="1759"/>
      <c r="F4" s="1759"/>
      <c r="G4" s="1759"/>
      <c r="H4" s="1759"/>
      <c r="I4" s="1759"/>
      <c r="J4" s="1759"/>
      <c r="K4" s="1759"/>
      <c r="L4" s="1759"/>
      <c r="M4" s="605"/>
      <c r="N4" s="1759" t="s">
        <v>77</v>
      </c>
      <c r="O4" s="1759"/>
      <c r="P4" s="1759"/>
      <c r="Q4" s="1759"/>
      <c r="R4" s="1759"/>
      <c r="S4" s="1759"/>
      <c r="T4" s="1759"/>
      <c r="U4" s="1759"/>
      <c r="V4" s="1759"/>
      <c r="W4" s="1759"/>
      <c r="X4" s="1759"/>
      <c r="Y4" s="65"/>
      <c r="Z4" s="65"/>
    </row>
    <row r="7" spans="2:26" ht="12.75" customHeight="1" x14ac:dyDescent="0.25">
      <c r="B7" s="1760" t="s">
        <v>339</v>
      </c>
      <c r="C7" s="1763" t="s">
        <v>36</v>
      </c>
      <c r="D7" s="1763" t="s">
        <v>5</v>
      </c>
      <c r="E7" s="1754" t="s">
        <v>506</v>
      </c>
      <c r="F7" s="1755"/>
      <c r="G7" s="1755"/>
      <c r="H7" s="1756"/>
      <c r="I7" s="1754" t="s">
        <v>507</v>
      </c>
      <c r="J7" s="1755"/>
      <c r="K7" s="1755"/>
      <c r="L7" s="1756"/>
      <c r="M7" s="1754" t="s">
        <v>508</v>
      </c>
      <c r="N7" s="1755"/>
      <c r="O7" s="1755"/>
      <c r="P7" s="1755"/>
      <c r="Q7" s="1755"/>
      <c r="R7" s="1756"/>
      <c r="S7" s="1757" t="s">
        <v>967</v>
      </c>
      <c r="T7" s="1757"/>
      <c r="U7" s="1757"/>
      <c r="V7" s="1757"/>
      <c r="W7" s="1757"/>
      <c r="X7" s="1752" t="s">
        <v>26</v>
      </c>
    </row>
    <row r="8" spans="2:26" ht="28" customHeight="1" x14ac:dyDescent="0.25">
      <c r="B8" s="1761"/>
      <c r="C8" s="1763"/>
      <c r="D8" s="1763"/>
      <c r="E8" s="1211" t="s">
        <v>1561</v>
      </c>
      <c r="F8" s="1211" t="s">
        <v>916</v>
      </c>
      <c r="G8" s="1211" t="s">
        <v>78</v>
      </c>
      <c r="H8" s="1211" t="s">
        <v>449</v>
      </c>
      <c r="I8" s="1211" t="s">
        <v>1561</v>
      </c>
      <c r="J8" s="1211" t="s">
        <v>916</v>
      </c>
      <c r="K8" s="1211" t="s">
        <v>78</v>
      </c>
      <c r="L8" s="1211" t="s">
        <v>449</v>
      </c>
      <c r="M8" s="1211" t="s">
        <v>1561</v>
      </c>
      <c r="N8" s="1211" t="s">
        <v>916</v>
      </c>
      <c r="O8" s="1211" t="s">
        <v>443</v>
      </c>
      <c r="P8" s="1211" t="s">
        <v>447</v>
      </c>
      <c r="Q8" s="1211" t="s">
        <v>79</v>
      </c>
      <c r="R8" s="1211" t="s">
        <v>450</v>
      </c>
      <c r="S8" s="672" t="s">
        <v>968</v>
      </c>
      <c r="T8" s="672" t="s">
        <v>969</v>
      </c>
      <c r="U8" s="672" t="s">
        <v>970</v>
      </c>
      <c r="V8" s="672" t="s">
        <v>971</v>
      </c>
      <c r="W8" s="672" t="s">
        <v>972</v>
      </c>
      <c r="X8" s="1752"/>
    </row>
    <row r="9" spans="2:26" ht="15" x14ac:dyDescent="0.25">
      <c r="B9" s="1762"/>
      <c r="C9" s="1764"/>
      <c r="D9" s="1764"/>
      <c r="E9" s="1211" t="s">
        <v>80</v>
      </c>
      <c r="F9" s="1211" t="s">
        <v>81</v>
      </c>
      <c r="G9" s="1211" t="s">
        <v>1562</v>
      </c>
      <c r="H9" s="1211" t="s">
        <v>1563</v>
      </c>
      <c r="I9" s="1211" t="s">
        <v>1523</v>
      </c>
      <c r="J9" s="1211" t="s">
        <v>509</v>
      </c>
      <c r="K9" s="1211" t="s">
        <v>409</v>
      </c>
      <c r="L9" s="1211" t="s">
        <v>1564</v>
      </c>
      <c r="M9" s="1211" t="s">
        <v>589</v>
      </c>
      <c r="N9" s="1211" t="s">
        <v>654</v>
      </c>
      <c r="O9" s="1211" t="s">
        <v>590</v>
      </c>
      <c r="P9" s="1211" t="s">
        <v>591</v>
      </c>
      <c r="Q9" s="1211" t="s">
        <v>678</v>
      </c>
      <c r="R9" s="1211" t="s">
        <v>679</v>
      </c>
      <c r="S9" s="672" t="s">
        <v>21</v>
      </c>
      <c r="T9" s="672" t="s">
        <v>21</v>
      </c>
      <c r="U9" s="672" t="s">
        <v>21</v>
      </c>
      <c r="V9" s="672" t="s">
        <v>21</v>
      </c>
      <c r="W9" s="672" t="s">
        <v>21</v>
      </c>
      <c r="X9" s="1753"/>
    </row>
    <row r="10" spans="2:26" x14ac:dyDescent="0.25">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15" customFormat="1" x14ac:dyDescent="0.25">
      <c r="B11" s="237">
        <v>1</v>
      </c>
      <c r="C11" s="119" t="s">
        <v>82</v>
      </c>
      <c r="D11" s="128" t="s">
        <v>55</v>
      </c>
      <c r="E11" s="630">
        <f>'F2.2'!E155</f>
        <v>1405.430643438021</v>
      </c>
      <c r="F11" s="611">
        <f>'F2.2'!F155</f>
        <v>1209.716512356227</v>
      </c>
      <c r="G11" s="611">
        <f>'F2.2'!G155</f>
        <v>1309.8451528297737</v>
      </c>
      <c r="H11" s="611">
        <f t="shared" ref="H11:H22" si="0">G11-F11</f>
        <v>100.12864047354674</v>
      </c>
      <c r="I11" s="611">
        <f>'F2.2'!$I$155</f>
        <v>1727.000383629294</v>
      </c>
      <c r="J11" s="611">
        <f>'F2.2'!J155</f>
        <v>1373.1425567773722</v>
      </c>
      <c r="K11" s="611">
        <f>'F2.2'!K155</f>
        <v>1365.9992286513855</v>
      </c>
      <c r="L11" s="611">
        <f t="shared" ref="L11:L22" si="1">K11-J11</f>
        <v>-7.1433281259867272</v>
      </c>
      <c r="M11" s="611">
        <f>'F2.2'!$M$155</f>
        <v>1720.7990823220232</v>
      </c>
      <c r="N11" s="1131">
        <f>'F2.2'!N155</f>
        <v>1509.0191230173518</v>
      </c>
      <c r="O11" s="611">
        <f>'F2.2'!O155</f>
        <v>582.76736499629158</v>
      </c>
      <c r="P11" s="611">
        <f>'F2.2'!P155</f>
        <v>946.15729109610811</v>
      </c>
      <c r="Q11" s="1131">
        <f t="shared" ref="Q11:Q16" si="2">O11+P11</f>
        <v>1528.9246560923998</v>
      </c>
      <c r="R11" s="611">
        <f t="shared" ref="R11:R19" si="3">Q11-N11</f>
        <v>19.90553307504797</v>
      </c>
      <c r="S11" s="1131">
        <f>'F2.2'!S155</f>
        <v>1937.9832383759515</v>
      </c>
      <c r="T11" s="562">
        <f>'F2.2'!T155</f>
        <v>2034.9526922696707</v>
      </c>
      <c r="U11" s="562">
        <f>'F2.2'!U155</f>
        <v>2136.700326883155</v>
      </c>
      <c r="V11" s="562">
        <f>'F2.2'!V155</f>
        <v>2243.6128401296633</v>
      </c>
      <c r="W11" s="562">
        <f>'F2.2'!W155</f>
        <v>2355.6307386412091</v>
      </c>
      <c r="X11" s="319"/>
      <c r="Y11" s="564"/>
    </row>
    <row r="12" spans="2:26" s="315" customFormat="1" x14ac:dyDescent="0.25">
      <c r="B12" s="237">
        <f>B11+1</f>
        <v>2</v>
      </c>
      <c r="C12" s="119" t="s">
        <v>1505</v>
      </c>
      <c r="D12" s="128"/>
      <c r="E12" s="630"/>
      <c r="F12" s="1131"/>
      <c r="G12" s="1131"/>
      <c r="H12" s="1131"/>
      <c r="I12" s="1131"/>
      <c r="J12" s="1131"/>
      <c r="K12" s="1131"/>
      <c r="L12" s="1131"/>
      <c r="M12" s="1131"/>
      <c r="N12" s="1131">
        <f>Q12</f>
        <v>0</v>
      </c>
      <c r="O12" s="1131"/>
      <c r="P12" s="1131">
        <f>'F2.2'!D198</f>
        <v>0</v>
      </c>
      <c r="Q12" s="1131">
        <f t="shared" si="2"/>
        <v>0</v>
      </c>
      <c r="R12" s="1131"/>
      <c r="S12" s="1131">
        <f>'F2.2'!E198</f>
        <v>177.1547330604769</v>
      </c>
      <c r="T12" s="562">
        <f>'F2.2'!F198</f>
        <v>235.99897803758697</v>
      </c>
      <c r="U12" s="562">
        <f>'F2.2'!G198</f>
        <v>235.99897803758697</v>
      </c>
      <c r="V12" s="562">
        <f>'F2.2'!H198</f>
        <v>236.00716203475767</v>
      </c>
      <c r="W12" s="562">
        <f>'F2.2'!I198</f>
        <v>235.99079404041632</v>
      </c>
      <c r="X12" s="319"/>
    </row>
    <row r="13" spans="2:26" s="315" customFormat="1" x14ac:dyDescent="0.25">
      <c r="B13" s="237">
        <f t="shared" ref="B13:B27" si="4">B12+1</f>
        <v>3</v>
      </c>
      <c r="C13" s="119" t="s">
        <v>83</v>
      </c>
      <c r="D13" s="128" t="s">
        <v>39</v>
      </c>
      <c r="E13" s="630">
        <f>'F3'!E17+'F3.1'!D27</f>
        <v>175.74025360492516</v>
      </c>
      <c r="F13" s="525">
        <f>'F3'!F17+'F3.1'!E27</f>
        <v>177.51373226541764</v>
      </c>
      <c r="G13" s="611">
        <f>'F3'!G17+'F3.1'!E27</f>
        <v>246.80349207908898</v>
      </c>
      <c r="H13" s="611">
        <f t="shared" si="0"/>
        <v>69.289759813671338</v>
      </c>
      <c r="I13" s="611">
        <f>'F3'!$I$17+'F3.1'!F27</f>
        <v>181.63126542537887</v>
      </c>
      <c r="J13" s="611">
        <f>'F3'!J17+'F3.1'!G27</f>
        <v>222.74718626378444</v>
      </c>
      <c r="K13" s="611">
        <f>'F3'!K17+'F3.1'!G27</f>
        <v>279.23429774043723</v>
      </c>
      <c r="L13" s="611">
        <f t="shared" si="1"/>
        <v>56.487111476652785</v>
      </c>
      <c r="M13" s="611">
        <f>'F3'!$M$17+'F3.1'!H27</f>
        <v>187.74161066241439</v>
      </c>
      <c r="N13" s="611">
        <f>'F3'!N17+'F3.1'!I27</f>
        <v>229.64123012647784</v>
      </c>
      <c r="O13" s="611">
        <f>'F3'!O17+'F3.1'!I27/2</f>
        <v>129.01422996344527</v>
      </c>
      <c r="P13" s="611">
        <f>'F3'!P17+'F3.1'!I27/2</f>
        <v>147.56552067943176</v>
      </c>
      <c r="Q13" s="611">
        <f t="shared" si="2"/>
        <v>276.579750642877</v>
      </c>
      <c r="R13" s="1131">
        <f t="shared" si="3"/>
        <v>46.938520516399166</v>
      </c>
      <c r="S13" s="1131">
        <f>'F3'!S17+'F3.1'!J27</f>
        <v>299.02954928834981</v>
      </c>
      <c r="T13" s="562">
        <f>'F3'!T17+'F3.1'!K27</f>
        <v>308.7657551033887</v>
      </c>
      <c r="U13" s="562">
        <f>'F3'!U17+'F3.1'!L27</f>
        <v>318.9362129513824</v>
      </c>
      <c r="V13" s="562">
        <f>'F3'!V17+'F3.1'!M27</f>
        <v>329.54241506469441</v>
      </c>
      <c r="W13" s="562">
        <f>'F3'!W17+'F3.1'!N27</f>
        <v>340.58591868664473</v>
      </c>
      <c r="X13" s="319"/>
    </row>
    <row r="14" spans="2:26" s="315" customFormat="1" x14ac:dyDescent="0.25">
      <c r="B14" s="237">
        <f t="shared" si="4"/>
        <v>4</v>
      </c>
      <c r="C14" s="119" t="s">
        <v>1506</v>
      </c>
      <c r="D14" s="128"/>
      <c r="E14" s="128"/>
      <c r="F14" s="525"/>
      <c r="G14" s="650"/>
      <c r="H14" s="650">
        <f t="shared" si="0"/>
        <v>0</v>
      </c>
      <c r="I14" s="650"/>
      <c r="J14" s="650"/>
      <c r="K14" s="650"/>
      <c r="L14" s="650">
        <f t="shared" si="1"/>
        <v>0</v>
      </c>
      <c r="M14" s="650"/>
      <c r="N14" s="1131">
        <f>Q14</f>
        <v>0</v>
      </c>
      <c r="O14" s="650"/>
      <c r="P14" s="650">
        <f>'F3'!D24</f>
        <v>0</v>
      </c>
      <c r="Q14" s="1131">
        <f t="shared" si="2"/>
        <v>0</v>
      </c>
      <c r="R14" s="650">
        <f t="shared" si="3"/>
        <v>0</v>
      </c>
      <c r="S14" s="1131">
        <f>'F3'!E24</f>
        <v>2.3145117808219182</v>
      </c>
      <c r="T14" s="562">
        <f>'F3'!F24</f>
        <v>3.2167025599999999</v>
      </c>
      <c r="U14" s="562">
        <f>'F3'!G24</f>
        <v>3.3559857808479996</v>
      </c>
      <c r="V14" s="562">
        <f>'F3'!H24</f>
        <v>3.5012999651587173</v>
      </c>
      <c r="W14" s="562">
        <f>'F3'!I24</f>
        <v>3.6529062536500905</v>
      </c>
      <c r="X14" s="319"/>
    </row>
    <row r="15" spans="2:26" s="315" customFormat="1" x14ac:dyDescent="0.25">
      <c r="B15" s="237">
        <f t="shared" si="4"/>
        <v>5</v>
      </c>
      <c r="C15" s="120" t="s">
        <v>336</v>
      </c>
      <c r="D15" s="128" t="s">
        <v>69</v>
      </c>
      <c r="E15" s="631">
        <v>77.994798943821053</v>
      </c>
      <c r="F15" s="650">
        <f>G15</f>
        <v>77.732831968250181</v>
      </c>
      <c r="G15" s="525">
        <f>'F5 (T)'!E85</f>
        <v>77.732831968250181</v>
      </c>
      <c r="H15" s="650">
        <f t="shared" si="0"/>
        <v>0</v>
      </c>
      <c r="I15" s="631">
        <v>75.932830685610611</v>
      </c>
      <c r="J15" s="650">
        <f>K15</f>
        <v>74.150265854062511</v>
      </c>
      <c r="K15" s="650">
        <f>'F5 (T)'!J85</f>
        <v>74.150265854062511</v>
      </c>
      <c r="L15" s="650">
        <f t="shared" si="1"/>
        <v>0</v>
      </c>
      <c r="M15" s="631">
        <v>87.59625608770628</v>
      </c>
      <c r="N15" s="650">
        <f>Q15</f>
        <v>78.63499523028014</v>
      </c>
      <c r="O15" s="650">
        <f>('F5 (T)'!O85)/2</f>
        <v>39.31749761514007</v>
      </c>
      <c r="P15" s="650">
        <f>O15</f>
        <v>39.31749761514007</v>
      </c>
      <c r="Q15" s="650">
        <f t="shared" si="2"/>
        <v>78.63499523028014</v>
      </c>
      <c r="R15" s="650">
        <f t="shared" si="3"/>
        <v>0</v>
      </c>
      <c r="S15" s="1131">
        <f>'F5 (T)'!T85</f>
        <v>82.72818435263558</v>
      </c>
      <c r="T15" s="562">
        <f>'F5 (T)'!$E$112</f>
        <v>88.019849644302255</v>
      </c>
      <c r="U15" s="562">
        <f>'F5 (T)'!$J$112</f>
        <v>92.203775314939676</v>
      </c>
      <c r="V15" s="562">
        <f>'F5 (T)'!$O$112</f>
        <v>99.793616231606364</v>
      </c>
      <c r="W15" s="562">
        <f>'F5 (T)'!$T$112</f>
        <v>107.35340439827307</v>
      </c>
      <c r="X15" s="319"/>
    </row>
    <row r="16" spans="2:26" s="315" customFormat="1" x14ac:dyDescent="0.25">
      <c r="B16" s="237">
        <f t="shared" si="4"/>
        <v>6</v>
      </c>
      <c r="C16" s="120" t="s">
        <v>898</v>
      </c>
      <c r="D16" s="128"/>
      <c r="E16" s="811">
        <v>2.4289402689648898</v>
      </c>
      <c r="F16" s="812">
        <f t="shared" ref="F16:F17" si="5">G16</f>
        <v>0.42491715455809836</v>
      </c>
      <c r="G16" s="525">
        <v>0.42491715455809836</v>
      </c>
      <c r="H16" s="650">
        <f t="shared" si="0"/>
        <v>0</v>
      </c>
      <c r="I16" s="562">
        <v>2.4203613786869189</v>
      </c>
      <c r="J16" s="812">
        <f t="shared" ref="J16:J17" si="6">K16</f>
        <v>0.47814262804541641</v>
      </c>
      <c r="K16" s="525">
        <v>0.47814262804541641</v>
      </c>
      <c r="L16" s="650">
        <f t="shared" si="1"/>
        <v>0</v>
      </c>
      <c r="M16" s="562">
        <v>2.4203613786869189</v>
      </c>
      <c r="N16" s="812">
        <f t="shared" ref="N16:N17" si="7">Q16</f>
        <v>0.47080889934914233</v>
      </c>
      <c r="O16" s="621">
        <v>0.23681913553496958</v>
      </c>
      <c r="P16" s="621">
        <v>0.23398976381417275</v>
      </c>
      <c r="Q16" s="650">
        <f t="shared" si="2"/>
        <v>0.47080889934914233</v>
      </c>
      <c r="R16" s="650">
        <f t="shared" si="3"/>
        <v>0</v>
      </c>
      <c r="S16" s="1131">
        <v>0.47814262804541641</v>
      </c>
      <c r="T16" s="562">
        <v>0.47814262804541641</v>
      </c>
      <c r="U16" s="562">
        <v>0.47814262804541641</v>
      </c>
      <c r="V16" s="562">
        <v>0.47814262804541641</v>
      </c>
      <c r="W16" s="562">
        <v>0.47814262804541641</v>
      </c>
      <c r="X16" s="319"/>
    </row>
    <row r="17" spans="2:24" s="315" customFormat="1" x14ac:dyDescent="0.25">
      <c r="B17" s="237">
        <f t="shared" si="4"/>
        <v>7</v>
      </c>
      <c r="C17" s="119" t="s">
        <v>335</v>
      </c>
      <c r="D17" s="128" t="s">
        <v>70</v>
      </c>
      <c r="E17" s="631">
        <f>'F6'!D25</f>
        <v>13.486712538931126</v>
      </c>
      <c r="F17" s="812">
        <f t="shared" si="5"/>
        <v>14.432542747952091</v>
      </c>
      <c r="G17" s="800">
        <f>'F6'!E25</f>
        <v>14.432542747952091</v>
      </c>
      <c r="H17" s="650">
        <f t="shared" si="0"/>
        <v>0</v>
      </c>
      <c r="I17" s="631">
        <f>'F6'!$G$25</f>
        <v>8.4276961785843802</v>
      </c>
      <c r="J17" s="812">
        <f t="shared" si="6"/>
        <v>8.4756203086327222</v>
      </c>
      <c r="K17" s="650">
        <f>'F6'!$H$25</f>
        <v>8.4756203086327222</v>
      </c>
      <c r="L17" s="650">
        <f t="shared" si="1"/>
        <v>0</v>
      </c>
      <c r="M17" s="631">
        <f>'F6'!J25</f>
        <v>6.3981964590137377</v>
      </c>
      <c r="N17" s="812">
        <f t="shared" si="7"/>
        <v>3.5858975336952605</v>
      </c>
      <c r="O17" s="650">
        <f>'F6'!$K$25/2</f>
        <v>1.7929487668476303</v>
      </c>
      <c r="P17" s="650">
        <f>O17</f>
        <v>1.7929487668476303</v>
      </c>
      <c r="Q17" s="650">
        <f t="shared" ref="Q17:Q21" si="8">O17+P17</f>
        <v>3.5858975336952605</v>
      </c>
      <c r="R17" s="650">
        <f t="shared" si="3"/>
        <v>0</v>
      </c>
      <c r="S17" s="1131">
        <f>'F6'!M25</f>
        <v>4.4656050549253941</v>
      </c>
      <c r="T17" s="562">
        <f>'F6'!N25</f>
        <v>6.6940137276946778</v>
      </c>
      <c r="U17" s="562">
        <f>'F6'!O25</f>
        <v>4.8304685876896993</v>
      </c>
      <c r="V17" s="562">
        <f>'F6'!P25</f>
        <v>9.9488074913158151</v>
      </c>
      <c r="W17" s="562">
        <f>'F6'!Q25</f>
        <v>13.99479148284777</v>
      </c>
      <c r="X17" s="319"/>
    </row>
    <row r="18" spans="2:24" s="315" customFormat="1" x14ac:dyDescent="0.25">
      <c r="B18" s="237">
        <f t="shared" si="4"/>
        <v>8</v>
      </c>
      <c r="C18" s="24" t="s">
        <v>1548</v>
      </c>
      <c r="D18" s="128"/>
      <c r="E18" s="631"/>
      <c r="F18" s="621">
        <f>G18</f>
        <v>4.2593516063809123E-3</v>
      </c>
      <c r="G18" s="1187">
        <v>4.2593516063809123E-3</v>
      </c>
      <c r="H18" s="1187"/>
      <c r="I18" s="631"/>
      <c r="J18" s="621">
        <f>K18</f>
        <v>2.9217667657179952E-3</v>
      </c>
      <c r="K18" s="1187">
        <v>2.9217667657179952E-3</v>
      </c>
      <c r="L18" s="1187"/>
      <c r="M18" s="631"/>
      <c r="N18" s="1187">
        <f>Q18</f>
        <v>1.1706175702883629E-3</v>
      </c>
      <c r="O18" s="1187">
        <v>5.8530878514418143E-4</v>
      </c>
      <c r="P18" s="1187">
        <v>5.8530878514418143E-4</v>
      </c>
      <c r="Q18" s="1187">
        <v>1.1706175702883629E-3</v>
      </c>
      <c r="R18" s="1187"/>
      <c r="S18" s="1131">
        <v>1.4824317352419567E-3</v>
      </c>
      <c r="T18" s="1187">
        <v>2.2353333516021614E-3</v>
      </c>
      <c r="U18" s="1187">
        <v>1.4064184792322964E-3</v>
      </c>
      <c r="V18" s="1187">
        <v>3.1699755917065442E-3</v>
      </c>
      <c r="W18" s="1187">
        <v>4.51969177860793E-3</v>
      </c>
      <c r="X18" s="319"/>
    </row>
    <row r="19" spans="2:24" s="315" customFormat="1" x14ac:dyDescent="0.25">
      <c r="B19" s="237">
        <f t="shared" si="4"/>
        <v>9</v>
      </c>
      <c r="C19" s="120" t="s">
        <v>86</v>
      </c>
      <c r="D19" s="128" t="s">
        <v>59</v>
      </c>
      <c r="E19" s="630">
        <f>'F2.4'!E34</f>
        <v>47.805116237879943</v>
      </c>
      <c r="F19" s="630">
        <f>'F2.4'!F34</f>
        <v>42.292407082600192</v>
      </c>
      <c r="G19" s="800">
        <f>'F2.4'!F35</f>
        <v>84.823818341218939</v>
      </c>
      <c r="H19" s="650">
        <f t="shared" si="0"/>
        <v>42.531411258618746</v>
      </c>
      <c r="I19" s="650">
        <f>'F2.4'!$G$34</f>
        <v>56.55621196401151</v>
      </c>
      <c r="J19" s="650">
        <f>'F2.4'!$H$34</f>
        <v>64.498688003044464</v>
      </c>
      <c r="K19" s="650">
        <f>'F2.4'!$H$35</f>
        <v>116.1075584108815</v>
      </c>
      <c r="L19" s="650">
        <f t="shared" si="1"/>
        <v>51.608870407837031</v>
      </c>
      <c r="M19" s="650">
        <f>'F2.4'!I34</f>
        <v>56.830143378461671</v>
      </c>
      <c r="N19" s="650">
        <f ca="1">'F2.4'!J34</f>
        <v>75.381963818401871</v>
      </c>
      <c r="O19" s="650">
        <f ca="1">Q19/2</f>
        <v>37.690981909200936</v>
      </c>
      <c r="P19" s="650">
        <f ca="1">O19</f>
        <v>37.690981909200936</v>
      </c>
      <c r="Q19" s="650">
        <f ca="1">N19</f>
        <v>75.381963818401871</v>
      </c>
      <c r="R19" s="650">
        <f t="shared" ca="1" si="3"/>
        <v>0</v>
      </c>
      <c r="S19" s="1131">
        <f ca="1">'F2.4'!E73</f>
        <v>69.069484188297125</v>
      </c>
      <c r="T19" s="562">
        <f ca="1">'F2.4'!F73</f>
        <v>73.134857268184177</v>
      </c>
      <c r="U19" s="562">
        <f ca="1">'F2.4'!G73</f>
        <v>76.185158333298475</v>
      </c>
      <c r="V19" s="562">
        <f ca="1">'F2.4'!H73</f>
        <v>79.936826296297852</v>
      </c>
      <c r="W19" s="562">
        <f ca="1">'F2.4'!I73</f>
        <v>83.902157940424104</v>
      </c>
      <c r="X19" s="319"/>
    </row>
    <row r="20" spans="2:24" s="315" customFormat="1" x14ac:dyDescent="0.25">
      <c r="B20" s="237">
        <f t="shared" si="4"/>
        <v>10</v>
      </c>
      <c r="C20" s="120" t="s">
        <v>1507</v>
      </c>
      <c r="D20" s="128"/>
      <c r="E20" s="630"/>
      <c r="F20" s="630"/>
      <c r="G20" s="1131"/>
      <c r="H20" s="1131"/>
      <c r="I20" s="1131"/>
      <c r="J20" s="1131"/>
      <c r="K20" s="1131"/>
      <c r="L20" s="1131"/>
      <c r="M20" s="1131"/>
      <c r="N20" s="1131">
        <f>Q20</f>
        <v>0</v>
      </c>
      <c r="O20" s="1131"/>
      <c r="P20" s="1131">
        <f>'F2.4'!$E$85</f>
        <v>0</v>
      </c>
      <c r="Q20" s="1131">
        <f>SUM(O20:P20)</f>
        <v>0</v>
      </c>
      <c r="R20" s="1131"/>
      <c r="S20" s="1131">
        <f>'F2.4'!F85</f>
        <v>2.717234877737877</v>
      </c>
      <c r="T20" s="562">
        <f>'F2.4'!G85</f>
        <v>3.5674508530482876</v>
      </c>
      <c r="U20" s="562">
        <f>'F2.4'!H85</f>
        <v>3.5594333364109283</v>
      </c>
      <c r="V20" s="562">
        <f>'F2.4'!I85</f>
        <v>3.5700463765982584</v>
      </c>
      <c r="W20" s="562">
        <f>'F2.4'!J85</f>
        <v>3.5711323057337792</v>
      </c>
      <c r="X20" s="319"/>
    </row>
    <row r="21" spans="2:24" s="315" customFormat="1" x14ac:dyDescent="0.25">
      <c r="B21" s="237">
        <f t="shared" si="4"/>
        <v>11</v>
      </c>
      <c r="C21" s="120" t="s">
        <v>87</v>
      </c>
      <c r="D21" s="128" t="s">
        <v>75</v>
      </c>
      <c r="E21" s="631">
        <f>'F10'!D27</f>
        <v>8.9682443947543717</v>
      </c>
      <c r="F21" s="525">
        <f>G21</f>
        <v>12.388720934999998</v>
      </c>
      <c r="G21" s="562">
        <f>'F10'!E27</f>
        <v>12.388720934999998</v>
      </c>
      <c r="H21" s="650">
        <f t="shared" si="0"/>
        <v>0</v>
      </c>
      <c r="I21" s="631">
        <f>'F10'!G27</f>
        <v>8.9682443947543717</v>
      </c>
      <c r="J21" s="525">
        <f>K21</f>
        <v>17.093037466000002</v>
      </c>
      <c r="K21" s="650">
        <f>'F10'!H27</f>
        <v>17.093037466000002</v>
      </c>
      <c r="L21" s="650">
        <f t="shared" si="1"/>
        <v>0</v>
      </c>
      <c r="M21" s="631">
        <f>'F10'!J27</f>
        <v>8.9682443947543717</v>
      </c>
      <c r="N21" s="650">
        <f>Q21</f>
        <v>26.91095772221081</v>
      </c>
      <c r="O21" s="650">
        <f>'F10'!K27</f>
        <v>13.455478861105405</v>
      </c>
      <c r="P21" s="650">
        <f>'F10'!L27</f>
        <v>13.455478861105405</v>
      </c>
      <c r="Q21" s="650">
        <f t="shared" si="8"/>
        <v>26.91095772221081</v>
      </c>
      <c r="R21" s="650">
        <f t="shared" ref="R21:R26" si="9">Q21-N21</f>
        <v>0</v>
      </c>
      <c r="S21" s="1131">
        <f>'F10'!O27</f>
        <v>17.093037466000002</v>
      </c>
      <c r="T21" s="562">
        <f>'F10'!P27</f>
        <v>17.093037466000002</v>
      </c>
      <c r="U21" s="562">
        <f>'F10'!Q27</f>
        <v>17.093037466000002</v>
      </c>
      <c r="V21" s="562">
        <f>'F10'!R27</f>
        <v>17.093037466000002</v>
      </c>
      <c r="W21" s="562">
        <f>'F10'!S27</f>
        <v>17.093037466000002</v>
      </c>
      <c r="X21" s="319"/>
    </row>
    <row r="22" spans="2:24" s="315" customFormat="1" x14ac:dyDescent="0.25">
      <c r="B22" s="237">
        <f t="shared" si="4"/>
        <v>12</v>
      </c>
      <c r="C22" s="119" t="s">
        <v>88</v>
      </c>
      <c r="D22" s="128" t="s">
        <v>322</v>
      </c>
      <c r="E22" s="631"/>
      <c r="F22" s="525">
        <f>E22</f>
        <v>0</v>
      </c>
      <c r="G22" s="722">
        <f>'F12'!E10</f>
        <v>0</v>
      </c>
      <c r="H22" s="722">
        <f t="shared" si="0"/>
        <v>0</v>
      </c>
      <c r="I22" s="631"/>
      <c r="J22" s="722">
        <f>I22</f>
        <v>0</v>
      </c>
      <c r="K22" s="722">
        <f>'F12'!F10</f>
        <v>0</v>
      </c>
      <c r="L22" s="722">
        <f t="shared" si="1"/>
        <v>0</v>
      </c>
      <c r="M22" s="631"/>
      <c r="N22" s="722">
        <f>M22</f>
        <v>0</v>
      </c>
      <c r="O22" s="319">
        <f>'F12'!$G$10/2</f>
        <v>0</v>
      </c>
      <c r="P22" s="319">
        <f>O22</f>
        <v>0</v>
      </c>
      <c r="Q22" s="722">
        <f>SUM(O22:P22)</f>
        <v>0</v>
      </c>
      <c r="R22" s="722">
        <f t="shared" si="9"/>
        <v>0</v>
      </c>
      <c r="S22" s="1131">
        <f>'F12'!H10</f>
        <v>0</v>
      </c>
      <c r="T22" s="562">
        <f>'F12'!I10</f>
        <v>0</v>
      </c>
      <c r="U22" s="562">
        <f>'F12'!J10</f>
        <v>0</v>
      </c>
      <c r="V22" s="562">
        <f>'F12'!K10</f>
        <v>0</v>
      </c>
      <c r="W22" s="562">
        <f>'F12'!L10</f>
        <v>0</v>
      </c>
      <c r="X22" s="319"/>
    </row>
    <row r="23" spans="2:24" s="315" customFormat="1" x14ac:dyDescent="0.25">
      <c r="B23" s="237">
        <f t="shared" si="4"/>
        <v>13</v>
      </c>
      <c r="C23" s="240" t="s">
        <v>89</v>
      </c>
      <c r="D23" s="522"/>
      <c r="E23" s="455">
        <f>SUM(E11:E22)</f>
        <v>1731.8547094272974</v>
      </c>
      <c r="F23" s="455">
        <f t="shared" ref="F23:P23" si="10">SUM(F11:F22)</f>
        <v>1534.5059238616116</v>
      </c>
      <c r="G23" s="455">
        <f>SUM(G11:G22)</f>
        <v>1746.4557354074482</v>
      </c>
      <c r="H23" s="455">
        <f t="shared" si="10"/>
        <v>211.94981154583684</v>
      </c>
      <c r="I23" s="455">
        <f t="shared" ref="I23" si="11">SUM(I11:I22)</f>
        <v>2060.9369936563207</v>
      </c>
      <c r="J23" s="455">
        <f t="shared" si="10"/>
        <v>1760.5884190677073</v>
      </c>
      <c r="K23" s="455">
        <f>SUM(K11:K22)</f>
        <v>1861.5410728262102</v>
      </c>
      <c r="L23" s="455">
        <f t="shared" si="10"/>
        <v>100.95265375850309</v>
      </c>
      <c r="M23" s="455">
        <f t="shared" ref="M23" si="12">SUM(M11:M22)</f>
        <v>2070.7538946830605</v>
      </c>
      <c r="N23" s="455">
        <f t="shared" ca="1" si="10"/>
        <v>1923.6461469653373</v>
      </c>
      <c r="O23" s="455">
        <f t="shared" ca="1" si="10"/>
        <v>804.27590655635095</v>
      </c>
      <c r="P23" s="455">
        <f t="shared" ca="1" si="10"/>
        <v>1186.214294000433</v>
      </c>
      <c r="Q23" s="455">
        <f ca="1">SUM(Q11:Q22)</f>
        <v>1990.4902005567842</v>
      </c>
      <c r="R23" s="455">
        <f ca="1">SUM(R11:R22)</f>
        <v>66.844053591447135</v>
      </c>
      <c r="S23" s="455">
        <f ca="1">SUM(S11:S22)</f>
        <v>2593.0352035049777</v>
      </c>
      <c r="T23" s="455">
        <f ca="1">SUM(T11:T22)</f>
        <v>2771.923714891273</v>
      </c>
      <c r="U23" s="455">
        <f t="shared" ref="U23:W23" ca="1" si="13">SUM(U11:U22)</f>
        <v>2889.3429257378366</v>
      </c>
      <c r="V23" s="455">
        <f ca="1">SUM(V11:V22)</f>
        <v>3023.4873636597299</v>
      </c>
      <c r="W23" s="455">
        <f t="shared" ca="1" si="13"/>
        <v>3162.2575435350236</v>
      </c>
      <c r="X23" s="319"/>
    </row>
    <row r="24" spans="2:24" s="315" customFormat="1" x14ac:dyDescent="0.25">
      <c r="B24" s="237">
        <f t="shared" si="4"/>
        <v>14</v>
      </c>
      <c r="C24" s="119" t="s">
        <v>90</v>
      </c>
      <c r="D24" s="128" t="s">
        <v>72</v>
      </c>
      <c r="E24" s="631">
        <f>'F7'!D21</f>
        <v>131.29846369529326</v>
      </c>
      <c r="F24" s="525">
        <f>G24</f>
        <v>131.23022767889927</v>
      </c>
      <c r="G24" s="525">
        <f>'F7'!E21+'F7'!E42</f>
        <v>131.23022767889927</v>
      </c>
      <c r="H24" s="650">
        <f>G24-F24</f>
        <v>0</v>
      </c>
      <c r="I24" s="631">
        <f>'F7'!G21</f>
        <v>132.62923369529327</v>
      </c>
      <c r="J24" s="650">
        <f>K24</f>
        <v>132.11612209987729</v>
      </c>
      <c r="K24" s="650">
        <f>'F7'!H21+'F7'!F42</f>
        <v>132.11612209987729</v>
      </c>
      <c r="L24" s="650">
        <f>K24-J24</f>
        <v>0</v>
      </c>
      <c r="M24" s="631">
        <f>'F7'!$J$21</f>
        <v>136.21645369529327</v>
      </c>
      <c r="N24" s="650">
        <f>Q24</f>
        <v>133.68219253724928</v>
      </c>
      <c r="O24" s="650">
        <f>'F7'!K21/2</f>
        <v>66.841096268624639</v>
      </c>
      <c r="P24" s="650">
        <f>O24</f>
        <v>66.841096268624639</v>
      </c>
      <c r="Q24" s="650">
        <f t="shared" ref="Q24:Q26" si="14">O24+P24</f>
        <v>133.68219253724928</v>
      </c>
      <c r="R24" s="650">
        <f t="shared" si="9"/>
        <v>0</v>
      </c>
      <c r="S24" s="1131">
        <f>'F7'!D65</f>
        <v>153.96588709481171</v>
      </c>
      <c r="T24" s="669">
        <f>'F7'!E65</f>
        <v>161.1596695948117</v>
      </c>
      <c r="U24" s="669">
        <f>'F7'!F65</f>
        <v>165.87244459481172</v>
      </c>
      <c r="V24" s="669">
        <f>'F7'!G65</f>
        <v>175.74648709481173</v>
      </c>
      <c r="W24" s="669">
        <f>'F7'!H65</f>
        <v>185.3910520948117</v>
      </c>
      <c r="X24" s="319"/>
    </row>
    <row r="25" spans="2:24" s="315" customFormat="1" x14ac:dyDescent="0.25">
      <c r="B25" s="237">
        <f t="shared" si="4"/>
        <v>15</v>
      </c>
      <c r="C25" s="24" t="s">
        <v>1549</v>
      </c>
      <c r="D25" s="128"/>
      <c r="E25" s="631"/>
      <c r="F25" s="621">
        <f>G25</f>
        <v>2.4232286182900045E-2</v>
      </c>
      <c r="G25" s="621">
        <v>2.4232286182900045E-2</v>
      </c>
      <c r="H25" s="1187"/>
      <c r="I25" s="631"/>
      <c r="J25" s="621">
        <f>K25</f>
        <v>2.7828346609009808E-2</v>
      </c>
      <c r="K25" s="621">
        <v>2.7828346609009808E-2</v>
      </c>
      <c r="L25" s="1187"/>
      <c r="M25" s="631"/>
      <c r="N25" s="1187">
        <f>Q25</f>
        <v>3.1037359725808619E-2</v>
      </c>
      <c r="O25" s="621">
        <v>1.5518679862904309E-2</v>
      </c>
      <c r="P25" s="621">
        <v>1.5518679862904309E-2</v>
      </c>
      <c r="Q25" s="621">
        <v>3.1037359725808619E-2</v>
      </c>
      <c r="R25" s="1187"/>
      <c r="S25" s="525">
        <v>3.0325351948777477E-2</v>
      </c>
      <c r="T25" s="621">
        <v>2.9727207645466866E-2</v>
      </c>
      <c r="U25" s="621">
        <v>2.9041042565920216E-2</v>
      </c>
      <c r="V25" s="621">
        <v>2.9596941736906704E-2</v>
      </c>
      <c r="W25" s="621">
        <v>3.0253525015382098E-2</v>
      </c>
      <c r="X25" s="319"/>
    </row>
    <row r="26" spans="2:24" s="315" customFormat="1" x14ac:dyDescent="0.25">
      <c r="B26" s="237">
        <f t="shared" si="4"/>
        <v>16</v>
      </c>
      <c r="C26" s="119" t="s">
        <v>91</v>
      </c>
      <c r="D26" s="128" t="s">
        <v>76</v>
      </c>
      <c r="E26" s="631">
        <f>'F11'!D26</f>
        <v>2.1155181833333296</v>
      </c>
      <c r="F26" s="525">
        <f>G26</f>
        <v>4.1817769818929102</v>
      </c>
      <c r="G26" s="650">
        <f>'F11'!E26</f>
        <v>4.1817769818929102</v>
      </c>
      <c r="H26" s="650">
        <f>G26-F26</f>
        <v>0</v>
      </c>
      <c r="I26" s="631">
        <f>'F11'!G26</f>
        <v>3.9144664376187768</v>
      </c>
      <c r="J26" s="812">
        <f>K26</f>
        <v>5.6790572384829607</v>
      </c>
      <c r="K26" s="650">
        <f>'F11'!H26</f>
        <v>5.6790572384829607</v>
      </c>
      <c r="L26" s="650">
        <f>K26-J26</f>
        <v>0</v>
      </c>
      <c r="M26" s="631">
        <f>'F11'!J26</f>
        <v>3.9144664376187768</v>
      </c>
      <c r="N26" s="812">
        <f>Q26</f>
        <v>5.6790572384829607</v>
      </c>
      <c r="O26" s="650">
        <f>'F11'!K26</f>
        <v>2.8395286192414804</v>
      </c>
      <c r="P26" s="650">
        <f>'F11'!L26</f>
        <v>2.8395286192414804</v>
      </c>
      <c r="Q26" s="650">
        <f t="shared" si="14"/>
        <v>5.6790572384829607</v>
      </c>
      <c r="R26" s="650">
        <f t="shared" si="9"/>
        <v>0</v>
      </c>
      <c r="S26" s="1131">
        <f>'F11'!O26</f>
        <v>5.6790572384829607</v>
      </c>
      <c r="T26" s="669">
        <f>'F11'!P26</f>
        <v>5.6790572384829607</v>
      </c>
      <c r="U26" s="669">
        <f>'F11'!Q26</f>
        <v>5.6790572384829607</v>
      </c>
      <c r="V26" s="669">
        <f>'F11'!R26</f>
        <v>5.6790572384829607</v>
      </c>
      <c r="W26" s="669">
        <f>'F11'!S26</f>
        <v>5.6790572384829607</v>
      </c>
      <c r="X26" s="319"/>
    </row>
    <row r="27" spans="2:24" s="315" customFormat="1" x14ac:dyDescent="0.25">
      <c r="B27" s="237">
        <f t="shared" si="4"/>
        <v>17</v>
      </c>
      <c r="C27" s="240" t="s">
        <v>92</v>
      </c>
      <c r="D27" s="128"/>
      <c r="E27" s="455">
        <f>E23+E24-E26+E25</f>
        <v>1861.0376549392574</v>
      </c>
      <c r="F27" s="455">
        <f t="shared" ref="F27:W27" si="15">F23+F24-F26+F25</f>
        <v>1661.578606844801</v>
      </c>
      <c r="G27" s="455">
        <f t="shared" si="15"/>
        <v>1873.5284183906374</v>
      </c>
      <c r="H27" s="455">
        <f t="shared" si="15"/>
        <v>211.94981154583684</v>
      </c>
      <c r="I27" s="455">
        <f t="shared" si="15"/>
        <v>2189.6517609139955</v>
      </c>
      <c r="J27" s="455">
        <f t="shared" si="15"/>
        <v>1887.0533122757106</v>
      </c>
      <c r="K27" s="455">
        <f t="shared" si="15"/>
        <v>1988.0059660342135</v>
      </c>
      <c r="L27" s="455">
        <f t="shared" si="15"/>
        <v>100.95265375850309</v>
      </c>
      <c r="M27" s="455">
        <f t="shared" si="15"/>
        <v>2203.0558819407352</v>
      </c>
      <c r="N27" s="455">
        <f t="shared" ca="1" si="15"/>
        <v>2051.6803196238293</v>
      </c>
      <c r="O27" s="455">
        <f t="shared" ca="1" si="15"/>
        <v>868.29299288559696</v>
      </c>
      <c r="P27" s="455">
        <f t="shared" ca="1" si="15"/>
        <v>1250.231380329679</v>
      </c>
      <c r="Q27" s="455">
        <f t="shared" ca="1" si="15"/>
        <v>2118.5243732152762</v>
      </c>
      <c r="R27" s="455">
        <f t="shared" ca="1" si="15"/>
        <v>66.844053591447135</v>
      </c>
      <c r="S27" s="455">
        <f t="shared" ca="1" si="15"/>
        <v>2741.3523587132554</v>
      </c>
      <c r="T27" s="455">
        <f t="shared" ca="1" si="15"/>
        <v>2927.434054455247</v>
      </c>
      <c r="U27" s="455">
        <f t="shared" ca="1" si="15"/>
        <v>3049.5653541367315</v>
      </c>
      <c r="V27" s="455">
        <f t="shared" ca="1" si="15"/>
        <v>3193.5843904577955</v>
      </c>
      <c r="W27" s="455">
        <f t="shared" ca="1" si="15"/>
        <v>3341.9997919163675</v>
      </c>
      <c r="X27" s="319"/>
    </row>
    <row r="28" spans="2:24" s="632" customFormat="1" x14ac:dyDescent="0.25">
      <c r="B28" s="656"/>
      <c r="E28" s="633"/>
      <c r="F28" s="634"/>
      <c r="G28" s="1493"/>
      <c r="H28" s="503"/>
      <c r="I28" s="1463"/>
      <c r="J28" s="363"/>
      <c r="K28" s="1493"/>
      <c r="L28" s="503"/>
      <c r="M28" s="1463"/>
      <c r="N28" s="1494"/>
      <c r="O28" s="1463"/>
      <c r="P28" s="1463"/>
      <c r="Q28" s="1493"/>
      <c r="S28" s="1741"/>
      <c r="T28" s="633"/>
      <c r="U28" s="633"/>
      <c r="V28" s="633"/>
      <c r="W28" s="633"/>
    </row>
    <row r="29" spans="2:24" x14ac:dyDescent="0.25">
      <c r="F29" s="363"/>
      <c r="J29" s="363"/>
      <c r="N29" s="363"/>
      <c r="S29" s="326"/>
      <c r="T29" s="503"/>
      <c r="U29" s="503"/>
      <c r="V29" s="503"/>
      <c r="W29" s="503"/>
    </row>
    <row r="30" spans="2:24" x14ac:dyDescent="0.25">
      <c r="B30" s="14" t="s">
        <v>1565</v>
      </c>
      <c r="Q30" s="503"/>
      <c r="S30" s="326"/>
    </row>
    <row r="33" spans="7:16" x14ac:dyDescent="0.25">
      <c r="G33" s="1463">
        <v>0</v>
      </c>
      <c r="H33" s="1464"/>
      <c r="I33" s="1464"/>
      <c r="J33" s="1464"/>
      <c r="K33" s="1463">
        <v>0</v>
      </c>
      <c r="L33" s="1464"/>
      <c r="M33" s="1464"/>
      <c r="N33" s="1464"/>
      <c r="O33" s="1463"/>
      <c r="P33" s="1463"/>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zoomScale="70" zoomScaleNormal="80" zoomScaleSheetLayoutView="70" workbookViewId="0">
      <selection activeCell="S39" sqref="S39"/>
    </sheetView>
  </sheetViews>
  <sheetFormatPr defaultColWidth="8.6328125" defaultRowHeight="13" x14ac:dyDescent="0.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x14ac:dyDescent="0.3">
      <c r="B2" s="1758" t="str">
        <f>Index!B2</f>
        <v xml:space="preserve">      Maharashtra State Power Generation Company Ltd.</v>
      </c>
      <c r="C2" s="1758"/>
      <c r="D2" s="1758"/>
      <c r="E2" s="1758"/>
      <c r="F2" s="1758"/>
      <c r="G2" s="1758"/>
      <c r="H2" s="1758"/>
      <c r="I2" s="1758"/>
      <c r="J2" s="1758"/>
      <c r="K2" s="1758"/>
      <c r="L2" s="1758"/>
      <c r="M2" s="1758"/>
      <c r="N2" s="1758"/>
    </row>
    <row r="3" spans="2:15" ht="14" x14ac:dyDescent="0.3">
      <c r="B3" s="1758" t="str">
        <f>Index!B3</f>
        <v>MYT Petition Formats for Parli Units 6 &amp; 7</v>
      </c>
      <c r="C3" s="1758"/>
      <c r="D3" s="1758"/>
      <c r="E3" s="1758"/>
      <c r="F3" s="1758"/>
      <c r="G3" s="1758"/>
      <c r="H3" s="1758"/>
      <c r="I3" s="1758"/>
      <c r="J3" s="1758"/>
      <c r="K3" s="1758"/>
      <c r="L3" s="1758"/>
      <c r="M3" s="1758"/>
      <c r="N3" s="1758"/>
    </row>
    <row r="4" spans="2:15" ht="14" x14ac:dyDescent="0.3">
      <c r="B4" s="1973" t="s">
        <v>422</v>
      </c>
      <c r="C4" s="1973"/>
      <c r="D4" s="1973"/>
      <c r="E4" s="1973"/>
      <c r="F4" s="1973"/>
      <c r="G4" s="1973"/>
      <c r="H4" s="1973"/>
      <c r="I4" s="1973"/>
      <c r="J4" s="1973"/>
      <c r="K4" s="1973"/>
      <c r="L4" s="1973"/>
      <c r="M4" s="1973"/>
      <c r="N4" s="1973"/>
    </row>
    <row r="5" spans="2:15" ht="14" x14ac:dyDescent="0.3">
      <c r="B5" s="88"/>
      <c r="C5" s="88"/>
      <c r="D5" s="88"/>
      <c r="E5" s="88"/>
      <c r="F5" s="88"/>
      <c r="G5" s="88"/>
      <c r="H5" s="88"/>
      <c r="I5" s="88"/>
      <c r="J5" s="88"/>
      <c r="K5" s="88"/>
      <c r="L5" s="88"/>
      <c r="M5" s="88"/>
      <c r="N5" s="88"/>
    </row>
    <row r="6" spans="2:15" ht="14" x14ac:dyDescent="0.3">
      <c r="B6" s="88"/>
      <c r="C6" s="88"/>
      <c r="D6" s="88"/>
      <c r="E6" s="88"/>
      <c r="F6" s="88"/>
      <c r="G6" s="88"/>
      <c r="H6" s="88"/>
      <c r="I6" s="88"/>
      <c r="J6" s="88"/>
      <c r="K6" s="88"/>
      <c r="L6" s="88"/>
      <c r="M6" s="88"/>
      <c r="N6" s="88"/>
    </row>
    <row r="7" spans="2:15" ht="14" x14ac:dyDescent="0.3">
      <c r="B7" s="68" t="s">
        <v>1009</v>
      </c>
      <c r="N7" s="115"/>
    </row>
    <row r="8" spans="2:15" ht="14" x14ac:dyDescent="0.3">
      <c r="B8" s="68"/>
      <c r="N8" s="115" t="s">
        <v>10</v>
      </c>
    </row>
    <row r="9" spans="2:15" s="116" customFormat="1" ht="33" customHeight="1" x14ac:dyDescent="0.25">
      <c r="B9" s="1970" t="s">
        <v>277</v>
      </c>
      <c r="C9" s="1794" t="s">
        <v>293</v>
      </c>
      <c r="D9" s="1794"/>
      <c r="E9" s="1794"/>
      <c r="F9" s="1794"/>
      <c r="G9" s="1792" t="s">
        <v>294</v>
      </c>
      <c r="H9" s="1792"/>
      <c r="I9" s="1792"/>
      <c r="J9" s="1971" t="s">
        <v>295</v>
      </c>
      <c r="K9" s="1971"/>
      <c r="L9" s="1971"/>
      <c r="M9" s="1971"/>
      <c r="N9" s="1971"/>
    </row>
    <row r="10" spans="2:15" ht="72" customHeight="1" x14ac:dyDescent="0.3">
      <c r="B10" s="1970"/>
      <c r="C10" s="304" t="s">
        <v>346</v>
      </c>
      <c r="D10" s="304" t="s">
        <v>344</v>
      </c>
      <c r="E10" s="304" t="s">
        <v>743</v>
      </c>
      <c r="F10" s="304" t="s">
        <v>345</v>
      </c>
      <c r="G10" s="304" t="s">
        <v>296</v>
      </c>
      <c r="H10" s="304" t="s">
        <v>744</v>
      </c>
      <c r="I10" s="304" t="s">
        <v>297</v>
      </c>
      <c r="J10" s="304" t="s">
        <v>298</v>
      </c>
      <c r="K10" s="304" t="s">
        <v>299</v>
      </c>
      <c r="L10" s="304" t="s">
        <v>745</v>
      </c>
      <c r="M10" s="304" t="s">
        <v>746</v>
      </c>
      <c r="N10" s="305" t="s">
        <v>270</v>
      </c>
    </row>
    <row r="11" spans="2:15" ht="14.25" customHeight="1" x14ac:dyDescent="0.3">
      <c r="B11" s="110"/>
      <c r="C11" s="111"/>
      <c r="D11" s="111"/>
      <c r="E11" s="111"/>
      <c r="F11" s="111"/>
      <c r="G11" s="111"/>
      <c r="H11" s="111"/>
      <c r="I11" s="111"/>
      <c r="J11" s="111"/>
      <c r="K11" s="111"/>
      <c r="L11" s="111"/>
      <c r="M11" s="111"/>
      <c r="N11" s="112"/>
    </row>
    <row r="12" spans="2:15" ht="14.25" customHeight="1" x14ac:dyDescent="0.3">
      <c r="B12" s="147" t="s">
        <v>782</v>
      </c>
      <c r="C12" s="332">
        <f ca="1">'F1'!S27-'F1'!S11</f>
        <v>803.36912033730391</v>
      </c>
      <c r="D12" s="332">
        <f>'F2.2'!S157</f>
        <v>5.813024260201356</v>
      </c>
      <c r="E12" s="113"/>
      <c r="F12" s="113"/>
      <c r="G12" s="332">
        <f>'F2.2'!S37</f>
        <v>3333.8640123081509</v>
      </c>
      <c r="H12" s="456">
        <v>1</v>
      </c>
      <c r="I12" s="113"/>
      <c r="J12" s="332">
        <f ca="1">C12</f>
        <v>803.36912033730391</v>
      </c>
      <c r="K12" s="332">
        <f>G12*D12/10</f>
        <v>1937.9832383759513</v>
      </c>
      <c r="L12" s="332"/>
      <c r="M12" s="332"/>
      <c r="N12" s="330">
        <f ca="1">SUM(J12:M12)</f>
        <v>2741.3523587132549</v>
      </c>
    </row>
    <row r="13" spans="2:15" ht="14.25" customHeight="1" x14ac:dyDescent="0.3">
      <c r="B13" s="107"/>
      <c r="C13" s="113"/>
      <c r="D13" s="113"/>
      <c r="E13" s="113"/>
      <c r="F13" s="113"/>
      <c r="G13" s="113"/>
      <c r="H13" s="113"/>
      <c r="I13" s="113"/>
      <c r="J13" s="113"/>
      <c r="K13" s="113"/>
      <c r="L13" s="113"/>
      <c r="M13" s="113"/>
      <c r="N13" s="330">
        <f>SUM(J13:M13)</f>
        <v>0</v>
      </c>
    </row>
    <row r="14" spans="2:15" ht="14" x14ac:dyDescent="0.3">
      <c r="B14" s="107" t="s">
        <v>270</v>
      </c>
      <c r="C14" s="353"/>
      <c r="D14" s="353"/>
      <c r="E14" s="353"/>
      <c r="F14" s="353"/>
      <c r="G14" s="353">
        <f>SUM(G12:G13)</f>
        <v>3333.8640123081509</v>
      </c>
      <c r="H14" s="353"/>
      <c r="I14" s="353"/>
      <c r="J14" s="353">
        <f ca="1">SUM(J12:J13)</f>
        <v>803.36912033730391</v>
      </c>
      <c r="K14" s="353">
        <f>SUM(K12:K13)</f>
        <v>1937.9832383759513</v>
      </c>
      <c r="L14" s="353">
        <f>SUM(L12:L13)</f>
        <v>0</v>
      </c>
      <c r="M14" s="353">
        <f>SUM(M12:M13)</f>
        <v>0</v>
      </c>
      <c r="N14" s="353">
        <f ca="1">SUM(N12:N13)</f>
        <v>2741.3523587132549</v>
      </c>
      <c r="O14" s="334"/>
    </row>
    <row r="17" spans="2:14" ht="2.75" customHeight="1" x14ac:dyDescent="0.3"/>
    <row r="18" spans="2:14" ht="14" x14ac:dyDescent="0.3">
      <c r="B18" s="68" t="s">
        <v>1010</v>
      </c>
    </row>
    <row r="19" spans="2:14" ht="14" x14ac:dyDescent="0.3">
      <c r="B19" s="68"/>
      <c r="N19" s="115" t="s">
        <v>10</v>
      </c>
    </row>
    <row r="20" spans="2:14" ht="13.25" customHeight="1" x14ac:dyDescent="0.3">
      <c r="B20" s="1970" t="s">
        <v>277</v>
      </c>
      <c r="C20" s="1794" t="s">
        <v>293</v>
      </c>
      <c r="D20" s="1794"/>
      <c r="E20" s="1794"/>
      <c r="F20" s="1794"/>
      <c r="G20" s="1792" t="s">
        <v>294</v>
      </c>
      <c r="H20" s="1792"/>
      <c r="I20" s="1792"/>
      <c r="J20" s="1971" t="s">
        <v>295</v>
      </c>
      <c r="K20" s="1971"/>
      <c r="L20" s="1971"/>
      <c r="M20" s="1971"/>
      <c r="N20" s="1971"/>
    </row>
    <row r="21" spans="2:14" ht="69" customHeight="1" x14ac:dyDescent="0.3">
      <c r="B21" s="1970"/>
      <c r="C21" s="304" t="s">
        <v>346</v>
      </c>
      <c r="D21" s="304" t="s">
        <v>344</v>
      </c>
      <c r="E21" s="304" t="s">
        <v>743</v>
      </c>
      <c r="F21" s="304" t="s">
        <v>345</v>
      </c>
      <c r="G21" s="304" t="s">
        <v>296</v>
      </c>
      <c r="H21" s="304" t="s">
        <v>744</v>
      </c>
      <c r="I21" s="304" t="s">
        <v>297</v>
      </c>
      <c r="J21" s="304" t="s">
        <v>298</v>
      </c>
      <c r="K21" s="304" t="s">
        <v>299</v>
      </c>
      <c r="L21" s="304" t="s">
        <v>745</v>
      </c>
      <c r="M21" s="304" t="s">
        <v>746</v>
      </c>
      <c r="N21" s="305" t="s">
        <v>270</v>
      </c>
    </row>
    <row r="22" spans="2:14" x14ac:dyDescent="0.3">
      <c r="B22" s="110"/>
      <c r="C22" s="111"/>
      <c r="D22" s="111"/>
      <c r="E22" s="111"/>
      <c r="F22" s="111"/>
      <c r="G22" s="111"/>
      <c r="H22" s="111"/>
      <c r="I22" s="111"/>
      <c r="J22" s="111"/>
      <c r="K22" s="111"/>
      <c r="L22" s="111"/>
      <c r="M22" s="111"/>
      <c r="N22" s="112"/>
    </row>
    <row r="23" spans="2:14" ht="14" x14ac:dyDescent="0.3">
      <c r="B23" s="147" t="s">
        <v>782</v>
      </c>
      <c r="C23" s="331">
        <f ca="1">'F1'!T27-'F1'!T11</f>
        <v>892.48136218557624</v>
      </c>
      <c r="D23" s="331">
        <f>'F2.2'!$T$157</f>
        <v>6.103674644363136</v>
      </c>
      <c r="E23" s="331"/>
      <c r="F23" s="113"/>
      <c r="G23" s="332">
        <f>'F2.2'!$T$37</f>
        <v>3333.9796284013755</v>
      </c>
      <c r="H23" s="456">
        <v>1</v>
      </c>
      <c r="I23" s="113"/>
      <c r="J23" s="332">
        <f ca="1">C23</f>
        <v>892.48136218557624</v>
      </c>
      <c r="K23" s="332">
        <f>G23*D23/10</f>
        <v>2034.9526922696707</v>
      </c>
      <c r="L23" s="332"/>
      <c r="M23" s="332"/>
      <c r="N23" s="330">
        <f ca="1">SUM(J23:M23)</f>
        <v>2927.434054455247</v>
      </c>
    </row>
    <row r="24" spans="2:14" ht="14" x14ac:dyDescent="0.3">
      <c r="B24" s="107"/>
      <c r="C24" s="113"/>
      <c r="D24" s="113"/>
      <c r="E24" s="113"/>
      <c r="F24" s="113"/>
      <c r="G24" s="113"/>
      <c r="H24" s="113"/>
      <c r="I24" s="113"/>
      <c r="J24" s="113"/>
      <c r="K24" s="113"/>
      <c r="L24" s="113"/>
      <c r="M24" s="113"/>
      <c r="N24" s="330">
        <f>SUM(J24:M24)</f>
        <v>0</v>
      </c>
    </row>
    <row r="25" spans="2:14" ht="14" x14ac:dyDescent="0.3">
      <c r="B25" s="107" t="s">
        <v>270</v>
      </c>
      <c r="C25" s="353"/>
      <c r="D25" s="353"/>
      <c r="E25" s="353"/>
      <c r="F25" s="353"/>
      <c r="G25" s="353">
        <f>SUM(G23:G24)</f>
        <v>3333.9796284013755</v>
      </c>
      <c r="H25" s="353"/>
      <c r="I25" s="353"/>
      <c r="J25" s="353">
        <f ca="1">SUM(J23:J24)</f>
        <v>892.48136218557624</v>
      </c>
      <c r="K25" s="353">
        <f>SUM(K23:K24)</f>
        <v>2034.9526922696707</v>
      </c>
      <c r="L25" s="353">
        <f>SUM(L23:L24)</f>
        <v>0</v>
      </c>
      <c r="M25" s="353">
        <f>SUM(M23:M24)</f>
        <v>0</v>
      </c>
      <c r="N25" s="353">
        <f ca="1">SUM(N23:N24)</f>
        <v>2927.434054455247</v>
      </c>
    </row>
    <row r="29" spans="2:14" ht="14" x14ac:dyDescent="0.3">
      <c r="B29" s="68" t="s">
        <v>1011</v>
      </c>
    </row>
    <row r="30" spans="2:14" ht="14" x14ac:dyDescent="0.3">
      <c r="B30" s="68"/>
      <c r="N30" s="115" t="s">
        <v>10</v>
      </c>
    </row>
    <row r="31" spans="2:14" ht="29.75" customHeight="1" x14ac:dyDescent="0.3">
      <c r="B31" s="1970" t="s">
        <v>277</v>
      </c>
      <c r="C31" s="1794" t="s">
        <v>293</v>
      </c>
      <c r="D31" s="1794"/>
      <c r="E31" s="1794"/>
      <c r="F31" s="1794"/>
      <c r="G31" s="1792" t="s">
        <v>294</v>
      </c>
      <c r="H31" s="1792"/>
      <c r="I31" s="1792"/>
      <c r="J31" s="1971" t="s">
        <v>295</v>
      </c>
      <c r="K31" s="1971"/>
      <c r="L31" s="1971"/>
      <c r="M31" s="1971"/>
      <c r="N31" s="1971"/>
    </row>
    <row r="32" spans="2:14" ht="65.25" customHeight="1" x14ac:dyDescent="0.3">
      <c r="B32" s="1970"/>
      <c r="C32" s="304" t="s">
        <v>346</v>
      </c>
      <c r="D32" s="304" t="s">
        <v>344</v>
      </c>
      <c r="E32" s="304" t="s">
        <v>743</v>
      </c>
      <c r="F32" s="304" t="s">
        <v>345</v>
      </c>
      <c r="G32" s="304" t="s">
        <v>296</v>
      </c>
      <c r="H32" s="304" t="s">
        <v>744</v>
      </c>
      <c r="I32" s="304" t="s">
        <v>297</v>
      </c>
      <c r="J32" s="304" t="s">
        <v>298</v>
      </c>
      <c r="K32" s="304" t="s">
        <v>299</v>
      </c>
      <c r="L32" s="304" t="s">
        <v>745</v>
      </c>
      <c r="M32" s="304" t="s">
        <v>746</v>
      </c>
      <c r="N32" s="305" t="s">
        <v>270</v>
      </c>
    </row>
    <row r="33" spans="2:14" x14ac:dyDescent="0.3">
      <c r="B33" s="110"/>
      <c r="C33" s="111"/>
      <c r="D33" s="111"/>
      <c r="E33" s="111"/>
      <c r="F33" s="111"/>
      <c r="G33" s="111"/>
      <c r="H33" s="111"/>
      <c r="I33" s="111"/>
      <c r="J33" s="111"/>
      <c r="K33" s="111"/>
      <c r="L33" s="111"/>
      <c r="M33" s="111"/>
      <c r="N33" s="112"/>
    </row>
    <row r="34" spans="2:14" ht="14" x14ac:dyDescent="0.3">
      <c r="B34" s="147" t="s">
        <v>782</v>
      </c>
      <c r="C34" s="332">
        <f ca="1">'F1'!U27-'F1'!U11</f>
        <v>912.8650272535765</v>
      </c>
      <c r="D34" s="332">
        <f>'F2.2'!$U$157</f>
        <v>6.4088583765812954</v>
      </c>
      <c r="E34" s="332"/>
      <c r="F34" s="113"/>
      <c r="G34" s="332">
        <f>'F2.2'!$U$37</f>
        <v>3333.9796284013755</v>
      </c>
      <c r="H34" s="456">
        <v>1</v>
      </c>
      <c r="I34" s="113"/>
      <c r="J34" s="332">
        <f ca="1">C34</f>
        <v>912.8650272535765</v>
      </c>
      <c r="K34" s="332">
        <f>G34*D34/10</f>
        <v>2136.700326883155</v>
      </c>
      <c r="L34" s="332"/>
      <c r="M34" s="332"/>
      <c r="N34" s="330">
        <f ca="1">SUM(J34:M34)</f>
        <v>3049.5653541367315</v>
      </c>
    </row>
    <row r="35" spans="2:14" ht="14" x14ac:dyDescent="0.3">
      <c r="B35" s="107"/>
      <c r="C35" s="113"/>
      <c r="D35" s="113"/>
      <c r="E35" s="113"/>
      <c r="F35" s="113"/>
      <c r="G35" s="113"/>
      <c r="H35" s="113"/>
      <c r="I35" s="113"/>
      <c r="J35" s="113"/>
      <c r="K35" s="113"/>
      <c r="L35" s="113"/>
      <c r="M35" s="113"/>
      <c r="N35" s="330">
        <f>SUM(J35:M35)</f>
        <v>0</v>
      </c>
    </row>
    <row r="36" spans="2:14" ht="14" x14ac:dyDescent="0.3">
      <c r="B36" s="107" t="s">
        <v>270</v>
      </c>
      <c r="C36" s="353"/>
      <c r="D36" s="353"/>
      <c r="E36" s="353"/>
      <c r="F36" s="353"/>
      <c r="G36" s="353">
        <f>SUM(G34:G35)</f>
        <v>3333.9796284013755</v>
      </c>
      <c r="H36" s="353"/>
      <c r="I36" s="353"/>
      <c r="J36" s="353">
        <f ca="1">SUM(J34:J35)</f>
        <v>912.8650272535765</v>
      </c>
      <c r="K36" s="353">
        <f>SUM(K34:K35)</f>
        <v>2136.700326883155</v>
      </c>
      <c r="L36" s="353">
        <f>SUM(L34:L35)</f>
        <v>0</v>
      </c>
      <c r="M36" s="353">
        <f>SUM(M34:M35)</f>
        <v>0</v>
      </c>
      <c r="N36" s="353">
        <f ca="1">SUM(N34:N35)</f>
        <v>3049.5653541367315</v>
      </c>
    </row>
    <row r="37" spans="2:14" ht="14" x14ac:dyDescent="0.3">
      <c r="B37" s="234"/>
      <c r="C37" s="78"/>
      <c r="D37" s="78"/>
      <c r="E37" s="78"/>
      <c r="F37" s="78"/>
      <c r="G37" s="78"/>
      <c r="H37" s="78"/>
      <c r="I37" s="78"/>
      <c r="J37" s="78"/>
      <c r="K37" s="78"/>
      <c r="L37" s="78"/>
      <c r="M37" s="78"/>
      <c r="N37" s="78"/>
    </row>
    <row r="38" spans="2:14" ht="14" x14ac:dyDescent="0.3">
      <c r="B38" s="234"/>
      <c r="C38" s="78"/>
      <c r="D38" s="78"/>
      <c r="E38" s="78"/>
      <c r="F38" s="78"/>
      <c r="G38" s="78"/>
      <c r="H38" s="78"/>
      <c r="I38" s="78"/>
      <c r="J38" s="78"/>
      <c r="K38" s="78"/>
      <c r="L38" s="78"/>
      <c r="M38" s="78"/>
      <c r="N38" s="78"/>
    </row>
    <row r="39" spans="2:14" ht="14" x14ac:dyDescent="0.3">
      <c r="B39" s="68" t="s">
        <v>1012</v>
      </c>
    </row>
    <row r="40" spans="2:14" ht="14" x14ac:dyDescent="0.3">
      <c r="B40" s="68"/>
      <c r="N40" s="115" t="s">
        <v>10</v>
      </c>
    </row>
    <row r="41" spans="2:14" ht="14" x14ac:dyDescent="0.3">
      <c r="B41" s="1970" t="s">
        <v>277</v>
      </c>
      <c r="C41" s="1794" t="s">
        <v>293</v>
      </c>
      <c r="D41" s="1794"/>
      <c r="E41" s="1794"/>
      <c r="F41" s="1794"/>
      <c r="G41" s="1792" t="s">
        <v>294</v>
      </c>
      <c r="H41" s="1792"/>
      <c r="I41" s="1792"/>
      <c r="J41" s="1971" t="s">
        <v>295</v>
      </c>
      <c r="K41" s="1971"/>
      <c r="L41" s="1971"/>
      <c r="M41" s="1971"/>
      <c r="N41" s="1971"/>
    </row>
    <row r="42" spans="2:14" ht="70" x14ac:dyDescent="0.3">
      <c r="B42" s="1970"/>
      <c r="C42" s="720" t="s">
        <v>346</v>
      </c>
      <c r="D42" s="720" t="s">
        <v>344</v>
      </c>
      <c r="E42" s="720" t="s">
        <v>743</v>
      </c>
      <c r="F42" s="720" t="s">
        <v>345</v>
      </c>
      <c r="G42" s="720" t="s">
        <v>296</v>
      </c>
      <c r="H42" s="720" t="s">
        <v>744</v>
      </c>
      <c r="I42" s="720" t="s">
        <v>297</v>
      </c>
      <c r="J42" s="720" t="s">
        <v>298</v>
      </c>
      <c r="K42" s="720" t="s">
        <v>299</v>
      </c>
      <c r="L42" s="720" t="s">
        <v>745</v>
      </c>
      <c r="M42" s="720" t="s">
        <v>746</v>
      </c>
      <c r="N42" s="721" t="s">
        <v>270</v>
      </c>
    </row>
    <row r="43" spans="2:14" x14ac:dyDescent="0.3">
      <c r="B43" s="110"/>
      <c r="C43" s="111"/>
      <c r="D43" s="111"/>
      <c r="E43" s="111"/>
      <c r="F43" s="111"/>
      <c r="G43" s="111"/>
      <c r="H43" s="111"/>
      <c r="I43" s="111"/>
      <c r="J43" s="111"/>
      <c r="K43" s="111"/>
      <c r="L43" s="111"/>
      <c r="M43" s="111"/>
      <c r="N43" s="112"/>
    </row>
    <row r="44" spans="2:14" ht="14" x14ac:dyDescent="0.3">
      <c r="B44" s="147" t="s">
        <v>782</v>
      </c>
      <c r="C44" s="332">
        <f ca="1">'F1'!V27-'F1'!V11</f>
        <v>949.97155032813225</v>
      </c>
      <c r="D44" s="332">
        <f>'F2.2'!$V$157</f>
        <v>6.7293003816684935</v>
      </c>
      <c r="E44" s="332"/>
      <c r="F44" s="113"/>
      <c r="G44" s="332">
        <f>'F2.2'!$V$37</f>
        <v>3334.0952444946015</v>
      </c>
      <c r="H44" s="456">
        <v>1</v>
      </c>
      <c r="I44" s="113"/>
      <c r="J44" s="332">
        <f ca="1">C44</f>
        <v>949.97155032813225</v>
      </c>
      <c r="K44" s="332">
        <f>G44*D44/10</f>
        <v>2243.6128401296633</v>
      </c>
      <c r="L44" s="332"/>
      <c r="M44" s="332"/>
      <c r="N44" s="330">
        <f ca="1">SUM(J44:M44)</f>
        <v>3193.5843904577955</v>
      </c>
    </row>
    <row r="45" spans="2:14" ht="14" x14ac:dyDescent="0.3">
      <c r="B45" s="107"/>
      <c r="C45" s="113"/>
      <c r="D45" s="113"/>
      <c r="E45" s="113"/>
      <c r="F45" s="113"/>
      <c r="G45" s="113"/>
      <c r="H45" s="113"/>
      <c r="I45" s="113"/>
      <c r="J45" s="113"/>
      <c r="K45" s="113"/>
      <c r="L45" s="113"/>
      <c r="M45" s="113"/>
      <c r="N45" s="330">
        <f>SUM(J45:M45)</f>
        <v>0</v>
      </c>
    </row>
    <row r="46" spans="2:14" ht="14" x14ac:dyDescent="0.3">
      <c r="B46" s="107" t="s">
        <v>270</v>
      </c>
      <c r="C46" s="353"/>
      <c r="D46" s="353"/>
      <c r="E46" s="353"/>
      <c r="F46" s="353"/>
      <c r="G46" s="353">
        <f>SUM(G44:G45)</f>
        <v>3334.0952444946015</v>
      </c>
      <c r="H46" s="353"/>
      <c r="I46" s="353"/>
      <c r="J46" s="353">
        <f ca="1">SUM(J44:J45)</f>
        <v>949.97155032813225</v>
      </c>
      <c r="K46" s="353">
        <f>SUM(K44:K45)</f>
        <v>2243.6128401296633</v>
      </c>
      <c r="L46" s="353">
        <f>SUM(L44:L45)</f>
        <v>0</v>
      </c>
      <c r="M46" s="353">
        <f>SUM(M44:M45)</f>
        <v>0</v>
      </c>
      <c r="N46" s="353">
        <f ca="1">SUM(N44:N45)</f>
        <v>3193.5843904577955</v>
      </c>
    </row>
    <row r="49" spans="2:14" ht="14" x14ac:dyDescent="0.3">
      <c r="B49" s="68" t="s">
        <v>1013</v>
      </c>
    </row>
    <row r="50" spans="2:14" ht="14" x14ac:dyDescent="0.3">
      <c r="B50" s="68"/>
      <c r="N50" s="115" t="s">
        <v>10</v>
      </c>
    </row>
    <row r="51" spans="2:14" ht="14" x14ac:dyDescent="0.3">
      <c r="B51" s="1970" t="s">
        <v>277</v>
      </c>
      <c r="C51" s="1794" t="s">
        <v>293</v>
      </c>
      <c r="D51" s="1794"/>
      <c r="E51" s="1794"/>
      <c r="F51" s="1794"/>
      <c r="G51" s="1792" t="s">
        <v>294</v>
      </c>
      <c r="H51" s="1792"/>
      <c r="I51" s="1792"/>
      <c r="J51" s="1971" t="s">
        <v>295</v>
      </c>
      <c r="K51" s="1971"/>
      <c r="L51" s="1971"/>
      <c r="M51" s="1971"/>
      <c r="N51" s="1971"/>
    </row>
    <row r="52" spans="2:14" ht="70" x14ac:dyDescent="0.3">
      <c r="B52" s="1970"/>
      <c r="C52" s="720" t="s">
        <v>346</v>
      </c>
      <c r="D52" s="720" t="s">
        <v>344</v>
      </c>
      <c r="E52" s="720" t="s">
        <v>743</v>
      </c>
      <c r="F52" s="720" t="s">
        <v>345</v>
      </c>
      <c r="G52" s="720" t="s">
        <v>296</v>
      </c>
      <c r="H52" s="720" t="s">
        <v>744</v>
      </c>
      <c r="I52" s="720" t="s">
        <v>297</v>
      </c>
      <c r="J52" s="720" t="s">
        <v>298</v>
      </c>
      <c r="K52" s="720" t="s">
        <v>299</v>
      </c>
      <c r="L52" s="720" t="s">
        <v>745</v>
      </c>
      <c r="M52" s="720" t="s">
        <v>746</v>
      </c>
      <c r="N52" s="721" t="s">
        <v>270</v>
      </c>
    </row>
    <row r="53" spans="2:14" x14ac:dyDescent="0.3">
      <c r="B53" s="110"/>
      <c r="C53" s="111"/>
      <c r="D53" s="111"/>
      <c r="E53" s="111"/>
      <c r="F53" s="111"/>
      <c r="G53" s="111"/>
      <c r="H53" s="111"/>
      <c r="I53" s="111"/>
      <c r="J53" s="111"/>
      <c r="K53" s="111"/>
      <c r="L53" s="111"/>
      <c r="M53" s="111"/>
      <c r="N53" s="112"/>
    </row>
    <row r="54" spans="2:14" ht="14" x14ac:dyDescent="0.3">
      <c r="B54" s="147" t="s">
        <v>782</v>
      </c>
      <c r="C54" s="332">
        <f ca="1">'F1'!W27-'F1'!W11</f>
        <v>986.36905327515842</v>
      </c>
      <c r="D54" s="332">
        <f>'F2.2'!$W$157</f>
        <v>7.0657673196763762</v>
      </c>
      <c r="E54" s="332"/>
      <c r="F54" s="113"/>
      <c r="G54" s="332">
        <f>'F2.2'!$W$37</f>
        <v>3333.8640123081509</v>
      </c>
      <c r="H54" s="456">
        <v>1</v>
      </c>
      <c r="I54" s="113"/>
      <c r="J54" s="332">
        <f ca="1">C54</f>
        <v>986.36905327515842</v>
      </c>
      <c r="K54" s="332">
        <f>G54*D54/10</f>
        <v>2355.6307386412091</v>
      </c>
      <c r="L54" s="332"/>
      <c r="M54" s="332"/>
      <c r="N54" s="330">
        <f ca="1">SUM(J54:M54)</f>
        <v>3341.9997919163675</v>
      </c>
    </row>
    <row r="55" spans="2:14" ht="14" x14ac:dyDescent="0.3">
      <c r="B55" s="107"/>
      <c r="C55" s="113"/>
      <c r="D55" s="113"/>
      <c r="E55" s="113"/>
      <c r="F55" s="113"/>
      <c r="G55" s="113"/>
      <c r="H55" s="113"/>
      <c r="I55" s="113"/>
      <c r="J55" s="113"/>
      <c r="K55" s="113"/>
      <c r="L55" s="113"/>
      <c r="M55" s="113"/>
      <c r="N55" s="330">
        <f>SUM(J55:M55)</f>
        <v>0</v>
      </c>
    </row>
    <row r="56" spans="2:14" ht="14" x14ac:dyDescent="0.3">
      <c r="B56" s="107" t="s">
        <v>270</v>
      </c>
      <c r="C56" s="353"/>
      <c r="D56" s="353"/>
      <c r="E56" s="353"/>
      <c r="F56" s="353"/>
      <c r="G56" s="353">
        <f>SUM(G54:G55)</f>
        <v>3333.8640123081509</v>
      </c>
      <c r="H56" s="353"/>
      <c r="I56" s="353"/>
      <c r="J56" s="353">
        <f ca="1">SUM(J54:J55)</f>
        <v>986.36905327515842</v>
      </c>
      <c r="K56" s="353">
        <f>SUM(K54:K55)</f>
        <v>2355.6307386412091</v>
      </c>
      <c r="L56" s="353">
        <f>SUM(L54:L55)</f>
        <v>0</v>
      </c>
      <c r="M56" s="353">
        <f>SUM(M54:M55)</f>
        <v>0</v>
      </c>
      <c r="N56" s="353">
        <f ca="1">SUM(N54:N55)</f>
        <v>3341.9997919163675</v>
      </c>
    </row>
  </sheetData>
  <mergeCells count="23">
    <mergeCell ref="B41:B42"/>
    <mergeCell ref="C41:F41"/>
    <mergeCell ref="G41:I41"/>
    <mergeCell ref="J41:N41"/>
    <mergeCell ref="B51:B52"/>
    <mergeCell ref="C51:F51"/>
    <mergeCell ref="G51:I51"/>
    <mergeCell ref="J51:N51"/>
    <mergeCell ref="B2:N2"/>
    <mergeCell ref="B3:N3"/>
    <mergeCell ref="B4:N4"/>
    <mergeCell ref="B9:B10"/>
    <mergeCell ref="C9:F9"/>
    <mergeCell ref="G9:I9"/>
    <mergeCell ref="J9:N9"/>
    <mergeCell ref="B20:B21"/>
    <mergeCell ref="C20:F20"/>
    <mergeCell ref="G20:I20"/>
    <mergeCell ref="J20:N20"/>
    <mergeCell ref="B31:B32"/>
    <mergeCell ref="C31:F31"/>
    <mergeCell ref="G31:I31"/>
    <mergeCell ref="J31:N3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zoomScale="80" zoomScaleNormal="80" zoomScaleSheetLayoutView="80" workbookViewId="0">
      <selection activeCell="S39" sqref="S39"/>
    </sheetView>
  </sheetViews>
  <sheetFormatPr defaultColWidth="8.6328125" defaultRowHeight="14" x14ac:dyDescent="0.3"/>
  <cols>
    <col min="1" max="1" width="8.6328125" style="235"/>
    <col min="2" max="2" width="13.453125" style="235" customWidth="1"/>
    <col min="3" max="11" width="12.36328125" style="235" customWidth="1"/>
    <col min="12" max="12" width="14.6328125" style="235" customWidth="1"/>
    <col min="13" max="14" width="12.36328125" style="235" customWidth="1"/>
    <col min="15" max="16384" width="8.6328125" style="235"/>
  </cols>
  <sheetData>
    <row r="2" spans="2:14" x14ac:dyDescent="0.3">
      <c r="B2" s="1758" t="str">
        <f>Index!B2</f>
        <v xml:space="preserve">      Maharashtra State Power Generation Company Ltd.</v>
      </c>
      <c r="C2" s="1758"/>
      <c r="D2" s="1758"/>
      <c r="E2" s="1758"/>
      <c r="F2" s="1758"/>
      <c r="G2" s="1758"/>
      <c r="H2" s="1758"/>
      <c r="I2" s="1758"/>
      <c r="J2" s="1758"/>
      <c r="K2" s="1758"/>
      <c r="L2" s="1758"/>
      <c r="M2" s="1758"/>
      <c r="N2" s="1758"/>
    </row>
    <row r="3" spans="2:14" x14ac:dyDescent="0.3">
      <c r="B3" s="1758" t="str">
        <f>Index!B3</f>
        <v>MYT Petition Formats for Parli Units 6 &amp; 7</v>
      </c>
      <c r="C3" s="1758"/>
      <c r="D3" s="1758"/>
      <c r="E3" s="1758"/>
      <c r="F3" s="1758"/>
      <c r="G3" s="1758"/>
      <c r="H3" s="1758"/>
      <c r="I3" s="1758"/>
      <c r="J3" s="1758"/>
      <c r="K3" s="1758"/>
      <c r="L3" s="1758"/>
      <c r="M3" s="1758"/>
      <c r="N3" s="1758"/>
    </row>
    <row r="4" spans="2:14" x14ac:dyDescent="0.3">
      <c r="B4" s="1973" t="s">
        <v>423</v>
      </c>
      <c r="C4" s="1973"/>
      <c r="D4" s="1973"/>
      <c r="E4" s="1973"/>
      <c r="F4" s="1973"/>
      <c r="G4" s="1973"/>
      <c r="H4" s="1973"/>
      <c r="I4" s="1973"/>
      <c r="J4" s="1973"/>
      <c r="K4" s="1973"/>
      <c r="L4" s="1973"/>
      <c r="M4" s="1973"/>
      <c r="N4" s="1973"/>
    </row>
    <row r="5" spans="2:14" x14ac:dyDescent="0.3">
      <c r="B5" s="231"/>
      <c r="C5" s="231"/>
      <c r="D5" s="231"/>
      <c r="E5" s="231"/>
      <c r="F5" s="231"/>
      <c r="G5" s="231"/>
      <c r="H5" s="231"/>
      <c r="I5" s="231"/>
      <c r="J5" s="231"/>
      <c r="K5" s="231"/>
      <c r="L5" s="231"/>
      <c r="M5" s="231"/>
      <c r="N5" s="231"/>
    </row>
    <row r="6" spans="2:14" x14ac:dyDescent="0.3">
      <c r="B6" s="68" t="s">
        <v>968</v>
      </c>
    </row>
    <row r="7" spans="2:14" x14ac:dyDescent="0.3">
      <c r="B7" s="68"/>
      <c r="N7" s="44" t="s">
        <v>10</v>
      </c>
    </row>
    <row r="8" spans="2:14" s="241" customFormat="1" ht="35.75" customHeight="1" x14ac:dyDescent="0.25">
      <c r="B8" s="1763" t="s">
        <v>277</v>
      </c>
      <c r="C8" s="1794" t="s">
        <v>293</v>
      </c>
      <c r="D8" s="1794"/>
      <c r="E8" s="1794"/>
      <c r="F8" s="1794"/>
      <c r="G8" s="1792" t="s">
        <v>294</v>
      </c>
      <c r="H8" s="1792"/>
      <c r="I8" s="1792"/>
      <c r="J8" s="1971" t="s">
        <v>295</v>
      </c>
      <c r="K8" s="1971"/>
      <c r="L8" s="1971"/>
      <c r="M8" s="1971"/>
      <c r="N8" s="1971"/>
    </row>
    <row r="9" spans="2:14" ht="72" customHeight="1" x14ac:dyDescent="0.3">
      <c r="B9" s="1763"/>
      <c r="C9" s="304" t="s">
        <v>346</v>
      </c>
      <c r="D9" s="304" t="s">
        <v>344</v>
      </c>
      <c r="E9" s="304" t="s">
        <v>743</v>
      </c>
      <c r="F9" s="304" t="s">
        <v>345</v>
      </c>
      <c r="G9" s="304" t="s">
        <v>296</v>
      </c>
      <c r="H9" s="304" t="s">
        <v>744</v>
      </c>
      <c r="I9" s="304" t="s">
        <v>297</v>
      </c>
      <c r="J9" s="304" t="s">
        <v>298</v>
      </c>
      <c r="K9" s="304" t="s">
        <v>299</v>
      </c>
      <c r="L9" s="304" t="s">
        <v>745</v>
      </c>
      <c r="M9" s="304" t="s">
        <v>746</v>
      </c>
      <c r="N9" s="305" t="s">
        <v>270</v>
      </c>
    </row>
    <row r="10" spans="2:14" x14ac:dyDescent="0.3">
      <c r="B10" s="237"/>
      <c r="C10" s="238"/>
      <c r="D10" s="238"/>
      <c r="E10" s="238"/>
      <c r="F10" s="238"/>
      <c r="G10" s="238"/>
      <c r="H10" s="238"/>
      <c r="I10" s="238"/>
      <c r="J10" s="238"/>
      <c r="K10" s="238"/>
      <c r="L10" s="238"/>
      <c r="M10" s="238"/>
      <c r="N10" s="239"/>
    </row>
    <row r="11" spans="2:14" x14ac:dyDescent="0.3">
      <c r="B11" s="147" t="s">
        <v>782</v>
      </c>
      <c r="C11" s="568">
        <f ca="1">'F9.2'!C12</f>
        <v>803.36912033730391</v>
      </c>
      <c r="D11" s="568">
        <f>'F9.2'!D12</f>
        <v>5.813024260201356</v>
      </c>
      <c r="E11" s="568">
        <f>'F9.2'!E12</f>
        <v>0</v>
      </c>
      <c r="F11" s="568">
        <f>'F9.2'!F12</f>
        <v>0</v>
      </c>
      <c r="G11" s="568">
        <f>'F9.2'!G12</f>
        <v>3333.8640123081509</v>
      </c>
      <c r="H11" s="568">
        <f>'F9.2'!H12</f>
        <v>1</v>
      </c>
      <c r="I11" s="568">
        <f>'F9.2'!I12</f>
        <v>0</v>
      </c>
      <c r="J11" s="568">
        <f ca="1">'F9.2'!J12</f>
        <v>803.36912033730391</v>
      </c>
      <c r="K11" s="568">
        <f>'F9.2'!K12</f>
        <v>1937.9832383759513</v>
      </c>
      <c r="L11" s="568">
        <f>'F9.2'!L12</f>
        <v>0</v>
      </c>
      <c r="M11" s="568">
        <f>'F9.2'!M12</f>
        <v>0</v>
      </c>
      <c r="N11" s="307">
        <f ca="1">SUM(J11:M11)</f>
        <v>2741.3523587132549</v>
      </c>
    </row>
    <row r="12" spans="2:14" x14ac:dyDescent="0.3">
      <c r="B12" s="107"/>
      <c r="C12" s="24"/>
      <c r="D12" s="24"/>
      <c r="E12" s="24"/>
      <c r="F12" s="24"/>
      <c r="G12" s="24"/>
      <c r="H12" s="24"/>
      <c r="I12" s="24"/>
      <c r="J12" s="24"/>
      <c r="K12" s="24"/>
      <c r="L12" s="24"/>
      <c r="M12" s="24"/>
      <c r="N12" s="24"/>
    </row>
    <row r="13" spans="2:14" x14ac:dyDescent="0.3">
      <c r="B13" s="240" t="s">
        <v>270</v>
      </c>
      <c r="C13" s="333"/>
      <c r="D13" s="333"/>
      <c r="E13" s="333"/>
      <c r="F13" s="333"/>
      <c r="G13" s="333">
        <f>SUM(G11:G12)</f>
        <v>3333.8640123081509</v>
      </c>
      <c r="H13" s="333"/>
      <c r="I13" s="333"/>
      <c r="J13" s="333">
        <f ca="1">SUM(J11:J12)</f>
        <v>803.36912033730391</v>
      </c>
      <c r="K13" s="333">
        <f>SUM(K11:K12)</f>
        <v>1937.9832383759513</v>
      </c>
      <c r="L13" s="333">
        <f>SUM(L11:L12)</f>
        <v>0</v>
      </c>
      <c r="M13" s="333">
        <f>SUM(M11:M12)</f>
        <v>0</v>
      </c>
      <c r="N13" s="333">
        <f ca="1">SUM(N11:N12)</f>
        <v>2741.3523587132549</v>
      </c>
    </row>
    <row r="17" spans="2:14" x14ac:dyDescent="0.3">
      <c r="B17" s="68" t="s">
        <v>969</v>
      </c>
      <c r="N17" s="236"/>
    </row>
    <row r="18" spans="2:14" x14ac:dyDescent="0.3">
      <c r="B18" s="68"/>
      <c r="N18" s="44" t="s">
        <v>10</v>
      </c>
    </row>
    <row r="19" spans="2:14" ht="32" customHeight="1" x14ac:dyDescent="0.3">
      <c r="B19" s="1763" t="s">
        <v>277</v>
      </c>
      <c r="C19" s="1794" t="s">
        <v>293</v>
      </c>
      <c r="D19" s="1794"/>
      <c r="E19" s="1794"/>
      <c r="F19" s="1794"/>
      <c r="G19" s="1792" t="s">
        <v>294</v>
      </c>
      <c r="H19" s="1792"/>
      <c r="I19" s="1792"/>
      <c r="J19" s="1971" t="s">
        <v>295</v>
      </c>
      <c r="K19" s="1971"/>
      <c r="L19" s="1971"/>
      <c r="M19" s="1971"/>
      <c r="N19" s="1971"/>
    </row>
    <row r="20" spans="2:14" ht="68.25" customHeight="1" x14ac:dyDescent="0.3">
      <c r="B20" s="1763"/>
      <c r="C20" s="304" t="s">
        <v>346</v>
      </c>
      <c r="D20" s="304" t="s">
        <v>344</v>
      </c>
      <c r="E20" s="304" t="s">
        <v>743</v>
      </c>
      <c r="F20" s="304" t="s">
        <v>345</v>
      </c>
      <c r="G20" s="304" t="s">
        <v>296</v>
      </c>
      <c r="H20" s="304" t="s">
        <v>744</v>
      </c>
      <c r="I20" s="304" t="s">
        <v>297</v>
      </c>
      <c r="J20" s="304" t="s">
        <v>298</v>
      </c>
      <c r="K20" s="304" t="s">
        <v>299</v>
      </c>
      <c r="L20" s="304" t="s">
        <v>745</v>
      </c>
      <c r="M20" s="304" t="s">
        <v>746</v>
      </c>
      <c r="N20" s="305" t="s">
        <v>270</v>
      </c>
    </row>
    <row r="21" spans="2:14" x14ac:dyDescent="0.3">
      <c r="B21" s="237"/>
      <c r="C21" s="238"/>
      <c r="D21" s="238"/>
      <c r="E21" s="238"/>
      <c r="F21" s="238"/>
      <c r="G21" s="238"/>
      <c r="H21" s="238"/>
      <c r="I21" s="238"/>
      <c r="J21" s="238"/>
      <c r="K21" s="238"/>
      <c r="L21" s="238"/>
      <c r="M21" s="238"/>
      <c r="N21" s="239"/>
    </row>
    <row r="22" spans="2:14" x14ac:dyDescent="0.3">
      <c r="B22" s="147" t="s">
        <v>782</v>
      </c>
      <c r="C22" s="307">
        <f ca="1">'F9.2'!C23</f>
        <v>892.48136218557624</v>
      </c>
      <c r="D22" s="307">
        <f>'F9.2'!D23</f>
        <v>6.103674644363136</v>
      </c>
      <c r="E22" s="307">
        <f>'F9.2'!E23</f>
        <v>0</v>
      </c>
      <c r="F22" s="307">
        <f>'F9.2'!F23</f>
        <v>0</v>
      </c>
      <c r="G22" s="307">
        <f>'F9.2'!G23</f>
        <v>3333.9796284013755</v>
      </c>
      <c r="H22" s="569">
        <f>'F9.2'!H23</f>
        <v>1</v>
      </c>
      <c r="I22" s="307">
        <f>'F9.2'!I23</f>
        <v>0</v>
      </c>
      <c r="J22" s="307">
        <f ca="1">'F9.2'!J23</f>
        <v>892.48136218557624</v>
      </c>
      <c r="K22" s="307">
        <f>'F9.2'!K23</f>
        <v>2034.9526922696707</v>
      </c>
      <c r="L22" s="307">
        <f>'F9.2'!L23</f>
        <v>0</v>
      </c>
      <c r="M22" s="307">
        <f>'F9.2'!M23</f>
        <v>0</v>
      </c>
      <c r="N22" s="307">
        <f ca="1">SUM(J22:M22)</f>
        <v>2927.434054455247</v>
      </c>
    </row>
    <row r="23" spans="2:14" x14ac:dyDescent="0.3">
      <c r="B23" s="107"/>
      <c r="C23" s="24"/>
      <c r="D23" s="24"/>
      <c r="E23" s="24"/>
      <c r="F23" s="24"/>
      <c r="G23" s="24"/>
      <c r="H23" s="24"/>
      <c r="I23" s="24"/>
      <c r="J23" s="24"/>
      <c r="K23" s="24"/>
      <c r="L23" s="24"/>
      <c r="M23" s="24"/>
      <c r="N23" s="24"/>
    </row>
    <row r="24" spans="2:14" x14ac:dyDescent="0.3">
      <c r="B24" s="240" t="s">
        <v>270</v>
      </c>
      <c r="C24" s="333"/>
      <c r="D24" s="333"/>
      <c r="E24" s="333"/>
      <c r="F24" s="333"/>
      <c r="G24" s="333">
        <f>SUM(G22:G23)</f>
        <v>3333.9796284013755</v>
      </c>
      <c r="H24" s="333"/>
      <c r="I24" s="333"/>
      <c r="J24" s="333">
        <f ca="1">SUM(J22:J23)</f>
        <v>892.48136218557624</v>
      </c>
      <c r="K24" s="333">
        <f>SUM(K22:K23)</f>
        <v>2034.9526922696707</v>
      </c>
      <c r="L24" s="333">
        <f>SUM(L22:L23)</f>
        <v>0</v>
      </c>
      <c r="M24" s="333">
        <f>SUM(M22:M23)</f>
        <v>0</v>
      </c>
      <c r="N24" s="333">
        <f ca="1">SUM(N22:N23)</f>
        <v>2927.434054455247</v>
      </c>
    </row>
    <row r="26" spans="2:14" x14ac:dyDescent="0.3">
      <c r="B26" s="68" t="s">
        <v>970</v>
      </c>
      <c r="N26" s="236"/>
    </row>
    <row r="27" spans="2:14" x14ac:dyDescent="0.3">
      <c r="B27" s="68"/>
      <c r="N27" s="44" t="s">
        <v>10</v>
      </c>
    </row>
    <row r="28" spans="2:14" x14ac:dyDescent="0.3">
      <c r="B28" s="1763" t="s">
        <v>277</v>
      </c>
      <c r="C28" s="1794" t="s">
        <v>293</v>
      </c>
      <c r="D28" s="1794"/>
      <c r="E28" s="1794"/>
      <c r="F28" s="1794"/>
      <c r="G28" s="1792" t="s">
        <v>294</v>
      </c>
      <c r="H28" s="1792"/>
      <c r="I28" s="1792"/>
      <c r="J28" s="1971" t="s">
        <v>295</v>
      </c>
      <c r="K28" s="1971"/>
      <c r="L28" s="1971"/>
      <c r="M28" s="1971"/>
      <c r="N28" s="1971"/>
    </row>
    <row r="29" spans="2:14" ht="70" x14ac:dyDescent="0.3">
      <c r="B29" s="1763"/>
      <c r="C29" s="720" t="s">
        <v>346</v>
      </c>
      <c r="D29" s="720" t="s">
        <v>344</v>
      </c>
      <c r="E29" s="720" t="s">
        <v>743</v>
      </c>
      <c r="F29" s="720" t="s">
        <v>345</v>
      </c>
      <c r="G29" s="720" t="s">
        <v>296</v>
      </c>
      <c r="H29" s="720" t="s">
        <v>744</v>
      </c>
      <c r="I29" s="720" t="s">
        <v>297</v>
      </c>
      <c r="J29" s="720" t="s">
        <v>298</v>
      </c>
      <c r="K29" s="720" t="s">
        <v>299</v>
      </c>
      <c r="L29" s="720" t="s">
        <v>745</v>
      </c>
      <c r="M29" s="720" t="s">
        <v>746</v>
      </c>
      <c r="N29" s="721" t="s">
        <v>270</v>
      </c>
    </row>
    <row r="30" spans="2:14" x14ac:dyDescent="0.3">
      <c r="B30" s="237"/>
      <c r="C30" s="238"/>
      <c r="D30" s="238"/>
      <c r="E30" s="238"/>
      <c r="F30" s="238"/>
      <c r="G30" s="238"/>
      <c r="H30" s="238"/>
      <c r="I30" s="238"/>
      <c r="J30" s="238"/>
      <c r="K30" s="238"/>
      <c r="L30" s="238"/>
      <c r="M30" s="238"/>
      <c r="N30" s="239"/>
    </row>
    <row r="31" spans="2:14" x14ac:dyDescent="0.3">
      <c r="B31" s="147" t="s">
        <v>782</v>
      </c>
      <c r="C31" s="307">
        <f ca="1">'F9.2'!C34</f>
        <v>912.8650272535765</v>
      </c>
      <c r="D31" s="307">
        <f>'F9.2'!D34</f>
        <v>6.4088583765812954</v>
      </c>
      <c r="E31" s="307">
        <f>'F9.2'!E34</f>
        <v>0</v>
      </c>
      <c r="F31" s="307">
        <f>'F9.2'!F34</f>
        <v>0</v>
      </c>
      <c r="G31" s="307">
        <f>'F9.2'!G34</f>
        <v>3333.9796284013755</v>
      </c>
      <c r="H31" s="569">
        <f>'F9.2'!H34</f>
        <v>1</v>
      </c>
      <c r="I31" s="307">
        <f>'F9.2'!I34</f>
        <v>0</v>
      </c>
      <c r="J31" s="307">
        <f ca="1">'F9.2'!J34</f>
        <v>912.8650272535765</v>
      </c>
      <c r="K31" s="307">
        <f>'F9.2'!K34</f>
        <v>2136.700326883155</v>
      </c>
      <c r="L31" s="307">
        <f>'F9.2'!L34</f>
        <v>0</v>
      </c>
      <c r="M31" s="307">
        <f>'F9.2'!M34</f>
        <v>0</v>
      </c>
      <c r="N31" s="307">
        <f ca="1">SUM(J31:M31)</f>
        <v>3049.5653541367315</v>
      </c>
    </row>
    <row r="32" spans="2:14" x14ac:dyDescent="0.3">
      <c r="B32" s="107"/>
      <c r="C32" s="24"/>
      <c r="D32" s="24"/>
      <c r="E32" s="24"/>
      <c r="F32" s="24"/>
      <c r="G32" s="24"/>
      <c r="H32" s="24"/>
      <c r="I32" s="24"/>
      <c r="J32" s="24"/>
      <c r="K32" s="24"/>
      <c r="L32" s="24"/>
      <c r="M32" s="24"/>
      <c r="N32" s="24"/>
    </row>
    <row r="33" spans="2:14" x14ac:dyDescent="0.3">
      <c r="B33" s="240" t="s">
        <v>270</v>
      </c>
      <c r="C33" s="333"/>
      <c r="D33" s="333"/>
      <c r="E33" s="333"/>
      <c r="F33" s="333"/>
      <c r="G33" s="333">
        <f>SUM(G31:G32)</f>
        <v>3333.9796284013755</v>
      </c>
      <c r="H33" s="333"/>
      <c r="I33" s="333"/>
      <c r="J33" s="333">
        <f ca="1">SUM(J31:J32)</f>
        <v>912.8650272535765</v>
      </c>
      <c r="K33" s="333">
        <f>SUM(K31:K32)</f>
        <v>2136.700326883155</v>
      </c>
      <c r="L33" s="333">
        <f>SUM(L31:L32)</f>
        <v>0</v>
      </c>
      <c r="M33" s="333">
        <f>SUM(M31:M32)</f>
        <v>0</v>
      </c>
      <c r="N33" s="333">
        <f ca="1">SUM(N31:N32)</f>
        <v>3049.5653541367315</v>
      </c>
    </row>
    <row r="35" spans="2:14" x14ac:dyDescent="0.3">
      <c r="B35" s="68" t="s">
        <v>971</v>
      </c>
      <c r="N35" s="236"/>
    </row>
    <row r="36" spans="2:14" x14ac:dyDescent="0.3">
      <c r="B36" s="68"/>
      <c r="N36" s="44" t="s">
        <v>10</v>
      </c>
    </row>
    <row r="37" spans="2:14" x14ac:dyDescent="0.3">
      <c r="B37" s="1763" t="s">
        <v>277</v>
      </c>
      <c r="C37" s="1794" t="s">
        <v>293</v>
      </c>
      <c r="D37" s="1794"/>
      <c r="E37" s="1794"/>
      <c r="F37" s="1794"/>
      <c r="G37" s="1792" t="s">
        <v>294</v>
      </c>
      <c r="H37" s="1792"/>
      <c r="I37" s="1792"/>
      <c r="J37" s="1971" t="s">
        <v>295</v>
      </c>
      <c r="K37" s="1971"/>
      <c r="L37" s="1971"/>
      <c r="M37" s="1971"/>
      <c r="N37" s="1971"/>
    </row>
    <row r="38" spans="2:14" ht="70" x14ac:dyDescent="0.3">
      <c r="B38" s="1763"/>
      <c r="C38" s="720" t="s">
        <v>346</v>
      </c>
      <c r="D38" s="720" t="s">
        <v>344</v>
      </c>
      <c r="E38" s="720" t="s">
        <v>743</v>
      </c>
      <c r="F38" s="720" t="s">
        <v>345</v>
      </c>
      <c r="G38" s="720" t="s">
        <v>296</v>
      </c>
      <c r="H38" s="720" t="s">
        <v>744</v>
      </c>
      <c r="I38" s="720" t="s">
        <v>297</v>
      </c>
      <c r="J38" s="720" t="s">
        <v>298</v>
      </c>
      <c r="K38" s="720" t="s">
        <v>299</v>
      </c>
      <c r="L38" s="720" t="s">
        <v>745</v>
      </c>
      <c r="M38" s="720" t="s">
        <v>746</v>
      </c>
      <c r="N38" s="721" t="s">
        <v>270</v>
      </c>
    </row>
    <row r="39" spans="2:14" x14ac:dyDescent="0.3">
      <c r="B39" s="237"/>
      <c r="C39" s="238"/>
      <c r="D39" s="238"/>
      <c r="E39" s="238"/>
      <c r="F39" s="238"/>
      <c r="G39" s="238"/>
      <c r="H39" s="238"/>
      <c r="I39" s="238"/>
      <c r="J39" s="238"/>
      <c r="K39" s="238"/>
      <c r="L39" s="238"/>
      <c r="M39" s="238"/>
      <c r="N39" s="239"/>
    </row>
    <row r="40" spans="2:14" x14ac:dyDescent="0.3">
      <c r="B40" s="147" t="s">
        <v>782</v>
      </c>
      <c r="C40" s="307">
        <f ca="1">'F9.2'!C44</f>
        <v>949.97155032813225</v>
      </c>
      <c r="D40" s="307">
        <f>'F9.2'!D44</f>
        <v>6.7293003816684935</v>
      </c>
      <c r="E40" s="307">
        <f>'F9.2'!E44</f>
        <v>0</v>
      </c>
      <c r="F40" s="307">
        <f>'F9.2'!F44</f>
        <v>0</v>
      </c>
      <c r="G40" s="307">
        <f>'F9.2'!G44</f>
        <v>3334.0952444946015</v>
      </c>
      <c r="H40" s="569">
        <f>'F9.2'!H44</f>
        <v>1</v>
      </c>
      <c r="I40" s="307">
        <f>'F9.2'!I44</f>
        <v>0</v>
      </c>
      <c r="J40" s="307">
        <f ca="1">'F9.2'!J44</f>
        <v>949.97155032813225</v>
      </c>
      <c r="K40" s="307">
        <f>'F9.2'!K44</f>
        <v>2243.6128401296633</v>
      </c>
      <c r="L40" s="307">
        <f>'F9.2'!L44</f>
        <v>0</v>
      </c>
      <c r="M40" s="307">
        <f>'F9.2'!M44</f>
        <v>0</v>
      </c>
      <c r="N40" s="307">
        <f ca="1">SUM(J40:M40)</f>
        <v>3193.5843904577955</v>
      </c>
    </row>
    <row r="41" spans="2:14" x14ac:dyDescent="0.3">
      <c r="B41" s="107"/>
      <c r="C41" s="24"/>
      <c r="D41" s="24"/>
      <c r="E41" s="24"/>
      <c r="F41" s="24"/>
      <c r="G41" s="24"/>
      <c r="H41" s="24"/>
      <c r="I41" s="24"/>
      <c r="J41" s="24"/>
      <c r="K41" s="24"/>
      <c r="L41" s="24"/>
      <c r="M41" s="24"/>
      <c r="N41" s="24"/>
    </row>
    <row r="42" spans="2:14" x14ac:dyDescent="0.3">
      <c r="B42" s="240" t="s">
        <v>270</v>
      </c>
      <c r="C42" s="333"/>
      <c r="D42" s="333"/>
      <c r="E42" s="333"/>
      <c r="F42" s="333"/>
      <c r="G42" s="333">
        <f>SUM(G40:G41)</f>
        <v>3334.0952444946015</v>
      </c>
      <c r="H42" s="333"/>
      <c r="I42" s="333"/>
      <c r="J42" s="333">
        <f ca="1">SUM(J40:J41)</f>
        <v>949.97155032813225</v>
      </c>
      <c r="K42" s="333">
        <f>SUM(K40:K41)</f>
        <v>2243.6128401296633</v>
      </c>
      <c r="L42" s="333">
        <f>SUM(L40:L41)</f>
        <v>0</v>
      </c>
      <c r="M42" s="333">
        <f>SUM(M40:M41)</f>
        <v>0</v>
      </c>
      <c r="N42" s="333">
        <f ca="1">SUM(N40:N41)</f>
        <v>3193.5843904577955</v>
      </c>
    </row>
    <row r="44" spans="2:14" x14ac:dyDescent="0.3">
      <c r="B44" s="68" t="s">
        <v>972</v>
      </c>
      <c r="N44" s="236"/>
    </row>
    <row r="45" spans="2:14" x14ac:dyDescent="0.3">
      <c r="B45" s="68"/>
      <c r="N45" s="44" t="s">
        <v>10</v>
      </c>
    </row>
    <row r="46" spans="2:14" x14ac:dyDescent="0.3">
      <c r="B46" s="1763" t="s">
        <v>277</v>
      </c>
      <c r="C46" s="1794" t="s">
        <v>293</v>
      </c>
      <c r="D46" s="1794"/>
      <c r="E46" s="1794"/>
      <c r="F46" s="1794"/>
      <c r="G46" s="1792" t="s">
        <v>294</v>
      </c>
      <c r="H46" s="1792"/>
      <c r="I46" s="1792"/>
      <c r="J46" s="1971" t="s">
        <v>295</v>
      </c>
      <c r="K46" s="1971"/>
      <c r="L46" s="1971"/>
      <c r="M46" s="1971"/>
      <c r="N46" s="1971"/>
    </row>
    <row r="47" spans="2:14" ht="70" x14ac:dyDescent="0.3">
      <c r="B47" s="1763"/>
      <c r="C47" s="720" t="s">
        <v>346</v>
      </c>
      <c r="D47" s="720" t="s">
        <v>344</v>
      </c>
      <c r="E47" s="720" t="s">
        <v>743</v>
      </c>
      <c r="F47" s="720" t="s">
        <v>345</v>
      </c>
      <c r="G47" s="720" t="s">
        <v>296</v>
      </c>
      <c r="H47" s="720" t="s">
        <v>744</v>
      </c>
      <c r="I47" s="720" t="s">
        <v>297</v>
      </c>
      <c r="J47" s="720" t="s">
        <v>298</v>
      </c>
      <c r="K47" s="720" t="s">
        <v>299</v>
      </c>
      <c r="L47" s="720" t="s">
        <v>745</v>
      </c>
      <c r="M47" s="720" t="s">
        <v>746</v>
      </c>
      <c r="N47" s="721" t="s">
        <v>270</v>
      </c>
    </row>
    <row r="48" spans="2:14" x14ac:dyDescent="0.3">
      <c r="B48" s="237"/>
      <c r="C48" s="238"/>
      <c r="D48" s="238"/>
      <c r="E48" s="238"/>
      <c r="F48" s="238"/>
      <c r="G48" s="238"/>
      <c r="H48" s="238"/>
      <c r="I48" s="238"/>
      <c r="J48" s="238"/>
      <c r="K48" s="238"/>
      <c r="L48" s="238"/>
      <c r="M48" s="238"/>
      <c r="N48" s="239"/>
    </row>
    <row r="49" spans="2:14" x14ac:dyDescent="0.3">
      <c r="B49" s="147" t="s">
        <v>782</v>
      </c>
      <c r="C49" s="307">
        <f ca="1">'F9.2'!C54</f>
        <v>986.36905327515842</v>
      </c>
      <c r="D49" s="307">
        <f>'F9.2'!D54</f>
        <v>7.0657673196763762</v>
      </c>
      <c r="E49" s="307">
        <f>'F9.2'!E54</f>
        <v>0</v>
      </c>
      <c r="F49" s="307">
        <f>'F9.2'!F54</f>
        <v>0</v>
      </c>
      <c r="G49" s="307">
        <f>'F9.2'!G54</f>
        <v>3333.8640123081509</v>
      </c>
      <c r="H49" s="569">
        <f>'F9.2'!H54</f>
        <v>1</v>
      </c>
      <c r="I49" s="307">
        <f>'F9.2'!I54</f>
        <v>0</v>
      </c>
      <c r="J49" s="307">
        <f ca="1">'F9.2'!J54</f>
        <v>986.36905327515842</v>
      </c>
      <c r="K49" s="307">
        <f>'F9.2'!K54</f>
        <v>2355.6307386412091</v>
      </c>
      <c r="L49" s="307">
        <f>'F9.2'!L54</f>
        <v>0</v>
      </c>
      <c r="M49" s="307">
        <f>'F9.2'!M54</f>
        <v>0</v>
      </c>
      <c r="N49" s="307">
        <f ca="1">'F9.2'!N54</f>
        <v>3341.9997919163675</v>
      </c>
    </row>
    <row r="50" spans="2:14" x14ac:dyDescent="0.3">
      <c r="B50" s="107"/>
      <c r="C50" s="24"/>
      <c r="D50" s="24"/>
      <c r="E50" s="24"/>
      <c r="F50" s="24"/>
      <c r="G50" s="24"/>
      <c r="H50" s="24"/>
      <c r="I50" s="24"/>
      <c r="J50" s="24"/>
      <c r="K50" s="24"/>
      <c r="L50" s="24"/>
      <c r="M50" s="24"/>
      <c r="N50" s="24"/>
    </row>
    <row r="51" spans="2:14" x14ac:dyDescent="0.3">
      <c r="B51" s="240" t="s">
        <v>270</v>
      </c>
      <c r="C51" s="333"/>
      <c r="D51" s="333"/>
      <c r="E51" s="333"/>
      <c r="F51" s="333"/>
      <c r="G51" s="333">
        <f>SUM(G49:G50)</f>
        <v>3333.8640123081509</v>
      </c>
      <c r="H51" s="333"/>
      <c r="I51" s="333"/>
      <c r="J51" s="333">
        <f ca="1">SUM(J49:J50)</f>
        <v>986.36905327515842</v>
      </c>
      <c r="K51" s="333">
        <f>SUM(K49:K50)</f>
        <v>2355.6307386412091</v>
      </c>
      <c r="L51" s="333">
        <f>SUM(L49:L50)</f>
        <v>0</v>
      </c>
      <c r="M51" s="333">
        <f>SUM(M49:M50)</f>
        <v>0</v>
      </c>
      <c r="N51" s="333">
        <f ca="1">SUM(N49:N50)</f>
        <v>3341.9997919163675</v>
      </c>
    </row>
  </sheetData>
  <mergeCells count="23">
    <mergeCell ref="B46:B47"/>
    <mergeCell ref="C46:F46"/>
    <mergeCell ref="G46:I46"/>
    <mergeCell ref="J46:N46"/>
    <mergeCell ref="B28:B29"/>
    <mergeCell ref="C28:F28"/>
    <mergeCell ref="G28:I28"/>
    <mergeCell ref="J28:N28"/>
    <mergeCell ref="B37:B38"/>
    <mergeCell ref="C37:F37"/>
    <mergeCell ref="G37:I37"/>
    <mergeCell ref="J37:N37"/>
    <mergeCell ref="B19:B20"/>
    <mergeCell ref="C19:F19"/>
    <mergeCell ref="G19:I19"/>
    <mergeCell ref="J19:N19"/>
    <mergeCell ref="B2:N2"/>
    <mergeCell ref="B3:N3"/>
    <mergeCell ref="B4:N4"/>
    <mergeCell ref="B8:B9"/>
    <mergeCell ref="C8:F8"/>
    <mergeCell ref="G8:I8"/>
    <mergeCell ref="J8:N8"/>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S39" sqref="S39"/>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7"/>
      <c r="D2" s="117"/>
      <c r="E2" s="117"/>
      <c r="F2" s="117"/>
      <c r="G2" s="117"/>
      <c r="H2" s="117"/>
      <c r="I2" s="117"/>
      <c r="J2" s="117"/>
      <c r="K2" s="84" t="str">
        <f>Index!B2</f>
        <v xml:space="preserve">      Maharashtra State Power Generation Company Ltd.</v>
      </c>
      <c r="L2" s="207"/>
      <c r="M2" s="117"/>
      <c r="N2" s="117"/>
      <c r="O2" s="117"/>
      <c r="P2" s="117"/>
      <c r="Q2" s="117"/>
      <c r="R2" s="117"/>
      <c r="S2" s="117"/>
      <c r="T2" s="117"/>
      <c r="U2" s="117"/>
      <c r="V2" s="117"/>
      <c r="W2" s="117"/>
      <c r="X2" s="117"/>
    </row>
    <row r="3" spans="2:24" s="5" customFormat="1" x14ac:dyDescent="0.3">
      <c r="C3" s="117"/>
      <c r="D3" s="117"/>
      <c r="E3" s="117"/>
      <c r="F3" s="117"/>
      <c r="G3" s="117"/>
      <c r="H3" s="117"/>
      <c r="I3" s="117"/>
      <c r="J3" s="117"/>
      <c r="K3" s="339" t="str">
        <f>Index!B3</f>
        <v>MYT Petition Formats for Parli Units 6 &amp; 7</v>
      </c>
      <c r="L3" s="89"/>
      <c r="M3" s="117"/>
      <c r="N3" s="117"/>
      <c r="O3" s="117"/>
      <c r="P3" s="117"/>
      <c r="Q3" s="117"/>
      <c r="R3" s="117"/>
      <c r="S3" s="117"/>
      <c r="T3" s="117"/>
      <c r="U3" s="117"/>
      <c r="V3" s="117"/>
      <c r="W3" s="117"/>
      <c r="X3" s="117"/>
    </row>
    <row r="4" spans="2:24" s="5" customFormat="1" x14ac:dyDescent="0.3">
      <c r="C4" s="117"/>
      <c r="D4" s="117"/>
      <c r="E4" s="117"/>
      <c r="F4" s="117"/>
      <c r="G4" s="117"/>
      <c r="H4" s="117"/>
      <c r="I4" s="117"/>
      <c r="J4" s="117"/>
      <c r="K4" s="85" t="s">
        <v>323</v>
      </c>
      <c r="L4" s="208"/>
      <c r="M4" s="117"/>
      <c r="N4" s="117"/>
      <c r="O4" s="117"/>
      <c r="P4" s="117"/>
      <c r="Q4" s="117"/>
      <c r="R4" s="117"/>
      <c r="S4" s="117"/>
      <c r="T4" s="117"/>
      <c r="U4" s="117"/>
      <c r="V4" s="117"/>
      <c r="W4" s="117"/>
      <c r="X4" s="117"/>
    </row>
    <row r="6" spans="2:24" x14ac:dyDescent="0.25">
      <c r="S6" s="22" t="s">
        <v>10</v>
      </c>
    </row>
    <row r="7" spans="2:24" ht="15" customHeight="1" x14ac:dyDescent="0.25">
      <c r="B7" s="1752" t="s">
        <v>339</v>
      </c>
      <c r="C7" s="1752" t="s">
        <v>36</v>
      </c>
      <c r="D7" s="1754" t="s">
        <v>506</v>
      </c>
      <c r="E7" s="1755"/>
      <c r="F7" s="1756"/>
      <c r="G7" s="1754" t="s">
        <v>507</v>
      </c>
      <c r="H7" s="1755"/>
      <c r="I7" s="1756"/>
      <c r="J7" s="1754" t="s">
        <v>508</v>
      </c>
      <c r="K7" s="1755"/>
      <c r="L7" s="1755"/>
      <c r="M7" s="1755"/>
      <c r="N7" s="1756"/>
      <c r="O7" s="1757" t="s">
        <v>967</v>
      </c>
      <c r="P7" s="1757"/>
      <c r="Q7" s="1757"/>
      <c r="R7" s="1757"/>
      <c r="S7" s="1757"/>
      <c r="T7" s="1752" t="s">
        <v>26</v>
      </c>
    </row>
    <row r="8" spans="2:24" ht="43.5" customHeight="1" x14ac:dyDescent="0.25">
      <c r="B8" s="1793"/>
      <c r="C8" s="1793"/>
      <c r="D8" s="290" t="s">
        <v>966</v>
      </c>
      <c r="E8" s="291" t="s">
        <v>78</v>
      </c>
      <c r="F8" s="291" t="s">
        <v>449</v>
      </c>
      <c r="G8" s="290" t="s">
        <v>966</v>
      </c>
      <c r="H8" s="291" t="s">
        <v>78</v>
      </c>
      <c r="I8" s="291" t="s">
        <v>449</v>
      </c>
      <c r="J8" s="291" t="s">
        <v>966</v>
      </c>
      <c r="K8" s="291" t="s">
        <v>443</v>
      </c>
      <c r="L8" s="291" t="s">
        <v>447</v>
      </c>
      <c r="M8" s="291" t="s">
        <v>79</v>
      </c>
      <c r="N8" s="291" t="s">
        <v>450</v>
      </c>
      <c r="O8" s="672" t="s">
        <v>968</v>
      </c>
      <c r="P8" s="672" t="s">
        <v>969</v>
      </c>
      <c r="Q8" s="672" t="s">
        <v>970</v>
      </c>
      <c r="R8" s="672" t="s">
        <v>971</v>
      </c>
      <c r="S8" s="672" t="s">
        <v>972</v>
      </c>
      <c r="T8" s="1752"/>
    </row>
    <row r="9" spans="2:24" ht="19.5" customHeight="1" x14ac:dyDescent="0.25">
      <c r="B9" s="1793"/>
      <c r="C9" s="1793"/>
      <c r="D9" s="291" t="s">
        <v>80</v>
      </c>
      <c r="E9" s="291" t="s">
        <v>81</v>
      </c>
      <c r="F9" s="291" t="s">
        <v>676</v>
      </c>
      <c r="G9" s="291" t="s">
        <v>390</v>
      </c>
      <c r="H9" s="291" t="s">
        <v>408</v>
      </c>
      <c r="I9" s="291" t="s">
        <v>454</v>
      </c>
      <c r="J9" s="291" t="s">
        <v>409</v>
      </c>
      <c r="K9" s="291" t="s">
        <v>410</v>
      </c>
      <c r="L9" s="291" t="s">
        <v>589</v>
      </c>
      <c r="M9" s="291" t="s">
        <v>677</v>
      </c>
      <c r="N9" s="291" t="s">
        <v>984</v>
      </c>
      <c r="O9" s="660" t="s">
        <v>21</v>
      </c>
      <c r="P9" s="660" t="s">
        <v>21</v>
      </c>
      <c r="Q9" s="660" t="s">
        <v>21</v>
      </c>
      <c r="R9" s="660" t="s">
        <v>21</v>
      </c>
      <c r="S9" s="660" t="s">
        <v>21</v>
      </c>
      <c r="T9" s="1753"/>
    </row>
    <row r="10" spans="2:24" s="315" customFormat="1" x14ac:dyDescent="0.25">
      <c r="B10" s="237"/>
      <c r="C10" s="799"/>
      <c r="D10" s="120"/>
      <c r="E10" s="120"/>
      <c r="F10" s="120"/>
      <c r="G10" s="120"/>
      <c r="H10" s="120"/>
      <c r="I10" s="120"/>
      <c r="J10" s="119"/>
      <c r="K10" s="120"/>
      <c r="L10" s="120"/>
      <c r="M10" s="119"/>
      <c r="N10" s="119"/>
      <c r="O10" s="119"/>
      <c r="P10" s="119"/>
      <c r="Q10" s="119"/>
      <c r="R10" s="119"/>
      <c r="S10" s="119"/>
      <c r="T10" s="119"/>
    </row>
    <row r="11" spans="2:24" s="315" customFormat="1" x14ac:dyDescent="0.25">
      <c r="B11" s="237">
        <v>1</v>
      </c>
      <c r="C11" s="797" t="s">
        <v>1045</v>
      </c>
      <c r="D11" s="798"/>
      <c r="E11" s="361">
        <v>0</v>
      </c>
      <c r="F11" s="327">
        <f>E11-D11</f>
        <v>0</v>
      </c>
      <c r="G11" s="361"/>
      <c r="H11" s="361">
        <v>0</v>
      </c>
      <c r="I11" s="327">
        <f>H11-G11</f>
        <v>0</v>
      </c>
      <c r="J11" s="319"/>
      <c r="K11" s="361">
        <v>0</v>
      </c>
      <c r="L11" s="361">
        <v>0</v>
      </c>
      <c r="M11" s="319">
        <f>K11+L11</f>
        <v>0</v>
      </c>
      <c r="N11" s="319">
        <f>M11-J11</f>
        <v>0</v>
      </c>
      <c r="O11" s="319"/>
      <c r="P11" s="319"/>
      <c r="Q11" s="319"/>
      <c r="R11" s="319"/>
      <c r="S11" s="319"/>
      <c r="T11" s="319"/>
    </row>
    <row r="12" spans="2:24" s="315" customFormat="1" x14ac:dyDescent="0.25">
      <c r="B12" s="451">
        <v>2</v>
      </c>
      <c r="C12" s="796" t="s">
        <v>1046</v>
      </c>
      <c r="D12" s="361"/>
      <c r="E12" s="361">
        <v>0</v>
      </c>
      <c r="F12" s="327">
        <f t="shared" ref="F12:F26" si="0">E12-D12</f>
        <v>0</v>
      </c>
      <c r="G12" s="361"/>
      <c r="H12" s="361">
        <v>1.3037465999999996E-2</v>
      </c>
      <c r="I12" s="327">
        <f t="shared" ref="I12:I26" si="1">H12-G12</f>
        <v>1.3037465999999996E-2</v>
      </c>
      <c r="J12" s="319"/>
      <c r="K12" s="361">
        <v>1.0500000000000001E-2</v>
      </c>
      <c r="L12" s="361">
        <v>1.0500000000000001E-2</v>
      </c>
      <c r="M12" s="319">
        <f>K12+L12</f>
        <v>2.1000000000000001E-2</v>
      </c>
      <c r="N12" s="319">
        <f>M12-J12</f>
        <v>2.1000000000000001E-2</v>
      </c>
      <c r="O12" s="319"/>
      <c r="P12" s="319"/>
      <c r="Q12" s="319"/>
      <c r="R12" s="319"/>
      <c r="S12" s="319"/>
      <c r="T12" s="319"/>
    </row>
    <row r="13" spans="2:24" s="315" customFormat="1" x14ac:dyDescent="0.25">
      <c r="B13" s="451">
        <v>3</v>
      </c>
      <c r="C13" s="796" t="s">
        <v>1047</v>
      </c>
      <c r="D13" s="361"/>
      <c r="E13" s="361">
        <v>0</v>
      </c>
      <c r="F13" s="327">
        <f t="shared" si="0"/>
        <v>0</v>
      </c>
      <c r="G13" s="361"/>
      <c r="H13" s="361">
        <v>0</v>
      </c>
      <c r="I13" s="327">
        <f t="shared" si="1"/>
        <v>0</v>
      </c>
      <c r="J13" s="319"/>
      <c r="K13" s="361">
        <v>0</v>
      </c>
      <c r="L13" s="361">
        <v>0</v>
      </c>
      <c r="M13" s="319">
        <f>K13+L13</f>
        <v>0</v>
      </c>
      <c r="N13" s="319">
        <f>M13-J13</f>
        <v>0</v>
      </c>
      <c r="O13" s="319"/>
      <c r="P13" s="319"/>
      <c r="Q13" s="319"/>
      <c r="R13" s="319"/>
      <c r="S13" s="319"/>
      <c r="T13" s="319"/>
    </row>
    <row r="14" spans="2:24" s="315" customFormat="1" x14ac:dyDescent="0.25">
      <c r="B14" s="451">
        <v>4</v>
      </c>
      <c r="C14" s="796" t="s">
        <v>757</v>
      </c>
      <c r="D14" s="361"/>
      <c r="E14" s="361">
        <v>4.2728663956666662</v>
      </c>
      <c r="F14" s="685"/>
      <c r="G14" s="361"/>
      <c r="H14" s="361">
        <v>4.8600000000000003</v>
      </c>
      <c r="I14" s="685"/>
      <c r="J14" s="319"/>
      <c r="K14" s="361">
        <v>2.9846457333333341</v>
      </c>
      <c r="L14" s="361">
        <v>2.9846457333333341</v>
      </c>
      <c r="M14" s="319">
        <f>K14+L14</f>
        <v>5.9692914666666681</v>
      </c>
      <c r="N14" s="319">
        <f>M14-J14</f>
        <v>5.9692914666666681</v>
      </c>
      <c r="O14" s="687"/>
      <c r="P14" s="687"/>
      <c r="Q14" s="687"/>
      <c r="R14" s="687"/>
      <c r="S14" s="687"/>
      <c r="T14" s="319"/>
    </row>
    <row r="15" spans="2:24" s="315" customFormat="1" x14ac:dyDescent="0.25">
      <c r="B15" s="451">
        <v>5</v>
      </c>
      <c r="C15" s="796" t="s">
        <v>762</v>
      </c>
      <c r="D15" s="361"/>
      <c r="E15" s="361">
        <v>0</v>
      </c>
      <c r="F15" s="685"/>
      <c r="G15" s="361"/>
      <c r="H15" s="361">
        <v>0</v>
      </c>
      <c r="I15" s="685"/>
      <c r="J15" s="319"/>
      <c r="K15" s="361">
        <v>0</v>
      </c>
      <c r="L15" s="361">
        <v>0</v>
      </c>
      <c r="M15" s="319">
        <f>K15+L15</f>
        <v>0</v>
      </c>
      <c r="N15" s="319">
        <f>M15-J15</f>
        <v>0</v>
      </c>
      <c r="O15" s="687"/>
      <c r="P15" s="687"/>
      <c r="Q15" s="687"/>
      <c r="R15" s="687"/>
      <c r="S15" s="687"/>
      <c r="T15" s="319"/>
    </row>
    <row r="16" spans="2:24" s="315" customFormat="1" x14ac:dyDescent="0.25">
      <c r="B16" s="451">
        <v>6</v>
      </c>
      <c r="C16" s="796" t="s">
        <v>758</v>
      </c>
      <c r="D16" s="361"/>
      <c r="E16" s="361">
        <v>0</v>
      </c>
      <c r="F16" s="685"/>
      <c r="G16" s="361"/>
      <c r="H16" s="361">
        <v>0</v>
      </c>
      <c r="I16" s="685"/>
      <c r="J16" s="319"/>
      <c r="K16" s="361">
        <v>0</v>
      </c>
      <c r="L16" s="361">
        <v>0</v>
      </c>
      <c r="M16" s="319"/>
      <c r="N16" s="319"/>
      <c r="O16" s="687"/>
      <c r="P16" s="687"/>
      <c r="Q16" s="687"/>
      <c r="R16" s="687"/>
      <c r="S16" s="687"/>
      <c r="T16" s="319"/>
    </row>
    <row r="17" spans="2:20" s="315" customFormat="1" x14ac:dyDescent="0.25">
      <c r="B17" s="451">
        <v>7</v>
      </c>
      <c r="C17" s="796" t="s">
        <v>759</v>
      </c>
      <c r="D17" s="361"/>
      <c r="E17" s="361">
        <v>0</v>
      </c>
      <c r="F17" s="685"/>
      <c r="G17" s="361"/>
      <c r="H17" s="361">
        <v>0</v>
      </c>
      <c r="I17" s="685"/>
      <c r="J17" s="319"/>
      <c r="K17" s="361">
        <v>0</v>
      </c>
      <c r="L17" s="361">
        <v>0</v>
      </c>
      <c r="M17" s="319"/>
      <c r="N17" s="319"/>
      <c r="O17" s="687"/>
      <c r="P17" s="687"/>
      <c r="Q17" s="687"/>
      <c r="R17" s="687"/>
      <c r="S17" s="687"/>
      <c r="T17" s="319"/>
    </row>
    <row r="18" spans="2:20" s="315" customFormat="1" x14ac:dyDescent="0.25">
      <c r="B18" s="451">
        <v>8</v>
      </c>
      <c r="C18" s="796" t="s">
        <v>1042</v>
      </c>
      <c r="D18" s="452"/>
      <c r="E18" s="361">
        <v>7.1174453333333332E-2</v>
      </c>
      <c r="F18" s="685"/>
      <c r="G18" s="361"/>
      <c r="H18" s="361">
        <v>0.09</v>
      </c>
      <c r="I18" s="685"/>
      <c r="J18" s="319"/>
      <c r="K18" s="361">
        <v>7.0775171999999997E-2</v>
      </c>
      <c r="L18" s="361">
        <v>7.0775171999999997E-2</v>
      </c>
      <c r="M18" s="319">
        <f t="shared" ref="M18:M26" si="2">K18+L18</f>
        <v>0.14155034399999999</v>
      </c>
      <c r="N18" s="319">
        <f t="shared" ref="N18:N26" si="3">M18-J18</f>
        <v>0.14155034399999999</v>
      </c>
      <c r="O18" s="687"/>
      <c r="P18" s="687"/>
      <c r="Q18" s="687"/>
      <c r="R18" s="687"/>
      <c r="S18" s="687"/>
      <c r="T18" s="319"/>
    </row>
    <row r="19" spans="2:20" s="315" customFormat="1" x14ac:dyDescent="0.25">
      <c r="B19" s="451">
        <v>9</v>
      </c>
      <c r="C19" s="796" t="s">
        <v>760</v>
      </c>
      <c r="D19" s="452"/>
      <c r="E19" s="361">
        <v>0</v>
      </c>
      <c r="F19" s="685"/>
      <c r="G19" s="361"/>
      <c r="H19" s="361">
        <v>0</v>
      </c>
      <c r="I19" s="685"/>
      <c r="J19" s="319"/>
      <c r="K19" s="361">
        <v>0</v>
      </c>
      <c r="L19" s="361">
        <v>0</v>
      </c>
      <c r="M19" s="319">
        <f t="shared" si="2"/>
        <v>0</v>
      </c>
      <c r="N19" s="319">
        <f t="shared" si="3"/>
        <v>0</v>
      </c>
      <c r="O19" s="687"/>
      <c r="P19" s="687"/>
      <c r="Q19" s="687"/>
      <c r="R19" s="687"/>
      <c r="S19" s="687"/>
      <c r="T19" s="319"/>
    </row>
    <row r="20" spans="2:20" s="315" customFormat="1" x14ac:dyDescent="0.25">
      <c r="B20" s="451">
        <v>10</v>
      </c>
      <c r="C20" s="796" t="s">
        <v>761</v>
      </c>
      <c r="D20" s="452"/>
      <c r="E20" s="452">
        <v>6.142083435</v>
      </c>
      <c r="F20" s="685"/>
      <c r="G20" s="452"/>
      <c r="H20" s="452">
        <v>10.81</v>
      </c>
      <c r="I20" s="685"/>
      <c r="J20" s="319"/>
      <c r="K20" s="452">
        <v>9.4340829809999995</v>
      </c>
      <c r="L20" s="452">
        <v>9.4340829809999995</v>
      </c>
      <c r="M20" s="319">
        <f t="shared" si="2"/>
        <v>18.868165961999999</v>
      </c>
      <c r="N20" s="319">
        <f t="shared" si="3"/>
        <v>18.868165961999999</v>
      </c>
      <c r="O20" s="687"/>
      <c r="P20" s="687"/>
      <c r="Q20" s="687"/>
      <c r="R20" s="687"/>
      <c r="S20" s="687"/>
      <c r="T20" s="319"/>
    </row>
    <row r="21" spans="2:20" s="315" customFormat="1" x14ac:dyDescent="0.25">
      <c r="B21" s="451">
        <v>11</v>
      </c>
      <c r="C21" s="796" t="s">
        <v>1048</v>
      </c>
      <c r="D21" s="452"/>
      <c r="E21" s="361">
        <v>0</v>
      </c>
      <c r="F21" s="685">
        <f t="shared" si="0"/>
        <v>0</v>
      </c>
      <c r="G21" s="361"/>
      <c r="H21" s="361">
        <v>0</v>
      </c>
      <c r="I21" s="685">
        <f t="shared" si="1"/>
        <v>0</v>
      </c>
      <c r="J21" s="319"/>
      <c r="K21" s="361">
        <v>0</v>
      </c>
      <c r="L21" s="361">
        <v>0</v>
      </c>
      <c r="M21" s="319">
        <f t="shared" si="2"/>
        <v>0</v>
      </c>
      <c r="N21" s="319">
        <f t="shared" si="3"/>
        <v>0</v>
      </c>
      <c r="O21" s="687"/>
      <c r="P21" s="687"/>
      <c r="Q21" s="687"/>
      <c r="R21" s="687"/>
      <c r="S21" s="687"/>
      <c r="T21" s="319"/>
    </row>
    <row r="22" spans="2:20" s="315" customFormat="1" x14ac:dyDescent="0.25">
      <c r="B22" s="451">
        <v>12</v>
      </c>
      <c r="C22" s="796" t="s">
        <v>765</v>
      </c>
      <c r="D22" s="452"/>
      <c r="E22" s="361">
        <v>1.8061851719999999</v>
      </c>
      <c r="F22" s="685">
        <f t="shared" si="0"/>
        <v>1.8061851719999999</v>
      </c>
      <c r="G22" s="361"/>
      <c r="H22" s="361">
        <v>1.0900000000000001</v>
      </c>
      <c r="I22" s="685">
        <f t="shared" si="1"/>
        <v>1.0900000000000001</v>
      </c>
      <c r="J22" s="319"/>
      <c r="K22" s="361">
        <v>0.71397497477207139</v>
      </c>
      <c r="L22" s="361">
        <v>0.71397497477207139</v>
      </c>
      <c r="M22" s="319">
        <f t="shared" si="2"/>
        <v>1.4279499495441428</v>
      </c>
      <c r="N22" s="319">
        <f t="shared" si="3"/>
        <v>1.4279499495441428</v>
      </c>
      <c r="O22" s="687"/>
      <c r="P22" s="687"/>
      <c r="Q22" s="687"/>
      <c r="R22" s="687"/>
      <c r="S22" s="687"/>
      <c r="T22" s="319"/>
    </row>
    <row r="23" spans="2:20" s="315" customFormat="1" x14ac:dyDescent="0.25">
      <c r="B23" s="451">
        <v>13</v>
      </c>
      <c r="C23" s="796" t="s">
        <v>766</v>
      </c>
      <c r="D23" s="361"/>
      <c r="E23" s="361">
        <v>0</v>
      </c>
      <c r="F23" s="685">
        <f t="shared" si="0"/>
        <v>0</v>
      </c>
      <c r="G23" s="361"/>
      <c r="H23" s="361">
        <v>0</v>
      </c>
      <c r="I23" s="685">
        <f t="shared" si="1"/>
        <v>0</v>
      </c>
      <c r="J23" s="319"/>
      <c r="K23" s="361">
        <v>0</v>
      </c>
      <c r="L23" s="361">
        <v>0</v>
      </c>
      <c r="M23" s="319">
        <f t="shared" si="2"/>
        <v>0</v>
      </c>
      <c r="N23" s="319">
        <f t="shared" si="3"/>
        <v>0</v>
      </c>
      <c r="O23" s="687"/>
      <c r="P23" s="687"/>
      <c r="Q23" s="687"/>
      <c r="R23" s="687"/>
      <c r="S23" s="687"/>
      <c r="T23" s="319"/>
    </row>
    <row r="24" spans="2:20" s="315" customFormat="1" x14ac:dyDescent="0.25">
      <c r="B24" s="451">
        <v>14</v>
      </c>
      <c r="C24" s="796" t="s">
        <v>767</v>
      </c>
      <c r="D24" s="361"/>
      <c r="E24" s="361">
        <v>0</v>
      </c>
      <c r="F24" s="685"/>
      <c r="G24" s="361"/>
      <c r="H24" s="361">
        <v>0</v>
      </c>
      <c r="I24" s="685"/>
      <c r="J24" s="319"/>
      <c r="K24" s="361">
        <v>0</v>
      </c>
      <c r="L24" s="361">
        <v>0</v>
      </c>
      <c r="M24" s="319"/>
      <c r="N24" s="319"/>
      <c r="O24" s="687"/>
      <c r="P24" s="687"/>
      <c r="Q24" s="687"/>
      <c r="R24" s="687"/>
      <c r="S24" s="687"/>
      <c r="T24" s="319"/>
    </row>
    <row r="25" spans="2:20" s="315" customFormat="1" x14ac:dyDescent="0.25">
      <c r="B25" s="451">
        <v>15</v>
      </c>
      <c r="C25" s="797" t="s">
        <v>1049</v>
      </c>
      <c r="D25" s="361"/>
      <c r="E25" s="361">
        <v>0</v>
      </c>
      <c r="F25" s="685"/>
      <c r="G25" s="361"/>
      <c r="H25" s="361">
        <v>0</v>
      </c>
      <c r="I25" s="685"/>
      <c r="J25" s="319"/>
      <c r="K25" s="361">
        <v>0</v>
      </c>
      <c r="L25" s="361">
        <v>0</v>
      </c>
      <c r="M25" s="319"/>
      <c r="N25" s="319"/>
      <c r="O25" s="687"/>
      <c r="P25" s="687"/>
      <c r="Q25" s="687"/>
      <c r="R25" s="687"/>
      <c r="S25" s="687"/>
      <c r="T25" s="319"/>
    </row>
    <row r="26" spans="2:20" s="315" customFormat="1" x14ac:dyDescent="0.25">
      <c r="B26" s="451">
        <v>16</v>
      </c>
      <c r="C26" s="797" t="s">
        <v>1041</v>
      </c>
      <c r="D26" s="361"/>
      <c r="E26" s="361">
        <v>9.6411479000000008E-2</v>
      </c>
      <c r="F26" s="327">
        <f t="shared" si="0"/>
        <v>9.6411479000000008E-2</v>
      </c>
      <c r="G26" s="361"/>
      <c r="H26" s="361">
        <v>0.23</v>
      </c>
      <c r="I26" s="327">
        <f t="shared" si="1"/>
        <v>0.23</v>
      </c>
      <c r="J26" s="319"/>
      <c r="K26" s="361">
        <v>0.24150000000000002</v>
      </c>
      <c r="L26" s="361">
        <v>0.24150000000000002</v>
      </c>
      <c r="M26" s="319">
        <f t="shared" si="2"/>
        <v>0.48300000000000004</v>
      </c>
      <c r="N26" s="319">
        <f t="shared" si="3"/>
        <v>0.48300000000000004</v>
      </c>
      <c r="O26" s="319"/>
      <c r="P26" s="319"/>
      <c r="Q26" s="319"/>
      <c r="R26" s="319"/>
      <c r="S26" s="319"/>
      <c r="T26" s="319"/>
    </row>
    <row r="27" spans="2:20" s="567" customFormat="1" x14ac:dyDescent="0.25">
      <c r="B27" s="500"/>
      <c r="C27" s="501" t="s">
        <v>3</v>
      </c>
      <c r="D27" s="452">
        <v>8.9682443947543717</v>
      </c>
      <c r="E27" s="452">
        <f>SUM(E11:E26)</f>
        <v>12.388720934999998</v>
      </c>
      <c r="F27" s="452">
        <f>SUM(F11:F26)</f>
        <v>1.9025966509999999</v>
      </c>
      <c r="G27" s="831">
        <v>8.9682443947543717</v>
      </c>
      <c r="H27" s="831">
        <f>SUM(H10:H26)-H13</f>
        <v>17.093037466000002</v>
      </c>
      <c r="I27" s="831">
        <f t="shared" ref="I27" si="4">SUM(I11:I26)</f>
        <v>1.3330374659999999</v>
      </c>
      <c r="J27" s="831">
        <v>8.9682443947543717</v>
      </c>
      <c r="K27" s="452">
        <f t="shared" ref="K27:N27" si="5">SUM(K11:K26)</f>
        <v>13.455478861105405</v>
      </c>
      <c r="L27" s="452">
        <f>SUM(L10:L26)-L13</f>
        <v>13.455478861105405</v>
      </c>
      <c r="M27" s="452">
        <f t="shared" si="5"/>
        <v>26.91095772221081</v>
      </c>
      <c r="N27" s="452">
        <f t="shared" si="5"/>
        <v>26.91095772221081</v>
      </c>
      <c r="O27" s="831">
        <v>17.093037466000002</v>
      </c>
      <c r="P27" s="831">
        <v>17.093037466000002</v>
      </c>
      <c r="Q27" s="831">
        <v>17.093037466000002</v>
      </c>
      <c r="R27" s="831">
        <v>17.093037466000002</v>
      </c>
      <c r="S27" s="831">
        <v>17.093037466000002</v>
      </c>
      <c r="T27" s="362"/>
    </row>
    <row r="29" spans="2:20" x14ac:dyDescent="0.25">
      <c r="B29" s="14" t="s">
        <v>976</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D20" activePane="bottomRight" state="frozen"/>
      <selection activeCell="S39" sqref="S39"/>
      <selection pane="topRight" activeCell="S39" sqref="S39"/>
      <selection pane="bottomLeft" activeCell="S39" sqref="S39"/>
      <selection pane="bottomRight" activeCell="S39" sqref="S39"/>
    </sheetView>
  </sheetViews>
  <sheetFormatPr defaultColWidth="9.36328125" defaultRowHeight="14" x14ac:dyDescent="0.3"/>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x14ac:dyDescent="0.3">
      <c r="B1" s="53"/>
    </row>
    <row r="2" spans="2:20" x14ac:dyDescent="0.3">
      <c r="B2" s="1759" t="str">
        <f>Index!B2</f>
        <v xml:space="preserve">      Maharashtra State Power Generation Company Ltd.</v>
      </c>
      <c r="C2" s="1974"/>
      <c r="D2" s="1974"/>
      <c r="E2" s="1974"/>
      <c r="F2" s="1974"/>
      <c r="G2" s="1974"/>
      <c r="H2" s="1974"/>
      <c r="I2" s="1974"/>
      <c r="J2" s="1974"/>
      <c r="K2" s="1974"/>
      <c r="L2" s="1974"/>
      <c r="M2" s="1974"/>
      <c r="N2" s="1974"/>
      <c r="O2" s="1974"/>
      <c r="P2" s="1974"/>
      <c r="Q2" s="1974"/>
      <c r="R2" s="1974"/>
      <c r="S2" s="1974"/>
      <c r="T2" s="1974"/>
    </row>
    <row r="3" spans="2:20" x14ac:dyDescent="0.3">
      <c r="B3" s="1759" t="str">
        <f>Index!B3</f>
        <v>MYT Petition Formats for Parli Units 6 &amp; 7</v>
      </c>
      <c r="C3" s="1974"/>
      <c r="D3" s="1974"/>
      <c r="E3" s="1974"/>
      <c r="F3" s="1974"/>
      <c r="G3" s="1974"/>
      <c r="H3" s="1974"/>
      <c r="I3" s="1974"/>
      <c r="J3" s="1974"/>
      <c r="K3" s="1974"/>
      <c r="L3" s="1974"/>
      <c r="M3" s="1974"/>
      <c r="N3" s="1974"/>
      <c r="O3" s="1974"/>
      <c r="P3" s="1974"/>
      <c r="Q3" s="1974"/>
      <c r="R3" s="1974"/>
      <c r="S3" s="1974"/>
      <c r="T3" s="1974"/>
    </row>
    <row r="4" spans="2:20" s="79" customFormat="1" x14ac:dyDescent="0.3">
      <c r="B4" s="1766" t="s">
        <v>320</v>
      </c>
      <c r="C4" s="1975"/>
      <c r="D4" s="1975"/>
      <c r="E4" s="1975"/>
      <c r="F4" s="1975"/>
      <c r="G4" s="1975"/>
      <c r="H4" s="1975"/>
      <c r="I4" s="1975"/>
      <c r="J4" s="1975"/>
      <c r="K4" s="1975"/>
      <c r="L4" s="1975"/>
      <c r="M4" s="1975"/>
      <c r="N4" s="1975"/>
      <c r="O4" s="1975"/>
      <c r="P4" s="1975"/>
      <c r="Q4" s="1975"/>
      <c r="R4" s="1975"/>
      <c r="S4" s="1975"/>
      <c r="T4" s="1975"/>
    </row>
    <row r="5" spans="2:20" x14ac:dyDescent="0.3">
      <c r="B5" s="19"/>
      <c r="C5" s="19"/>
    </row>
    <row r="6" spans="2:20" x14ac:dyDescent="0.3">
      <c r="C6" s="63"/>
      <c r="K6" s="63"/>
      <c r="M6" s="6"/>
      <c r="N6" s="6"/>
      <c r="S6" s="22" t="s">
        <v>10</v>
      </c>
    </row>
    <row r="7" spans="2:20" s="35" customFormat="1" ht="17.25" customHeight="1" x14ac:dyDescent="0.3">
      <c r="B7" s="1854" t="s">
        <v>339</v>
      </c>
      <c r="C7" s="1854" t="s">
        <v>36</v>
      </c>
      <c r="D7" s="1754" t="s">
        <v>506</v>
      </c>
      <c r="E7" s="1755"/>
      <c r="F7" s="1756"/>
      <c r="G7" s="1754" t="s">
        <v>507</v>
      </c>
      <c r="H7" s="1755"/>
      <c r="I7" s="1756"/>
      <c r="J7" s="1754" t="s">
        <v>508</v>
      </c>
      <c r="K7" s="1755"/>
      <c r="L7" s="1755"/>
      <c r="M7" s="1755"/>
      <c r="N7" s="1756"/>
      <c r="O7" s="1757" t="s">
        <v>967</v>
      </c>
      <c r="P7" s="1757"/>
      <c r="Q7" s="1757"/>
      <c r="R7" s="1757"/>
      <c r="S7" s="1757"/>
      <c r="T7" s="1752" t="s">
        <v>26</v>
      </c>
    </row>
    <row r="8" spans="2:20" s="36" customFormat="1" ht="49.25" customHeight="1" x14ac:dyDescent="0.25">
      <c r="B8" s="1976"/>
      <c r="C8" s="1976"/>
      <c r="D8" s="290" t="s">
        <v>966</v>
      </c>
      <c r="E8" s="291" t="s">
        <v>78</v>
      </c>
      <c r="F8" s="291" t="s">
        <v>449</v>
      </c>
      <c r="G8" s="290" t="s">
        <v>966</v>
      </c>
      <c r="H8" s="291" t="s">
        <v>78</v>
      </c>
      <c r="I8" s="291" t="s">
        <v>449</v>
      </c>
      <c r="J8" s="291" t="s">
        <v>966</v>
      </c>
      <c r="K8" s="291" t="s">
        <v>443</v>
      </c>
      <c r="L8" s="291" t="s">
        <v>447</v>
      </c>
      <c r="M8" s="291" t="s">
        <v>79</v>
      </c>
      <c r="N8" s="291" t="s">
        <v>450</v>
      </c>
      <c r="O8" s="672" t="s">
        <v>968</v>
      </c>
      <c r="P8" s="672" t="s">
        <v>969</v>
      </c>
      <c r="Q8" s="672" t="s">
        <v>970</v>
      </c>
      <c r="R8" s="672" t="s">
        <v>971</v>
      </c>
      <c r="S8" s="672" t="s">
        <v>972</v>
      </c>
      <c r="T8" s="1752"/>
    </row>
    <row r="9" spans="2:20" s="6" customFormat="1" x14ac:dyDescent="0.3">
      <c r="B9" s="1976"/>
      <c r="C9" s="1976"/>
      <c r="D9" s="291" t="s">
        <v>80</v>
      </c>
      <c r="E9" s="291" t="s">
        <v>81</v>
      </c>
      <c r="F9" s="291" t="s">
        <v>676</v>
      </c>
      <c r="G9" s="291" t="s">
        <v>390</v>
      </c>
      <c r="H9" s="291" t="s">
        <v>408</v>
      </c>
      <c r="I9" s="291" t="s">
        <v>454</v>
      </c>
      <c r="J9" s="291" t="s">
        <v>409</v>
      </c>
      <c r="K9" s="291" t="s">
        <v>410</v>
      </c>
      <c r="L9" s="291" t="s">
        <v>589</v>
      </c>
      <c r="M9" s="291" t="s">
        <v>677</v>
      </c>
      <c r="N9" s="291" t="s">
        <v>503</v>
      </c>
      <c r="O9" s="660" t="s">
        <v>21</v>
      </c>
      <c r="P9" s="660" t="s">
        <v>21</v>
      </c>
      <c r="Q9" s="660" t="s">
        <v>21</v>
      </c>
      <c r="R9" s="660" t="s">
        <v>21</v>
      </c>
      <c r="S9" s="660" t="s">
        <v>21</v>
      </c>
      <c r="T9" s="1753"/>
    </row>
    <row r="10" spans="2:20" s="6" customFormat="1" ht="15.75" customHeight="1" x14ac:dyDescent="0.3">
      <c r="B10" s="95">
        <v>1</v>
      </c>
      <c r="C10" s="801" t="s">
        <v>473</v>
      </c>
      <c r="D10" s="307"/>
      <c r="E10" s="307"/>
      <c r="F10" s="307"/>
      <c r="G10" s="307"/>
      <c r="H10" s="307"/>
      <c r="I10" s="307"/>
      <c r="J10" s="307"/>
      <c r="K10" s="307"/>
      <c r="L10" s="307"/>
      <c r="M10" s="307">
        <f>K10+L10</f>
        <v>0</v>
      </c>
      <c r="N10" s="307"/>
      <c r="O10" s="825"/>
      <c r="P10" s="825"/>
      <c r="Q10" s="825"/>
      <c r="R10" s="825"/>
      <c r="S10" s="825"/>
      <c r="T10" s="24"/>
    </row>
    <row r="11" spans="2:20" s="6" customFormat="1" ht="15.75" customHeight="1" x14ac:dyDescent="0.3">
      <c r="B11" s="95">
        <f>B10+1</f>
        <v>2</v>
      </c>
      <c r="C11" s="802" t="s">
        <v>472</v>
      </c>
      <c r="D11" s="307"/>
      <c r="E11" s="307">
        <v>2.719035624</v>
      </c>
      <c r="F11" s="307"/>
      <c r="G11" s="307"/>
      <c r="H11" s="307">
        <v>0.31</v>
      </c>
      <c r="I11" s="307"/>
      <c r="J11" s="307"/>
      <c r="K11" s="307">
        <v>0.155</v>
      </c>
      <c r="L11" s="307">
        <v>0.155</v>
      </c>
      <c r="M11" s="307">
        <f t="shared" ref="M11:M21" si="0">K11+L11</f>
        <v>0.31</v>
      </c>
      <c r="N11" s="307"/>
      <c r="O11" s="825"/>
      <c r="P11" s="825"/>
      <c r="Q11" s="825"/>
      <c r="R11" s="825"/>
      <c r="S11" s="825"/>
      <c r="T11" s="24"/>
    </row>
    <row r="12" spans="2:20" s="6" customFormat="1" ht="15.75" customHeight="1" x14ac:dyDescent="0.3">
      <c r="B12" s="95">
        <f t="shared" ref="B12:B20" si="1">B11+1</f>
        <v>3</v>
      </c>
      <c r="C12" s="803" t="s">
        <v>326</v>
      </c>
      <c r="D12" s="307"/>
      <c r="E12" s="307"/>
      <c r="F12" s="307"/>
      <c r="G12" s="307"/>
      <c r="H12" s="307"/>
      <c r="I12" s="307"/>
      <c r="J12" s="307"/>
      <c r="K12" s="307"/>
      <c r="L12" s="307"/>
      <c r="M12" s="307">
        <f t="shared" si="0"/>
        <v>0</v>
      </c>
      <c r="N12" s="307"/>
      <c r="O12" s="825"/>
      <c r="P12" s="825"/>
      <c r="Q12" s="825"/>
      <c r="R12" s="825"/>
      <c r="S12" s="825"/>
      <c r="T12" s="24"/>
    </row>
    <row r="13" spans="2:20" s="6" customFormat="1" ht="15.75" customHeight="1" x14ac:dyDescent="0.3">
      <c r="B13" s="95">
        <f t="shared" si="1"/>
        <v>4</v>
      </c>
      <c r="C13" s="803" t="s">
        <v>300</v>
      </c>
      <c r="D13" s="307"/>
      <c r="E13" s="307"/>
      <c r="F13" s="307"/>
      <c r="G13" s="307"/>
      <c r="H13" s="307"/>
      <c r="I13" s="307"/>
      <c r="J13" s="307"/>
      <c r="K13" s="307"/>
      <c r="L13" s="307"/>
      <c r="M13" s="307">
        <f t="shared" si="0"/>
        <v>0</v>
      </c>
      <c r="N13" s="307"/>
      <c r="O13" s="825"/>
      <c r="P13" s="825"/>
      <c r="Q13" s="825"/>
      <c r="R13" s="825"/>
      <c r="S13" s="825"/>
      <c r="T13" s="24"/>
    </row>
    <row r="14" spans="2:20" s="6" customFormat="1" ht="15.75" customHeight="1" x14ac:dyDescent="0.3">
      <c r="B14" s="95">
        <f t="shared" si="1"/>
        <v>5</v>
      </c>
      <c r="C14" s="803" t="s">
        <v>474</v>
      </c>
      <c r="D14" s="307"/>
      <c r="E14" s="307"/>
      <c r="F14" s="307"/>
      <c r="G14" s="307"/>
      <c r="H14" s="307"/>
      <c r="I14" s="307"/>
      <c r="J14" s="307"/>
      <c r="K14" s="307"/>
      <c r="L14" s="307"/>
      <c r="M14" s="307">
        <f t="shared" si="0"/>
        <v>0</v>
      </c>
      <c r="N14" s="307"/>
      <c r="O14" s="825"/>
      <c r="P14" s="825"/>
      <c r="Q14" s="825"/>
      <c r="R14" s="825"/>
      <c r="S14" s="825"/>
      <c r="T14" s="24"/>
    </row>
    <row r="15" spans="2:20" s="6" customFormat="1" ht="56" x14ac:dyDescent="0.3">
      <c r="B15" s="95">
        <f t="shared" si="1"/>
        <v>6</v>
      </c>
      <c r="C15" s="803" t="s">
        <v>347</v>
      </c>
      <c r="D15" s="307"/>
      <c r="E15" s="307">
        <v>0</v>
      </c>
      <c r="F15" s="307"/>
      <c r="G15" s="307"/>
      <c r="H15" s="307">
        <v>0</v>
      </c>
      <c r="I15" s="307"/>
      <c r="J15" s="307"/>
      <c r="K15" s="307">
        <v>0</v>
      </c>
      <c r="L15" s="307">
        <v>0</v>
      </c>
      <c r="M15" s="307">
        <f t="shared" si="0"/>
        <v>0</v>
      </c>
      <c r="N15" s="307"/>
      <c r="O15" s="825"/>
      <c r="P15" s="825"/>
      <c r="Q15" s="825"/>
      <c r="R15" s="825"/>
      <c r="S15" s="825"/>
      <c r="T15" s="24"/>
    </row>
    <row r="16" spans="2:20" s="6" customFormat="1" x14ac:dyDescent="0.3">
      <c r="B16" s="95">
        <f t="shared" si="1"/>
        <v>7</v>
      </c>
      <c r="C16" s="804" t="s">
        <v>817</v>
      </c>
      <c r="D16" s="307"/>
      <c r="E16" s="307">
        <v>0.44546797199999999</v>
      </c>
      <c r="F16" s="307"/>
      <c r="G16" s="307"/>
      <c r="H16" s="307">
        <v>0.46463580133333299</v>
      </c>
      <c r="I16" s="307"/>
      <c r="J16" s="307"/>
      <c r="K16" s="307">
        <v>0.23231790066666649</v>
      </c>
      <c r="L16" s="307">
        <v>0.23231790066666649</v>
      </c>
      <c r="M16" s="307">
        <f t="shared" si="0"/>
        <v>0.46463580133333299</v>
      </c>
      <c r="N16" s="307"/>
      <c r="O16" s="825"/>
      <c r="P16" s="825"/>
      <c r="Q16" s="825"/>
      <c r="R16" s="825"/>
      <c r="S16" s="825"/>
      <c r="T16" s="24"/>
    </row>
    <row r="17" spans="2:20" ht="15.75" customHeight="1" x14ac:dyDescent="0.3">
      <c r="B17" s="95">
        <f>B16+1</f>
        <v>8</v>
      </c>
      <c r="C17" s="804" t="s">
        <v>301</v>
      </c>
      <c r="D17" s="307"/>
      <c r="E17" s="307"/>
      <c r="F17" s="307"/>
      <c r="G17" s="307"/>
      <c r="H17" s="307"/>
      <c r="I17" s="307"/>
      <c r="J17" s="307"/>
      <c r="K17" s="307"/>
      <c r="L17" s="307"/>
      <c r="M17" s="307">
        <f t="shared" si="0"/>
        <v>0</v>
      </c>
      <c r="N17" s="307"/>
      <c r="O17" s="825"/>
      <c r="P17" s="825"/>
      <c r="Q17" s="825"/>
      <c r="R17" s="825"/>
      <c r="S17" s="825"/>
      <c r="T17" s="24"/>
    </row>
    <row r="18" spans="2:20" ht="15.75" customHeight="1" x14ac:dyDescent="0.3">
      <c r="B18" s="95">
        <f t="shared" si="1"/>
        <v>9</v>
      </c>
      <c r="C18" s="804" t="s">
        <v>302</v>
      </c>
      <c r="D18" s="307"/>
      <c r="E18" s="307"/>
      <c r="F18" s="307"/>
      <c r="G18" s="307"/>
      <c r="H18" s="307"/>
      <c r="I18" s="307"/>
      <c r="J18" s="307"/>
      <c r="K18" s="307"/>
      <c r="L18" s="307"/>
      <c r="M18" s="307">
        <f t="shared" si="0"/>
        <v>0</v>
      </c>
      <c r="N18" s="307"/>
      <c r="O18" s="825"/>
      <c r="P18" s="825"/>
      <c r="Q18" s="825"/>
      <c r="R18" s="825"/>
      <c r="S18" s="825"/>
      <c r="T18" s="24"/>
    </row>
    <row r="19" spans="2:20" ht="15.75" customHeight="1" x14ac:dyDescent="0.3">
      <c r="B19" s="95">
        <f t="shared" si="1"/>
        <v>10</v>
      </c>
      <c r="C19" s="803" t="s">
        <v>327</v>
      </c>
      <c r="D19" s="307"/>
      <c r="E19" s="307"/>
      <c r="F19" s="307"/>
      <c r="G19" s="307"/>
      <c r="H19" s="307"/>
      <c r="I19" s="307"/>
      <c r="J19" s="307"/>
      <c r="K19" s="307"/>
      <c r="L19" s="307"/>
      <c r="M19" s="307">
        <f t="shared" si="0"/>
        <v>0</v>
      </c>
      <c r="N19" s="307"/>
      <c r="O19" s="825"/>
      <c r="P19" s="825"/>
      <c r="Q19" s="825"/>
      <c r="R19" s="825"/>
      <c r="S19" s="825"/>
      <c r="T19" s="24"/>
    </row>
    <row r="20" spans="2:20" ht="15.75" customHeight="1" x14ac:dyDescent="0.3">
      <c r="B20" s="95">
        <f t="shared" si="1"/>
        <v>11</v>
      </c>
      <c r="C20" s="804" t="s">
        <v>807</v>
      </c>
      <c r="D20" s="307"/>
      <c r="E20" s="307">
        <v>0</v>
      </c>
      <c r="F20" s="307"/>
      <c r="G20" s="307"/>
      <c r="H20" s="307">
        <v>0</v>
      </c>
      <c r="I20" s="307"/>
      <c r="J20" s="307"/>
      <c r="K20" s="307">
        <v>0</v>
      </c>
      <c r="L20" s="307">
        <v>0</v>
      </c>
      <c r="M20" s="307">
        <f t="shared" si="0"/>
        <v>0</v>
      </c>
      <c r="N20" s="307"/>
      <c r="O20" s="825"/>
      <c r="P20" s="825"/>
      <c r="Q20" s="825"/>
      <c r="R20" s="825"/>
      <c r="S20" s="825"/>
      <c r="T20" s="24"/>
    </row>
    <row r="21" spans="2:20" ht="15.75" customHeight="1" x14ac:dyDescent="0.3">
      <c r="B21" s="95">
        <f t="shared" ref="B21:B26" si="2">+B20+1</f>
        <v>12</v>
      </c>
      <c r="C21" s="804" t="s">
        <v>823</v>
      </c>
      <c r="D21" s="307"/>
      <c r="E21" s="307"/>
      <c r="F21" s="307"/>
      <c r="G21" s="307"/>
      <c r="H21" s="307"/>
      <c r="I21" s="307"/>
      <c r="J21" s="307"/>
      <c r="K21" s="307"/>
      <c r="L21" s="307"/>
      <c r="M21" s="307">
        <f t="shared" si="0"/>
        <v>0</v>
      </c>
      <c r="N21" s="307"/>
      <c r="O21" s="825"/>
      <c r="P21" s="825"/>
      <c r="Q21" s="825"/>
      <c r="R21" s="825"/>
      <c r="S21" s="825"/>
      <c r="T21" s="24"/>
    </row>
    <row r="22" spans="2:20" s="11" customFormat="1" ht="67.5" customHeight="1" x14ac:dyDescent="0.3">
      <c r="B22" s="95">
        <f t="shared" si="2"/>
        <v>13</v>
      </c>
      <c r="C22" s="801" t="s">
        <v>808</v>
      </c>
      <c r="D22" s="307"/>
      <c r="E22" s="307">
        <v>0.67189400600000004</v>
      </c>
      <c r="F22" s="307"/>
      <c r="G22" s="307"/>
      <c r="H22" s="307">
        <v>0.23823850599999999</v>
      </c>
      <c r="I22" s="307"/>
      <c r="J22" s="307"/>
      <c r="K22" s="307">
        <v>0.11911925299999999</v>
      </c>
      <c r="L22" s="307">
        <v>0.11911925299999999</v>
      </c>
      <c r="M22" s="307">
        <f>K22+L22</f>
        <v>0.23823850599999999</v>
      </c>
      <c r="N22" s="307"/>
      <c r="O22" s="825"/>
      <c r="P22" s="825"/>
      <c r="Q22" s="825"/>
      <c r="R22" s="825"/>
      <c r="S22" s="825"/>
      <c r="T22" s="119"/>
    </row>
    <row r="23" spans="2:20" s="11" customFormat="1" ht="15.75" customHeight="1" x14ac:dyDescent="0.3">
      <c r="B23" s="95">
        <f t="shared" si="2"/>
        <v>14</v>
      </c>
      <c r="C23" s="804" t="s">
        <v>805</v>
      </c>
      <c r="D23" s="307"/>
      <c r="E23" s="307">
        <v>0.34537937989291001</v>
      </c>
      <c r="F23" s="307"/>
      <c r="G23" s="307"/>
      <c r="H23" s="307">
        <v>0.35145173114962802</v>
      </c>
      <c r="I23" s="307"/>
      <c r="J23" s="307"/>
      <c r="K23" s="307">
        <v>0.17572586557481401</v>
      </c>
      <c r="L23" s="307">
        <v>0.17572586557481401</v>
      </c>
      <c r="M23" s="307">
        <f t="shared" ref="M23:M25" si="3">K23+L23</f>
        <v>0.35145173114962802</v>
      </c>
      <c r="N23" s="307"/>
      <c r="O23" s="825"/>
      <c r="P23" s="825"/>
      <c r="Q23" s="825"/>
      <c r="R23" s="825"/>
      <c r="S23" s="825"/>
      <c r="T23" s="119"/>
    </row>
    <row r="24" spans="2:20" s="11" customFormat="1" ht="15.75" customHeight="1" x14ac:dyDescent="0.3">
      <c r="B24" s="95">
        <f t="shared" si="2"/>
        <v>15</v>
      </c>
      <c r="C24" s="804" t="s">
        <v>832</v>
      </c>
      <c r="D24" s="307"/>
      <c r="E24" s="307">
        <v>0</v>
      </c>
      <c r="F24" s="307"/>
      <c r="G24" s="307"/>
      <c r="H24" s="307">
        <v>0</v>
      </c>
      <c r="I24" s="307"/>
      <c r="J24" s="307"/>
      <c r="K24" s="307">
        <v>0</v>
      </c>
      <c r="L24" s="307">
        <v>0</v>
      </c>
      <c r="M24" s="307">
        <f t="shared" si="3"/>
        <v>0</v>
      </c>
      <c r="N24" s="307"/>
      <c r="O24" s="825"/>
      <c r="P24" s="825"/>
      <c r="Q24" s="825"/>
      <c r="R24" s="825"/>
      <c r="S24" s="825"/>
      <c r="T24" s="119"/>
    </row>
    <row r="25" spans="2:20" s="11" customFormat="1" ht="15.75" customHeight="1" x14ac:dyDescent="0.3">
      <c r="B25" s="95">
        <f t="shared" si="2"/>
        <v>16</v>
      </c>
      <c r="C25" s="804" t="s">
        <v>833</v>
      </c>
      <c r="D25" s="307"/>
      <c r="E25" s="307">
        <v>0</v>
      </c>
      <c r="F25" s="307"/>
      <c r="G25" s="307"/>
      <c r="H25" s="307">
        <v>4.3147311999999998</v>
      </c>
      <c r="I25" s="307"/>
      <c r="J25" s="307"/>
      <c r="K25" s="307">
        <v>2.1573655999999999</v>
      </c>
      <c r="L25" s="307">
        <v>2.1573655999999999</v>
      </c>
      <c r="M25" s="307">
        <f t="shared" si="3"/>
        <v>4.3147311999999998</v>
      </c>
      <c r="N25" s="307"/>
      <c r="O25" s="825"/>
      <c r="P25" s="825"/>
      <c r="Q25" s="825"/>
      <c r="R25" s="825"/>
      <c r="S25" s="825"/>
      <c r="T25" s="119"/>
    </row>
    <row r="26" spans="2:20" s="1" customFormat="1" x14ac:dyDescent="0.3">
      <c r="B26" s="95">
        <f t="shared" si="2"/>
        <v>17</v>
      </c>
      <c r="C26" s="73" t="s">
        <v>270</v>
      </c>
      <c r="D26" s="325">
        <v>2.1155181833333296</v>
      </c>
      <c r="E26" s="325">
        <f>SUM(E10:E25)</f>
        <v>4.1817769818929102</v>
      </c>
      <c r="F26" s="307">
        <f t="shared" ref="F26" si="4">E26-D26</f>
        <v>2.0662587985595806</v>
      </c>
      <c r="G26" s="832">
        <v>3.9144664376187768</v>
      </c>
      <c r="H26" s="832">
        <f>SUM(H10:H25)</f>
        <v>5.6790572384829607</v>
      </c>
      <c r="I26" s="825">
        <f t="shared" ref="I26" si="5">H26-G26</f>
        <v>1.764590800864184</v>
      </c>
      <c r="J26" s="832">
        <v>3.9144664376187768</v>
      </c>
      <c r="K26" s="325">
        <f>SUM(K10:K25)</f>
        <v>2.8395286192414804</v>
      </c>
      <c r="L26" s="325">
        <f>SUM(L10:L25)</f>
        <v>2.8395286192414804</v>
      </c>
      <c r="M26" s="307">
        <f>K26+L26</f>
        <v>5.6790572384829607</v>
      </c>
      <c r="N26" s="307">
        <f>M26-J26</f>
        <v>1.764590800864184</v>
      </c>
      <c r="O26" s="832">
        <v>5.6790572384829607</v>
      </c>
      <c r="P26" s="832">
        <v>5.6790572384829607</v>
      </c>
      <c r="Q26" s="832">
        <v>5.6790572384829607</v>
      </c>
      <c r="R26" s="832">
        <v>5.6790572384829607</v>
      </c>
      <c r="S26" s="832">
        <v>5.6790572384829607</v>
      </c>
      <c r="T26" s="24"/>
    </row>
    <row r="27" spans="2:20" s="1" customFormat="1" x14ac:dyDescent="0.3">
      <c r="B27" s="5"/>
      <c r="C27" s="36"/>
    </row>
    <row r="28" spans="2:20" x14ac:dyDescent="0.3">
      <c r="B28" s="7" t="s">
        <v>712</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F2" sqref="F2:F3"/>
    </sheetView>
  </sheetViews>
  <sheetFormatPr defaultColWidth="8.6328125" defaultRowHeight="14" x14ac:dyDescent="0.25"/>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471"/>
      <c r="D1" s="1471"/>
      <c r="E1" s="1471"/>
    </row>
    <row r="2" spans="2:11" x14ac:dyDescent="0.25">
      <c r="C2" s="1471"/>
      <c r="D2" s="1471"/>
      <c r="E2" s="1471"/>
      <c r="F2" s="1469" t="str">
        <f>Index!B2</f>
        <v xml:space="preserve">      Maharashtra State Power Generation Company Ltd.</v>
      </c>
      <c r="G2" s="1469"/>
    </row>
    <row r="3" spans="2:11" x14ac:dyDescent="0.25">
      <c r="C3" s="1471"/>
      <c r="D3" s="1471"/>
      <c r="E3" s="1471"/>
      <c r="F3" s="1469" t="str">
        <f>Index!B3</f>
        <v>MYT Petition Formats for Parli Units 6 &amp; 7</v>
      </c>
      <c r="G3" s="1470"/>
    </row>
    <row r="4" spans="2:11" x14ac:dyDescent="0.3">
      <c r="C4" s="1471"/>
      <c r="D4" s="1471"/>
      <c r="E4" s="1471"/>
      <c r="F4" s="130" t="s">
        <v>2065</v>
      </c>
      <c r="G4" s="130"/>
    </row>
    <row r="6" spans="2:11" ht="28" x14ac:dyDescent="0.25">
      <c r="B6" s="1467" t="s">
        <v>339</v>
      </c>
      <c r="C6" s="1467" t="s">
        <v>36</v>
      </c>
      <c r="D6" s="1468" t="s">
        <v>606</v>
      </c>
      <c r="E6" s="1468" t="s">
        <v>506</v>
      </c>
      <c r="F6" s="1468" t="s">
        <v>507</v>
      </c>
      <c r="G6" s="1467" t="s">
        <v>2066</v>
      </c>
    </row>
    <row r="7" spans="2:11" x14ac:dyDescent="0.25">
      <c r="B7" s="99">
        <v>1</v>
      </c>
      <c r="C7" s="1472" t="s">
        <v>607</v>
      </c>
      <c r="D7" s="1473" t="s">
        <v>80</v>
      </c>
      <c r="E7" s="24"/>
      <c r="F7" s="24"/>
      <c r="G7" s="24"/>
    </row>
    <row r="8" spans="2:11" x14ac:dyDescent="0.25">
      <c r="B8" s="99">
        <f>B7+1</f>
        <v>2</v>
      </c>
      <c r="C8" s="1472" t="s">
        <v>552</v>
      </c>
      <c r="D8" s="1473" t="s">
        <v>81</v>
      </c>
      <c r="E8" s="24"/>
      <c r="F8" s="24"/>
      <c r="G8" s="24"/>
    </row>
    <row r="9" spans="2:11" x14ac:dyDescent="0.25">
      <c r="B9" s="99">
        <f>B8+1</f>
        <v>3</v>
      </c>
      <c r="C9" s="1472" t="s">
        <v>2067</v>
      </c>
      <c r="D9" s="1473" t="s">
        <v>554</v>
      </c>
      <c r="E9" s="24"/>
      <c r="F9" s="24"/>
      <c r="G9" s="24"/>
    </row>
    <row r="10" spans="2:11" x14ac:dyDescent="0.25">
      <c r="B10" s="99"/>
      <c r="C10" s="1474"/>
      <c r="D10" s="1474"/>
      <c r="E10" s="24"/>
      <c r="F10" s="24"/>
      <c r="G10" s="24"/>
    </row>
    <row r="11" spans="2:11" x14ac:dyDescent="0.25">
      <c r="B11" s="99">
        <v>4</v>
      </c>
      <c r="C11" s="1472" t="s">
        <v>608</v>
      </c>
      <c r="D11" s="1473" t="s">
        <v>390</v>
      </c>
      <c r="E11" s="24"/>
      <c r="F11" s="24"/>
      <c r="G11" s="24"/>
    </row>
    <row r="12" spans="2:11" x14ac:dyDescent="0.25">
      <c r="B12" s="99">
        <v>5</v>
      </c>
      <c r="C12" s="1472" t="s">
        <v>729</v>
      </c>
      <c r="D12" s="1473" t="s">
        <v>391</v>
      </c>
      <c r="E12" s="24"/>
      <c r="F12" s="24"/>
      <c r="G12" s="24"/>
    </row>
    <row r="13" spans="2:11" x14ac:dyDescent="0.25">
      <c r="B13" s="99">
        <v>6</v>
      </c>
      <c r="C13" s="1472" t="s">
        <v>730</v>
      </c>
      <c r="D13" s="1473" t="s">
        <v>731</v>
      </c>
      <c r="E13" s="24"/>
      <c r="F13" s="24"/>
      <c r="G13" s="24"/>
    </row>
    <row r="14" spans="2:11" x14ac:dyDescent="0.25">
      <c r="B14" s="99">
        <v>7</v>
      </c>
      <c r="C14" s="1474" t="s">
        <v>553</v>
      </c>
      <c r="D14" s="1475" t="s">
        <v>732</v>
      </c>
      <c r="E14" s="24"/>
      <c r="F14" s="24"/>
      <c r="G14" s="24"/>
    </row>
    <row r="15" spans="2:11" x14ac:dyDescent="0.25">
      <c r="C15" s="1476"/>
      <c r="D15" s="1477"/>
    </row>
    <row r="16" spans="2:11" ht="49.65" customHeight="1" x14ac:dyDescent="0.25">
      <c r="C16" s="1964" t="s">
        <v>2068</v>
      </c>
      <c r="D16" s="1964"/>
      <c r="E16" s="1964"/>
      <c r="F16" s="1964"/>
      <c r="G16" s="1964"/>
      <c r="H16" s="1964"/>
      <c r="I16" s="1964"/>
      <c r="J16" s="1964"/>
      <c r="K16" s="1964"/>
    </row>
    <row r="17" spans="2:12" x14ac:dyDescent="0.25">
      <c r="C17" s="14" t="s">
        <v>2069</v>
      </c>
    </row>
    <row r="18" spans="2:12" x14ac:dyDescent="0.25">
      <c r="C18" s="14" t="s">
        <v>2070</v>
      </c>
    </row>
    <row r="20" spans="2:12" x14ac:dyDescent="0.25">
      <c r="C20" s="1478"/>
      <c r="D20" s="1478"/>
      <c r="E20" s="1478"/>
      <c r="F20" s="1479"/>
      <c r="G20" s="1479"/>
      <c r="H20" s="1479"/>
      <c r="I20" s="1479"/>
      <c r="J20" s="1479"/>
      <c r="K20" s="1479"/>
      <c r="L20" s="1479"/>
    </row>
    <row r="22" spans="2:12" x14ac:dyDescent="0.25">
      <c r="B22" s="1977" t="s">
        <v>2071</v>
      </c>
      <c r="C22" s="1977"/>
      <c r="D22" s="1977"/>
      <c r="E22" s="1977"/>
      <c r="F22" s="1977"/>
      <c r="G22" s="1977"/>
      <c r="H22" s="1977"/>
      <c r="I22" s="1977"/>
      <c r="J22" s="217"/>
      <c r="K22" s="217"/>
    </row>
    <row r="23" spans="2:12" x14ac:dyDescent="0.25">
      <c r="B23" s="14"/>
    </row>
    <row r="24" spans="2:12" ht="28" x14ac:dyDescent="0.25">
      <c r="B24" s="1467" t="s">
        <v>339</v>
      </c>
      <c r="C24" s="1467" t="s">
        <v>36</v>
      </c>
      <c r="D24" s="1468" t="s">
        <v>606</v>
      </c>
      <c r="E24" s="1468" t="s">
        <v>968</v>
      </c>
      <c r="F24" s="1468" t="s">
        <v>969</v>
      </c>
      <c r="G24" s="1467" t="s">
        <v>970</v>
      </c>
      <c r="H24" s="1467" t="s">
        <v>971</v>
      </c>
      <c r="I24" s="1467" t="s">
        <v>972</v>
      </c>
    </row>
    <row r="25" spans="2:12" x14ac:dyDescent="0.25">
      <c r="B25" s="99">
        <v>1</v>
      </c>
      <c r="C25" s="1472" t="s">
        <v>2072</v>
      </c>
      <c r="D25" s="1473" t="s">
        <v>80</v>
      </c>
      <c r="E25" s="1472"/>
      <c r="F25" s="1480"/>
      <c r="G25" s="1480"/>
      <c r="H25" s="1472"/>
      <c r="I25" s="1480"/>
    </row>
    <row r="26" spans="2:12" x14ac:dyDescent="0.25">
      <c r="B26" s="99"/>
      <c r="C26" s="1474"/>
      <c r="D26" s="1474"/>
      <c r="E26" s="1472"/>
      <c r="F26" s="1480"/>
      <c r="G26" s="1480"/>
      <c r="H26" s="1472"/>
      <c r="I26" s="1480"/>
    </row>
    <row r="27" spans="2:12" x14ac:dyDescent="0.25">
      <c r="B27" s="99">
        <v>2</v>
      </c>
      <c r="C27" s="1472" t="s">
        <v>2073</v>
      </c>
      <c r="D27" s="1473" t="s">
        <v>81</v>
      </c>
      <c r="E27" s="1472"/>
      <c r="F27" s="1480"/>
      <c r="G27" s="1480"/>
      <c r="H27" s="1472"/>
      <c r="I27" s="1480"/>
    </row>
    <row r="28" spans="2:12" x14ac:dyDescent="0.25">
      <c r="B28" s="99">
        <v>3</v>
      </c>
      <c r="C28" s="1474" t="s">
        <v>553</v>
      </c>
      <c r="D28" s="1475" t="s">
        <v>2074</v>
      </c>
      <c r="E28" s="1474"/>
      <c r="F28" s="1481"/>
      <c r="G28" s="1481"/>
      <c r="H28" s="1474"/>
      <c r="I28" s="1481"/>
    </row>
    <row r="29" spans="2:12" ht="29.4" customHeight="1" x14ac:dyDescent="0.25">
      <c r="B29" s="14"/>
      <c r="C29" s="1479"/>
    </row>
    <row r="30" spans="2:12" ht="43.65" customHeight="1" x14ac:dyDescent="0.25">
      <c r="B30" s="14"/>
      <c r="C30" s="1978" t="s">
        <v>2075</v>
      </c>
      <c r="D30" s="1964"/>
      <c r="E30" s="1964"/>
      <c r="F30" s="1964"/>
      <c r="G30" s="1964"/>
      <c r="H30" s="1964"/>
      <c r="I30" s="1964"/>
      <c r="J30" s="1964"/>
      <c r="K30" s="1964"/>
    </row>
    <row r="31" spans="2:12" x14ac:dyDescent="0.25">
      <c r="B31" s="14"/>
      <c r="C31" s="14" t="s">
        <v>2076</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zoomScale="75" zoomScaleNormal="75" zoomScaleSheetLayoutView="75" workbookViewId="0">
      <selection activeCell="M11" sqref="M11"/>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1.6328125" style="326" customWidth="1"/>
    <col min="14" max="14" width="11" style="14" customWidth="1"/>
    <col min="15" max="15" width="49.6328125" style="14" customWidth="1"/>
    <col min="16" max="16" width="16" style="14" customWidth="1"/>
    <col min="17" max="16384" width="9.36328125" style="14"/>
  </cols>
  <sheetData>
    <row r="1" spans="2:16" x14ac:dyDescent="0.25">
      <c r="C1" s="80"/>
    </row>
    <row r="2" spans="2:16" ht="15.65" customHeight="1" x14ac:dyDescent="0.25">
      <c r="B2" s="1758" t="str">
        <f>Index!B2</f>
        <v xml:space="preserve">      Maharashtra State Power Generation Company Ltd.</v>
      </c>
      <c r="C2" s="1758"/>
      <c r="D2" s="1758"/>
      <c r="E2" s="1758"/>
      <c r="F2" s="1758"/>
      <c r="G2" s="1758"/>
      <c r="H2" s="1758"/>
      <c r="I2" s="1758"/>
      <c r="J2" s="1758"/>
      <c r="K2" s="1758"/>
      <c r="L2" s="1758"/>
      <c r="N2" s="33"/>
      <c r="O2" s="33"/>
      <c r="P2" s="33"/>
    </row>
    <row r="3" spans="2:16" s="5" customFormat="1" ht="15.65" customHeight="1" x14ac:dyDescent="0.3">
      <c r="B3" s="1758" t="str">
        <f>Index!B3</f>
        <v>MYT Petition Formats for Parli Units 6 &amp; 7</v>
      </c>
      <c r="C3" s="1758"/>
      <c r="D3" s="1758"/>
      <c r="E3" s="1758"/>
      <c r="F3" s="1758"/>
      <c r="G3" s="1758"/>
      <c r="H3" s="1758"/>
      <c r="I3" s="1758"/>
      <c r="J3" s="1758"/>
      <c r="K3" s="1758"/>
      <c r="L3" s="1758"/>
      <c r="M3" s="1489"/>
      <c r="N3" s="36"/>
      <c r="O3" s="36"/>
      <c r="P3" s="35"/>
    </row>
    <row r="4" spans="2:16" s="5" customFormat="1" ht="15.65" customHeight="1" x14ac:dyDescent="0.3">
      <c r="B4" s="1979" t="s">
        <v>349</v>
      </c>
      <c r="C4" s="1979"/>
      <c r="D4" s="1979"/>
      <c r="E4" s="1979"/>
      <c r="F4" s="1979"/>
      <c r="G4" s="1979"/>
      <c r="H4" s="1979"/>
      <c r="I4" s="1979"/>
      <c r="J4" s="1979"/>
      <c r="K4" s="1979"/>
      <c r="L4" s="1979"/>
      <c r="M4" s="1490"/>
      <c r="N4" s="81"/>
      <c r="O4" s="81"/>
      <c r="P4" s="81"/>
    </row>
    <row r="5" spans="2:16" x14ac:dyDescent="0.25">
      <c r="B5" s="33"/>
      <c r="C5" s="33"/>
      <c r="D5" s="33"/>
      <c r="E5" s="33"/>
      <c r="F5" s="33"/>
      <c r="G5" s="33"/>
      <c r="H5" s="33"/>
      <c r="I5" s="33"/>
      <c r="J5" s="33"/>
      <c r="K5" s="33"/>
      <c r="L5" s="33"/>
      <c r="N5" s="33"/>
      <c r="O5" s="33"/>
      <c r="P5" s="33"/>
    </row>
    <row r="6" spans="2:16" x14ac:dyDescent="0.25">
      <c r="B6" s="82" t="s">
        <v>506</v>
      </c>
      <c r="N6" s="33"/>
      <c r="O6" s="33"/>
      <c r="P6" s="33"/>
    </row>
    <row r="7" spans="2:16" x14ac:dyDescent="0.25">
      <c r="K7" s="21"/>
      <c r="L7" s="21" t="s">
        <v>10</v>
      </c>
      <c r="N7" s="33"/>
    </row>
    <row r="8" spans="2:16" ht="42" x14ac:dyDescent="0.25">
      <c r="B8" s="183" t="s">
        <v>339</v>
      </c>
      <c r="C8" s="184" t="s">
        <v>36</v>
      </c>
      <c r="D8" s="306" t="s">
        <v>960</v>
      </c>
      <c r="E8" s="229" t="s">
        <v>802</v>
      </c>
      <c r="F8" s="229" t="s">
        <v>303</v>
      </c>
      <c r="G8" s="306" t="s">
        <v>774</v>
      </c>
      <c r="H8" s="306" t="s">
        <v>775</v>
      </c>
      <c r="I8" s="229" t="s">
        <v>407</v>
      </c>
      <c r="J8" s="229" t="s">
        <v>304</v>
      </c>
      <c r="K8" s="229" t="s">
        <v>305</v>
      </c>
      <c r="L8" s="229" t="s">
        <v>485</v>
      </c>
      <c r="N8" s="33"/>
    </row>
    <row r="9" spans="2:16" x14ac:dyDescent="0.25">
      <c r="B9" s="24"/>
      <c r="C9" s="24"/>
      <c r="D9" s="24" t="s">
        <v>351</v>
      </c>
      <c r="E9" s="24" t="s">
        <v>352</v>
      </c>
      <c r="F9" s="24" t="s">
        <v>776</v>
      </c>
      <c r="G9" s="24" t="s">
        <v>777</v>
      </c>
      <c r="H9" s="24"/>
      <c r="I9" s="24"/>
      <c r="J9" s="24"/>
      <c r="K9" s="24"/>
      <c r="L9" s="24"/>
      <c r="N9" s="33"/>
    </row>
    <row r="10" spans="2:16" x14ac:dyDescent="0.25">
      <c r="B10" s="237">
        <v>1</v>
      </c>
      <c r="C10" s="119" t="s">
        <v>82</v>
      </c>
      <c r="D10" s="497">
        <f>'F1'!F11</f>
        <v>1209.716512356227</v>
      </c>
      <c r="E10" s="498">
        <f>'F1'!G11</f>
        <v>1309.8451528297737</v>
      </c>
      <c r="F10" s="497">
        <f>E10-D10</f>
        <v>100.12864047354674</v>
      </c>
      <c r="G10" s="497">
        <f>E10-D10</f>
        <v>100.12864047354674</v>
      </c>
      <c r="H10" s="499">
        <f>IF(G10&lt;0,2/3,1/3)*G10</f>
        <v>33.376213491182241</v>
      </c>
      <c r="I10" s="240"/>
      <c r="J10" s="240"/>
      <c r="K10" s="240"/>
      <c r="L10" s="319">
        <f>D10+H10</f>
        <v>1243.0927258474092</v>
      </c>
      <c r="N10" s="33"/>
    </row>
    <row r="11" spans="2:16" x14ac:dyDescent="0.25">
      <c r="B11" s="237">
        <v>2</v>
      </c>
      <c r="C11" s="119" t="s">
        <v>956</v>
      </c>
      <c r="D11" s="338">
        <f>'F3'!F17-D12</f>
        <v>162.23377476541765</v>
      </c>
      <c r="E11" s="491">
        <f>'F3'!G17-E12</f>
        <v>231.52353457908899</v>
      </c>
      <c r="F11" s="497">
        <f>E11-D11</f>
        <v>69.289759813671338</v>
      </c>
      <c r="G11" s="497">
        <f>E11-D11</f>
        <v>69.289759813671338</v>
      </c>
      <c r="H11" s="499">
        <f>IF(G11&lt;0,2/3,1/3)*G11</f>
        <v>23.09658660455711</v>
      </c>
      <c r="I11" s="119"/>
      <c r="J11" s="119"/>
      <c r="K11" s="119"/>
      <c r="L11" s="319">
        <f>D11+H11</f>
        <v>185.33036136997475</v>
      </c>
      <c r="M11" s="591"/>
      <c r="N11" s="33"/>
    </row>
    <row r="12" spans="2:16" x14ac:dyDescent="0.25">
      <c r="B12" s="237"/>
      <c r="C12" s="119" t="s">
        <v>905</v>
      </c>
      <c r="D12" s="491">
        <f>'F3'!F14</f>
        <v>0</v>
      </c>
      <c r="E12" s="491">
        <f>'F3'!G14</f>
        <v>0</v>
      </c>
      <c r="F12" s="497">
        <f>E12-D12</f>
        <v>0</v>
      </c>
      <c r="G12" s="497">
        <f>E12-D12</f>
        <v>0</v>
      </c>
      <c r="H12" s="499"/>
      <c r="I12" s="119"/>
      <c r="J12" s="119"/>
      <c r="K12" s="119"/>
      <c r="L12" s="319">
        <f>D12+H12</f>
        <v>0</v>
      </c>
      <c r="M12" s="591"/>
      <c r="N12" s="33"/>
    </row>
    <row r="13" spans="2:16" x14ac:dyDescent="0.25">
      <c r="B13" s="237"/>
      <c r="C13" s="119" t="s">
        <v>906</v>
      </c>
      <c r="D13" s="338">
        <f>E13</f>
        <v>15.2799575</v>
      </c>
      <c r="E13" s="491">
        <f>'F3.1'!E27</f>
        <v>15.2799575</v>
      </c>
      <c r="F13" s="497"/>
      <c r="G13" s="497"/>
      <c r="H13" s="499"/>
      <c r="I13" s="119"/>
      <c r="J13" s="119"/>
      <c r="K13" s="119"/>
      <c r="L13" s="319">
        <f>E13</f>
        <v>15.2799575</v>
      </c>
      <c r="N13" s="33"/>
      <c r="O13" s="33"/>
      <c r="P13" s="33"/>
    </row>
    <row r="14" spans="2:16" x14ac:dyDescent="0.25">
      <c r="B14" s="237">
        <v>3</v>
      </c>
      <c r="C14" s="120" t="s">
        <v>84</v>
      </c>
      <c r="D14" s="338">
        <f>SUM('F1'!$F$15:$F$16)</f>
        <v>78.157749122808283</v>
      </c>
      <c r="E14" s="338">
        <f>SUM('F1'!$G$15:$G$16)</f>
        <v>78.157749122808283</v>
      </c>
      <c r="F14" s="497">
        <f>E14-D14</f>
        <v>0</v>
      </c>
      <c r="G14" s="497">
        <f t="shared" ref="G14:G23" si="0">E14-D14</f>
        <v>0</v>
      </c>
      <c r="H14" s="119"/>
      <c r="I14" s="119"/>
      <c r="J14" s="119"/>
      <c r="K14" s="119"/>
      <c r="L14" s="319">
        <f>E14</f>
        <v>78.157749122808283</v>
      </c>
      <c r="N14" s="33"/>
      <c r="O14" s="33"/>
      <c r="P14" s="33"/>
    </row>
    <row r="15" spans="2:16" x14ac:dyDescent="0.25">
      <c r="B15" s="237">
        <v>4</v>
      </c>
      <c r="C15" s="119" t="s">
        <v>85</v>
      </c>
      <c r="D15" s="491">
        <f>SUM('F1'!F17:F18)</f>
        <v>14.436802099558472</v>
      </c>
      <c r="E15" s="491">
        <f>SUM('F1'!G17:G18)</f>
        <v>14.436802099558472</v>
      </c>
      <c r="F15" s="497">
        <f>E15-D15</f>
        <v>0</v>
      </c>
      <c r="G15" s="497">
        <f t="shared" si="0"/>
        <v>0</v>
      </c>
      <c r="H15" s="119"/>
      <c r="I15" s="119"/>
      <c r="J15" s="119"/>
      <c r="K15" s="119"/>
      <c r="L15" s="319">
        <f>E15</f>
        <v>14.436802099558472</v>
      </c>
      <c r="N15" s="33"/>
      <c r="O15" s="33"/>
      <c r="P15" s="33"/>
    </row>
    <row r="16" spans="2:16" x14ac:dyDescent="0.25">
      <c r="B16" s="237">
        <v>5</v>
      </c>
      <c r="C16" s="502" t="s">
        <v>86</v>
      </c>
      <c r="D16" s="491">
        <f>SUM('F1'!F19:F20)</f>
        <v>42.292407082600192</v>
      </c>
      <c r="E16" s="491">
        <f>SUM('F1'!G19:G20)</f>
        <v>84.823818341218939</v>
      </c>
      <c r="F16" s="497">
        <f>E16-D16</f>
        <v>42.531411258618746</v>
      </c>
      <c r="G16" s="497">
        <f t="shared" si="0"/>
        <v>42.531411258618746</v>
      </c>
      <c r="H16" s="499">
        <f>IF(G16&lt;0,2/3,1/3)*G16</f>
        <v>14.177137086206248</v>
      </c>
      <c r="I16" s="119"/>
      <c r="J16" s="119"/>
      <c r="K16" s="119"/>
      <c r="L16" s="319">
        <f>D16+H16</f>
        <v>56.469544168806436</v>
      </c>
      <c r="N16" s="33"/>
      <c r="O16" s="33"/>
      <c r="P16" s="33"/>
    </row>
    <row r="17" spans="2:18" x14ac:dyDescent="0.25">
      <c r="B17" s="237">
        <v>6</v>
      </c>
      <c r="C17" s="120" t="s">
        <v>87</v>
      </c>
      <c r="D17" s="338">
        <f>'F1'!F21</f>
        <v>12.388720934999998</v>
      </c>
      <c r="E17" s="491">
        <f>'F1'!G21</f>
        <v>12.388720934999998</v>
      </c>
      <c r="F17" s="497">
        <f>E17-D17</f>
        <v>0</v>
      </c>
      <c r="G17" s="497">
        <f t="shared" si="0"/>
        <v>0</v>
      </c>
      <c r="H17" s="119"/>
      <c r="I17" s="119"/>
      <c r="J17" s="119"/>
      <c r="K17" s="119"/>
      <c r="L17" s="319">
        <f>E17</f>
        <v>12.388720934999998</v>
      </c>
      <c r="N17" s="33"/>
      <c r="O17" s="33"/>
      <c r="P17" s="33"/>
    </row>
    <row r="18" spans="2:18" x14ac:dyDescent="0.25">
      <c r="B18" s="237">
        <v>7</v>
      </c>
      <c r="C18" s="119" t="s">
        <v>88</v>
      </c>
      <c r="D18" s="338">
        <f>'F1'!F22</f>
        <v>0</v>
      </c>
      <c r="E18" s="491">
        <f>'F1'!G22</f>
        <v>0</v>
      </c>
      <c r="F18" s="497">
        <f>E18-D18</f>
        <v>0</v>
      </c>
      <c r="G18" s="497">
        <f t="shared" si="0"/>
        <v>0</v>
      </c>
      <c r="H18" s="119"/>
      <c r="I18" s="119"/>
      <c r="J18" s="119"/>
      <c r="K18" s="119"/>
      <c r="L18" s="319">
        <f>E18</f>
        <v>0</v>
      </c>
      <c r="N18" s="33"/>
      <c r="O18" s="33"/>
      <c r="P18" s="33"/>
    </row>
    <row r="19" spans="2:18" x14ac:dyDescent="0.25">
      <c r="B19" s="237"/>
      <c r="C19" s="119"/>
      <c r="D19" s="119"/>
      <c r="E19" s="491"/>
      <c r="F19" s="497"/>
      <c r="G19" s="497">
        <f t="shared" si="0"/>
        <v>0</v>
      </c>
      <c r="H19" s="119"/>
      <c r="I19" s="119"/>
      <c r="J19" s="119"/>
      <c r="K19" s="119"/>
      <c r="L19" s="319"/>
      <c r="N19" s="33"/>
      <c r="O19" s="33"/>
      <c r="P19" s="33"/>
      <c r="Q19" s="588"/>
    </row>
    <row r="20" spans="2:18" x14ac:dyDescent="0.25">
      <c r="B20" s="314">
        <v>8</v>
      </c>
      <c r="C20" s="240" t="s">
        <v>89</v>
      </c>
      <c r="D20" s="497">
        <f>SUM(D10:D19)</f>
        <v>1534.5059238616116</v>
      </c>
      <c r="E20" s="498">
        <f>SUM(E10:E19)</f>
        <v>1746.4557354074484</v>
      </c>
      <c r="F20" s="497">
        <f>E20-D20</f>
        <v>211.94981154583684</v>
      </c>
      <c r="G20" s="497">
        <f t="shared" si="0"/>
        <v>211.94981154583684</v>
      </c>
      <c r="H20" s="240"/>
      <c r="I20" s="240"/>
      <c r="J20" s="240"/>
      <c r="K20" s="240"/>
      <c r="L20" s="362">
        <f>SUM(L10:L19)</f>
        <v>1605.155861043557</v>
      </c>
      <c r="M20" s="1491"/>
      <c r="N20" s="33"/>
      <c r="O20" s="33"/>
      <c r="P20" s="33"/>
    </row>
    <row r="21" spans="2:18" x14ac:dyDescent="0.25">
      <c r="B21" s="237">
        <v>9</v>
      </c>
      <c r="C21" s="119" t="s">
        <v>90</v>
      </c>
      <c r="D21" s="491">
        <f>SUM('F1'!F24:F25)</f>
        <v>131.25445996508216</v>
      </c>
      <c r="E21" s="491">
        <f>SUM('F1'!G24:G25)</f>
        <v>131.25445996508216</v>
      </c>
      <c r="F21" s="497">
        <f>E21-D21</f>
        <v>0</v>
      </c>
      <c r="G21" s="497">
        <f t="shared" si="0"/>
        <v>0</v>
      </c>
      <c r="H21" s="240"/>
      <c r="I21" s="240"/>
      <c r="J21" s="240"/>
      <c r="K21" s="240"/>
      <c r="L21" s="319">
        <f>E21</f>
        <v>131.25445996508216</v>
      </c>
      <c r="N21" s="33"/>
      <c r="O21" s="33"/>
      <c r="P21" s="33"/>
    </row>
    <row r="22" spans="2:18" x14ac:dyDescent="0.25">
      <c r="B22" s="237">
        <v>10</v>
      </c>
      <c r="C22" s="119" t="s">
        <v>91</v>
      </c>
      <c r="D22" s="338">
        <f>'F1'!F26</f>
        <v>4.1817769818929102</v>
      </c>
      <c r="E22" s="491">
        <f>'F1'!G26</f>
        <v>4.1817769818929102</v>
      </c>
      <c r="F22" s="497">
        <f>E22-D22</f>
        <v>0</v>
      </c>
      <c r="G22" s="497">
        <f t="shared" si="0"/>
        <v>0</v>
      </c>
      <c r="H22" s="119"/>
      <c r="I22" s="119"/>
      <c r="J22" s="119"/>
      <c r="K22" s="119"/>
      <c r="L22" s="319">
        <f>E22</f>
        <v>4.1817769818929102</v>
      </c>
      <c r="N22" s="33"/>
      <c r="O22" s="33"/>
      <c r="P22" s="33"/>
    </row>
    <row r="23" spans="2:18" x14ac:dyDescent="0.25">
      <c r="B23" s="314">
        <v>11</v>
      </c>
      <c r="C23" s="240" t="s">
        <v>92</v>
      </c>
      <c r="D23" s="497">
        <f>D20+D21-D22</f>
        <v>1661.5786068448008</v>
      </c>
      <c r="E23" s="498">
        <f>E20+E21-E22</f>
        <v>1873.5284183906376</v>
      </c>
      <c r="F23" s="497">
        <f>E23-D23</f>
        <v>211.94981154583684</v>
      </c>
      <c r="G23" s="497">
        <f t="shared" si="0"/>
        <v>211.94981154583684</v>
      </c>
      <c r="H23" s="240"/>
      <c r="I23" s="240"/>
      <c r="J23" s="240"/>
      <c r="K23" s="240"/>
      <c r="L23" s="362">
        <f>L20+L21-L22</f>
        <v>1732.2285440267462</v>
      </c>
      <c r="M23" s="1492">
        <v>0</v>
      </c>
      <c r="N23" s="33"/>
      <c r="O23" s="33"/>
      <c r="P23" s="33"/>
    </row>
    <row r="24" spans="2:18" ht="15.5" x14ac:dyDescent="0.25">
      <c r="B24" s="237">
        <v>12</v>
      </c>
      <c r="C24" s="809" t="s">
        <v>920</v>
      </c>
      <c r="D24" s="338">
        <v>31.901670181038298</v>
      </c>
      <c r="E24" s="491">
        <f>'AFC Reduction and AEC loss'!D8</f>
        <v>52.366486453648861</v>
      </c>
      <c r="F24" s="497"/>
      <c r="G24" s="497"/>
      <c r="H24" s="240"/>
      <c r="I24" s="240"/>
      <c r="J24" s="240"/>
      <c r="K24" s="240"/>
      <c r="L24" s="491">
        <f>E24</f>
        <v>52.366486453648861</v>
      </c>
      <c r="N24" s="33"/>
      <c r="O24" s="33"/>
      <c r="P24" s="33"/>
    </row>
    <row r="25" spans="2:18" ht="15" x14ac:dyDescent="0.25">
      <c r="B25" s="314" t="s">
        <v>171</v>
      </c>
      <c r="C25" s="810" t="s">
        <v>1050</v>
      </c>
      <c r="D25" s="497"/>
      <c r="E25" s="498"/>
      <c r="F25" s="497"/>
      <c r="G25" s="497"/>
      <c r="H25" s="240"/>
      <c r="I25" s="240"/>
      <c r="J25" s="240"/>
      <c r="K25" s="240"/>
      <c r="L25" s="498">
        <f>L23-L24</f>
        <v>1679.8620575730974</v>
      </c>
      <c r="N25" s="33"/>
      <c r="O25" s="33"/>
      <c r="P25" s="33"/>
    </row>
    <row r="26" spans="2:18" x14ac:dyDescent="0.25">
      <c r="B26" s="500"/>
      <c r="C26" s="501"/>
      <c r="D26" s="240"/>
      <c r="E26" s="498"/>
      <c r="F26" s="240"/>
      <c r="G26" s="240"/>
      <c r="H26" s="240"/>
      <c r="I26" s="240"/>
      <c r="J26" s="240"/>
      <c r="K26" s="240"/>
      <c r="L26" s="319"/>
      <c r="N26" s="33"/>
      <c r="O26" s="33"/>
      <c r="P26" s="33"/>
    </row>
    <row r="27" spans="2:18" x14ac:dyDescent="0.25">
      <c r="B27" s="500" t="s">
        <v>184</v>
      </c>
      <c r="C27" s="501" t="s">
        <v>306</v>
      </c>
      <c r="D27" s="240"/>
      <c r="E27" s="498"/>
      <c r="F27" s="240"/>
      <c r="G27" s="240"/>
      <c r="H27" s="240"/>
      <c r="I27" s="240"/>
      <c r="J27" s="240"/>
      <c r="K27" s="240"/>
      <c r="L27" s="319"/>
      <c r="N27" s="33"/>
      <c r="O27" s="33"/>
      <c r="P27" s="33"/>
    </row>
    <row r="28" spans="2:18" x14ac:dyDescent="0.25">
      <c r="B28" s="451">
        <v>11</v>
      </c>
      <c r="C28" s="120" t="s">
        <v>307</v>
      </c>
      <c r="D28" s="119"/>
      <c r="E28" s="491">
        <f>'F9'!N13</f>
        <v>1562.1948942674001</v>
      </c>
      <c r="F28" s="497">
        <f>E28-D28</f>
        <v>1562.1948942674001</v>
      </c>
      <c r="G28" s="497">
        <f>E28-D28</f>
        <v>1562.1948942674001</v>
      </c>
      <c r="H28" s="119"/>
      <c r="I28" s="119"/>
      <c r="J28" s="119"/>
      <c r="K28" s="119"/>
      <c r="L28" s="319">
        <f>E28</f>
        <v>1562.1948942674001</v>
      </c>
      <c r="N28" s="33"/>
      <c r="O28" s="33"/>
      <c r="P28" s="33"/>
    </row>
    <row r="29" spans="2:18" x14ac:dyDescent="0.25">
      <c r="B29" s="451">
        <f>B28+1</f>
        <v>12</v>
      </c>
      <c r="C29" s="120" t="s">
        <v>903</v>
      </c>
      <c r="D29" s="119"/>
      <c r="E29" s="119"/>
      <c r="F29" s="119"/>
      <c r="G29" s="338">
        <f>'AFC Reduction and AEC loss'!$O$46</f>
        <v>17.472972791662162</v>
      </c>
      <c r="H29" s="499">
        <f>IF(G29&lt;0,2/3,1/3)*G29</f>
        <v>5.8243242638873873</v>
      </c>
      <c r="I29" s="119"/>
      <c r="J29" s="119"/>
      <c r="K29" s="119"/>
      <c r="L29" s="319">
        <f>H29</f>
        <v>5.8243242638873873</v>
      </c>
      <c r="N29" s="33"/>
      <c r="O29" s="33"/>
      <c r="P29" s="33"/>
    </row>
    <row r="30" spans="2:18" x14ac:dyDescent="0.25">
      <c r="B30" s="451">
        <f>B29+1</f>
        <v>13</v>
      </c>
      <c r="C30" s="501" t="s">
        <v>904</v>
      </c>
      <c r="D30" s="119"/>
      <c r="E30" s="119"/>
      <c r="F30" s="119"/>
      <c r="G30" s="119"/>
      <c r="H30" s="119"/>
      <c r="I30" s="119"/>
      <c r="J30" s="119"/>
      <c r="K30" s="119"/>
      <c r="L30" s="362">
        <f>SUM(L28:L29)</f>
        <v>1568.0192185312874</v>
      </c>
      <c r="M30" s="1492">
        <v>0</v>
      </c>
      <c r="N30" s="33"/>
      <c r="O30" s="33"/>
      <c r="P30" s="33"/>
    </row>
    <row r="31" spans="2:18" x14ac:dyDescent="0.25">
      <c r="B31" s="500" t="s">
        <v>185</v>
      </c>
      <c r="C31" s="501" t="s">
        <v>315</v>
      </c>
      <c r="D31" s="497"/>
      <c r="E31" s="497"/>
      <c r="F31" s="497"/>
      <c r="G31" s="497"/>
      <c r="H31" s="497"/>
      <c r="I31" s="240"/>
      <c r="J31" s="240"/>
      <c r="K31" s="240"/>
      <c r="L31" s="362">
        <f>L25-L30</f>
        <v>111.84283904181007</v>
      </c>
      <c r="M31" s="1492">
        <v>2.2737367544323206E-13</v>
      </c>
      <c r="N31" s="33"/>
      <c r="O31" s="33"/>
      <c r="P31" s="33"/>
      <c r="Q31" s="588"/>
      <c r="R31" s="588"/>
    </row>
    <row r="32" spans="2:18" x14ac:dyDescent="0.25">
      <c r="B32" s="242"/>
      <c r="C32" s="243"/>
      <c r="D32" s="220"/>
      <c r="E32" s="220"/>
      <c r="F32" s="220"/>
      <c r="G32" s="220"/>
      <c r="H32" s="220"/>
      <c r="I32" s="220"/>
      <c r="J32" s="220"/>
      <c r="K32" s="220"/>
      <c r="L32" s="216"/>
      <c r="N32" s="33"/>
      <c r="O32" s="33"/>
      <c r="P32" s="33"/>
    </row>
    <row r="33" spans="2:16" x14ac:dyDescent="0.25">
      <c r="B33" s="249" t="s">
        <v>633</v>
      </c>
      <c r="N33" s="33"/>
      <c r="O33" s="33"/>
      <c r="P33" s="33"/>
    </row>
    <row r="34" spans="2:16" x14ac:dyDescent="0.25">
      <c r="B34" s="249"/>
      <c r="N34" s="33"/>
      <c r="O34" s="33"/>
      <c r="P34" s="33"/>
    </row>
    <row r="35" spans="2:16" x14ac:dyDescent="0.25">
      <c r="B35" s="82" t="s">
        <v>507</v>
      </c>
      <c r="O35" s="33"/>
      <c r="P35" s="33"/>
    </row>
    <row r="36" spans="2:16" x14ac:dyDescent="0.25">
      <c r="K36" s="21"/>
      <c r="L36" s="21" t="s">
        <v>10</v>
      </c>
      <c r="O36" s="33"/>
      <c r="P36" s="33"/>
    </row>
    <row r="37" spans="2:16" ht="42" x14ac:dyDescent="0.25">
      <c r="B37" s="183" t="s">
        <v>339</v>
      </c>
      <c r="C37" s="184" t="s">
        <v>36</v>
      </c>
      <c r="D37" s="136" t="s">
        <v>24</v>
      </c>
      <c r="E37" s="87" t="s">
        <v>7</v>
      </c>
      <c r="F37" s="87" t="s">
        <v>303</v>
      </c>
      <c r="G37" s="306" t="s">
        <v>774</v>
      </c>
      <c r="H37" s="306" t="s">
        <v>775</v>
      </c>
      <c r="I37" s="136" t="s">
        <v>407</v>
      </c>
      <c r="J37" s="87" t="s">
        <v>304</v>
      </c>
      <c r="K37" s="87" t="s">
        <v>305</v>
      </c>
      <c r="L37" s="222" t="s">
        <v>485</v>
      </c>
      <c r="O37" s="33"/>
      <c r="P37" s="33"/>
    </row>
    <row r="38" spans="2:16" x14ac:dyDescent="0.25">
      <c r="B38" s="119"/>
      <c r="C38" s="119"/>
      <c r="D38" s="119" t="s">
        <v>351</v>
      </c>
      <c r="E38" s="119" t="s">
        <v>352</v>
      </c>
      <c r="F38" s="119" t="s">
        <v>776</v>
      </c>
      <c r="G38" s="119" t="s">
        <v>777</v>
      </c>
      <c r="H38" s="119"/>
      <c r="I38" s="119"/>
      <c r="J38" s="119"/>
      <c r="K38" s="119"/>
      <c r="L38" s="119"/>
      <c r="O38" s="33"/>
      <c r="P38" s="33"/>
    </row>
    <row r="39" spans="2:16" s="22" customFormat="1" x14ac:dyDescent="0.25">
      <c r="B39" s="237">
        <v>1</v>
      </c>
      <c r="C39" s="119" t="s">
        <v>82</v>
      </c>
      <c r="D39" s="498">
        <f>'F1'!J11</f>
        <v>1373.1425567773722</v>
      </c>
      <c r="E39" s="498">
        <f>'F1'!K11</f>
        <v>1365.9992286513855</v>
      </c>
      <c r="F39" s="498">
        <f>E39-D39</f>
        <v>-7.1433281259867272</v>
      </c>
      <c r="G39" s="498">
        <f>E39-D39</f>
        <v>-7.1433281259867272</v>
      </c>
      <c r="H39" s="499">
        <f>IF(G39&lt;0,2/3,1/3)*G39</f>
        <v>-4.7622187506578175</v>
      </c>
      <c r="I39" s="240"/>
      <c r="J39" s="240"/>
      <c r="K39" s="240"/>
      <c r="L39" s="319">
        <f>D39+H39</f>
        <v>1368.3803380267143</v>
      </c>
      <c r="M39" s="1491"/>
      <c r="O39" s="33"/>
      <c r="P39" s="33"/>
    </row>
    <row r="40" spans="2:16" s="315" customFormat="1" x14ac:dyDescent="0.25">
      <c r="B40" s="237">
        <v>2</v>
      </c>
      <c r="C40" s="119" t="s">
        <v>955</v>
      </c>
      <c r="D40" s="491">
        <f>'F3'!J17-D41</f>
        <v>168.18200254460265</v>
      </c>
      <c r="E40" s="491">
        <f>'F3'!K17-E41</f>
        <v>224.66911402125544</v>
      </c>
      <c r="F40" s="498">
        <f>E40-D40</f>
        <v>56.487111476652785</v>
      </c>
      <c r="G40" s="498">
        <f>E40-D40</f>
        <v>56.487111476652785</v>
      </c>
      <c r="H40" s="499">
        <f>IF(G40&lt;0,2/3,1/3)*G40</f>
        <v>18.829037158884262</v>
      </c>
      <c r="I40" s="119"/>
      <c r="J40" s="119"/>
      <c r="K40" s="119"/>
      <c r="L40" s="319">
        <f>D40+H40</f>
        <v>187.01103970348692</v>
      </c>
      <c r="M40" s="591"/>
      <c r="N40" s="564"/>
      <c r="O40" s="33"/>
      <c r="P40" s="33"/>
    </row>
    <row r="41" spans="2:16" s="315" customFormat="1" x14ac:dyDescent="0.25">
      <c r="B41" s="237"/>
      <c r="C41" s="119" t="s">
        <v>958</v>
      </c>
      <c r="D41" s="491">
        <f>'F3'!$J$14</f>
        <v>16.570900378181779</v>
      </c>
      <c r="E41" s="491">
        <f>'F3'!$K$14</f>
        <v>16.570900378181779</v>
      </c>
      <c r="F41" s="362">
        <f>E41-D41</f>
        <v>0</v>
      </c>
      <c r="G41" s="498">
        <f>E41-D41</f>
        <v>0</v>
      </c>
      <c r="H41" s="499">
        <f>IF(G41&lt;0,2/3,1/3)*G41</f>
        <v>0</v>
      </c>
      <c r="I41" s="119"/>
      <c r="J41" s="119"/>
      <c r="K41" s="119"/>
      <c r="L41" s="319">
        <f>D41+H41</f>
        <v>16.570900378181779</v>
      </c>
      <c r="M41" s="591"/>
      <c r="O41" s="33"/>
      <c r="P41" s="33"/>
    </row>
    <row r="42" spans="2:16" s="315" customFormat="1" x14ac:dyDescent="0.25">
      <c r="B42" s="237"/>
      <c r="C42" s="119" t="s">
        <v>906</v>
      </c>
      <c r="D42" s="491">
        <f>E42</f>
        <v>37.994283340999999</v>
      </c>
      <c r="E42" s="491">
        <f>'F3.1'!G27</f>
        <v>37.994283340999999</v>
      </c>
      <c r="F42" s="498"/>
      <c r="G42" s="498"/>
      <c r="H42" s="491"/>
      <c r="I42" s="119"/>
      <c r="J42" s="119"/>
      <c r="K42" s="119"/>
      <c r="L42" s="319">
        <f>E42</f>
        <v>37.994283340999999</v>
      </c>
      <c r="M42" s="591"/>
      <c r="O42" s="33"/>
      <c r="P42" s="33"/>
    </row>
    <row r="43" spans="2:16" s="315" customFormat="1" x14ac:dyDescent="0.25">
      <c r="B43" s="237">
        <v>3</v>
      </c>
      <c r="C43" s="120" t="s">
        <v>84</v>
      </c>
      <c r="D43" s="338">
        <f>SUM('F1'!$J$15:$J$16)</f>
        <v>74.628408482107929</v>
      </c>
      <c r="E43" s="338">
        <f>SUM('F1'!$K$15:$K$16)</f>
        <v>74.628408482107929</v>
      </c>
      <c r="F43" s="498">
        <f>E43-D43</f>
        <v>0</v>
      </c>
      <c r="G43" s="498">
        <f>E43-D43</f>
        <v>0</v>
      </c>
      <c r="H43" s="491"/>
      <c r="I43" s="119"/>
      <c r="J43" s="119"/>
      <c r="K43" s="119"/>
      <c r="L43" s="319">
        <f>E43</f>
        <v>74.628408482107929</v>
      </c>
      <c r="M43" s="591"/>
      <c r="O43" s="33"/>
      <c r="P43" s="33"/>
    </row>
    <row r="44" spans="2:16" s="315" customFormat="1" x14ac:dyDescent="0.25">
      <c r="B44" s="237">
        <v>4</v>
      </c>
      <c r="C44" s="119" t="s">
        <v>85</v>
      </c>
      <c r="D44" s="491">
        <f>SUM('F1'!J17:J18)</f>
        <v>8.4785420753984404</v>
      </c>
      <c r="E44" s="491">
        <f>SUM('F1'!K17:K18)</f>
        <v>8.4785420753984404</v>
      </c>
      <c r="F44" s="557">
        <f>E44-D44</f>
        <v>0</v>
      </c>
      <c r="G44" s="498">
        <f>E44-D44</f>
        <v>0</v>
      </c>
      <c r="H44" s="491"/>
      <c r="I44" s="119"/>
      <c r="J44" s="119"/>
      <c r="K44" s="119"/>
      <c r="L44" s="319">
        <f>E44</f>
        <v>8.4785420753984404</v>
      </c>
      <c r="M44" s="591"/>
      <c r="O44" s="33"/>
      <c r="P44" s="33"/>
    </row>
    <row r="45" spans="2:16" s="315" customFormat="1" x14ac:dyDescent="0.25">
      <c r="B45" s="237">
        <v>5</v>
      </c>
      <c r="C45" s="120" t="s">
        <v>86</v>
      </c>
      <c r="D45" s="491">
        <f>SUM('F1'!J19:J20)</f>
        <v>64.498688003044464</v>
      </c>
      <c r="E45" s="491">
        <f>SUM('F1'!K19:K20)</f>
        <v>116.1075584108815</v>
      </c>
      <c r="F45" s="498">
        <f>E45-D45</f>
        <v>51.608870407837031</v>
      </c>
      <c r="G45" s="498">
        <f>E45-D45</f>
        <v>51.608870407837031</v>
      </c>
      <c r="H45" s="499">
        <f>IF(G45&lt;0,2/3,1/3)*G45</f>
        <v>17.202956802612341</v>
      </c>
      <c r="I45" s="119"/>
      <c r="J45" s="119"/>
      <c r="K45" s="119"/>
      <c r="L45" s="319">
        <f>D45+H45</f>
        <v>81.701644805656798</v>
      </c>
      <c r="M45" s="591"/>
      <c r="O45" s="33"/>
      <c r="P45" s="33"/>
    </row>
    <row r="46" spans="2:16" s="315" customFormat="1" x14ac:dyDescent="0.25">
      <c r="B46" s="237">
        <v>6</v>
      </c>
      <c r="C46" s="120" t="s">
        <v>87</v>
      </c>
      <c r="D46" s="491">
        <f>'F1'!J21</f>
        <v>17.093037466000002</v>
      </c>
      <c r="E46" s="491">
        <f>'F1'!K21</f>
        <v>17.093037466000002</v>
      </c>
      <c r="F46" s="498">
        <f>E46-D46</f>
        <v>0</v>
      </c>
      <c r="G46" s="498">
        <f>E46-D46</f>
        <v>0</v>
      </c>
      <c r="H46" s="491"/>
      <c r="I46" s="119"/>
      <c r="J46" s="119"/>
      <c r="K46" s="119"/>
      <c r="L46" s="319">
        <f>E46</f>
        <v>17.093037466000002</v>
      </c>
      <c r="M46" s="591"/>
      <c r="O46" s="33"/>
      <c r="P46" s="33"/>
    </row>
    <row r="47" spans="2:16" s="315" customFormat="1" x14ac:dyDescent="0.25">
      <c r="B47" s="237">
        <v>7</v>
      </c>
      <c r="C47" s="119" t="s">
        <v>88</v>
      </c>
      <c r="D47" s="491">
        <f>'F1'!J22</f>
        <v>0</v>
      </c>
      <c r="E47" s="491">
        <f>'F1'!K22</f>
        <v>0</v>
      </c>
      <c r="F47" s="498">
        <f>E47-D47</f>
        <v>0</v>
      </c>
      <c r="G47" s="498">
        <f>E47-D47</f>
        <v>0</v>
      </c>
      <c r="H47" s="491"/>
      <c r="I47" s="119"/>
      <c r="J47" s="119"/>
      <c r="K47" s="119"/>
      <c r="L47" s="319">
        <f>E47</f>
        <v>0</v>
      </c>
      <c r="M47" s="591"/>
      <c r="O47" s="33"/>
      <c r="P47" s="33"/>
    </row>
    <row r="48" spans="2:16" s="315" customFormat="1" x14ac:dyDescent="0.25">
      <c r="B48" s="237"/>
      <c r="C48" s="119"/>
      <c r="D48" s="491"/>
      <c r="E48" s="491"/>
      <c r="F48" s="491"/>
      <c r="G48" s="491"/>
      <c r="H48" s="491"/>
      <c r="I48" s="119"/>
      <c r="J48" s="119"/>
      <c r="K48" s="119"/>
      <c r="L48" s="319"/>
      <c r="M48" s="591"/>
      <c r="O48" s="33"/>
      <c r="P48" s="33"/>
    </row>
    <row r="49" spans="2:16" s="315" customFormat="1" x14ac:dyDescent="0.25">
      <c r="B49" s="314">
        <v>8</v>
      </c>
      <c r="C49" s="240" t="s">
        <v>89</v>
      </c>
      <c r="D49" s="498">
        <f>SUM(D39:D47)</f>
        <v>1760.5884190677075</v>
      </c>
      <c r="E49" s="498">
        <f>SUM(E39:E47)</f>
        <v>1861.5410728262104</v>
      </c>
      <c r="F49" s="498">
        <f>SUM(F39:F47)</f>
        <v>100.95265375850309</v>
      </c>
      <c r="G49" s="498">
        <f>E49-D49</f>
        <v>100.95265375850295</v>
      </c>
      <c r="H49" s="491"/>
      <c r="I49" s="119"/>
      <c r="J49" s="119"/>
      <c r="K49" s="119"/>
      <c r="L49" s="362">
        <f>SUM(L39:L48)</f>
        <v>1791.8581942785461</v>
      </c>
      <c r="M49" s="1492"/>
      <c r="O49" s="33"/>
      <c r="P49" s="33"/>
    </row>
    <row r="50" spans="2:16" s="567" customFormat="1" x14ac:dyDescent="0.25">
      <c r="B50" s="237">
        <v>9</v>
      </c>
      <c r="C50" s="119" t="s">
        <v>90</v>
      </c>
      <c r="D50" s="491">
        <f>SUM('F1'!J24:J25)</f>
        <v>132.14395044648629</v>
      </c>
      <c r="E50" s="491">
        <f>SUM('F1'!K24:K25)</f>
        <v>132.14395044648629</v>
      </c>
      <c r="F50" s="498">
        <f>E50-D50</f>
        <v>0</v>
      </c>
      <c r="G50" s="498">
        <f>E50-D50</f>
        <v>0</v>
      </c>
      <c r="H50" s="498"/>
      <c r="I50" s="240"/>
      <c r="J50" s="240"/>
      <c r="K50" s="240"/>
      <c r="L50" s="319">
        <f>E50</f>
        <v>132.14395044648629</v>
      </c>
      <c r="M50" s="326"/>
      <c r="O50" s="33"/>
      <c r="P50" s="33"/>
    </row>
    <row r="51" spans="2:16" s="315" customFormat="1" x14ac:dyDescent="0.25">
      <c r="B51" s="237">
        <v>10</v>
      </c>
      <c r="C51" s="119" t="s">
        <v>91</v>
      </c>
      <c r="D51" s="491">
        <f>'F1'!J26</f>
        <v>5.6790572384829607</v>
      </c>
      <c r="E51" s="491">
        <f>'F1'!K26</f>
        <v>5.6790572384829607</v>
      </c>
      <c r="F51" s="498">
        <f>E51-D51</f>
        <v>0</v>
      </c>
      <c r="G51" s="498">
        <f>E51-D51</f>
        <v>0</v>
      </c>
      <c r="H51" s="491"/>
      <c r="I51" s="119"/>
      <c r="J51" s="119"/>
      <c r="K51" s="119"/>
      <c r="L51" s="319">
        <f>E51</f>
        <v>5.6790572384829607</v>
      </c>
      <c r="M51" s="326"/>
      <c r="O51" s="33"/>
      <c r="P51" s="33"/>
    </row>
    <row r="52" spans="2:16" s="567" customFormat="1" x14ac:dyDescent="0.25">
      <c r="B52" s="314">
        <v>11</v>
      </c>
      <c r="C52" s="240" t="s">
        <v>92</v>
      </c>
      <c r="D52" s="498">
        <f>D49+D50-D51</f>
        <v>1887.0533122757108</v>
      </c>
      <c r="E52" s="498">
        <f>E49+E50-E51</f>
        <v>1988.0059660342138</v>
      </c>
      <c r="F52" s="498">
        <f>F49+F50-F51</f>
        <v>100.95265375850309</v>
      </c>
      <c r="G52" s="498">
        <f>E52-D52</f>
        <v>100.95265375850295</v>
      </c>
      <c r="H52" s="498"/>
      <c r="I52" s="240"/>
      <c r="J52" s="240"/>
      <c r="K52" s="240"/>
      <c r="L52" s="362">
        <f>L49+L50-L51</f>
        <v>1918.3230874865494</v>
      </c>
      <c r="M52" s="1492">
        <v>0</v>
      </c>
      <c r="O52" s="33"/>
      <c r="P52" s="33"/>
    </row>
    <row r="53" spans="2:16" s="567" customFormat="1" ht="15.5" x14ac:dyDescent="0.25">
      <c r="B53" s="237">
        <v>12</v>
      </c>
      <c r="C53" s="809" t="s">
        <v>920</v>
      </c>
      <c r="D53" s="498">
        <v>0</v>
      </c>
      <c r="E53" s="498">
        <f>'AFC Reduction and AEC loss'!E8</f>
        <v>0</v>
      </c>
      <c r="F53" s="498"/>
      <c r="G53" s="498"/>
      <c r="H53" s="498"/>
      <c r="I53" s="240"/>
      <c r="J53" s="240"/>
      <c r="K53" s="240"/>
      <c r="L53" s="362">
        <f>E53</f>
        <v>0</v>
      </c>
      <c r="M53" s="326"/>
      <c r="O53" s="33"/>
      <c r="P53" s="33"/>
    </row>
    <row r="54" spans="2:16" s="567" customFormat="1" ht="15" x14ac:dyDescent="0.25">
      <c r="B54" s="314" t="s">
        <v>171</v>
      </c>
      <c r="C54" s="810" t="s">
        <v>1050</v>
      </c>
      <c r="D54" s="498"/>
      <c r="E54" s="498"/>
      <c r="F54" s="498"/>
      <c r="G54" s="498"/>
      <c r="H54" s="498"/>
      <c r="I54" s="240"/>
      <c r="J54" s="240"/>
      <c r="K54" s="240"/>
      <c r="L54" s="362">
        <f>L52-L53</f>
        <v>1918.3230874865494</v>
      </c>
      <c r="M54" s="326"/>
      <c r="O54" s="33"/>
      <c r="P54" s="33"/>
    </row>
    <row r="55" spans="2:16" s="567" customFormat="1" x14ac:dyDescent="0.25">
      <c r="B55" s="500"/>
      <c r="C55" s="501"/>
      <c r="D55" s="498"/>
      <c r="E55" s="498"/>
      <c r="F55" s="498"/>
      <c r="G55" s="498"/>
      <c r="H55" s="498"/>
      <c r="I55" s="240"/>
      <c r="J55" s="240"/>
      <c r="K55" s="240"/>
      <c r="L55" s="319"/>
      <c r="M55" s="326"/>
      <c r="O55" s="33"/>
      <c r="P55" s="33"/>
    </row>
    <row r="56" spans="2:16" s="567" customFormat="1" x14ac:dyDescent="0.25">
      <c r="B56" s="500" t="s">
        <v>184</v>
      </c>
      <c r="C56" s="501" t="s">
        <v>306</v>
      </c>
      <c r="D56" s="498"/>
      <c r="E56" s="498"/>
      <c r="F56" s="498"/>
      <c r="G56" s="498"/>
      <c r="H56" s="498"/>
      <c r="I56" s="240"/>
      <c r="J56" s="240"/>
      <c r="K56" s="240"/>
      <c r="L56" s="319"/>
      <c r="M56" s="326"/>
      <c r="O56" s="33"/>
      <c r="P56" s="33"/>
    </row>
    <row r="57" spans="2:16" s="315" customFormat="1" x14ac:dyDescent="0.25">
      <c r="B57" s="451">
        <v>11</v>
      </c>
      <c r="C57" s="120" t="s">
        <v>307</v>
      </c>
      <c r="D57" s="491"/>
      <c r="E57" s="491">
        <f>'F9'!N20</f>
        <v>1790.8593779930998</v>
      </c>
      <c r="F57" s="498">
        <f>E57-D57</f>
        <v>1790.8593779930998</v>
      </c>
      <c r="G57" s="498"/>
      <c r="H57" s="491"/>
      <c r="I57" s="119"/>
      <c r="J57" s="119"/>
      <c r="K57" s="119"/>
      <c r="L57" s="319">
        <f>E57</f>
        <v>1790.8593779930998</v>
      </c>
      <c r="M57" s="326"/>
      <c r="O57" s="33"/>
      <c r="P57" s="33"/>
    </row>
    <row r="58" spans="2:16" s="315" customFormat="1" x14ac:dyDescent="0.25">
      <c r="B58" s="451">
        <f>B57+1</f>
        <v>12</v>
      </c>
      <c r="C58" s="120" t="s">
        <v>903</v>
      </c>
      <c r="D58" s="491"/>
      <c r="E58" s="491"/>
      <c r="F58" s="491"/>
      <c r="G58" s="338">
        <f>'AFC Reduction and AEC loss'!$O$47</f>
        <v>14.990225633511542</v>
      </c>
      <c r="H58" s="499">
        <f>IF(G58&lt;0,2/3,1/3)*G58</f>
        <v>4.9967418778371808</v>
      </c>
      <c r="I58" s="119"/>
      <c r="J58" s="119"/>
      <c r="K58" s="119"/>
      <c r="L58" s="319">
        <f>H58</f>
        <v>4.9967418778371808</v>
      </c>
      <c r="M58" s="326"/>
      <c r="O58" s="33"/>
      <c r="P58" s="33"/>
    </row>
    <row r="59" spans="2:16" x14ac:dyDescent="0.25">
      <c r="B59" s="451">
        <f>B58+1</f>
        <v>13</v>
      </c>
      <c r="C59" s="501" t="s">
        <v>904</v>
      </c>
      <c r="D59" s="119"/>
      <c r="E59" s="119"/>
      <c r="F59" s="119"/>
      <c r="G59" s="119"/>
      <c r="H59" s="119"/>
      <c r="I59" s="119"/>
      <c r="J59" s="119"/>
      <c r="K59" s="119"/>
      <c r="L59" s="362">
        <f>SUM(L57:L58)</f>
        <v>1795.8561198709369</v>
      </c>
      <c r="M59" s="1492">
        <v>0</v>
      </c>
      <c r="O59" s="33"/>
      <c r="P59" s="33"/>
    </row>
    <row r="60" spans="2:16" s="22" customFormat="1" x14ac:dyDescent="0.25">
      <c r="B60" s="118" t="s">
        <v>185</v>
      </c>
      <c r="C60" s="104" t="s">
        <v>315</v>
      </c>
      <c r="D60" s="313"/>
      <c r="E60" s="313"/>
      <c r="F60" s="313"/>
      <c r="G60" s="27"/>
      <c r="H60" s="313"/>
      <c r="I60" s="27"/>
      <c r="J60" s="27"/>
      <c r="K60" s="27"/>
      <c r="L60" s="362">
        <f>L54-L59</f>
        <v>122.46696761561248</v>
      </c>
      <c r="M60" s="1492">
        <v>0</v>
      </c>
      <c r="O60" s="33"/>
      <c r="P60" s="33"/>
    </row>
    <row r="61" spans="2:16" s="22" customFormat="1" x14ac:dyDescent="0.25">
      <c r="B61" s="242"/>
      <c r="C61" s="243"/>
      <c r="D61" s="220"/>
      <c r="E61" s="220"/>
      <c r="F61" s="220"/>
      <c r="G61" s="220"/>
      <c r="H61" s="220"/>
      <c r="I61" s="220"/>
      <c r="J61" s="220"/>
      <c r="K61" s="220"/>
      <c r="L61" s="216"/>
      <c r="M61" s="1491">
        <f>M60*10^7</f>
        <v>0</v>
      </c>
      <c r="O61" s="33"/>
      <c r="P61" s="33"/>
    </row>
    <row r="62" spans="2:16" s="22" customFormat="1" x14ac:dyDescent="0.25">
      <c r="B62" s="249" t="s">
        <v>633</v>
      </c>
      <c r="C62" s="243"/>
      <c r="D62" s="220"/>
      <c r="E62" s="220"/>
      <c r="F62" s="220"/>
      <c r="G62" s="220"/>
      <c r="H62" s="220"/>
      <c r="I62" s="220"/>
      <c r="J62" s="220"/>
      <c r="K62" s="220"/>
      <c r="L62" s="216"/>
      <c r="M62" s="1491"/>
      <c r="O62" s="33"/>
      <c r="P62" s="33"/>
    </row>
    <row r="63" spans="2:16" s="22" customFormat="1" x14ac:dyDescent="0.25">
      <c r="B63" s="249"/>
      <c r="C63" s="243"/>
      <c r="D63" s="220"/>
      <c r="E63" s="220"/>
      <c r="F63" s="220"/>
      <c r="G63" s="220"/>
      <c r="H63" s="220"/>
      <c r="I63" s="220"/>
      <c r="J63" s="220"/>
      <c r="K63" s="220"/>
      <c r="L63" s="216"/>
      <c r="M63" s="1491"/>
      <c r="O63" s="33"/>
      <c r="P63" s="33"/>
    </row>
    <row r="64" spans="2:16" x14ac:dyDescent="0.25">
      <c r="B64" s="82"/>
      <c r="C64" s="64"/>
      <c r="D64" s="64"/>
      <c r="E64" s="64"/>
      <c r="F64" s="64"/>
      <c r="G64" s="64"/>
      <c r="H64" s="64"/>
      <c r="I64" s="64"/>
      <c r="J64" s="64"/>
      <c r="K64" s="64"/>
      <c r="L64" s="64"/>
      <c r="O64" s="33"/>
      <c r="P64" s="33"/>
    </row>
    <row r="65" spans="2:16" x14ac:dyDescent="0.25">
      <c r="B65" s="64"/>
      <c r="C65" s="64"/>
      <c r="D65" s="64"/>
      <c r="E65" s="64"/>
      <c r="F65" s="64"/>
      <c r="G65" s="64"/>
      <c r="H65" s="64"/>
      <c r="I65" s="64"/>
      <c r="J65" s="64"/>
      <c r="K65" s="700"/>
      <c r="L65" s="700"/>
      <c r="O65" s="33"/>
      <c r="P65" s="33"/>
    </row>
    <row r="66" spans="2:16" x14ac:dyDescent="0.25">
      <c r="B66" s="57"/>
      <c r="C66" s="701"/>
      <c r="D66" s="667"/>
      <c r="E66" s="667"/>
      <c r="F66" s="667"/>
      <c r="G66" s="667"/>
      <c r="H66" s="667"/>
      <c r="I66" s="667"/>
      <c r="J66" s="667"/>
      <c r="K66" s="667"/>
      <c r="L66" s="667"/>
      <c r="O66" s="33"/>
      <c r="P66" s="33"/>
    </row>
    <row r="67" spans="2:16" x14ac:dyDescent="0.25">
      <c r="B67" s="64"/>
      <c r="C67" s="64"/>
      <c r="D67" s="64"/>
      <c r="E67" s="64"/>
      <c r="F67" s="64"/>
      <c r="G67" s="64"/>
      <c r="H67" s="64"/>
      <c r="I67" s="64"/>
      <c r="J67" s="64"/>
      <c r="K67" s="64"/>
      <c r="L67" s="64"/>
      <c r="O67" s="33"/>
      <c r="P67" s="33"/>
    </row>
    <row r="68" spans="2:16" s="22" customFormat="1" x14ac:dyDescent="0.25">
      <c r="B68" s="688"/>
      <c r="C68" s="64"/>
      <c r="D68" s="689"/>
      <c r="E68" s="689"/>
      <c r="F68" s="689"/>
      <c r="G68" s="689"/>
      <c r="H68" s="690"/>
      <c r="I68" s="691"/>
      <c r="J68" s="691"/>
      <c r="K68" s="691"/>
      <c r="L68" s="324"/>
      <c r="M68" s="1491"/>
      <c r="O68" s="33"/>
      <c r="P68" s="33"/>
    </row>
    <row r="69" spans="2:16" s="315" customFormat="1" x14ac:dyDescent="0.25">
      <c r="B69" s="688"/>
      <c r="C69" s="64"/>
      <c r="D69" s="692"/>
      <c r="E69" s="692"/>
      <c r="F69" s="692"/>
      <c r="G69" s="692"/>
      <c r="H69" s="690"/>
      <c r="I69" s="64"/>
      <c r="J69" s="64"/>
      <c r="K69" s="64"/>
      <c r="L69" s="324"/>
      <c r="M69" s="591">
        <f>SUM(L69:L70)-P80</f>
        <v>0</v>
      </c>
      <c r="O69" s="33"/>
      <c r="P69" s="33"/>
    </row>
    <row r="70" spans="2:16" s="315" customFormat="1" x14ac:dyDescent="0.25">
      <c r="B70" s="688"/>
      <c r="C70" s="64"/>
      <c r="D70" s="692"/>
      <c r="E70" s="692"/>
      <c r="F70" s="692"/>
      <c r="G70" s="692"/>
      <c r="H70" s="690"/>
      <c r="I70" s="64"/>
      <c r="J70" s="64"/>
      <c r="K70" s="64"/>
      <c r="L70" s="324"/>
      <c r="M70" s="591"/>
      <c r="O70" s="33"/>
      <c r="P70" s="33"/>
    </row>
    <row r="71" spans="2:16" x14ac:dyDescent="0.25">
      <c r="B71" s="688"/>
      <c r="C71" s="64"/>
      <c r="D71" s="692"/>
      <c r="E71" s="692"/>
      <c r="F71" s="692"/>
      <c r="G71" s="692"/>
      <c r="H71" s="690"/>
      <c r="I71" s="64"/>
      <c r="J71" s="64"/>
      <c r="K71" s="64"/>
      <c r="L71" s="324"/>
      <c r="O71" s="33"/>
      <c r="P71" s="33"/>
    </row>
    <row r="72" spans="2:16" x14ac:dyDescent="0.25">
      <c r="B72" s="688"/>
      <c r="C72" s="693"/>
      <c r="D72" s="689"/>
      <c r="E72" s="692"/>
      <c r="F72" s="692"/>
      <c r="G72" s="692"/>
      <c r="H72" s="64"/>
      <c r="I72" s="64"/>
      <c r="J72" s="64"/>
      <c r="K72" s="64"/>
      <c r="L72" s="324"/>
      <c r="O72" s="33"/>
      <c r="P72" s="33"/>
    </row>
    <row r="73" spans="2:16" x14ac:dyDescent="0.25">
      <c r="B73" s="688"/>
      <c r="C73" s="64"/>
      <c r="D73" s="689"/>
      <c r="E73" s="692"/>
      <c r="F73" s="692"/>
      <c r="G73" s="692"/>
      <c r="H73" s="64"/>
      <c r="I73" s="64"/>
      <c r="J73" s="64"/>
      <c r="K73" s="64"/>
      <c r="L73" s="324"/>
      <c r="O73" s="33"/>
      <c r="P73" s="33"/>
    </row>
    <row r="74" spans="2:16" x14ac:dyDescent="0.25">
      <c r="B74" s="688"/>
      <c r="C74" s="693"/>
      <c r="D74" s="689"/>
      <c r="E74" s="692"/>
      <c r="F74" s="692"/>
      <c r="G74" s="692"/>
      <c r="H74" s="690"/>
      <c r="I74" s="64"/>
      <c r="J74" s="64"/>
      <c r="K74" s="64"/>
      <c r="L74" s="324"/>
      <c r="O74" s="33"/>
      <c r="P74" s="33"/>
    </row>
    <row r="75" spans="2:16" x14ac:dyDescent="0.25">
      <c r="B75" s="688"/>
      <c r="C75" s="693"/>
      <c r="D75" s="689"/>
      <c r="E75" s="692"/>
      <c r="F75" s="692"/>
      <c r="G75" s="692"/>
      <c r="H75" s="692"/>
      <c r="I75" s="64"/>
      <c r="J75" s="64"/>
      <c r="K75" s="64"/>
      <c r="L75" s="324"/>
      <c r="O75" s="33"/>
      <c r="P75" s="33"/>
    </row>
    <row r="76" spans="2:16" x14ac:dyDescent="0.25">
      <c r="B76" s="688"/>
      <c r="C76" s="64"/>
      <c r="D76" s="689"/>
      <c r="E76" s="692"/>
      <c r="F76" s="692"/>
      <c r="G76" s="692"/>
      <c r="H76" s="692"/>
      <c r="I76" s="64"/>
      <c r="J76" s="64"/>
      <c r="K76" s="64"/>
      <c r="L76" s="324"/>
      <c r="O76" s="33"/>
      <c r="P76" s="33"/>
    </row>
    <row r="77" spans="2:16" x14ac:dyDescent="0.25">
      <c r="B77" s="688"/>
      <c r="C77" s="64"/>
      <c r="D77" s="692"/>
      <c r="E77" s="692"/>
      <c r="F77" s="692"/>
      <c r="G77" s="692"/>
      <c r="H77" s="692"/>
      <c r="I77" s="64"/>
      <c r="J77" s="64"/>
      <c r="K77" s="64"/>
      <c r="L77" s="324"/>
      <c r="O77" s="33"/>
      <c r="P77" s="33"/>
    </row>
    <row r="78" spans="2:16" x14ac:dyDescent="0.25">
      <c r="B78" s="670"/>
      <c r="C78" s="691"/>
      <c r="D78" s="692"/>
      <c r="E78" s="692"/>
      <c r="F78" s="692"/>
      <c r="G78" s="692"/>
      <c r="H78" s="692"/>
      <c r="I78" s="64"/>
      <c r="J78" s="64"/>
      <c r="K78" s="64"/>
      <c r="L78" s="694"/>
      <c r="O78" s="33"/>
      <c r="P78" s="33"/>
    </row>
    <row r="79" spans="2:16" s="22" customFormat="1" x14ac:dyDescent="0.25">
      <c r="B79" s="688"/>
      <c r="C79" s="64"/>
      <c r="D79" s="689"/>
      <c r="E79" s="689"/>
      <c r="F79" s="689"/>
      <c r="G79" s="689"/>
      <c r="H79" s="689"/>
      <c r="I79" s="691"/>
      <c r="J79" s="691"/>
      <c r="K79" s="691"/>
      <c r="L79" s="324"/>
      <c r="M79" s="1491"/>
      <c r="O79" s="33"/>
      <c r="P79" s="33"/>
    </row>
    <row r="80" spans="2:16" x14ac:dyDescent="0.25">
      <c r="B80" s="688"/>
      <c r="C80" s="64"/>
      <c r="D80" s="689"/>
      <c r="E80" s="689"/>
      <c r="F80" s="692"/>
      <c r="G80" s="692"/>
      <c r="H80" s="692"/>
      <c r="I80" s="64"/>
      <c r="J80" s="64"/>
      <c r="K80" s="64"/>
      <c r="L80" s="324"/>
      <c r="O80" s="33"/>
      <c r="P80" s="33"/>
    </row>
    <row r="81" spans="2:16" s="22" customFormat="1" x14ac:dyDescent="0.25">
      <c r="B81" s="670"/>
      <c r="C81" s="691"/>
      <c r="D81" s="689"/>
      <c r="E81" s="689"/>
      <c r="F81" s="689"/>
      <c r="G81" s="689"/>
      <c r="H81" s="689"/>
      <c r="I81" s="691"/>
      <c r="J81" s="691"/>
      <c r="K81" s="691"/>
      <c r="L81" s="694"/>
      <c r="M81" s="1491"/>
      <c r="O81" s="33"/>
      <c r="P81" s="33"/>
    </row>
    <row r="82" spans="2:16" s="22" customFormat="1" x14ac:dyDescent="0.25">
      <c r="B82" s="695"/>
      <c r="C82" s="696"/>
      <c r="D82" s="689"/>
      <c r="E82" s="689"/>
      <c r="F82" s="689"/>
      <c r="G82" s="689"/>
      <c r="H82" s="689"/>
      <c r="I82" s="691"/>
      <c r="J82" s="691"/>
      <c r="K82" s="691"/>
      <c r="L82" s="324"/>
      <c r="M82" s="1491"/>
      <c r="O82" s="33"/>
      <c r="P82" s="33"/>
    </row>
    <row r="83" spans="2:16" s="22" customFormat="1" x14ac:dyDescent="0.25">
      <c r="B83" s="695"/>
      <c r="C83" s="696"/>
      <c r="D83" s="689"/>
      <c r="E83" s="689"/>
      <c r="F83" s="689"/>
      <c r="G83" s="689"/>
      <c r="H83" s="689"/>
      <c r="I83" s="691"/>
      <c r="J83" s="691"/>
      <c r="K83" s="691"/>
      <c r="L83" s="324"/>
      <c r="M83" s="1491"/>
    </row>
    <row r="84" spans="2:16" x14ac:dyDescent="0.25">
      <c r="B84" s="697"/>
      <c r="C84" s="693"/>
      <c r="D84" s="692"/>
      <c r="E84" s="692"/>
      <c r="F84" s="692"/>
      <c r="G84" s="692"/>
      <c r="H84" s="692"/>
      <c r="I84" s="64"/>
      <c r="J84" s="64"/>
      <c r="K84" s="64"/>
      <c r="L84" s="324"/>
      <c r="M84" s="1491"/>
      <c r="O84" s="22"/>
      <c r="P84" s="22"/>
    </row>
    <row r="85" spans="2:16" x14ac:dyDescent="0.25">
      <c r="B85" s="697"/>
      <c r="C85" s="693"/>
      <c r="D85" s="692"/>
      <c r="E85" s="692"/>
      <c r="F85" s="692"/>
      <c r="G85" s="698"/>
      <c r="H85" s="690"/>
      <c r="I85" s="64"/>
      <c r="J85" s="64"/>
      <c r="K85" s="64"/>
      <c r="L85" s="324"/>
      <c r="M85" s="1491"/>
      <c r="O85" s="22"/>
      <c r="P85" s="22"/>
    </row>
    <row r="86" spans="2:16" x14ac:dyDescent="0.25">
      <c r="B86" s="697"/>
      <c r="C86" s="696"/>
      <c r="D86" s="692"/>
      <c r="E86" s="692"/>
      <c r="F86" s="692"/>
      <c r="G86" s="692"/>
      <c r="H86" s="692"/>
      <c r="I86" s="64"/>
      <c r="J86" s="64"/>
      <c r="K86" s="64"/>
      <c r="L86" s="694"/>
      <c r="M86" s="1491"/>
    </row>
    <row r="87" spans="2:16" s="22" customFormat="1" x14ac:dyDescent="0.25">
      <c r="B87" s="695"/>
      <c r="C87" s="696"/>
      <c r="D87" s="699"/>
      <c r="E87" s="699"/>
      <c r="F87" s="699"/>
      <c r="G87" s="699"/>
      <c r="H87" s="699"/>
      <c r="I87" s="691"/>
      <c r="J87" s="691"/>
      <c r="K87" s="691"/>
      <c r="L87" s="694"/>
      <c r="M87" s="1491"/>
      <c r="O87" s="14"/>
      <c r="P87" s="14"/>
    </row>
    <row r="88" spans="2:16" x14ac:dyDescent="0.25">
      <c r="B88" s="64"/>
      <c r="C88" s="64"/>
      <c r="D88" s="64"/>
      <c r="E88" s="64"/>
      <c r="F88" s="64"/>
      <c r="G88" s="64"/>
      <c r="H88" s="64"/>
      <c r="I88" s="64"/>
      <c r="J88" s="64"/>
      <c r="K88" s="64"/>
      <c r="L88" s="64"/>
    </row>
    <row r="89" spans="2:16" x14ac:dyDescent="0.25">
      <c r="B89" s="702"/>
      <c r="C89" s="64"/>
      <c r="D89" s="703"/>
      <c r="E89" s="703"/>
      <c r="F89" s="703"/>
      <c r="G89" s="703"/>
      <c r="H89" s="703"/>
      <c r="I89" s="703"/>
      <c r="J89" s="703"/>
      <c r="K89" s="703"/>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E3" sqref="E3"/>
    </sheetView>
  </sheetViews>
  <sheetFormatPr defaultColWidth="9.08984375" defaultRowHeight="14" x14ac:dyDescent="0.3"/>
  <cols>
    <col min="1" max="1" width="9.08984375" style="861"/>
    <col min="2" max="2" width="21.6328125" style="861" customWidth="1"/>
    <col min="3" max="3" width="23" style="861" customWidth="1"/>
    <col min="4" max="4" width="19.453125" style="861" customWidth="1"/>
    <col min="5" max="5" width="21.6328125" style="861" customWidth="1"/>
    <col min="6" max="6" width="38" style="861" customWidth="1"/>
    <col min="7" max="7" width="24.453125" style="861" customWidth="1"/>
    <col min="8" max="8" width="10.6328125" style="861" bestFit="1" customWidth="1"/>
    <col min="9" max="257" width="9.08984375" style="861"/>
    <col min="258" max="258" width="21.6328125" style="861" customWidth="1"/>
    <col min="259" max="259" width="27.90625" style="861" customWidth="1"/>
    <col min="260" max="260" width="33.90625" style="861" customWidth="1"/>
    <col min="261" max="261" width="60" style="861" customWidth="1"/>
    <col min="262" max="262" width="164.08984375" style="861" customWidth="1"/>
    <col min="263" max="263" width="24.453125" style="861" customWidth="1"/>
    <col min="264" max="264" width="10.6328125" style="861" bestFit="1" customWidth="1"/>
    <col min="265" max="513" width="9.08984375" style="861"/>
    <col min="514" max="514" width="21.6328125" style="861" customWidth="1"/>
    <col min="515" max="515" width="27.90625" style="861" customWidth="1"/>
    <col min="516" max="516" width="33.90625" style="861" customWidth="1"/>
    <col min="517" max="517" width="60" style="861" customWidth="1"/>
    <col min="518" max="518" width="164.08984375" style="861" customWidth="1"/>
    <col min="519" max="519" width="24.453125" style="861" customWidth="1"/>
    <col min="520" max="520" width="10.6328125" style="861" bestFit="1" customWidth="1"/>
    <col min="521" max="769" width="9.08984375" style="861"/>
    <col min="770" max="770" width="21.6328125" style="861" customWidth="1"/>
    <col min="771" max="771" width="27.90625" style="861" customWidth="1"/>
    <col min="772" max="772" width="33.90625" style="861" customWidth="1"/>
    <col min="773" max="773" width="60" style="861" customWidth="1"/>
    <col min="774" max="774" width="164.08984375" style="861" customWidth="1"/>
    <col min="775" max="775" width="24.453125" style="861" customWidth="1"/>
    <col min="776" max="776" width="10.6328125" style="861" bestFit="1" customWidth="1"/>
    <col min="777" max="1025" width="9.08984375" style="861"/>
    <col min="1026" max="1026" width="21.6328125" style="861" customWidth="1"/>
    <col min="1027" max="1027" width="27.90625" style="861" customWidth="1"/>
    <col min="1028" max="1028" width="33.90625" style="861" customWidth="1"/>
    <col min="1029" max="1029" width="60" style="861" customWidth="1"/>
    <col min="1030" max="1030" width="164.08984375" style="861" customWidth="1"/>
    <col min="1031" max="1031" width="24.453125" style="861" customWidth="1"/>
    <col min="1032" max="1032" width="10.6328125" style="861" bestFit="1" customWidth="1"/>
    <col min="1033" max="1281" width="9.08984375" style="861"/>
    <col min="1282" max="1282" width="21.6328125" style="861" customWidth="1"/>
    <col min="1283" max="1283" width="27.90625" style="861" customWidth="1"/>
    <col min="1284" max="1284" width="33.90625" style="861" customWidth="1"/>
    <col min="1285" max="1285" width="60" style="861" customWidth="1"/>
    <col min="1286" max="1286" width="164.08984375" style="861" customWidth="1"/>
    <col min="1287" max="1287" width="24.453125" style="861" customWidth="1"/>
    <col min="1288" max="1288" width="10.6328125" style="861" bestFit="1" customWidth="1"/>
    <col min="1289" max="1537" width="9.08984375" style="861"/>
    <col min="1538" max="1538" width="21.6328125" style="861" customWidth="1"/>
    <col min="1539" max="1539" width="27.90625" style="861" customWidth="1"/>
    <col min="1540" max="1540" width="33.90625" style="861" customWidth="1"/>
    <col min="1541" max="1541" width="60" style="861" customWidth="1"/>
    <col min="1542" max="1542" width="164.08984375" style="861" customWidth="1"/>
    <col min="1543" max="1543" width="24.453125" style="861" customWidth="1"/>
    <col min="1544" max="1544" width="10.6328125" style="861" bestFit="1" customWidth="1"/>
    <col min="1545" max="1793" width="9.08984375" style="861"/>
    <col min="1794" max="1794" width="21.6328125" style="861" customWidth="1"/>
    <col min="1795" max="1795" width="27.90625" style="861" customWidth="1"/>
    <col min="1796" max="1796" width="33.90625" style="861" customWidth="1"/>
    <col min="1797" max="1797" width="60" style="861" customWidth="1"/>
    <col min="1798" max="1798" width="164.08984375" style="861" customWidth="1"/>
    <col min="1799" max="1799" width="24.453125" style="861" customWidth="1"/>
    <col min="1800" max="1800" width="10.6328125" style="861" bestFit="1" customWidth="1"/>
    <col min="1801" max="2049" width="9.08984375" style="861"/>
    <col min="2050" max="2050" width="21.6328125" style="861" customWidth="1"/>
    <col min="2051" max="2051" width="27.90625" style="861" customWidth="1"/>
    <col min="2052" max="2052" width="33.90625" style="861" customWidth="1"/>
    <col min="2053" max="2053" width="60" style="861" customWidth="1"/>
    <col min="2054" max="2054" width="164.08984375" style="861" customWidth="1"/>
    <col min="2055" max="2055" width="24.453125" style="861" customWidth="1"/>
    <col min="2056" max="2056" width="10.6328125" style="861" bestFit="1" customWidth="1"/>
    <col min="2057" max="2305" width="9.08984375" style="861"/>
    <col min="2306" max="2306" width="21.6328125" style="861" customWidth="1"/>
    <col min="2307" max="2307" width="27.90625" style="861" customWidth="1"/>
    <col min="2308" max="2308" width="33.90625" style="861" customWidth="1"/>
    <col min="2309" max="2309" width="60" style="861" customWidth="1"/>
    <col min="2310" max="2310" width="164.08984375" style="861" customWidth="1"/>
    <col min="2311" max="2311" width="24.453125" style="861" customWidth="1"/>
    <col min="2312" max="2312" width="10.6328125" style="861" bestFit="1" customWidth="1"/>
    <col min="2313" max="2561" width="9.08984375" style="861"/>
    <col min="2562" max="2562" width="21.6328125" style="861" customWidth="1"/>
    <col min="2563" max="2563" width="27.90625" style="861" customWidth="1"/>
    <col min="2564" max="2564" width="33.90625" style="861" customWidth="1"/>
    <col min="2565" max="2565" width="60" style="861" customWidth="1"/>
    <col min="2566" max="2566" width="164.08984375" style="861" customWidth="1"/>
    <col min="2567" max="2567" width="24.453125" style="861" customWidth="1"/>
    <col min="2568" max="2568" width="10.6328125" style="861" bestFit="1" customWidth="1"/>
    <col min="2569" max="2817" width="9.08984375" style="861"/>
    <col min="2818" max="2818" width="21.6328125" style="861" customWidth="1"/>
    <col min="2819" max="2819" width="27.90625" style="861" customWidth="1"/>
    <col min="2820" max="2820" width="33.90625" style="861" customWidth="1"/>
    <col min="2821" max="2821" width="60" style="861" customWidth="1"/>
    <col min="2822" max="2822" width="164.08984375" style="861" customWidth="1"/>
    <col min="2823" max="2823" width="24.453125" style="861" customWidth="1"/>
    <col min="2824" max="2824" width="10.6328125" style="861" bestFit="1" customWidth="1"/>
    <col min="2825" max="3073" width="9.08984375" style="861"/>
    <col min="3074" max="3074" width="21.6328125" style="861" customWidth="1"/>
    <col min="3075" max="3075" width="27.90625" style="861" customWidth="1"/>
    <col min="3076" max="3076" width="33.90625" style="861" customWidth="1"/>
    <col min="3077" max="3077" width="60" style="861" customWidth="1"/>
    <col min="3078" max="3078" width="164.08984375" style="861" customWidth="1"/>
    <col min="3079" max="3079" width="24.453125" style="861" customWidth="1"/>
    <col min="3080" max="3080" width="10.6328125" style="861" bestFit="1" customWidth="1"/>
    <col min="3081" max="3329" width="9.08984375" style="861"/>
    <col min="3330" max="3330" width="21.6328125" style="861" customWidth="1"/>
    <col min="3331" max="3331" width="27.90625" style="861" customWidth="1"/>
    <col min="3332" max="3332" width="33.90625" style="861" customWidth="1"/>
    <col min="3333" max="3333" width="60" style="861" customWidth="1"/>
    <col min="3334" max="3334" width="164.08984375" style="861" customWidth="1"/>
    <col min="3335" max="3335" width="24.453125" style="861" customWidth="1"/>
    <col min="3336" max="3336" width="10.6328125" style="861" bestFit="1" customWidth="1"/>
    <col min="3337" max="3585" width="9.08984375" style="861"/>
    <col min="3586" max="3586" width="21.6328125" style="861" customWidth="1"/>
    <col min="3587" max="3587" width="27.90625" style="861" customWidth="1"/>
    <col min="3588" max="3588" width="33.90625" style="861" customWidth="1"/>
    <col min="3589" max="3589" width="60" style="861" customWidth="1"/>
    <col min="3590" max="3590" width="164.08984375" style="861" customWidth="1"/>
    <col min="3591" max="3591" width="24.453125" style="861" customWidth="1"/>
    <col min="3592" max="3592" width="10.6328125" style="861" bestFit="1" customWidth="1"/>
    <col min="3593" max="3841" width="9.08984375" style="861"/>
    <col min="3842" max="3842" width="21.6328125" style="861" customWidth="1"/>
    <col min="3843" max="3843" width="27.90625" style="861" customWidth="1"/>
    <col min="3844" max="3844" width="33.90625" style="861" customWidth="1"/>
    <col min="3845" max="3845" width="60" style="861" customWidth="1"/>
    <col min="3846" max="3846" width="164.08984375" style="861" customWidth="1"/>
    <col min="3847" max="3847" width="24.453125" style="861" customWidth="1"/>
    <col min="3848" max="3848" width="10.6328125" style="861" bestFit="1" customWidth="1"/>
    <col min="3849" max="4097" width="9.08984375" style="861"/>
    <col min="4098" max="4098" width="21.6328125" style="861" customWidth="1"/>
    <col min="4099" max="4099" width="27.90625" style="861" customWidth="1"/>
    <col min="4100" max="4100" width="33.90625" style="861" customWidth="1"/>
    <col min="4101" max="4101" width="60" style="861" customWidth="1"/>
    <col min="4102" max="4102" width="164.08984375" style="861" customWidth="1"/>
    <col min="4103" max="4103" width="24.453125" style="861" customWidth="1"/>
    <col min="4104" max="4104" width="10.6328125" style="861" bestFit="1" customWidth="1"/>
    <col min="4105" max="4353" width="9.08984375" style="861"/>
    <col min="4354" max="4354" width="21.6328125" style="861" customWidth="1"/>
    <col min="4355" max="4355" width="27.90625" style="861" customWidth="1"/>
    <col min="4356" max="4356" width="33.90625" style="861" customWidth="1"/>
    <col min="4357" max="4357" width="60" style="861" customWidth="1"/>
    <col min="4358" max="4358" width="164.08984375" style="861" customWidth="1"/>
    <col min="4359" max="4359" width="24.453125" style="861" customWidth="1"/>
    <col min="4360" max="4360" width="10.6328125" style="861" bestFit="1" customWidth="1"/>
    <col min="4361" max="4609" width="9.08984375" style="861"/>
    <col min="4610" max="4610" width="21.6328125" style="861" customWidth="1"/>
    <col min="4611" max="4611" width="27.90625" style="861" customWidth="1"/>
    <col min="4612" max="4612" width="33.90625" style="861" customWidth="1"/>
    <col min="4613" max="4613" width="60" style="861" customWidth="1"/>
    <col min="4614" max="4614" width="164.08984375" style="861" customWidth="1"/>
    <col min="4615" max="4615" width="24.453125" style="861" customWidth="1"/>
    <col min="4616" max="4616" width="10.6328125" style="861" bestFit="1" customWidth="1"/>
    <col min="4617" max="4865" width="9.08984375" style="861"/>
    <col min="4866" max="4866" width="21.6328125" style="861" customWidth="1"/>
    <col min="4867" max="4867" width="27.90625" style="861" customWidth="1"/>
    <col min="4868" max="4868" width="33.90625" style="861" customWidth="1"/>
    <col min="4869" max="4869" width="60" style="861" customWidth="1"/>
    <col min="4870" max="4870" width="164.08984375" style="861" customWidth="1"/>
    <col min="4871" max="4871" width="24.453125" style="861" customWidth="1"/>
    <col min="4872" max="4872" width="10.6328125" style="861" bestFit="1" customWidth="1"/>
    <col min="4873" max="5121" width="9.08984375" style="861"/>
    <col min="5122" max="5122" width="21.6328125" style="861" customWidth="1"/>
    <col min="5123" max="5123" width="27.90625" style="861" customWidth="1"/>
    <col min="5124" max="5124" width="33.90625" style="861" customWidth="1"/>
    <col min="5125" max="5125" width="60" style="861" customWidth="1"/>
    <col min="5126" max="5126" width="164.08984375" style="861" customWidth="1"/>
    <col min="5127" max="5127" width="24.453125" style="861" customWidth="1"/>
    <col min="5128" max="5128" width="10.6328125" style="861" bestFit="1" customWidth="1"/>
    <col min="5129" max="5377" width="9.08984375" style="861"/>
    <col min="5378" max="5378" width="21.6328125" style="861" customWidth="1"/>
    <col min="5379" max="5379" width="27.90625" style="861" customWidth="1"/>
    <col min="5380" max="5380" width="33.90625" style="861" customWidth="1"/>
    <col min="5381" max="5381" width="60" style="861" customWidth="1"/>
    <col min="5382" max="5382" width="164.08984375" style="861" customWidth="1"/>
    <col min="5383" max="5383" width="24.453125" style="861" customWidth="1"/>
    <col min="5384" max="5384" width="10.6328125" style="861" bestFit="1" customWidth="1"/>
    <col min="5385" max="5633" width="9.08984375" style="861"/>
    <col min="5634" max="5634" width="21.6328125" style="861" customWidth="1"/>
    <col min="5635" max="5635" width="27.90625" style="861" customWidth="1"/>
    <col min="5636" max="5636" width="33.90625" style="861" customWidth="1"/>
    <col min="5637" max="5637" width="60" style="861" customWidth="1"/>
    <col min="5638" max="5638" width="164.08984375" style="861" customWidth="1"/>
    <col min="5639" max="5639" width="24.453125" style="861" customWidth="1"/>
    <col min="5640" max="5640" width="10.6328125" style="861" bestFit="1" customWidth="1"/>
    <col min="5641" max="5889" width="9.08984375" style="861"/>
    <col min="5890" max="5890" width="21.6328125" style="861" customWidth="1"/>
    <col min="5891" max="5891" width="27.90625" style="861" customWidth="1"/>
    <col min="5892" max="5892" width="33.90625" style="861" customWidth="1"/>
    <col min="5893" max="5893" width="60" style="861" customWidth="1"/>
    <col min="5894" max="5894" width="164.08984375" style="861" customWidth="1"/>
    <col min="5895" max="5895" width="24.453125" style="861" customWidth="1"/>
    <col min="5896" max="5896" width="10.6328125" style="861" bestFit="1" customWidth="1"/>
    <col min="5897" max="6145" width="9.08984375" style="861"/>
    <col min="6146" max="6146" width="21.6328125" style="861" customWidth="1"/>
    <col min="6147" max="6147" width="27.90625" style="861" customWidth="1"/>
    <col min="6148" max="6148" width="33.90625" style="861" customWidth="1"/>
    <col min="6149" max="6149" width="60" style="861" customWidth="1"/>
    <col min="6150" max="6150" width="164.08984375" style="861" customWidth="1"/>
    <col min="6151" max="6151" width="24.453125" style="861" customWidth="1"/>
    <col min="6152" max="6152" width="10.6328125" style="861" bestFit="1" customWidth="1"/>
    <col min="6153" max="6401" width="9.08984375" style="861"/>
    <col min="6402" max="6402" width="21.6328125" style="861" customWidth="1"/>
    <col min="6403" max="6403" width="27.90625" style="861" customWidth="1"/>
    <col min="6404" max="6404" width="33.90625" style="861" customWidth="1"/>
    <col min="6405" max="6405" width="60" style="861" customWidth="1"/>
    <col min="6406" max="6406" width="164.08984375" style="861" customWidth="1"/>
    <col min="6407" max="6407" width="24.453125" style="861" customWidth="1"/>
    <col min="6408" max="6408" width="10.6328125" style="861" bestFit="1" customWidth="1"/>
    <col min="6409" max="6657" width="9.08984375" style="861"/>
    <col min="6658" max="6658" width="21.6328125" style="861" customWidth="1"/>
    <col min="6659" max="6659" width="27.90625" style="861" customWidth="1"/>
    <col min="6660" max="6660" width="33.90625" style="861" customWidth="1"/>
    <col min="6661" max="6661" width="60" style="861" customWidth="1"/>
    <col min="6662" max="6662" width="164.08984375" style="861" customWidth="1"/>
    <col min="6663" max="6663" width="24.453125" style="861" customWidth="1"/>
    <col min="6664" max="6664" width="10.6328125" style="861" bestFit="1" customWidth="1"/>
    <col min="6665" max="6913" width="9.08984375" style="861"/>
    <col min="6914" max="6914" width="21.6328125" style="861" customWidth="1"/>
    <col min="6915" max="6915" width="27.90625" style="861" customWidth="1"/>
    <col min="6916" max="6916" width="33.90625" style="861" customWidth="1"/>
    <col min="6917" max="6917" width="60" style="861" customWidth="1"/>
    <col min="6918" max="6918" width="164.08984375" style="861" customWidth="1"/>
    <col min="6919" max="6919" width="24.453125" style="861" customWidth="1"/>
    <col min="6920" max="6920" width="10.6328125" style="861" bestFit="1" customWidth="1"/>
    <col min="6921" max="7169" width="9.08984375" style="861"/>
    <col min="7170" max="7170" width="21.6328125" style="861" customWidth="1"/>
    <col min="7171" max="7171" width="27.90625" style="861" customWidth="1"/>
    <col min="7172" max="7172" width="33.90625" style="861" customWidth="1"/>
    <col min="7173" max="7173" width="60" style="861" customWidth="1"/>
    <col min="7174" max="7174" width="164.08984375" style="861" customWidth="1"/>
    <col min="7175" max="7175" width="24.453125" style="861" customWidth="1"/>
    <col min="7176" max="7176" width="10.6328125" style="861" bestFit="1" customWidth="1"/>
    <col min="7177" max="7425" width="9.08984375" style="861"/>
    <col min="7426" max="7426" width="21.6328125" style="861" customWidth="1"/>
    <col min="7427" max="7427" width="27.90625" style="861" customWidth="1"/>
    <col min="7428" max="7428" width="33.90625" style="861" customWidth="1"/>
    <col min="7429" max="7429" width="60" style="861" customWidth="1"/>
    <col min="7430" max="7430" width="164.08984375" style="861" customWidth="1"/>
    <col min="7431" max="7431" width="24.453125" style="861" customWidth="1"/>
    <col min="7432" max="7432" width="10.6328125" style="861" bestFit="1" customWidth="1"/>
    <col min="7433" max="7681" width="9.08984375" style="861"/>
    <col min="7682" max="7682" width="21.6328125" style="861" customWidth="1"/>
    <col min="7683" max="7683" width="27.90625" style="861" customWidth="1"/>
    <col min="7684" max="7684" width="33.90625" style="861" customWidth="1"/>
    <col min="7685" max="7685" width="60" style="861" customWidth="1"/>
    <col min="7686" max="7686" width="164.08984375" style="861" customWidth="1"/>
    <col min="7687" max="7687" width="24.453125" style="861" customWidth="1"/>
    <col min="7688" max="7688" width="10.6328125" style="861" bestFit="1" customWidth="1"/>
    <col min="7689" max="7937" width="9.08984375" style="861"/>
    <col min="7938" max="7938" width="21.6328125" style="861" customWidth="1"/>
    <col min="7939" max="7939" width="27.90625" style="861" customWidth="1"/>
    <col min="7940" max="7940" width="33.90625" style="861" customWidth="1"/>
    <col min="7941" max="7941" width="60" style="861" customWidth="1"/>
    <col min="7942" max="7942" width="164.08984375" style="861" customWidth="1"/>
    <col min="7943" max="7943" width="24.453125" style="861" customWidth="1"/>
    <col min="7944" max="7944" width="10.6328125" style="861" bestFit="1" customWidth="1"/>
    <col min="7945" max="8193" width="9.08984375" style="861"/>
    <col min="8194" max="8194" width="21.6328125" style="861" customWidth="1"/>
    <col min="8195" max="8195" width="27.90625" style="861" customWidth="1"/>
    <col min="8196" max="8196" width="33.90625" style="861" customWidth="1"/>
    <col min="8197" max="8197" width="60" style="861" customWidth="1"/>
    <col min="8198" max="8198" width="164.08984375" style="861" customWidth="1"/>
    <col min="8199" max="8199" width="24.453125" style="861" customWidth="1"/>
    <col min="8200" max="8200" width="10.6328125" style="861" bestFit="1" customWidth="1"/>
    <col min="8201" max="8449" width="9.08984375" style="861"/>
    <col min="8450" max="8450" width="21.6328125" style="861" customWidth="1"/>
    <col min="8451" max="8451" width="27.90625" style="861" customWidth="1"/>
    <col min="8452" max="8452" width="33.90625" style="861" customWidth="1"/>
    <col min="8453" max="8453" width="60" style="861" customWidth="1"/>
    <col min="8454" max="8454" width="164.08984375" style="861" customWidth="1"/>
    <col min="8455" max="8455" width="24.453125" style="861" customWidth="1"/>
    <col min="8456" max="8456" width="10.6328125" style="861" bestFit="1" customWidth="1"/>
    <col min="8457" max="8705" width="9.08984375" style="861"/>
    <col min="8706" max="8706" width="21.6328125" style="861" customWidth="1"/>
    <col min="8707" max="8707" width="27.90625" style="861" customWidth="1"/>
    <col min="8708" max="8708" width="33.90625" style="861" customWidth="1"/>
    <col min="8709" max="8709" width="60" style="861" customWidth="1"/>
    <col min="8710" max="8710" width="164.08984375" style="861" customWidth="1"/>
    <col min="8711" max="8711" width="24.453125" style="861" customWidth="1"/>
    <col min="8712" max="8712" width="10.6328125" style="861" bestFit="1" customWidth="1"/>
    <col min="8713" max="8961" width="9.08984375" style="861"/>
    <col min="8962" max="8962" width="21.6328125" style="861" customWidth="1"/>
    <col min="8963" max="8963" width="27.90625" style="861" customWidth="1"/>
    <col min="8964" max="8964" width="33.90625" style="861" customWidth="1"/>
    <col min="8965" max="8965" width="60" style="861" customWidth="1"/>
    <col min="8966" max="8966" width="164.08984375" style="861" customWidth="1"/>
    <col min="8967" max="8967" width="24.453125" style="861" customWidth="1"/>
    <col min="8968" max="8968" width="10.6328125" style="861" bestFit="1" customWidth="1"/>
    <col min="8969" max="9217" width="9.08984375" style="861"/>
    <col min="9218" max="9218" width="21.6328125" style="861" customWidth="1"/>
    <col min="9219" max="9219" width="27.90625" style="861" customWidth="1"/>
    <col min="9220" max="9220" width="33.90625" style="861" customWidth="1"/>
    <col min="9221" max="9221" width="60" style="861" customWidth="1"/>
    <col min="9222" max="9222" width="164.08984375" style="861" customWidth="1"/>
    <col min="9223" max="9223" width="24.453125" style="861" customWidth="1"/>
    <col min="9224" max="9224" width="10.6328125" style="861" bestFit="1" customWidth="1"/>
    <col min="9225" max="9473" width="9.08984375" style="861"/>
    <col min="9474" max="9474" width="21.6328125" style="861" customWidth="1"/>
    <col min="9475" max="9475" width="27.90625" style="861" customWidth="1"/>
    <col min="9476" max="9476" width="33.90625" style="861" customWidth="1"/>
    <col min="9477" max="9477" width="60" style="861" customWidth="1"/>
    <col min="9478" max="9478" width="164.08984375" style="861" customWidth="1"/>
    <col min="9479" max="9479" width="24.453125" style="861" customWidth="1"/>
    <col min="9480" max="9480" width="10.6328125" style="861" bestFit="1" customWidth="1"/>
    <col min="9481" max="9729" width="9.08984375" style="861"/>
    <col min="9730" max="9730" width="21.6328125" style="861" customWidth="1"/>
    <col min="9731" max="9731" width="27.90625" style="861" customWidth="1"/>
    <col min="9732" max="9732" width="33.90625" style="861" customWidth="1"/>
    <col min="9733" max="9733" width="60" style="861" customWidth="1"/>
    <col min="9734" max="9734" width="164.08984375" style="861" customWidth="1"/>
    <col min="9735" max="9735" width="24.453125" style="861" customWidth="1"/>
    <col min="9736" max="9736" width="10.6328125" style="861" bestFit="1" customWidth="1"/>
    <col min="9737" max="9985" width="9.08984375" style="861"/>
    <col min="9986" max="9986" width="21.6328125" style="861" customWidth="1"/>
    <col min="9987" max="9987" width="27.90625" style="861" customWidth="1"/>
    <col min="9988" max="9988" width="33.90625" style="861" customWidth="1"/>
    <col min="9989" max="9989" width="60" style="861" customWidth="1"/>
    <col min="9990" max="9990" width="164.08984375" style="861" customWidth="1"/>
    <col min="9991" max="9991" width="24.453125" style="861" customWidth="1"/>
    <col min="9992" max="9992" width="10.6328125" style="861" bestFit="1" customWidth="1"/>
    <col min="9993" max="10241" width="9.08984375" style="861"/>
    <col min="10242" max="10242" width="21.6328125" style="861" customWidth="1"/>
    <col min="10243" max="10243" width="27.90625" style="861" customWidth="1"/>
    <col min="10244" max="10244" width="33.90625" style="861" customWidth="1"/>
    <col min="10245" max="10245" width="60" style="861" customWidth="1"/>
    <col min="10246" max="10246" width="164.08984375" style="861" customWidth="1"/>
    <col min="10247" max="10247" width="24.453125" style="861" customWidth="1"/>
    <col min="10248" max="10248" width="10.6328125" style="861" bestFit="1" customWidth="1"/>
    <col min="10249" max="10497" width="9.08984375" style="861"/>
    <col min="10498" max="10498" width="21.6328125" style="861" customWidth="1"/>
    <col min="10499" max="10499" width="27.90625" style="861" customWidth="1"/>
    <col min="10500" max="10500" width="33.90625" style="861" customWidth="1"/>
    <col min="10501" max="10501" width="60" style="861" customWidth="1"/>
    <col min="10502" max="10502" width="164.08984375" style="861" customWidth="1"/>
    <col min="10503" max="10503" width="24.453125" style="861" customWidth="1"/>
    <col min="10504" max="10504" width="10.6328125" style="861" bestFit="1" customWidth="1"/>
    <col min="10505" max="10753" width="9.08984375" style="861"/>
    <col min="10754" max="10754" width="21.6328125" style="861" customWidth="1"/>
    <col min="10755" max="10755" width="27.90625" style="861" customWidth="1"/>
    <col min="10756" max="10756" width="33.90625" style="861" customWidth="1"/>
    <col min="10757" max="10757" width="60" style="861" customWidth="1"/>
    <col min="10758" max="10758" width="164.08984375" style="861" customWidth="1"/>
    <col min="10759" max="10759" width="24.453125" style="861" customWidth="1"/>
    <col min="10760" max="10760" width="10.6328125" style="861" bestFit="1" customWidth="1"/>
    <col min="10761" max="11009" width="9.08984375" style="861"/>
    <col min="11010" max="11010" width="21.6328125" style="861" customWidth="1"/>
    <col min="11011" max="11011" width="27.90625" style="861" customWidth="1"/>
    <col min="11012" max="11012" width="33.90625" style="861" customWidth="1"/>
    <col min="11013" max="11013" width="60" style="861" customWidth="1"/>
    <col min="11014" max="11014" width="164.08984375" style="861" customWidth="1"/>
    <col min="11015" max="11015" width="24.453125" style="861" customWidth="1"/>
    <col min="11016" max="11016" width="10.6328125" style="861" bestFit="1" customWidth="1"/>
    <col min="11017" max="11265" width="9.08984375" style="861"/>
    <col min="11266" max="11266" width="21.6328125" style="861" customWidth="1"/>
    <col min="11267" max="11267" width="27.90625" style="861" customWidth="1"/>
    <col min="11268" max="11268" width="33.90625" style="861" customWidth="1"/>
    <col min="11269" max="11269" width="60" style="861" customWidth="1"/>
    <col min="11270" max="11270" width="164.08984375" style="861" customWidth="1"/>
    <col min="11271" max="11271" width="24.453125" style="861" customWidth="1"/>
    <col min="11272" max="11272" width="10.6328125" style="861" bestFit="1" customWidth="1"/>
    <col min="11273" max="11521" width="9.08984375" style="861"/>
    <col min="11522" max="11522" width="21.6328125" style="861" customWidth="1"/>
    <col min="11523" max="11523" width="27.90625" style="861" customWidth="1"/>
    <col min="11524" max="11524" width="33.90625" style="861" customWidth="1"/>
    <col min="11525" max="11525" width="60" style="861" customWidth="1"/>
    <col min="11526" max="11526" width="164.08984375" style="861" customWidth="1"/>
    <col min="11527" max="11527" width="24.453125" style="861" customWidth="1"/>
    <col min="11528" max="11528" width="10.6328125" style="861" bestFit="1" customWidth="1"/>
    <col min="11529" max="11777" width="9.08984375" style="861"/>
    <col min="11778" max="11778" width="21.6328125" style="861" customWidth="1"/>
    <col min="11779" max="11779" width="27.90625" style="861" customWidth="1"/>
    <col min="11780" max="11780" width="33.90625" style="861" customWidth="1"/>
    <col min="11781" max="11781" width="60" style="861" customWidth="1"/>
    <col min="11782" max="11782" width="164.08984375" style="861" customWidth="1"/>
    <col min="11783" max="11783" width="24.453125" style="861" customWidth="1"/>
    <col min="11784" max="11784" width="10.6328125" style="861" bestFit="1" customWidth="1"/>
    <col min="11785" max="12033" width="9.08984375" style="861"/>
    <col min="12034" max="12034" width="21.6328125" style="861" customWidth="1"/>
    <col min="12035" max="12035" width="27.90625" style="861" customWidth="1"/>
    <col min="12036" max="12036" width="33.90625" style="861" customWidth="1"/>
    <col min="12037" max="12037" width="60" style="861" customWidth="1"/>
    <col min="12038" max="12038" width="164.08984375" style="861" customWidth="1"/>
    <col min="12039" max="12039" width="24.453125" style="861" customWidth="1"/>
    <col min="12040" max="12040" width="10.6328125" style="861" bestFit="1" customWidth="1"/>
    <col min="12041" max="12289" width="9.08984375" style="861"/>
    <col min="12290" max="12290" width="21.6328125" style="861" customWidth="1"/>
    <col min="12291" max="12291" width="27.90625" style="861" customWidth="1"/>
    <col min="12292" max="12292" width="33.90625" style="861" customWidth="1"/>
    <col min="12293" max="12293" width="60" style="861" customWidth="1"/>
    <col min="12294" max="12294" width="164.08984375" style="861" customWidth="1"/>
    <col min="12295" max="12295" width="24.453125" style="861" customWidth="1"/>
    <col min="12296" max="12296" width="10.6328125" style="861" bestFit="1" customWidth="1"/>
    <col min="12297" max="12545" width="9.08984375" style="861"/>
    <col min="12546" max="12546" width="21.6328125" style="861" customWidth="1"/>
    <col min="12547" max="12547" width="27.90625" style="861" customWidth="1"/>
    <col min="12548" max="12548" width="33.90625" style="861" customWidth="1"/>
    <col min="12549" max="12549" width="60" style="861" customWidth="1"/>
    <col min="12550" max="12550" width="164.08984375" style="861" customWidth="1"/>
    <col min="12551" max="12551" width="24.453125" style="861" customWidth="1"/>
    <col min="12552" max="12552" width="10.6328125" style="861" bestFit="1" customWidth="1"/>
    <col min="12553" max="12801" width="9.08984375" style="861"/>
    <col min="12802" max="12802" width="21.6328125" style="861" customWidth="1"/>
    <col min="12803" max="12803" width="27.90625" style="861" customWidth="1"/>
    <col min="12804" max="12804" width="33.90625" style="861" customWidth="1"/>
    <col min="12805" max="12805" width="60" style="861" customWidth="1"/>
    <col min="12806" max="12806" width="164.08984375" style="861" customWidth="1"/>
    <col min="12807" max="12807" width="24.453125" style="861" customWidth="1"/>
    <col min="12808" max="12808" width="10.6328125" style="861" bestFit="1" customWidth="1"/>
    <col min="12809" max="13057" width="9.08984375" style="861"/>
    <col min="13058" max="13058" width="21.6328125" style="861" customWidth="1"/>
    <col min="13059" max="13059" width="27.90625" style="861" customWidth="1"/>
    <col min="13060" max="13060" width="33.90625" style="861" customWidth="1"/>
    <col min="13061" max="13061" width="60" style="861" customWidth="1"/>
    <col min="13062" max="13062" width="164.08984375" style="861" customWidth="1"/>
    <col min="13063" max="13063" width="24.453125" style="861" customWidth="1"/>
    <col min="13064" max="13064" width="10.6328125" style="861" bestFit="1" customWidth="1"/>
    <col min="13065" max="13313" width="9.08984375" style="861"/>
    <col min="13314" max="13314" width="21.6328125" style="861" customWidth="1"/>
    <col min="13315" max="13315" width="27.90625" style="861" customWidth="1"/>
    <col min="13316" max="13316" width="33.90625" style="861" customWidth="1"/>
    <col min="13317" max="13317" width="60" style="861" customWidth="1"/>
    <col min="13318" max="13318" width="164.08984375" style="861" customWidth="1"/>
    <col min="13319" max="13319" width="24.453125" style="861" customWidth="1"/>
    <col min="13320" max="13320" width="10.6328125" style="861" bestFit="1" customWidth="1"/>
    <col min="13321" max="13569" width="9.08984375" style="861"/>
    <col min="13570" max="13570" width="21.6328125" style="861" customWidth="1"/>
    <col min="13571" max="13571" width="27.90625" style="861" customWidth="1"/>
    <col min="13572" max="13572" width="33.90625" style="861" customWidth="1"/>
    <col min="13573" max="13573" width="60" style="861" customWidth="1"/>
    <col min="13574" max="13574" width="164.08984375" style="861" customWidth="1"/>
    <col min="13575" max="13575" width="24.453125" style="861" customWidth="1"/>
    <col min="13576" max="13576" width="10.6328125" style="861" bestFit="1" customWidth="1"/>
    <col min="13577" max="13825" width="9.08984375" style="861"/>
    <col min="13826" max="13826" width="21.6328125" style="861" customWidth="1"/>
    <col min="13827" max="13827" width="27.90625" style="861" customWidth="1"/>
    <col min="13828" max="13828" width="33.90625" style="861" customWidth="1"/>
    <col min="13829" max="13829" width="60" style="861" customWidth="1"/>
    <col min="13830" max="13830" width="164.08984375" style="861" customWidth="1"/>
    <col min="13831" max="13831" width="24.453125" style="861" customWidth="1"/>
    <col min="13832" max="13832" width="10.6328125" style="861" bestFit="1" customWidth="1"/>
    <col min="13833" max="14081" width="9.08984375" style="861"/>
    <col min="14082" max="14082" width="21.6328125" style="861" customWidth="1"/>
    <col min="14083" max="14083" width="27.90625" style="861" customWidth="1"/>
    <col min="14084" max="14084" width="33.90625" style="861" customWidth="1"/>
    <col min="14085" max="14085" width="60" style="861" customWidth="1"/>
    <col min="14086" max="14086" width="164.08984375" style="861" customWidth="1"/>
    <col min="14087" max="14087" width="24.453125" style="861" customWidth="1"/>
    <col min="14088" max="14088" width="10.6328125" style="861" bestFit="1" customWidth="1"/>
    <col min="14089" max="14337" width="9.08984375" style="861"/>
    <col min="14338" max="14338" width="21.6328125" style="861" customWidth="1"/>
    <col min="14339" max="14339" width="27.90625" style="861" customWidth="1"/>
    <col min="14340" max="14340" width="33.90625" style="861" customWidth="1"/>
    <col min="14341" max="14341" width="60" style="861" customWidth="1"/>
    <col min="14342" max="14342" width="164.08984375" style="861" customWidth="1"/>
    <col min="14343" max="14343" width="24.453125" style="861" customWidth="1"/>
    <col min="14344" max="14344" width="10.6328125" style="861" bestFit="1" customWidth="1"/>
    <col min="14345" max="14593" width="9.08984375" style="861"/>
    <col min="14594" max="14594" width="21.6328125" style="861" customWidth="1"/>
    <col min="14595" max="14595" width="27.90625" style="861" customWidth="1"/>
    <col min="14596" max="14596" width="33.90625" style="861" customWidth="1"/>
    <col min="14597" max="14597" width="60" style="861" customWidth="1"/>
    <col min="14598" max="14598" width="164.08984375" style="861" customWidth="1"/>
    <col min="14599" max="14599" width="24.453125" style="861" customWidth="1"/>
    <col min="14600" max="14600" width="10.6328125" style="861" bestFit="1" customWidth="1"/>
    <col min="14601" max="14849" width="9.08984375" style="861"/>
    <col min="14850" max="14850" width="21.6328125" style="861" customWidth="1"/>
    <col min="14851" max="14851" width="27.90625" style="861" customWidth="1"/>
    <col min="14852" max="14852" width="33.90625" style="861" customWidth="1"/>
    <col min="14853" max="14853" width="60" style="861" customWidth="1"/>
    <col min="14854" max="14854" width="164.08984375" style="861" customWidth="1"/>
    <col min="14855" max="14855" width="24.453125" style="861" customWidth="1"/>
    <col min="14856" max="14856" width="10.6328125" style="861" bestFit="1" customWidth="1"/>
    <col min="14857" max="15105" width="9.08984375" style="861"/>
    <col min="15106" max="15106" width="21.6328125" style="861" customWidth="1"/>
    <col min="15107" max="15107" width="27.90625" style="861" customWidth="1"/>
    <col min="15108" max="15108" width="33.90625" style="861" customWidth="1"/>
    <col min="15109" max="15109" width="60" style="861" customWidth="1"/>
    <col min="15110" max="15110" width="164.08984375" style="861" customWidth="1"/>
    <col min="15111" max="15111" width="24.453125" style="861" customWidth="1"/>
    <col min="15112" max="15112" width="10.6328125" style="861" bestFit="1" customWidth="1"/>
    <col min="15113" max="15361" width="9.08984375" style="861"/>
    <col min="15362" max="15362" width="21.6328125" style="861" customWidth="1"/>
    <col min="15363" max="15363" width="27.90625" style="861" customWidth="1"/>
    <col min="15364" max="15364" width="33.90625" style="861" customWidth="1"/>
    <col min="15365" max="15365" width="60" style="861" customWidth="1"/>
    <col min="15366" max="15366" width="164.08984375" style="861" customWidth="1"/>
    <col min="15367" max="15367" width="24.453125" style="861" customWidth="1"/>
    <col min="15368" max="15368" width="10.6328125" style="861" bestFit="1" customWidth="1"/>
    <col min="15369" max="15617" width="9.08984375" style="861"/>
    <col min="15618" max="15618" width="21.6328125" style="861" customWidth="1"/>
    <col min="15619" max="15619" width="27.90625" style="861" customWidth="1"/>
    <col min="15620" max="15620" width="33.90625" style="861" customWidth="1"/>
    <col min="15621" max="15621" width="60" style="861" customWidth="1"/>
    <col min="15622" max="15622" width="164.08984375" style="861" customWidth="1"/>
    <col min="15623" max="15623" width="24.453125" style="861" customWidth="1"/>
    <col min="15624" max="15624" width="10.6328125" style="861" bestFit="1" customWidth="1"/>
    <col min="15625" max="15873" width="9.08984375" style="861"/>
    <col min="15874" max="15874" width="21.6328125" style="861" customWidth="1"/>
    <col min="15875" max="15875" width="27.90625" style="861" customWidth="1"/>
    <col min="15876" max="15876" width="33.90625" style="861" customWidth="1"/>
    <col min="15877" max="15877" width="60" style="861" customWidth="1"/>
    <col min="15878" max="15878" width="164.08984375" style="861" customWidth="1"/>
    <col min="15879" max="15879" width="24.453125" style="861" customWidth="1"/>
    <col min="15880" max="15880" width="10.6328125" style="861" bestFit="1" customWidth="1"/>
    <col min="15881" max="16129" width="9.08984375" style="861"/>
    <col min="16130" max="16130" width="21.6328125" style="861" customWidth="1"/>
    <col min="16131" max="16131" width="27.90625" style="861" customWidth="1"/>
    <col min="16132" max="16132" width="33.90625" style="861" customWidth="1"/>
    <col min="16133" max="16133" width="60" style="861" customWidth="1"/>
    <col min="16134" max="16134" width="164.08984375" style="861" customWidth="1"/>
    <col min="16135" max="16135" width="24.453125" style="861" customWidth="1"/>
    <col min="16136" max="16136" width="10.6328125" style="861" bestFit="1" customWidth="1"/>
    <col min="16137" max="16384" width="9.08984375" style="861"/>
  </cols>
  <sheetData>
    <row r="1" spans="2:12" x14ac:dyDescent="0.3">
      <c r="C1" s="862"/>
      <c r="D1" s="862"/>
    </row>
    <row r="2" spans="2:12" x14ac:dyDescent="0.3">
      <c r="C2" s="96"/>
      <c r="D2" s="96"/>
      <c r="E2" s="844" t="str">
        <f>Index!B2</f>
        <v xml:space="preserve">      Maharashtra State Power Generation Company Ltd.</v>
      </c>
      <c r="F2" s="96"/>
      <c r="G2" s="96"/>
      <c r="H2" s="96"/>
      <c r="I2" s="96"/>
    </row>
    <row r="3" spans="2:12" x14ac:dyDescent="0.3">
      <c r="C3" s="494"/>
      <c r="D3" s="494"/>
      <c r="E3" s="863" t="s">
        <v>1087</v>
      </c>
      <c r="F3" s="494"/>
      <c r="G3" s="494"/>
      <c r="H3" s="494"/>
      <c r="I3" s="494"/>
    </row>
    <row r="4" spans="2:12" x14ac:dyDescent="0.3">
      <c r="C4" s="494"/>
      <c r="D4" s="494"/>
      <c r="E4" s="863" t="s">
        <v>1088</v>
      </c>
      <c r="F4" s="494"/>
      <c r="G4" s="494"/>
      <c r="H4" s="494"/>
      <c r="I4" s="494"/>
    </row>
    <row r="5" spans="2:12" x14ac:dyDescent="0.3">
      <c r="B5" s="864"/>
      <c r="C5" s="864"/>
      <c r="D5" s="864"/>
    </row>
    <row r="6" spans="2:12" s="866" customFormat="1" ht="42" x14ac:dyDescent="0.25">
      <c r="B6" s="865" t="s">
        <v>36</v>
      </c>
      <c r="C6" s="865" t="s">
        <v>1089</v>
      </c>
      <c r="D6" s="865" t="s">
        <v>1090</v>
      </c>
      <c r="E6" s="865" t="s">
        <v>1091</v>
      </c>
      <c r="F6" s="865" t="s">
        <v>1092</v>
      </c>
    </row>
    <row r="7" spans="2:12" s="866" customFormat="1" x14ac:dyDescent="0.25">
      <c r="B7" s="867"/>
      <c r="C7" s="867"/>
      <c r="D7" s="867"/>
      <c r="E7" s="867"/>
      <c r="F7" s="867"/>
    </row>
    <row r="8" spans="2:12" s="866" customFormat="1" x14ac:dyDescent="0.25">
      <c r="B8" s="867"/>
      <c r="C8" s="867"/>
      <c r="D8" s="867"/>
      <c r="E8" s="867"/>
      <c r="F8" s="867"/>
    </row>
    <row r="9" spans="2:12" s="866" customFormat="1" x14ac:dyDescent="0.25">
      <c r="B9" s="867"/>
      <c r="C9" s="867"/>
      <c r="D9" s="867"/>
      <c r="E9" s="867"/>
      <c r="F9" s="867"/>
    </row>
    <row r="10" spans="2:12" s="866" customFormat="1" x14ac:dyDescent="0.25">
      <c r="B10" s="867"/>
      <c r="C10" s="867"/>
      <c r="D10" s="867"/>
      <c r="E10" s="867"/>
      <c r="F10" s="867"/>
    </row>
    <row r="11" spans="2:12" s="866" customFormat="1" x14ac:dyDescent="0.25">
      <c r="B11" s="867"/>
      <c r="C11" s="867"/>
      <c r="D11" s="867"/>
      <c r="E11" s="867"/>
      <c r="F11" s="867"/>
    </row>
    <row r="12" spans="2:12" s="866" customFormat="1" x14ac:dyDescent="0.25">
      <c r="B12" s="867"/>
      <c r="C12" s="867"/>
      <c r="D12" s="867"/>
      <c r="E12" s="867"/>
      <c r="F12" s="867"/>
    </row>
    <row r="13" spans="2:12" s="866" customFormat="1" x14ac:dyDescent="0.3">
      <c r="B13" s="868"/>
      <c r="C13" s="554"/>
      <c r="D13" s="869"/>
      <c r="E13" s="868"/>
      <c r="F13" s="554"/>
      <c r="G13" s="870"/>
      <c r="H13" s="555"/>
      <c r="I13" s="869"/>
      <c r="J13" s="871"/>
      <c r="L13" s="872"/>
    </row>
    <row r="14" spans="2:12" x14ac:dyDescent="0.3">
      <c r="B14" s="861" t="s">
        <v>1093</v>
      </c>
    </row>
    <row r="29" spans="3:3" ht="29.4" customHeight="1" x14ac:dyDescent="0.3">
      <c r="C29" s="873"/>
    </row>
  </sheetData>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E3" sqref="E3"/>
    </sheetView>
  </sheetViews>
  <sheetFormatPr defaultColWidth="9.08984375" defaultRowHeight="14" x14ac:dyDescent="0.3"/>
  <cols>
    <col min="1" max="1" width="9.08984375" style="861"/>
    <col min="2" max="2" width="62.08984375" style="861" customWidth="1"/>
    <col min="3" max="3" width="24.54296875" style="861" customWidth="1"/>
    <col min="4" max="4" width="19.54296875" style="861" customWidth="1"/>
    <col min="5" max="5" width="18.453125" style="861" customWidth="1"/>
    <col min="6" max="6" width="21.6328125" style="861" customWidth="1"/>
    <col min="7" max="7" width="21.36328125" style="861" customWidth="1"/>
    <col min="8" max="258" width="9.08984375" style="861"/>
    <col min="259" max="259" width="110.36328125" style="861" customWidth="1"/>
    <col min="260" max="260" width="43.54296875" style="861" customWidth="1"/>
    <col min="261" max="261" width="35.54296875" style="861" customWidth="1"/>
    <col min="262" max="262" width="36" style="861" customWidth="1"/>
    <col min="263" max="263" width="34.90625" style="861" customWidth="1"/>
    <col min="264" max="514" width="9.08984375" style="861"/>
    <col min="515" max="515" width="110.36328125" style="861" customWidth="1"/>
    <col min="516" max="516" width="43.54296875" style="861" customWidth="1"/>
    <col min="517" max="517" width="35.54296875" style="861" customWidth="1"/>
    <col min="518" max="518" width="36" style="861" customWidth="1"/>
    <col min="519" max="519" width="34.90625" style="861" customWidth="1"/>
    <col min="520" max="770" width="9.08984375" style="861"/>
    <col min="771" max="771" width="110.36328125" style="861" customWidth="1"/>
    <col min="772" max="772" width="43.54296875" style="861" customWidth="1"/>
    <col min="773" max="773" width="35.54296875" style="861" customWidth="1"/>
    <col min="774" max="774" width="36" style="861" customWidth="1"/>
    <col min="775" max="775" width="34.90625" style="861" customWidth="1"/>
    <col min="776" max="1026" width="9.08984375" style="861"/>
    <col min="1027" max="1027" width="110.36328125" style="861" customWidth="1"/>
    <col min="1028" max="1028" width="43.54296875" style="861" customWidth="1"/>
    <col min="1029" max="1029" width="35.54296875" style="861" customWidth="1"/>
    <col min="1030" max="1030" width="36" style="861" customWidth="1"/>
    <col min="1031" max="1031" width="34.90625" style="861" customWidth="1"/>
    <col min="1032" max="1282" width="9.08984375" style="861"/>
    <col min="1283" max="1283" width="110.36328125" style="861" customWidth="1"/>
    <col min="1284" max="1284" width="43.54296875" style="861" customWidth="1"/>
    <col min="1285" max="1285" width="35.54296875" style="861" customWidth="1"/>
    <col min="1286" max="1286" width="36" style="861" customWidth="1"/>
    <col min="1287" max="1287" width="34.90625" style="861" customWidth="1"/>
    <col min="1288" max="1538" width="9.08984375" style="861"/>
    <col min="1539" max="1539" width="110.36328125" style="861" customWidth="1"/>
    <col min="1540" max="1540" width="43.54296875" style="861" customWidth="1"/>
    <col min="1541" max="1541" width="35.54296875" style="861" customWidth="1"/>
    <col min="1542" max="1542" width="36" style="861" customWidth="1"/>
    <col min="1543" max="1543" width="34.90625" style="861" customWidth="1"/>
    <col min="1544" max="1794" width="9.08984375" style="861"/>
    <col min="1795" max="1795" width="110.36328125" style="861" customWidth="1"/>
    <col min="1796" max="1796" width="43.54296875" style="861" customWidth="1"/>
    <col min="1797" max="1797" width="35.54296875" style="861" customWidth="1"/>
    <col min="1798" max="1798" width="36" style="861" customWidth="1"/>
    <col min="1799" max="1799" width="34.90625" style="861" customWidth="1"/>
    <col min="1800" max="2050" width="9.08984375" style="861"/>
    <col min="2051" max="2051" width="110.36328125" style="861" customWidth="1"/>
    <col min="2052" max="2052" width="43.54296875" style="861" customWidth="1"/>
    <col min="2053" max="2053" width="35.54296875" style="861" customWidth="1"/>
    <col min="2054" max="2054" width="36" style="861" customWidth="1"/>
    <col min="2055" max="2055" width="34.90625" style="861" customWidth="1"/>
    <col min="2056" max="2306" width="9.08984375" style="861"/>
    <col min="2307" max="2307" width="110.36328125" style="861" customWidth="1"/>
    <col min="2308" max="2308" width="43.54296875" style="861" customWidth="1"/>
    <col min="2309" max="2309" width="35.54296875" style="861" customWidth="1"/>
    <col min="2310" max="2310" width="36" style="861" customWidth="1"/>
    <col min="2311" max="2311" width="34.90625" style="861" customWidth="1"/>
    <col min="2312" max="2562" width="9.08984375" style="861"/>
    <col min="2563" max="2563" width="110.36328125" style="861" customWidth="1"/>
    <col min="2564" max="2564" width="43.54296875" style="861" customWidth="1"/>
    <col min="2565" max="2565" width="35.54296875" style="861" customWidth="1"/>
    <col min="2566" max="2566" width="36" style="861" customWidth="1"/>
    <col min="2567" max="2567" width="34.90625" style="861" customWidth="1"/>
    <col min="2568" max="2818" width="9.08984375" style="861"/>
    <col min="2819" max="2819" width="110.36328125" style="861" customWidth="1"/>
    <col min="2820" max="2820" width="43.54296875" style="861" customWidth="1"/>
    <col min="2821" max="2821" width="35.54296875" style="861" customWidth="1"/>
    <col min="2822" max="2822" width="36" style="861" customWidth="1"/>
    <col min="2823" max="2823" width="34.90625" style="861" customWidth="1"/>
    <col min="2824" max="3074" width="9.08984375" style="861"/>
    <col min="3075" max="3075" width="110.36328125" style="861" customWidth="1"/>
    <col min="3076" max="3076" width="43.54296875" style="861" customWidth="1"/>
    <col min="3077" max="3077" width="35.54296875" style="861" customWidth="1"/>
    <col min="3078" max="3078" width="36" style="861" customWidth="1"/>
    <col min="3079" max="3079" width="34.90625" style="861" customWidth="1"/>
    <col min="3080" max="3330" width="9.08984375" style="861"/>
    <col min="3331" max="3331" width="110.36328125" style="861" customWidth="1"/>
    <col min="3332" max="3332" width="43.54296875" style="861" customWidth="1"/>
    <col min="3333" max="3333" width="35.54296875" style="861" customWidth="1"/>
    <col min="3334" max="3334" width="36" style="861" customWidth="1"/>
    <col min="3335" max="3335" width="34.90625" style="861" customWidth="1"/>
    <col min="3336" max="3586" width="9.08984375" style="861"/>
    <col min="3587" max="3587" width="110.36328125" style="861" customWidth="1"/>
    <col min="3588" max="3588" width="43.54296875" style="861" customWidth="1"/>
    <col min="3589" max="3589" width="35.54296875" style="861" customWidth="1"/>
    <col min="3590" max="3590" width="36" style="861" customWidth="1"/>
    <col min="3591" max="3591" width="34.90625" style="861" customWidth="1"/>
    <col min="3592" max="3842" width="9.08984375" style="861"/>
    <col min="3843" max="3843" width="110.36328125" style="861" customWidth="1"/>
    <col min="3844" max="3844" width="43.54296875" style="861" customWidth="1"/>
    <col min="3845" max="3845" width="35.54296875" style="861" customWidth="1"/>
    <col min="3846" max="3846" width="36" style="861" customWidth="1"/>
    <col min="3847" max="3847" width="34.90625" style="861" customWidth="1"/>
    <col min="3848" max="4098" width="9.08984375" style="861"/>
    <col min="4099" max="4099" width="110.36328125" style="861" customWidth="1"/>
    <col min="4100" max="4100" width="43.54296875" style="861" customWidth="1"/>
    <col min="4101" max="4101" width="35.54296875" style="861" customWidth="1"/>
    <col min="4102" max="4102" width="36" style="861" customWidth="1"/>
    <col min="4103" max="4103" width="34.90625" style="861" customWidth="1"/>
    <col min="4104" max="4354" width="9.08984375" style="861"/>
    <col min="4355" max="4355" width="110.36328125" style="861" customWidth="1"/>
    <col min="4356" max="4356" width="43.54296875" style="861" customWidth="1"/>
    <col min="4357" max="4357" width="35.54296875" style="861" customWidth="1"/>
    <col min="4358" max="4358" width="36" style="861" customWidth="1"/>
    <col min="4359" max="4359" width="34.90625" style="861" customWidth="1"/>
    <col min="4360" max="4610" width="9.08984375" style="861"/>
    <col min="4611" max="4611" width="110.36328125" style="861" customWidth="1"/>
    <col min="4612" max="4612" width="43.54296875" style="861" customWidth="1"/>
    <col min="4613" max="4613" width="35.54296875" style="861" customWidth="1"/>
    <col min="4614" max="4614" width="36" style="861" customWidth="1"/>
    <col min="4615" max="4615" width="34.90625" style="861" customWidth="1"/>
    <col min="4616" max="4866" width="9.08984375" style="861"/>
    <col min="4867" max="4867" width="110.36328125" style="861" customWidth="1"/>
    <col min="4868" max="4868" width="43.54296875" style="861" customWidth="1"/>
    <col min="4869" max="4869" width="35.54296875" style="861" customWidth="1"/>
    <col min="4870" max="4870" width="36" style="861" customWidth="1"/>
    <col min="4871" max="4871" width="34.90625" style="861" customWidth="1"/>
    <col min="4872" max="5122" width="9.08984375" style="861"/>
    <col min="5123" max="5123" width="110.36328125" style="861" customWidth="1"/>
    <col min="5124" max="5124" width="43.54296875" style="861" customWidth="1"/>
    <col min="5125" max="5125" width="35.54296875" style="861" customWidth="1"/>
    <col min="5126" max="5126" width="36" style="861" customWidth="1"/>
    <col min="5127" max="5127" width="34.90625" style="861" customWidth="1"/>
    <col min="5128" max="5378" width="9.08984375" style="861"/>
    <col min="5379" max="5379" width="110.36328125" style="861" customWidth="1"/>
    <col min="5380" max="5380" width="43.54296875" style="861" customWidth="1"/>
    <col min="5381" max="5381" width="35.54296875" style="861" customWidth="1"/>
    <col min="5382" max="5382" width="36" style="861" customWidth="1"/>
    <col min="5383" max="5383" width="34.90625" style="861" customWidth="1"/>
    <col min="5384" max="5634" width="9.08984375" style="861"/>
    <col min="5635" max="5635" width="110.36328125" style="861" customWidth="1"/>
    <col min="5636" max="5636" width="43.54296875" style="861" customWidth="1"/>
    <col min="5637" max="5637" width="35.54296875" style="861" customWidth="1"/>
    <col min="5638" max="5638" width="36" style="861" customWidth="1"/>
    <col min="5639" max="5639" width="34.90625" style="861" customWidth="1"/>
    <col min="5640" max="5890" width="9.08984375" style="861"/>
    <col min="5891" max="5891" width="110.36328125" style="861" customWidth="1"/>
    <col min="5892" max="5892" width="43.54296875" style="861" customWidth="1"/>
    <col min="5893" max="5893" width="35.54296875" style="861" customWidth="1"/>
    <col min="5894" max="5894" width="36" style="861" customWidth="1"/>
    <col min="5895" max="5895" width="34.90625" style="861" customWidth="1"/>
    <col min="5896" max="6146" width="9.08984375" style="861"/>
    <col min="6147" max="6147" width="110.36328125" style="861" customWidth="1"/>
    <col min="6148" max="6148" width="43.54296875" style="861" customWidth="1"/>
    <col min="6149" max="6149" width="35.54296875" style="861" customWidth="1"/>
    <col min="6150" max="6150" width="36" style="861" customWidth="1"/>
    <col min="6151" max="6151" width="34.90625" style="861" customWidth="1"/>
    <col min="6152" max="6402" width="9.08984375" style="861"/>
    <col min="6403" max="6403" width="110.36328125" style="861" customWidth="1"/>
    <col min="6404" max="6404" width="43.54296875" style="861" customWidth="1"/>
    <col min="6405" max="6405" width="35.54296875" style="861" customWidth="1"/>
    <col min="6406" max="6406" width="36" style="861" customWidth="1"/>
    <col min="6407" max="6407" width="34.90625" style="861" customWidth="1"/>
    <col min="6408" max="6658" width="9.08984375" style="861"/>
    <col min="6659" max="6659" width="110.36328125" style="861" customWidth="1"/>
    <col min="6660" max="6660" width="43.54296875" style="861" customWidth="1"/>
    <col min="6661" max="6661" width="35.54296875" style="861" customWidth="1"/>
    <col min="6662" max="6662" width="36" style="861" customWidth="1"/>
    <col min="6663" max="6663" width="34.90625" style="861" customWidth="1"/>
    <col min="6664" max="6914" width="9.08984375" style="861"/>
    <col min="6915" max="6915" width="110.36328125" style="861" customWidth="1"/>
    <col min="6916" max="6916" width="43.54296875" style="861" customWidth="1"/>
    <col min="6917" max="6917" width="35.54296875" style="861" customWidth="1"/>
    <col min="6918" max="6918" width="36" style="861" customWidth="1"/>
    <col min="6919" max="6919" width="34.90625" style="861" customWidth="1"/>
    <col min="6920" max="7170" width="9.08984375" style="861"/>
    <col min="7171" max="7171" width="110.36328125" style="861" customWidth="1"/>
    <col min="7172" max="7172" width="43.54296875" style="861" customWidth="1"/>
    <col min="7173" max="7173" width="35.54296875" style="861" customWidth="1"/>
    <col min="7174" max="7174" width="36" style="861" customWidth="1"/>
    <col min="7175" max="7175" width="34.90625" style="861" customWidth="1"/>
    <col min="7176" max="7426" width="9.08984375" style="861"/>
    <col min="7427" max="7427" width="110.36328125" style="861" customWidth="1"/>
    <col min="7428" max="7428" width="43.54296875" style="861" customWidth="1"/>
    <col min="7429" max="7429" width="35.54296875" style="861" customWidth="1"/>
    <col min="7430" max="7430" width="36" style="861" customWidth="1"/>
    <col min="7431" max="7431" width="34.90625" style="861" customWidth="1"/>
    <col min="7432" max="7682" width="9.08984375" style="861"/>
    <col min="7683" max="7683" width="110.36328125" style="861" customWidth="1"/>
    <col min="7684" max="7684" width="43.54296875" style="861" customWidth="1"/>
    <col min="7685" max="7685" width="35.54296875" style="861" customWidth="1"/>
    <col min="7686" max="7686" width="36" style="861" customWidth="1"/>
    <col min="7687" max="7687" width="34.90625" style="861" customWidth="1"/>
    <col min="7688" max="7938" width="9.08984375" style="861"/>
    <col min="7939" max="7939" width="110.36328125" style="861" customWidth="1"/>
    <col min="7940" max="7940" width="43.54296875" style="861" customWidth="1"/>
    <col min="7941" max="7941" width="35.54296875" style="861" customWidth="1"/>
    <col min="7942" max="7942" width="36" style="861" customWidth="1"/>
    <col min="7943" max="7943" width="34.90625" style="861" customWidth="1"/>
    <col min="7944" max="8194" width="9.08984375" style="861"/>
    <col min="8195" max="8195" width="110.36328125" style="861" customWidth="1"/>
    <col min="8196" max="8196" width="43.54296875" style="861" customWidth="1"/>
    <col min="8197" max="8197" width="35.54296875" style="861" customWidth="1"/>
    <col min="8198" max="8198" width="36" style="861" customWidth="1"/>
    <col min="8199" max="8199" width="34.90625" style="861" customWidth="1"/>
    <col min="8200" max="8450" width="9.08984375" style="861"/>
    <col min="8451" max="8451" width="110.36328125" style="861" customWidth="1"/>
    <col min="8452" max="8452" width="43.54296875" style="861" customWidth="1"/>
    <col min="8453" max="8453" width="35.54296875" style="861" customWidth="1"/>
    <col min="8454" max="8454" width="36" style="861" customWidth="1"/>
    <col min="8455" max="8455" width="34.90625" style="861" customWidth="1"/>
    <col min="8456" max="8706" width="9.08984375" style="861"/>
    <col min="8707" max="8707" width="110.36328125" style="861" customWidth="1"/>
    <col min="8708" max="8708" width="43.54296875" style="861" customWidth="1"/>
    <col min="8709" max="8709" width="35.54296875" style="861" customWidth="1"/>
    <col min="8710" max="8710" width="36" style="861" customWidth="1"/>
    <col min="8711" max="8711" width="34.90625" style="861" customWidth="1"/>
    <col min="8712" max="8962" width="9.08984375" style="861"/>
    <col min="8963" max="8963" width="110.36328125" style="861" customWidth="1"/>
    <col min="8964" max="8964" width="43.54296875" style="861" customWidth="1"/>
    <col min="8965" max="8965" width="35.54296875" style="861" customWidth="1"/>
    <col min="8966" max="8966" width="36" style="861" customWidth="1"/>
    <col min="8967" max="8967" width="34.90625" style="861" customWidth="1"/>
    <col min="8968" max="9218" width="9.08984375" style="861"/>
    <col min="9219" max="9219" width="110.36328125" style="861" customWidth="1"/>
    <col min="9220" max="9220" width="43.54296875" style="861" customWidth="1"/>
    <col min="9221" max="9221" width="35.54296875" style="861" customWidth="1"/>
    <col min="9222" max="9222" width="36" style="861" customWidth="1"/>
    <col min="9223" max="9223" width="34.90625" style="861" customWidth="1"/>
    <col min="9224" max="9474" width="9.08984375" style="861"/>
    <col min="9475" max="9475" width="110.36328125" style="861" customWidth="1"/>
    <col min="9476" max="9476" width="43.54296875" style="861" customWidth="1"/>
    <col min="9477" max="9477" width="35.54296875" style="861" customWidth="1"/>
    <col min="9478" max="9478" width="36" style="861" customWidth="1"/>
    <col min="9479" max="9479" width="34.90625" style="861" customWidth="1"/>
    <col min="9480" max="9730" width="9.08984375" style="861"/>
    <col min="9731" max="9731" width="110.36328125" style="861" customWidth="1"/>
    <col min="9732" max="9732" width="43.54296875" style="861" customWidth="1"/>
    <col min="9733" max="9733" width="35.54296875" style="861" customWidth="1"/>
    <col min="9734" max="9734" width="36" style="861" customWidth="1"/>
    <col min="9735" max="9735" width="34.90625" style="861" customWidth="1"/>
    <col min="9736" max="9986" width="9.08984375" style="861"/>
    <col min="9987" max="9987" width="110.36328125" style="861" customWidth="1"/>
    <col min="9988" max="9988" width="43.54296875" style="861" customWidth="1"/>
    <col min="9989" max="9989" width="35.54296875" style="861" customWidth="1"/>
    <col min="9990" max="9990" width="36" style="861" customWidth="1"/>
    <col min="9991" max="9991" width="34.90625" style="861" customWidth="1"/>
    <col min="9992" max="10242" width="9.08984375" style="861"/>
    <col min="10243" max="10243" width="110.36328125" style="861" customWidth="1"/>
    <col min="10244" max="10244" width="43.54296875" style="861" customWidth="1"/>
    <col min="10245" max="10245" width="35.54296875" style="861" customWidth="1"/>
    <col min="10246" max="10246" width="36" style="861" customWidth="1"/>
    <col min="10247" max="10247" width="34.90625" style="861" customWidth="1"/>
    <col min="10248" max="10498" width="9.08984375" style="861"/>
    <col min="10499" max="10499" width="110.36328125" style="861" customWidth="1"/>
    <col min="10500" max="10500" width="43.54296875" style="861" customWidth="1"/>
    <col min="10501" max="10501" width="35.54296875" style="861" customWidth="1"/>
    <col min="10502" max="10502" width="36" style="861" customWidth="1"/>
    <col min="10503" max="10503" width="34.90625" style="861" customWidth="1"/>
    <col min="10504" max="10754" width="9.08984375" style="861"/>
    <col min="10755" max="10755" width="110.36328125" style="861" customWidth="1"/>
    <col min="10756" max="10756" width="43.54296875" style="861" customWidth="1"/>
    <col min="10757" max="10757" width="35.54296875" style="861" customWidth="1"/>
    <col min="10758" max="10758" width="36" style="861" customWidth="1"/>
    <col min="10759" max="10759" width="34.90625" style="861" customWidth="1"/>
    <col min="10760" max="11010" width="9.08984375" style="861"/>
    <col min="11011" max="11011" width="110.36328125" style="861" customWidth="1"/>
    <col min="11012" max="11012" width="43.54296875" style="861" customWidth="1"/>
    <col min="11013" max="11013" width="35.54296875" style="861" customWidth="1"/>
    <col min="11014" max="11014" width="36" style="861" customWidth="1"/>
    <col min="11015" max="11015" width="34.90625" style="861" customWidth="1"/>
    <col min="11016" max="11266" width="9.08984375" style="861"/>
    <col min="11267" max="11267" width="110.36328125" style="861" customWidth="1"/>
    <col min="11268" max="11268" width="43.54296875" style="861" customWidth="1"/>
    <col min="11269" max="11269" width="35.54296875" style="861" customWidth="1"/>
    <col min="11270" max="11270" width="36" style="861" customWidth="1"/>
    <col min="11271" max="11271" width="34.90625" style="861" customWidth="1"/>
    <col min="11272" max="11522" width="9.08984375" style="861"/>
    <col min="11523" max="11523" width="110.36328125" style="861" customWidth="1"/>
    <col min="11524" max="11524" width="43.54296875" style="861" customWidth="1"/>
    <col min="11525" max="11525" width="35.54296875" style="861" customWidth="1"/>
    <col min="11526" max="11526" width="36" style="861" customWidth="1"/>
    <col min="11527" max="11527" width="34.90625" style="861" customWidth="1"/>
    <col min="11528" max="11778" width="9.08984375" style="861"/>
    <col min="11779" max="11779" width="110.36328125" style="861" customWidth="1"/>
    <col min="11780" max="11780" width="43.54296875" style="861" customWidth="1"/>
    <col min="11781" max="11781" width="35.54296875" style="861" customWidth="1"/>
    <col min="11782" max="11782" width="36" style="861" customWidth="1"/>
    <col min="11783" max="11783" width="34.90625" style="861" customWidth="1"/>
    <col min="11784" max="12034" width="9.08984375" style="861"/>
    <col min="12035" max="12035" width="110.36328125" style="861" customWidth="1"/>
    <col min="12036" max="12036" width="43.54296875" style="861" customWidth="1"/>
    <col min="12037" max="12037" width="35.54296875" style="861" customWidth="1"/>
    <col min="12038" max="12038" width="36" style="861" customWidth="1"/>
    <col min="12039" max="12039" width="34.90625" style="861" customWidth="1"/>
    <col min="12040" max="12290" width="9.08984375" style="861"/>
    <col min="12291" max="12291" width="110.36328125" style="861" customWidth="1"/>
    <col min="12292" max="12292" width="43.54296875" style="861" customWidth="1"/>
    <col min="12293" max="12293" width="35.54296875" style="861" customWidth="1"/>
    <col min="12294" max="12294" width="36" style="861" customWidth="1"/>
    <col min="12295" max="12295" width="34.90625" style="861" customWidth="1"/>
    <col min="12296" max="12546" width="9.08984375" style="861"/>
    <col min="12547" max="12547" width="110.36328125" style="861" customWidth="1"/>
    <col min="12548" max="12548" width="43.54296875" style="861" customWidth="1"/>
    <col min="12549" max="12549" width="35.54296875" style="861" customWidth="1"/>
    <col min="12550" max="12550" width="36" style="861" customWidth="1"/>
    <col min="12551" max="12551" width="34.90625" style="861" customWidth="1"/>
    <col min="12552" max="12802" width="9.08984375" style="861"/>
    <col min="12803" max="12803" width="110.36328125" style="861" customWidth="1"/>
    <col min="12804" max="12804" width="43.54296875" style="861" customWidth="1"/>
    <col min="12805" max="12805" width="35.54296875" style="861" customWidth="1"/>
    <col min="12806" max="12806" width="36" style="861" customWidth="1"/>
    <col min="12807" max="12807" width="34.90625" style="861" customWidth="1"/>
    <col min="12808" max="13058" width="9.08984375" style="861"/>
    <col min="13059" max="13059" width="110.36328125" style="861" customWidth="1"/>
    <col min="13060" max="13060" width="43.54296875" style="861" customWidth="1"/>
    <col min="13061" max="13061" width="35.54296875" style="861" customWidth="1"/>
    <col min="13062" max="13062" width="36" style="861" customWidth="1"/>
    <col min="13063" max="13063" width="34.90625" style="861" customWidth="1"/>
    <col min="13064" max="13314" width="9.08984375" style="861"/>
    <col min="13315" max="13315" width="110.36328125" style="861" customWidth="1"/>
    <col min="13316" max="13316" width="43.54296875" style="861" customWidth="1"/>
    <col min="13317" max="13317" width="35.54296875" style="861" customWidth="1"/>
    <col min="13318" max="13318" width="36" style="861" customWidth="1"/>
    <col min="13319" max="13319" width="34.90625" style="861" customWidth="1"/>
    <col min="13320" max="13570" width="9.08984375" style="861"/>
    <col min="13571" max="13571" width="110.36328125" style="861" customWidth="1"/>
    <col min="13572" max="13572" width="43.54296875" style="861" customWidth="1"/>
    <col min="13573" max="13573" width="35.54296875" style="861" customWidth="1"/>
    <col min="13574" max="13574" width="36" style="861" customWidth="1"/>
    <col min="13575" max="13575" width="34.90625" style="861" customWidth="1"/>
    <col min="13576" max="13826" width="9.08984375" style="861"/>
    <col min="13827" max="13827" width="110.36328125" style="861" customWidth="1"/>
    <col min="13828" max="13828" width="43.54296875" style="861" customWidth="1"/>
    <col min="13829" max="13829" width="35.54296875" style="861" customWidth="1"/>
    <col min="13830" max="13830" width="36" style="861" customWidth="1"/>
    <col min="13831" max="13831" width="34.90625" style="861" customWidth="1"/>
    <col min="13832" max="14082" width="9.08984375" style="861"/>
    <col min="14083" max="14083" width="110.36328125" style="861" customWidth="1"/>
    <col min="14084" max="14084" width="43.54296875" style="861" customWidth="1"/>
    <col min="14085" max="14085" width="35.54296875" style="861" customWidth="1"/>
    <col min="14086" max="14086" width="36" style="861" customWidth="1"/>
    <col min="14087" max="14087" width="34.90625" style="861" customWidth="1"/>
    <col min="14088" max="14338" width="9.08984375" style="861"/>
    <col min="14339" max="14339" width="110.36328125" style="861" customWidth="1"/>
    <col min="14340" max="14340" width="43.54296875" style="861" customWidth="1"/>
    <col min="14341" max="14341" width="35.54296875" style="861" customWidth="1"/>
    <col min="14342" max="14342" width="36" style="861" customWidth="1"/>
    <col min="14343" max="14343" width="34.90625" style="861" customWidth="1"/>
    <col min="14344" max="14594" width="9.08984375" style="861"/>
    <col min="14595" max="14595" width="110.36328125" style="861" customWidth="1"/>
    <col min="14596" max="14596" width="43.54296875" style="861" customWidth="1"/>
    <col min="14597" max="14597" width="35.54296875" style="861" customWidth="1"/>
    <col min="14598" max="14598" width="36" style="861" customWidth="1"/>
    <col min="14599" max="14599" width="34.90625" style="861" customWidth="1"/>
    <col min="14600" max="14850" width="9.08984375" style="861"/>
    <col min="14851" max="14851" width="110.36328125" style="861" customWidth="1"/>
    <col min="14852" max="14852" width="43.54296875" style="861" customWidth="1"/>
    <col min="14853" max="14853" width="35.54296875" style="861" customWidth="1"/>
    <col min="14854" max="14854" width="36" style="861" customWidth="1"/>
    <col min="14855" max="14855" width="34.90625" style="861" customWidth="1"/>
    <col min="14856" max="15106" width="9.08984375" style="861"/>
    <col min="15107" max="15107" width="110.36328125" style="861" customWidth="1"/>
    <col min="15108" max="15108" width="43.54296875" style="861" customWidth="1"/>
    <col min="15109" max="15109" width="35.54296875" style="861" customWidth="1"/>
    <col min="15110" max="15110" width="36" style="861" customWidth="1"/>
    <col min="15111" max="15111" width="34.90625" style="861" customWidth="1"/>
    <col min="15112" max="15362" width="9.08984375" style="861"/>
    <col min="15363" max="15363" width="110.36328125" style="861" customWidth="1"/>
    <col min="15364" max="15364" width="43.54296875" style="861" customWidth="1"/>
    <col min="15365" max="15365" width="35.54296875" style="861" customWidth="1"/>
    <col min="15366" max="15366" width="36" style="861" customWidth="1"/>
    <col min="15367" max="15367" width="34.90625" style="861" customWidth="1"/>
    <col min="15368" max="15618" width="9.08984375" style="861"/>
    <col min="15619" max="15619" width="110.36328125" style="861" customWidth="1"/>
    <col min="15620" max="15620" width="43.54296875" style="861" customWidth="1"/>
    <col min="15621" max="15621" width="35.54296875" style="861" customWidth="1"/>
    <col min="15622" max="15622" width="36" style="861" customWidth="1"/>
    <col min="15623" max="15623" width="34.90625" style="861" customWidth="1"/>
    <col min="15624" max="15874" width="9.08984375" style="861"/>
    <col min="15875" max="15875" width="110.36328125" style="861" customWidth="1"/>
    <col min="15876" max="15876" width="43.54296875" style="861" customWidth="1"/>
    <col min="15877" max="15877" width="35.54296875" style="861" customWidth="1"/>
    <col min="15878" max="15878" width="36" style="861" customWidth="1"/>
    <col min="15879" max="15879" width="34.90625" style="861" customWidth="1"/>
    <col min="15880" max="16130" width="9.08984375" style="861"/>
    <col min="16131" max="16131" width="110.36328125" style="861" customWidth="1"/>
    <col min="16132" max="16132" width="43.54296875" style="861" customWidth="1"/>
    <col min="16133" max="16133" width="35.54296875" style="861" customWidth="1"/>
    <col min="16134" max="16134" width="36" style="861" customWidth="1"/>
    <col min="16135" max="16135" width="34.90625" style="861" customWidth="1"/>
    <col min="16136" max="16384" width="9.08984375" style="861"/>
  </cols>
  <sheetData>
    <row r="2" spans="2:7" x14ac:dyDescent="0.3">
      <c r="B2" s="22"/>
      <c r="C2" s="844"/>
      <c r="D2" s="22"/>
      <c r="E2" s="22" t="str">
        <f>Index!B2</f>
        <v xml:space="preserve">      Maharashtra State Power Generation Company Ltd.</v>
      </c>
      <c r="F2" s="22"/>
      <c r="G2" s="22"/>
    </row>
    <row r="3" spans="2:7" x14ac:dyDescent="0.3">
      <c r="B3" s="874"/>
      <c r="C3" s="863" t="s">
        <v>1087</v>
      </c>
      <c r="D3" s="874"/>
      <c r="E3" s="874"/>
      <c r="F3" s="874"/>
      <c r="G3" s="874"/>
    </row>
    <row r="4" spans="2:7" x14ac:dyDescent="0.3">
      <c r="B4" s="874"/>
      <c r="C4" s="863" t="s">
        <v>1094</v>
      </c>
      <c r="D4" s="874"/>
      <c r="E4" s="874"/>
      <c r="F4" s="874"/>
      <c r="G4" s="874"/>
    </row>
    <row r="5" spans="2:7" x14ac:dyDescent="0.3">
      <c r="B5" s="22"/>
      <c r="C5" s="863"/>
      <c r="D5" s="22"/>
      <c r="E5" s="22"/>
      <c r="F5" s="22"/>
      <c r="G5" s="21" t="s">
        <v>10</v>
      </c>
    </row>
    <row r="6" spans="2:7" s="878" customFormat="1" ht="61.5" customHeight="1" x14ac:dyDescent="0.25">
      <c r="B6" s="875" t="s">
        <v>36</v>
      </c>
      <c r="C6" s="876" t="s">
        <v>1095</v>
      </c>
      <c r="D6" s="876" t="s">
        <v>1096</v>
      </c>
      <c r="E6" s="876" t="s">
        <v>1097</v>
      </c>
      <c r="F6" s="877" t="s">
        <v>1098</v>
      </c>
      <c r="G6" s="876" t="s">
        <v>1099</v>
      </c>
    </row>
    <row r="7" spans="2:7" x14ac:dyDescent="0.3">
      <c r="B7" s="879" t="s">
        <v>1100</v>
      </c>
      <c r="C7" s="880"/>
      <c r="D7" s="880"/>
      <c r="E7" s="880"/>
      <c r="F7" s="880"/>
      <c r="G7" s="880"/>
    </row>
    <row r="8" spans="2:7" x14ac:dyDescent="0.3">
      <c r="B8" s="881" t="s">
        <v>1101</v>
      </c>
      <c r="C8" s="880"/>
      <c r="D8" s="880"/>
      <c r="E8" s="880"/>
      <c r="F8" s="880"/>
      <c r="G8" s="880"/>
    </row>
    <row r="9" spans="2:7" x14ac:dyDescent="0.3">
      <c r="B9" s="881" t="s">
        <v>1102</v>
      </c>
      <c r="C9" s="880"/>
      <c r="D9" s="880"/>
      <c r="E9" s="880"/>
      <c r="F9" s="880"/>
      <c r="G9" s="880"/>
    </row>
    <row r="10" spans="2:7" x14ac:dyDescent="0.3">
      <c r="B10" s="881" t="s">
        <v>1098</v>
      </c>
      <c r="C10" s="880"/>
      <c r="D10" s="880"/>
      <c r="E10" s="880"/>
      <c r="F10" s="880"/>
      <c r="G10" s="880"/>
    </row>
    <row r="11" spans="2:7" x14ac:dyDescent="0.3">
      <c r="B11" s="879" t="s">
        <v>1103</v>
      </c>
      <c r="C11" s="880"/>
      <c r="D11" s="880"/>
      <c r="E11" s="880"/>
      <c r="F11" s="880"/>
      <c r="G11" s="880"/>
    </row>
    <row r="12" spans="2:7" x14ac:dyDescent="0.3">
      <c r="B12" s="881"/>
      <c r="C12" s="880"/>
      <c r="D12" s="880"/>
      <c r="E12" s="880"/>
      <c r="F12" s="880"/>
      <c r="G12" s="880"/>
    </row>
    <row r="13" spans="2:7" x14ac:dyDescent="0.3">
      <c r="B13" s="879" t="s">
        <v>1104</v>
      </c>
      <c r="C13" s="880"/>
      <c r="D13" s="880"/>
      <c r="E13" s="880"/>
      <c r="F13" s="880"/>
      <c r="G13" s="880"/>
    </row>
    <row r="14" spans="2:7" x14ac:dyDescent="0.3">
      <c r="B14" s="881" t="s">
        <v>1101</v>
      </c>
      <c r="C14" s="880"/>
      <c r="D14" s="880"/>
      <c r="E14" s="880"/>
      <c r="F14" s="880"/>
      <c r="G14" s="880"/>
    </row>
    <row r="15" spans="2:7" x14ac:dyDescent="0.3">
      <c r="B15" s="881" t="s">
        <v>1102</v>
      </c>
      <c r="C15" s="880"/>
      <c r="D15" s="880"/>
      <c r="E15" s="880"/>
      <c r="F15" s="880"/>
      <c r="G15" s="880"/>
    </row>
    <row r="16" spans="2:7" x14ac:dyDescent="0.3">
      <c r="B16" s="881" t="s">
        <v>1098</v>
      </c>
      <c r="C16" s="880"/>
      <c r="D16" s="880"/>
      <c r="E16" s="880"/>
      <c r="F16" s="880"/>
      <c r="G16" s="880"/>
    </row>
    <row r="17" spans="2:7" x14ac:dyDescent="0.3">
      <c r="B17" s="879" t="s">
        <v>1105</v>
      </c>
      <c r="C17" s="880"/>
      <c r="D17" s="880"/>
      <c r="E17" s="880"/>
      <c r="F17" s="880"/>
      <c r="G17" s="880"/>
    </row>
    <row r="18" spans="2:7" x14ac:dyDescent="0.3">
      <c r="B18" s="881"/>
      <c r="C18" s="880"/>
      <c r="D18" s="880"/>
      <c r="E18" s="880"/>
      <c r="F18" s="880"/>
      <c r="G18" s="880"/>
    </row>
    <row r="19" spans="2:7" x14ac:dyDescent="0.3">
      <c r="B19" s="879" t="s">
        <v>1106</v>
      </c>
      <c r="C19" s="880"/>
      <c r="D19" s="880"/>
      <c r="E19" s="880"/>
      <c r="F19" s="880"/>
      <c r="G19" s="880"/>
    </row>
    <row r="21" spans="2:7" x14ac:dyDescent="0.3">
      <c r="B21" s="861" t="s">
        <v>1107</v>
      </c>
    </row>
    <row r="29" spans="2:7" ht="29.4" customHeight="1" x14ac:dyDescent="0.3">
      <c r="C29" s="873"/>
    </row>
  </sheetData>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E3" sqref="E3"/>
    </sheetView>
  </sheetViews>
  <sheetFormatPr defaultColWidth="9.08984375" defaultRowHeight="14" x14ac:dyDescent="0.3"/>
  <cols>
    <col min="1" max="1" width="14.54296875" style="885" customWidth="1"/>
    <col min="2" max="2" width="14.453125" style="882" customWidth="1"/>
    <col min="3" max="3" width="58.08984375" style="890" customWidth="1"/>
    <col min="4" max="17" width="15.36328125" style="885" customWidth="1"/>
    <col min="18" max="18" width="16.08984375" style="885" customWidth="1"/>
    <col min="19" max="19" width="15.36328125" style="885" customWidth="1"/>
    <col min="20" max="20" width="15.36328125" style="886" customWidth="1"/>
    <col min="21" max="21" width="15.36328125" style="887" customWidth="1"/>
    <col min="22" max="22" width="19.453125" style="885" customWidth="1"/>
    <col min="23" max="259" width="9.08984375" style="885"/>
    <col min="260" max="260" width="14.54296875" style="885" customWidth="1"/>
    <col min="261" max="261" width="14.453125" style="885" customWidth="1"/>
    <col min="262" max="262" width="58.08984375" style="885" customWidth="1"/>
    <col min="263" max="263" width="30.453125" style="885" customWidth="1"/>
    <col min="264" max="264" width="27.36328125" style="885" customWidth="1"/>
    <col min="265" max="265" width="30.90625" style="885" customWidth="1"/>
    <col min="266" max="266" width="24.90625" style="885" customWidth="1"/>
    <col min="267" max="267" width="27.36328125" style="885" customWidth="1"/>
    <col min="268" max="268" width="32" style="885" customWidth="1"/>
    <col min="269" max="269" width="25.54296875" style="885" customWidth="1"/>
    <col min="270" max="270" width="27.36328125" style="885" customWidth="1"/>
    <col min="271" max="271" width="31.453125" style="885" customWidth="1"/>
    <col min="272" max="272" width="30.54296875" style="885" customWidth="1"/>
    <col min="273" max="273" width="27.36328125" style="885" customWidth="1"/>
    <col min="274" max="274" width="32.54296875" style="885" customWidth="1"/>
    <col min="275" max="275" width="30.453125" style="885" customWidth="1"/>
    <col min="276" max="276" width="24.36328125" style="885" customWidth="1"/>
    <col min="277" max="277" width="28" style="885" customWidth="1"/>
    <col min="278" max="278" width="19.453125" style="885" customWidth="1"/>
    <col min="279" max="515" width="9.08984375" style="885"/>
    <col min="516" max="516" width="14.54296875" style="885" customWidth="1"/>
    <col min="517" max="517" width="14.453125" style="885" customWidth="1"/>
    <col min="518" max="518" width="58.08984375" style="885" customWidth="1"/>
    <col min="519" max="519" width="30.453125" style="885" customWidth="1"/>
    <col min="520" max="520" width="27.36328125" style="885" customWidth="1"/>
    <col min="521" max="521" width="30.90625" style="885" customWidth="1"/>
    <col min="522" max="522" width="24.90625" style="885" customWidth="1"/>
    <col min="523" max="523" width="27.36328125" style="885" customWidth="1"/>
    <col min="524" max="524" width="32" style="885" customWidth="1"/>
    <col min="525" max="525" width="25.54296875" style="885" customWidth="1"/>
    <col min="526" max="526" width="27.36328125" style="885" customWidth="1"/>
    <col min="527" max="527" width="31.453125" style="885" customWidth="1"/>
    <col min="528" max="528" width="30.54296875" style="885" customWidth="1"/>
    <col min="529" max="529" width="27.36328125" style="885" customWidth="1"/>
    <col min="530" max="530" width="32.54296875" style="885" customWidth="1"/>
    <col min="531" max="531" width="30.453125" style="885" customWidth="1"/>
    <col min="532" max="532" width="24.36328125" style="885" customWidth="1"/>
    <col min="533" max="533" width="28" style="885" customWidth="1"/>
    <col min="534" max="534" width="19.453125" style="885" customWidth="1"/>
    <col min="535" max="771" width="9.08984375" style="885"/>
    <col min="772" max="772" width="14.54296875" style="885" customWidth="1"/>
    <col min="773" max="773" width="14.453125" style="885" customWidth="1"/>
    <col min="774" max="774" width="58.08984375" style="885" customWidth="1"/>
    <col min="775" max="775" width="30.453125" style="885" customWidth="1"/>
    <col min="776" max="776" width="27.36328125" style="885" customWidth="1"/>
    <col min="777" max="777" width="30.90625" style="885" customWidth="1"/>
    <col min="778" max="778" width="24.90625" style="885" customWidth="1"/>
    <col min="779" max="779" width="27.36328125" style="885" customWidth="1"/>
    <col min="780" max="780" width="32" style="885" customWidth="1"/>
    <col min="781" max="781" width="25.54296875" style="885" customWidth="1"/>
    <col min="782" max="782" width="27.36328125" style="885" customWidth="1"/>
    <col min="783" max="783" width="31.453125" style="885" customWidth="1"/>
    <col min="784" max="784" width="30.54296875" style="885" customWidth="1"/>
    <col min="785" max="785" width="27.36328125" style="885" customWidth="1"/>
    <col min="786" max="786" width="32.54296875" style="885" customWidth="1"/>
    <col min="787" max="787" width="30.453125" style="885" customWidth="1"/>
    <col min="788" max="788" width="24.36328125" style="885" customWidth="1"/>
    <col min="789" max="789" width="28" style="885" customWidth="1"/>
    <col min="790" max="790" width="19.453125" style="885" customWidth="1"/>
    <col min="791" max="1027" width="9.08984375" style="885"/>
    <col min="1028" max="1028" width="14.54296875" style="885" customWidth="1"/>
    <col min="1029" max="1029" width="14.453125" style="885" customWidth="1"/>
    <col min="1030" max="1030" width="58.08984375" style="885" customWidth="1"/>
    <col min="1031" max="1031" width="30.453125" style="885" customWidth="1"/>
    <col min="1032" max="1032" width="27.36328125" style="885" customWidth="1"/>
    <col min="1033" max="1033" width="30.90625" style="885" customWidth="1"/>
    <col min="1034" max="1034" width="24.90625" style="885" customWidth="1"/>
    <col min="1035" max="1035" width="27.36328125" style="885" customWidth="1"/>
    <col min="1036" max="1036" width="32" style="885" customWidth="1"/>
    <col min="1037" max="1037" width="25.54296875" style="885" customWidth="1"/>
    <col min="1038" max="1038" width="27.36328125" style="885" customWidth="1"/>
    <col min="1039" max="1039" width="31.453125" style="885" customWidth="1"/>
    <col min="1040" max="1040" width="30.54296875" style="885" customWidth="1"/>
    <col min="1041" max="1041" width="27.36328125" style="885" customWidth="1"/>
    <col min="1042" max="1042" width="32.54296875" style="885" customWidth="1"/>
    <col min="1043" max="1043" width="30.453125" style="885" customWidth="1"/>
    <col min="1044" max="1044" width="24.36328125" style="885" customWidth="1"/>
    <col min="1045" max="1045" width="28" style="885" customWidth="1"/>
    <col min="1046" max="1046" width="19.453125" style="885" customWidth="1"/>
    <col min="1047" max="1283" width="9.08984375" style="885"/>
    <col min="1284" max="1284" width="14.54296875" style="885" customWidth="1"/>
    <col min="1285" max="1285" width="14.453125" style="885" customWidth="1"/>
    <col min="1286" max="1286" width="58.08984375" style="885" customWidth="1"/>
    <col min="1287" max="1287" width="30.453125" style="885" customWidth="1"/>
    <col min="1288" max="1288" width="27.36328125" style="885" customWidth="1"/>
    <col min="1289" max="1289" width="30.90625" style="885" customWidth="1"/>
    <col min="1290" max="1290" width="24.90625" style="885" customWidth="1"/>
    <col min="1291" max="1291" width="27.36328125" style="885" customWidth="1"/>
    <col min="1292" max="1292" width="32" style="885" customWidth="1"/>
    <col min="1293" max="1293" width="25.54296875" style="885" customWidth="1"/>
    <col min="1294" max="1294" width="27.36328125" style="885" customWidth="1"/>
    <col min="1295" max="1295" width="31.453125" style="885" customWidth="1"/>
    <col min="1296" max="1296" width="30.54296875" style="885" customWidth="1"/>
    <col min="1297" max="1297" width="27.36328125" style="885" customWidth="1"/>
    <col min="1298" max="1298" width="32.54296875" style="885" customWidth="1"/>
    <col min="1299" max="1299" width="30.453125" style="885" customWidth="1"/>
    <col min="1300" max="1300" width="24.36328125" style="885" customWidth="1"/>
    <col min="1301" max="1301" width="28" style="885" customWidth="1"/>
    <col min="1302" max="1302" width="19.453125" style="885" customWidth="1"/>
    <col min="1303" max="1539" width="9.08984375" style="885"/>
    <col min="1540" max="1540" width="14.54296875" style="885" customWidth="1"/>
    <col min="1541" max="1541" width="14.453125" style="885" customWidth="1"/>
    <col min="1542" max="1542" width="58.08984375" style="885" customWidth="1"/>
    <col min="1543" max="1543" width="30.453125" style="885" customWidth="1"/>
    <col min="1544" max="1544" width="27.36328125" style="885" customWidth="1"/>
    <col min="1545" max="1545" width="30.90625" style="885" customWidth="1"/>
    <col min="1546" max="1546" width="24.90625" style="885" customWidth="1"/>
    <col min="1547" max="1547" width="27.36328125" style="885" customWidth="1"/>
    <col min="1548" max="1548" width="32" style="885" customWidth="1"/>
    <col min="1549" max="1549" width="25.54296875" style="885" customWidth="1"/>
    <col min="1550" max="1550" width="27.36328125" style="885" customWidth="1"/>
    <col min="1551" max="1551" width="31.453125" style="885" customWidth="1"/>
    <col min="1552" max="1552" width="30.54296875" style="885" customWidth="1"/>
    <col min="1553" max="1553" width="27.36328125" style="885" customWidth="1"/>
    <col min="1554" max="1554" width="32.54296875" style="885" customWidth="1"/>
    <col min="1555" max="1555" width="30.453125" style="885" customWidth="1"/>
    <col min="1556" max="1556" width="24.36328125" style="885" customWidth="1"/>
    <col min="1557" max="1557" width="28" style="885" customWidth="1"/>
    <col min="1558" max="1558" width="19.453125" style="885" customWidth="1"/>
    <col min="1559" max="1795" width="9.08984375" style="885"/>
    <col min="1796" max="1796" width="14.54296875" style="885" customWidth="1"/>
    <col min="1797" max="1797" width="14.453125" style="885" customWidth="1"/>
    <col min="1798" max="1798" width="58.08984375" style="885" customWidth="1"/>
    <col min="1799" max="1799" width="30.453125" style="885" customWidth="1"/>
    <col min="1800" max="1800" width="27.36328125" style="885" customWidth="1"/>
    <col min="1801" max="1801" width="30.90625" style="885" customWidth="1"/>
    <col min="1802" max="1802" width="24.90625" style="885" customWidth="1"/>
    <col min="1803" max="1803" width="27.36328125" style="885" customWidth="1"/>
    <col min="1804" max="1804" width="32" style="885" customWidth="1"/>
    <col min="1805" max="1805" width="25.54296875" style="885" customWidth="1"/>
    <col min="1806" max="1806" width="27.36328125" style="885" customWidth="1"/>
    <col min="1807" max="1807" width="31.453125" style="885" customWidth="1"/>
    <col min="1808" max="1808" width="30.54296875" style="885" customWidth="1"/>
    <col min="1809" max="1809" width="27.36328125" style="885" customWidth="1"/>
    <col min="1810" max="1810" width="32.54296875" style="885" customWidth="1"/>
    <col min="1811" max="1811" width="30.453125" style="885" customWidth="1"/>
    <col min="1812" max="1812" width="24.36328125" style="885" customWidth="1"/>
    <col min="1813" max="1813" width="28" style="885" customWidth="1"/>
    <col min="1814" max="1814" width="19.453125" style="885" customWidth="1"/>
    <col min="1815" max="2051" width="9.08984375" style="885"/>
    <col min="2052" max="2052" width="14.54296875" style="885" customWidth="1"/>
    <col min="2053" max="2053" width="14.453125" style="885" customWidth="1"/>
    <col min="2054" max="2054" width="58.08984375" style="885" customWidth="1"/>
    <col min="2055" max="2055" width="30.453125" style="885" customWidth="1"/>
    <col min="2056" max="2056" width="27.36328125" style="885" customWidth="1"/>
    <col min="2057" max="2057" width="30.90625" style="885" customWidth="1"/>
    <col min="2058" max="2058" width="24.90625" style="885" customWidth="1"/>
    <col min="2059" max="2059" width="27.36328125" style="885" customWidth="1"/>
    <col min="2060" max="2060" width="32" style="885" customWidth="1"/>
    <col min="2061" max="2061" width="25.54296875" style="885" customWidth="1"/>
    <col min="2062" max="2062" width="27.36328125" style="885" customWidth="1"/>
    <col min="2063" max="2063" width="31.453125" style="885" customWidth="1"/>
    <col min="2064" max="2064" width="30.54296875" style="885" customWidth="1"/>
    <col min="2065" max="2065" width="27.36328125" style="885" customWidth="1"/>
    <col min="2066" max="2066" width="32.54296875" style="885" customWidth="1"/>
    <col min="2067" max="2067" width="30.453125" style="885" customWidth="1"/>
    <col min="2068" max="2068" width="24.36328125" style="885" customWidth="1"/>
    <col min="2069" max="2069" width="28" style="885" customWidth="1"/>
    <col min="2070" max="2070" width="19.453125" style="885" customWidth="1"/>
    <col min="2071" max="2307" width="9.08984375" style="885"/>
    <col min="2308" max="2308" width="14.54296875" style="885" customWidth="1"/>
    <col min="2309" max="2309" width="14.453125" style="885" customWidth="1"/>
    <col min="2310" max="2310" width="58.08984375" style="885" customWidth="1"/>
    <col min="2311" max="2311" width="30.453125" style="885" customWidth="1"/>
    <col min="2312" max="2312" width="27.36328125" style="885" customWidth="1"/>
    <col min="2313" max="2313" width="30.90625" style="885" customWidth="1"/>
    <col min="2314" max="2314" width="24.90625" style="885" customWidth="1"/>
    <col min="2315" max="2315" width="27.36328125" style="885" customWidth="1"/>
    <col min="2316" max="2316" width="32" style="885" customWidth="1"/>
    <col min="2317" max="2317" width="25.54296875" style="885" customWidth="1"/>
    <col min="2318" max="2318" width="27.36328125" style="885" customWidth="1"/>
    <col min="2319" max="2319" width="31.453125" style="885" customWidth="1"/>
    <col min="2320" max="2320" width="30.54296875" style="885" customWidth="1"/>
    <col min="2321" max="2321" width="27.36328125" style="885" customWidth="1"/>
    <col min="2322" max="2322" width="32.54296875" style="885" customWidth="1"/>
    <col min="2323" max="2323" width="30.453125" style="885" customWidth="1"/>
    <col min="2324" max="2324" width="24.36328125" style="885" customWidth="1"/>
    <col min="2325" max="2325" width="28" style="885" customWidth="1"/>
    <col min="2326" max="2326" width="19.453125" style="885" customWidth="1"/>
    <col min="2327" max="2563" width="9.08984375" style="885"/>
    <col min="2564" max="2564" width="14.54296875" style="885" customWidth="1"/>
    <col min="2565" max="2565" width="14.453125" style="885" customWidth="1"/>
    <col min="2566" max="2566" width="58.08984375" style="885" customWidth="1"/>
    <col min="2567" max="2567" width="30.453125" style="885" customWidth="1"/>
    <col min="2568" max="2568" width="27.36328125" style="885" customWidth="1"/>
    <col min="2569" max="2569" width="30.90625" style="885" customWidth="1"/>
    <col min="2570" max="2570" width="24.90625" style="885" customWidth="1"/>
    <col min="2571" max="2571" width="27.36328125" style="885" customWidth="1"/>
    <col min="2572" max="2572" width="32" style="885" customWidth="1"/>
    <col min="2573" max="2573" width="25.54296875" style="885" customWidth="1"/>
    <col min="2574" max="2574" width="27.36328125" style="885" customWidth="1"/>
    <col min="2575" max="2575" width="31.453125" style="885" customWidth="1"/>
    <col min="2576" max="2576" width="30.54296875" style="885" customWidth="1"/>
    <col min="2577" max="2577" width="27.36328125" style="885" customWidth="1"/>
    <col min="2578" max="2578" width="32.54296875" style="885" customWidth="1"/>
    <col min="2579" max="2579" width="30.453125" style="885" customWidth="1"/>
    <col min="2580" max="2580" width="24.36328125" style="885" customWidth="1"/>
    <col min="2581" max="2581" width="28" style="885" customWidth="1"/>
    <col min="2582" max="2582" width="19.453125" style="885" customWidth="1"/>
    <col min="2583" max="2819" width="9.08984375" style="885"/>
    <col min="2820" max="2820" width="14.54296875" style="885" customWidth="1"/>
    <col min="2821" max="2821" width="14.453125" style="885" customWidth="1"/>
    <col min="2822" max="2822" width="58.08984375" style="885" customWidth="1"/>
    <col min="2823" max="2823" width="30.453125" style="885" customWidth="1"/>
    <col min="2824" max="2824" width="27.36328125" style="885" customWidth="1"/>
    <col min="2825" max="2825" width="30.90625" style="885" customWidth="1"/>
    <col min="2826" max="2826" width="24.90625" style="885" customWidth="1"/>
    <col min="2827" max="2827" width="27.36328125" style="885" customWidth="1"/>
    <col min="2828" max="2828" width="32" style="885" customWidth="1"/>
    <col min="2829" max="2829" width="25.54296875" style="885" customWidth="1"/>
    <col min="2830" max="2830" width="27.36328125" style="885" customWidth="1"/>
    <col min="2831" max="2831" width="31.453125" style="885" customWidth="1"/>
    <col min="2832" max="2832" width="30.54296875" style="885" customWidth="1"/>
    <col min="2833" max="2833" width="27.36328125" style="885" customWidth="1"/>
    <col min="2834" max="2834" width="32.54296875" style="885" customWidth="1"/>
    <col min="2835" max="2835" width="30.453125" style="885" customWidth="1"/>
    <col min="2836" max="2836" width="24.36328125" style="885" customWidth="1"/>
    <col min="2837" max="2837" width="28" style="885" customWidth="1"/>
    <col min="2838" max="2838" width="19.453125" style="885" customWidth="1"/>
    <col min="2839" max="3075" width="9.08984375" style="885"/>
    <col min="3076" max="3076" width="14.54296875" style="885" customWidth="1"/>
    <col min="3077" max="3077" width="14.453125" style="885" customWidth="1"/>
    <col min="3078" max="3078" width="58.08984375" style="885" customWidth="1"/>
    <col min="3079" max="3079" width="30.453125" style="885" customWidth="1"/>
    <col min="3080" max="3080" width="27.36328125" style="885" customWidth="1"/>
    <col min="3081" max="3081" width="30.90625" style="885" customWidth="1"/>
    <col min="3082" max="3082" width="24.90625" style="885" customWidth="1"/>
    <col min="3083" max="3083" width="27.36328125" style="885" customWidth="1"/>
    <col min="3084" max="3084" width="32" style="885" customWidth="1"/>
    <col min="3085" max="3085" width="25.54296875" style="885" customWidth="1"/>
    <col min="3086" max="3086" width="27.36328125" style="885" customWidth="1"/>
    <col min="3087" max="3087" width="31.453125" style="885" customWidth="1"/>
    <col min="3088" max="3088" width="30.54296875" style="885" customWidth="1"/>
    <col min="3089" max="3089" width="27.36328125" style="885" customWidth="1"/>
    <col min="3090" max="3090" width="32.54296875" style="885" customWidth="1"/>
    <col min="3091" max="3091" width="30.453125" style="885" customWidth="1"/>
    <col min="3092" max="3092" width="24.36328125" style="885" customWidth="1"/>
    <col min="3093" max="3093" width="28" style="885" customWidth="1"/>
    <col min="3094" max="3094" width="19.453125" style="885" customWidth="1"/>
    <col min="3095" max="3331" width="9.08984375" style="885"/>
    <col min="3332" max="3332" width="14.54296875" style="885" customWidth="1"/>
    <col min="3333" max="3333" width="14.453125" style="885" customWidth="1"/>
    <col min="3334" max="3334" width="58.08984375" style="885" customWidth="1"/>
    <col min="3335" max="3335" width="30.453125" style="885" customWidth="1"/>
    <col min="3336" max="3336" width="27.36328125" style="885" customWidth="1"/>
    <col min="3337" max="3337" width="30.90625" style="885" customWidth="1"/>
    <col min="3338" max="3338" width="24.90625" style="885" customWidth="1"/>
    <col min="3339" max="3339" width="27.36328125" style="885" customWidth="1"/>
    <col min="3340" max="3340" width="32" style="885" customWidth="1"/>
    <col min="3341" max="3341" width="25.54296875" style="885" customWidth="1"/>
    <col min="3342" max="3342" width="27.36328125" style="885" customWidth="1"/>
    <col min="3343" max="3343" width="31.453125" style="885" customWidth="1"/>
    <col min="3344" max="3344" width="30.54296875" style="885" customWidth="1"/>
    <col min="3345" max="3345" width="27.36328125" style="885" customWidth="1"/>
    <col min="3346" max="3346" width="32.54296875" style="885" customWidth="1"/>
    <col min="3347" max="3347" width="30.453125" style="885" customWidth="1"/>
    <col min="3348" max="3348" width="24.36328125" style="885" customWidth="1"/>
    <col min="3349" max="3349" width="28" style="885" customWidth="1"/>
    <col min="3350" max="3350" width="19.453125" style="885" customWidth="1"/>
    <col min="3351" max="3587" width="9.08984375" style="885"/>
    <col min="3588" max="3588" width="14.54296875" style="885" customWidth="1"/>
    <col min="3589" max="3589" width="14.453125" style="885" customWidth="1"/>
    <col min="3590" max="3590" width="58.08984375" style="885" customWidth="1"/>
    <col min="3591" max="3591" width="30.453125" style="885" customWidth="1"/>
    <col min="3592" max="3592" width="27.36328125" style="885" customWidth="1"/>
    <col min="3593" max="3593" width="30.90625" style="885" customWidth="1"/>
    <col min="3594" max="3594" width="24.90625" style="885" customWidth="1"/>
    <col min="3595" max="3595" width="27.36328125" style="885" customWidth="1"/>
    <col min="3596" max="3596" width="32" style="885" customWidth="1"/>
    <col min="3597" max="3597" width="25.54296875" style="885" customWidth="1"/>
    <col min="3598" max="3598" width="27.36328125" style="885" customWidth="1"/>
    <col min="3599" max="3599" width="31.453125" style="885" customWidth="1"/>
    <col min="3600" max="3600" width="30.54296875" style="885" customWidth="1"/>
    <col min="3601" max="3601" width="27.36328125" style="885" customWidth="1"/>
    <col min="3602" max="3602" width="32.54296875" style="885" customWidth="1"/>
    <col min="3603" max="3603" width="30.453125" style="885" customWidth="1"/>
    <col min="3604" max="3604" width="24.36328125" style="885" customWidth="1"/>
    <col min="3605" max="3605" width="28" style="885" customWidth="1"/>
    <col min="3606" max="3606" width="19.453125" style="885" customWidth="1"/>
    <col min="3607" max="3843" width="9.08984375" style="885"/>
    <col min="3844" max="3844" width="14.54296875" style="885" customWidth="1"/>
    <col min="3845" max="3845" width="14.453125" style="885" customWidth="1"/>
    <col min="3846" max="3846" width="58.08984375" style="885" customWidth="1"/>
    <col min="3847" max="3847" width="30.453125" style="885" customWidth="1"/>
    <col min="3848" max="3848" width="27.36328125" style="885" customWidth="1"/>
    <col min="3849" max="3849" width="30.90625" style="885" customWidth="1"/>
    <col min="3850" max="3850" width="24.90625" style="885" customWidth="1"/>
    <col min="3851" max="3851" width="27.36328125" style="885" customWidth="1"/>
    <col min="3852" max="3852" width="32" style="885" customWidth="1"/>
    <col min="3853" max="3853" width="25.54296875" style="885" customWidth="1"/>
    <col min="3854" max="3854" width="27.36328125" style="885" customWidth="1"/>
    <col min="3855" max="3855" width="31.453125" style="885" customWidth="1"/>
    <col min="3856" max="3856" width="30.54296875" style="885" customWidth="1"/>
    <col min="3857" max="3857" width="27.36328125" style="885" customWidth="1"/>
    <col min="3858" max="3858" width="32.54296875" style="885" customWidth="1"/>
    <col min="3859" max="3859" width="30.453125" style="885" customWidth="1"/>
    <col min="3860" max="3860" width="24.36328125" style="885" customWidth="1"/>
    <col min="3861" max="3861" width="28" style="885" customWidth="1"/>
    <col min="3862" max="3862" width="19.453125" style="885" customWidth="1"/>
    <col min="3863" max="4099" width="9.08984375" style="885"/>
    <col min="4100" max="4100" width="14.54296875" style="885" customWidth="1"/>
    <col min="4101" max="4101" width="14.453125" style="885" customWidth="1"/>
    <col min="4102" max="4102" width="58.08984375" style="885" customWidth="1"/>
    <col min="4103" max="4103" width="30.453125" style="885" customWidth="1"/>
    <col min="4104" max="4104" width="27.36328125" style="885" customWidth="1"/>
    <col min="4105" max="4105" width="30.90625" style="885" customWidth="1"/>
    <col min="4106" max="4106" width="24.90625" style="885" customWidth="1"/>
    <col min="4107" max="4107" width="27.36328125" style="885" customWidth="1"/>
    <col min="4108" max="4108" width="32" style="885" customWidth="1"/>
    <col min="4109" max="4109" width="25.54296875" style="885" customWidth="1"/>
    <col min="4110" max="4110" width="27.36328125" style="885" customWidth="1"/>
    <col min="4111" max="4111" width="31.453125" style="885" customWidth="1"/>
    <col min="4112" max="4112" width="30.54296875" style="885" customWidth="1"/>
    <col min="4113" max="4113" width="27.36328125" style="885" customWidth="1"/>
    <col min="4114" max="4114" width="32.54296875" style="885" customWidth="1"/>
    <col min="4115" max="4115" width="30.453125" style="885" customWidth="1"/>
    <col min="4116" max="4116" width="24.36328125" style="885" customWidth="1"/>
    <col min="4117" max="4117" width="28" style="885" customWidth="1"/>
    <col min="4118" max="4118" width="19.453125" style="885" customWidth="1"/>
    <col min="4119" max="4355" width="9.08984375" style="885"/>
    <col min="4356" max="4356" width="14.54296875" style="885" customWidth="1"/>
    <col min="4357" max="4357" width="14.453125" style="885" customWidth="1"/>
    <col min="4358" max="4358" width="58.08984375" style="885" customWidth="1"/>
    <col min="4359" max="4359" width="30.453125" style="885" customWidth="1"/>
    <col min="4360" max="4360" width="27.36328125" style="885" customWidth="1"/>
    <col min="4361" max="4361" width="30.90625" style="885" customWidth="1"/>
    <col min="4362" max="4362" width="24.90625" style="885" customWidth="1"/>
    <col min="4363" max="4363" width="27.36328125" style="885" customWidth="1"/>
    <col min="4364" max="4364" width="32" style="885" customWidth="1"/>
    <col min="4365" max="4365" width="25.54296875" style="885" customWidth="1"/>
    <col min="4366" max="4366" width="27.36328125" style="885" customWidth="1"/>
    <col min="4367" max="4367" width="31.453125" style="885" customWidth="1"/>
    <col min="4368" max="4368" width="30.54296875" style="885" customWidth="1"/>
    <col min="4369" max="4369" width="27.36328125" style="885" customWidth="1"/>
    <col min="4370" max="4370" width="32.54296875" style="885" customWidth="1"/>
    <col min="4371" max="4371" width="30.453125" style="885" customWidth="1"/>
    <col min="4372" max="4372" width="24.36328125" style="885" customWidth="1"/>
    <col min="4373" max="4373" width="28" style="885" customWidth="1"/>
    <col min="4374" max="4374" width="19.453125" style="885" customWidth="1"/>
    <col min="4375" max="4611" width="9.08984375" style="885"/>
    <col min="4612" max="4612" width="14.54296875" style="885" customWidth="1"/>
    <col min="4613" max="4613" width="14.453125" style="885" customWidth="1"/>
    <col min="4614" max="4614" width="58.08984375" style="885" customWidth="1"/>
    <col min="4615" max="4615" width="30.453125" style="885" customWidth="1"/>
    <col min="4616" max="4616" width="27.36328125" style="885" customWidth="1"/>
    <col min="4617" max="4617" width="30.90625" style="885" customWidth="1"/>
    <col min="4618" max="4618" width="24.90625" style="885" customWidth="1"/>
    <col min="4619" max="4619" width="27.36328125" style="885" customWidth="1"/>
    <col min="4620" max="4620" width="32" style="885" customWidth="1"/>
    <col min="4621" max="4621" width="25.54296875" style="885" customWidth="1"/>
    <col min="4622" max="4622" width="27.36328125" style="885" customWidth="1"/>
    <col min="4623" max="4623" width="31.453125" style="885" customWidth="1"/>
    <col min="4624" max="4624" width="30.54296875" style="885" customWidth="1"/>
    <col min="4625" max="4625" width="27.36328125" style="885" customWidth="1"/>
    <col min="4626" max="4626" width="32.54296875" style="885" customWidth="1"/>
    <col min="4627" max="4627" width="30.453125" style="885" customWidth="1"/>
    <col min="4628" max="4628" width="24.36328125" style="885" customWidth="1"/>
    <col min="4629" max="4629" width="28" style="885" customWidth="1"/>
    <col min="4630" max="4630" width="19.453125" style="885" customWidth="1"/>
    <col min="4631" max="4867" width="9.08984375" style="885"/>
    <col min="4868" max="4868" width="14.54296875" style="885" customWidth="1"/>
    <col min="4869" max="4869" width="14.453125" style="885" customWidth="1"/>
    <col min="4870" max="4870" width="58.08984375" style="885" customWidth="1"/>
    <col min="4871" max="4871" width="30.453125" style="885" customWidth="1"/>
    <col min="4872" max="4872" width="27.36328125" style="885" customWidth="1"/>
    <col min="4873" max="4873" width="30.90625" style="885" customWidth="1"/>
    <col min="4874" max="4874" width="24.90625" style="885" customWidth="1"/>
    <col min="4875" max="4875" width="27.36328125" style="885" customWidth="1"/>
    <col min="4876" max="4876" width="32" style="885" customWidth="1"/>
    <col min="4877" max="4877" width="25.54296875" style="885" customWidth="1"/>
    <col min="4878" max="4878" width="27.36328125" style="885" customWidth="1"/>
    <col min="4879" max="4879" width="31.453125" style="885" customWidth="1"/>
    <col min="4880" max="4880" width="30.54296875" style="885" customWidth="1"/>
    <col min="4881" max="4881" width="27.36328125" style="885" customWidth="1"/>
    <col min="4882" max="4882" width="32.54296875" style="885" customWidth="1"/>
    <col min="4883" max="4883" width="30.453125" style="885" customWidth="1"/>
    <col min="4884" max="4884" width="24.36328125" style="885" customWidth="1"/>
    <col min="4885" max="4885" width="28" style="885" customWidth="1"/>
    <col min="4886" max="4886" width="19.453125" style="885" customWidth="1"/>
    <col min="4887" max="5123" width="9.08984375" style="885"/>
    <col min="5124" max="5124" width="14.54296875" style="885" customWidth="1"/>
    <col min="5125" max="5125" width="14.453125" style="885" customWidth="1"/>
    <col min="5126" max="5126" width="58.08984375" style="885" customWidth="1"/>
    <col min="5127" max="5127" width="30.453125" style="885" customWidth="1"/>
    <col min="5128" max="5128" width="27.36328125" style="885" customWidth="1"/>
    <col min="5129" max="5129" width="30.90625" style="885" customWidth="1"/>
    <col min="5130" max="5130" width="24.90625" style="885" customWidth="1"/>
    <col min="5131" max="5131" width="27.36328125" style="885" customWidth="1"/>
    <col min="5132" max="5132" width="32" style="885" customWidth="1"/>
    <col min="5133" max="5133" width="25.54296875" style="885" customWidth="1"/>
    <col min="5134" max="5134" width="27.36328125" style="885" customWidth="1"/>
    <col min="5135" max="5135" width="31.453125" style="885" customWidth="1"/>
    <col min="5136" max="5136" width="30.54296875" style="885" customWidth="1"/>
    <col min="5137" max="5137" width="27.36328125" style="885" customWidth="1"/>
    <col min="5138" max="5138" width="32.54296875" style="885" customWidth="1"/>
    <col min="5139" max="5139" width="30.453125" style="885" customWidth="1"/>
    <col min="5140" max="5140" width="24.36328125" style="885" customWidth="1"/>
    <col min="5141" max="5141" width="28" style="885" customWidth="1"/>
    <col min="5142" max="5142" width="19.453125" style="885" customWidth="1"/>
    <col min="5143" max="5379" width="9.08984375" style="885"/>
    <col min="5380" max="5380" width="14.54296875" style="885" customWidth="1"/>
    <col min="5381" max="5381" width="14.453125" style="885" customWidth="1"/>
    <col min="5382" max="5382" width="58.08984375" style="885" customWidth="1"/>
    <col min="5383" max="5383" width="30.453125" style="885" customWidth="1"/>
    <col min="5384" max="5384" width="27.36328125" style="885" customWidth="1"/>
    <col min="5385" max="5385" width="30.90625" style="885" customWidth="1"/>
    <col min="5386" max="5386" width="24.90625" style="885" customWidth="1"/>
    <col min="5387" max="5387" width="27.36328125" style="885" customWidth="1"/>
    <col min="5388" max="5388" width="32" style="885" customWidth="1"/>
    <col min="5389" max="5389" width="25.54296875" style="885" customWidth="1"/>
    <col min="5390" max="5390" width="27.36328125" style="885" customWidth="1"/>
    <col min="5391" max="5391" width="31.453125" style="885" customWidth="1"/>
    <col min="5392" max="5392" width="30.54296875" style="885" customWidth="1"/>
    <col min="5393" max="5393" width="27.36328125" style="885" customWidth="1"/>
    <col min="5394" max="5394" width="32.54296875" style="885" customWidth="1"/>
    <col min="5395" max="5395" width="30.453125" style="885" customWidth="1"/>
    <col min="5396" max="5396" width="24.36328125" style="885" customWidth="1"/>
    <col min="5397" max="5397" width="28" style="885" customWidth="1"/>
    <col min="5398" max="5398" width="19.453125" style="885" customWidth="1"/>
    <col min="5399" max="5635" width="9.08984375" style="885"/>
    <col min="5636" max="5636" width="14.54296875" style="885" customWidth="1"/>
    <col min="5637" max="5637" width="14.453125" style="885" customWidth="1"/>
    <col min="5638" max="5638" width="58.08984375" style="885" customWidth="1"/>
    <col min="5639" max="5639" width="30.453125" style="885" customWidth="1"/>
    <col min="5640" max="5640" width="27.36328125" style="885" customWidth="1"/>
    <col min="5641" max="5641" width="30.90625" style="885" customWidth="1"/>
    <col min="5642" max="5642" width="24.90625" style="885" customWidth="1"/>
    <col min="5643" max="5643" width="27.36328125" style="885" customWidth="1"/>
    <col min="5644" max="5644" width="32" style="885" customWidth="1"/>
    <col min="5645" max="5645" width="25.54296875" style="885" customWidth="1"/>
    <col min="5646" max="5646" width="27.36328125" style="885" customWidth="1"/>
    <col min="5647" max="5647" width="31.453125" style="885" customWidth="1"/>
    <col min="5648" max="5648" width="30.54296875" style="885" customWidth="1"/>
    <col min="5649" max="5649" width="27.36328125" style="885" customWidth="1"/>
    <col min="5650" max="5650" width="32.54296875" style="885" customWidth="1"/>
    <col min="5651" max="5651" width="30.453125" style="885" customWidth="1"/>
    <col min="5652" max="5652" width="24.36328125" style="885" customWidth="1"/>
    <col min="5653" max="5653" width="28" style="885" customWidth="1"/>
    <col min="5654" max="5654" width="19.453125" style="885" customWidth="1"/>
    <col min="5655" max="5891" width="9.08984375" style="885"/>
    <col min="5892" max="5892" width="14.54296875" style="885" customWidth="1"/>
    <col min="5893" max="5893" width="14.453125" style="885" customWidth="1"/>
    <col min="5894" max="5894" width="58.08984375" style="885" customWidth="1"/>
    <col min="5895" max="5895" width="30.453125" style="885" customWidth="1"/>
    <col min="5896" max="5896" width="27.36328125" style="885" customWidth="1"/>
    <col min="5897" max="5897" width="30.90625" style="885" customWidth="1"/>
    <col min="5898" max="5898" width="24.90625" style="885" customWidth="1"/>
    <col min="5899" max="5899" width="27.36328125" style="885" customWidth="1"/>
    <col min="5900" max="5900" width="32" style="885" customWidth="1"/>
    <col min="5901" max="5901" width="25.54296875" style="885" customWidth="1"/>
    <col min="5902" max="5902" width="27.36328125" style="885" customWidth="1"/>
    <col min="5903" max="5903" width="31.453125" style="885" customWidth="1"/>
    <col min="5904" max="5904" width="30.54296875" style="885" customWidth="1"/>
    <col min="5905" max="5905" width="27.36328125" style="885" customWidth="1"/>
    <col min="5906" max="5906" width="32.54296875" style="885" customWidth="1"/>
    <col min="5907" max="5907" width="30.453125" style="885" customWidth="1"/>
    <col min="5908" max="5908" width="24.36328125" style="885" customWidth="1"/>
    <col min="5909" max="5909" width="28" style="885" customWidth="1"/>
    <col min="5910" max="5910" width="19.453125" style="885" customWidth="1"/>
    <col min="5911" max="6147" width="9.08984375" style="885"/>
    <col min="6148" max="6148" width="14.54296875" style="885" customWidth="1"/>
    <col min="6149" max="6149" width="14.453125" style="885" customWidth="1"/>
    <col min="6150" max="6150" width="58.08984375" style="885" customWidth="1"/>
    <col min="6151" max="6151" width="30.453125" style="885" customWidth="1"/>
    <col min="6152" max="6152" width="27.36328125" style="885" customWidth="1"/>
    <col min="6153" max="6153" width="30.90625" style="885" customWidth="1"/>
    <col min="6154" max="6154" width="24.90625" style="885" customWidth="1"/>
    <col min="6155" max="6155" width="27.36328125" style="885" customWidth="1"/>
    <col min="6156" max="6156" width="32" style="885" customWidth="1"/>
    <col min="6157" max="6157" width="25.54296875" style="885" customWidth="1"/>
    <col min="6158" max="6158" width="27.36328125" style="885" customWidth="1"/>
    <col min="6159" max="6159" width="31.453125" style="885" customWidth="1"/>
    <col min="6160" max="6160" width="30.54296875" style="885" customWidth="1"/>
    <col min="6161" max="6161" width="27.36328125" style="885" customWidth="1"/>
    <col min="6162" max="6162" width="32.54296875" style="885" customWidth="1"/>
    <col min="6163" max="6163" width="30.453125" style="885" customWidth="1"/>
    <col min="6164" max="6164" width="24.36328125" style="885" customWidth="1"/>
    <col min="6165" max="6165" width="28" style="885" customWidth="1"/>
    <col min="6166" max="6166" width="19.453125" style="885" customWidth="1"/>
    <col min="6167" max="6403" width="9.08984375" style="885"/>
    <col min="6404" max="6404" width="14.54296875" style="885" customWidth="1"/>
    <col min="6405" max="6405" width="14.453125" style="885" customWidth="1"/>
    <col min="6406" max="6406" width="58.08984375" style="885" customWidth="1"/>
    <col min="6407" max="6407" width="30.453125" style="885" customWidth="1"/>
    <col min="6408" max="6408" width="27.36328125" style="885" customWidth="1"/>
    <col min="6409" max="6409" width="30.90625" style="885" customWidth="1"/>
    <col min="6410" max="6410" width="24.90625" style="885" customWidth="1"/>
    <col min="6411" max="6411" width="27.36328125" style="885" customWidth="1"/>
    <col min="6412" max="6412" width="32" style="885" customWidth="1"/>
    <col min="6413" max="6413" width="25.54296875" style="885" customWidth="1"/>
    <col min="6414" max="6414" width="27.36328125" style="885" customWidth="1"/>
    <col min="6415" max="6415" width="31.453125" style="885" customWidth="1"/>
    <col min="6416" max="6416" width="30.54296875" style="885" customWidth="1"/>
    <col min="6417" max="6417" width="27.36328125" style="885" customWidth="1"/>
    <col min="6418" max="6418" width="32.54296875" style="885" customWidth="1"/>
    <col min="6419" max="6419" width="30.453125" style="885" customWidth="1"/>
    <col min="6420" max="6420" width="24.36328125" style="885" customWidth="1"/>
    <col min="6421" max="6421" width="28" style="885" customWidth="1"/>
    <col min="6422" max="6422" width="19.453125" style="885" customWidth="1"/>
    <col min="6423" max="6659" width="9.08984375" style="885"/>
    <col min="6660" max="6660" width="14.54296875" style="885" customWidth="1"/>
    <col min="6661" max="6661" width="14.453125" style="885" customWidth="1"/>
    <col min="6662" max="6662" width="58.08984375" style="885" customWidth="1"/>
    <col min="6663" max="6663" width="30.453125" style="885" customWidth="1"/>
    <col min="6664" max="6664" width="27.36328125" style="885" customWidth="1"/>
    <col min="6665" max="6665" width="30.90625" style="885" customWidth="1"/>
    <col min="6666" max="6666" width="24.90625" style="885" customWidth="1"/>
    <col min="6667" max="6667" width="27.36328125" style="885" customWidth="1"/>
    <col min="6668" max="6668" width="32" style="885" customWidth="1"/>
    <col min="6669" max="6669" width="25.54296875" style="885" customWidth="1"/>
    <col min="6670" max="6670" width="27.36328125" style="885" customWidth="1"/>
    <col min="6671" max="6671" width="31.453125" style="885" customWidth="1"/>
    <col min="6672" max="6672" width="30.54296875" style="885" customWidth="1"/>
    <col min="6673" max="6673" width="27.36328125" style="885" customWidth="1"/>
    <col min="6674" max="6674" width="32.54296875" style="885" customWidth="1"/>
    <col min="6675" max="6675" width="30.453125" style="885" customWidth="1"/>
    <col min="6676" max="6676" width="24.36328125" style="885" customWidth="1"/>
    <col min="6677" max="6677" width="28" style="885" customWidth="1"/>
    <col min="6678" max="6678" width="19.453125" style="885" customWidth="1"/>
    <col min="6679" max="6915" width="9.08984375" style="885"/>
    <col min="6916" max="6916" width="14.54296875" style="885" customWidth="1"/>
    <col min="6917" max="6917" width="14.453125" style="885" customWidth="1"/>
    <col min="6918" max="6918" width="58.08984375" style="885" customWidth="1"/>
    <col min="6919" max="6919" width="30.453125" style="885" customWidth="1"/>
    <col min="6920" max="6920" width="27.36328125" style="885" customWidth="1"/>
    <col min="6921" max="6921" width="30.90625" style="885" customWidth="1"/>
    <col min="6922" max="6922" width="24.90625" style="885" customWidth="1"/>
    <col min="6923" max="6923" width="27.36328125" style="885" customWidth="1"/>
    <col min="6924" max="6924" width="32" style="885" customWidth="1"/>
    <col min="6925" max="6925" width="25.54296875" style="885" customWidth="1"/>
    <col min="6926" max="6926" width="27.36328125" style="885" customWidth="1"/>
    <col min="6927" max="6927" width="31.453125" style="885" customWidth="1"/>
    <col min="6928" max="6928" width="30.54296875" style="885" customWidth="1"/>
    <col min="6929" max="6929" width="27.36328125" style="885" customWidth="1"/>
    <col min="6930" max="6930" width="32.54296875" style="885" customWidth="1"/>
    <col min="6931" max="6931" width="30.453125" style="885" customWidth="1"/>
    <col min="6932" max="6932" width="24.36328125" style="885" customWidth="1"/>
    <col min="6933" max="6933" width="28" style="885" customWidth="1"/>
    <col min="6934" max="6934" width="19.453125" style="885" customWidth="1"/>
    <col min="6935" max="7171" width="9.08984375" style="885"/>
    <col min="7172" max="7172" width="14.54296875" style="885" customWidth="1"/>
    <col min="7173" max="7173" width="14.453125" style="885" customWidth="1"/>
    <col min="7174" max="7174" width="58.08984375" style="885" customWidth="1"/>
    <col min="7175" max="7175" width="30.453125" style="885" customWidth="1"/>
    <col min="7176" max="7176" width="27.36328125" style="885" customWidth="1"/>
    <col min="7177" max="7177" width="30.90625" style="885" customWidth="1"/>
    <col min="7178" max="7178" width="24.90625" style="885" customWidth="1"/>
    <col min="7179" max="7179" width="27.36328125" style="885" customWidth="1"/>
    <col min="7180" max="7180" width="32" style="885" customWidth="1"/>
    <col min="7181" max="7181" width="25.54296875" style="885" customWidth="1"/>
    <col min="7182" max="7182" width="27.36328125" style="885" customWidth="1"/>
    <col min="7183" max="7183" width="31.453125" style="885" customWidth="1"/>
    <col min="7184" max="7184" width="30.54296875" style="885" customWidth="1"/>
    <col min="7185" max="7185" width="27.36328125" style="885" customWidth="1"/>
    <col min="7186" max="7186" width="32.54296875" style="885" customWidth="1"/>
    <col min="7187" max="7187" width="30.453125" style="885" customWidth="1"/>
    <col min="7188" max="7188" width="24.36328125" style="885" customWidth="1"/>
    <col min="7189" max="7189" width="28" style="885" customWidth="1"/>
    <col min="7190" max="7190" width="19.453125" style="885" customWidth="1"/>
    <col min="7191" max="7427" width="9.08984375" style="885"/>
    <col min="7428" max="7428" width="14.54296875" style="885" customWidth="1"/>
    <col min="7429" max="7429" width="14.453125" style="885" customWidth="1"/>
    <col min="7430" max="7430" width="58.08984375" style="885" customWidth="1"/>
    <col min="7431" max="7431" width="30.453125" style="885" customWidth="1"/>
    <col min="7432" max="7432" width="27.36328125" style="885" customWidth="1"/>
    <col min="7433" max="7433" width="30.90625" style="885" customWidth="1"/>
    <col min="7434" max="7434" width="24.90625" style="885" customWidth="1"/>
    <col min="7435" max="7435" width="27.36328125" style="885" customWidth="1"/>
    <col min="7436" max="7436" width="32" style="885" customWidth="1"/>
    <col min="7437" max="7437" width="25.54296875" style="885" customWidth="1"/>
    <col min="7438" max="7438" width="27.36328125" style="885" customWidth="1"/>
    <col min="7439" max="7439" width="31.453125" style="885" customWidth="1"/>
    <col min="7440" max="7440" width="30.54296875" style="885" customWidth="1"/>
    <col min="7441" max="7441" width="27.36328125" style="885" customWidth="1"/>
    <col min="7442" max="7442" width="32.54296875" style="885" customWidth="1"/>
    <col min="7443" max="7443" width="30.453125" style="885" customWidth="1"/>
    <col min="7444" max="7444" width="24.36328125" style="885" customWidth="1"/>
    <col min="7445" max="7445" width="28" style="885" customWidth="1"/>
    <col min="7446" max="7446" width="19.453125" style="885" customWidth="1"/>
    <col min="7447" max="7683" width="9.08984375" style="885"/>
    <col min="7684" max="7684" width="14.54296875" style="885" customWidth="1"/>
    <col min="7685" max="7685" width="14.453125" style="885" customWidth="1"/>
    <col min="7686" max="7686" width="58.08984375" style="885" customWidth="1"/>
    <col min="7687" max="7687" width="30.453125" style="885" customWidth="1"/>
    <col min="7688" max="7688" width="27.36328125" style="885" customWidth="1"/>
    <col min="7689" max="7689" width="30.90625" style="885" customWidth="1"/>
    <col min="7690" max="7690" width="24.90625" style="885" customWidth="1"/>
    <col min="7691" max="7691" width="27.36328125" style="885" customWidth="1"/>
    <col min="7692" max="7692" width="32" style="885" customWidth="1"/>
    <col min="7693" max="7693" width="25.54296875" style="885" customWidth="1"/>
    <col min="7694" max="7694" width="27.36328125" style="885" customWidth="1"/>
    <col min="7695" max="7695" width="31.453125" style="885" customWidth="1"/>
    <col min="7696" max="7696" width="30.54296875" style="885" customWidth="1"/>
    <col min="7697" max="7697" width="27.36328125" style="885" customWidth="1"/>
    <col min="7698" max="7698" width="32.54296875" style="885" customWidth="1"/>
    <col min="7699" max="7699" width="30.453125" style="885" customWidth="1"/>
    <col min="7700" max="7700" width="24.36328125" style="885" customWidth="1"/>
    <col min="7701" max="7701" width="28" style="885" customWidth="1"/>
    <col min="7702" max="7702" width="19.453125" style="885" customWidth="1"/>
    <col min="7703" max="7939" width="9.08984375" style="885"/>
    <col min="7940" max="7940" width="14.54296875" style="885" customWidth="1"/>
    <col min="7941" max="7941" width="14.453125" style="885" customWidth="1"/>
    <col min="7942" max="7942" width="58.08984375" style="885" customWidth="1"/>
    <col min="7943" max="7943" width="30.453125" style="885" customWidth="1"/>
    <col min="7944" max="7944" width="27.36328125" style="885" customWidth="1"/>
    <col min="7945" max="7945" width="30.90625" style="885" customWidth="1"/>
    <col min="7946" max="7946" width="24.90625" style="885" customWidth="1"/>
    <col min="7947" max="7947" width="27.36328125" style="885" customWidth="1"/>
    <col min="7948" max="7948" width="32" style="885" customWidth="1"/>
    <col min="7949" max="7949" width="25.54296875" style="885" customWidth="1"/>
    <col min="7950" max="7950" width="27.36328125" style="885" customWidth="1"/>
    <col min="7951" max="7951" width="31.453125" style="885" customWidth="1"/>
    <col min="7952" max="7952" width="30.54296875" style="885" customWidth="1"/>
    <col min="7953" max="7953" width="27.36328125" style="885" customWidth="1"/>
    <col min="7954" max="7954" width="32.54296875" style="885" customWidth="1"/>
    <col min="7955" max="7955" width="30.453125" style="885" customWidth="1"/>
    <col min="7956" max="7956" width="24.36328125" style="885" customWidth="1"/>
    <col min="7957" max="7957" width="28" style="885" customWidth="1"/>
    <col min="7958" max="7958" width="19.453125" style="885" customWidth="1"/>
    <col min="7959" max="8195" width="9.08984375" style="885"/>
    <col min="8196" max="8196" width="14.54296875" style="885" customWidth="1"/>
    <col min="8197" max="8197" width="14.453125" style="885" customWidth="1"/>
    <col min="8198" max="8198" width="58.08984375" style="885" customWidth="1"/>
    <col min="8199" max="8199" width="30.453125" style="885" customWidth="1"/>
    <col min="8200" max="8200" width="27.36328125" style="885" customWidth="1"/>
    <col min="8201" max="8201" width="30.90625" style="885" customWidth="1"/>
    <col min="8202" max="8202" width="24.90625" style="885" customWidth="1"/>
    <col min="8203" max="8203" width="27.36328125" style="885" customWidth="1"/>
    <col min="8204" max="8204" width="32" style="885" customWidth="1"/>
    <col min="8205" max="8205" width="25.54296875" style="885" customWidth="1"/>
    <col min="8206" max="8206" width="27.36328125" style="885" customWidth="1"/>
    <col min="8207" max="8207" width="31.453125" style="885" customWidth="1"/>
    <col min="8208" max="8208" width="30.54296875" style="885" customWidth="1"/>
    <col min="8209" max="8209" width="27.36328125" style="885" customWidth="1"/>
    <col min="8210" max="8210" width="32.54296875" style="885" customWidth="1"/>
    <col min="8211" max="8211" width="30.453125" style="885" customWidth="1"/>
    <col min="8212" max="8212" width="24.36328125" style="885" customWidth="1"/>
    <col min="8213" max="8213" width="28" style="885" customWidth="1"/>
    <col min="8214" max="8214" width="19.453125" style="885" customWidth="1"/>
    <col min="8215" max="8451" width="9.08984375" style="885"/>
    <col min="8452" max="8452" width="14.54296875" style="885" customWidth="1"/>
    <col min="8453" max="8453" width="14.453125" style="885" customWidth="1"/>
    <col min="8454" max="8454" width="58.08984375" style="885" customWidth="1"/>
    <col min="8455" max="8455" width="30.453125" style="885" customWidth="1"/>
    <col min="8456" max="8456" width="27.36328125" style="885" customWidth="1"/>
    <col min="8457" max="8457" width="30.90625" style="885" customWidth="1"/>
    <col min="8458" max="8458" width="24.90625" style="885" customWidth="1"/>
    <col min="8459" max="8459" width="27.36328125" style="885" customWidth="1"/>
    <col min="8460" max="8460" width="32" style="885" customWidth="1"/>
    <col min="8461" max="8461" width="25.54296875" style="885" customWidth="1"/>
    <col min="8462" max="8462" width="27.36328125" style="885" customWidth="1"/>
    <col min="8463" max="8463" width="31.453125" style="885" customWidth="1"/>
    <col min="8464" max="8464" width="30.54296875" style="885" customWidth="1"/>
    <col min="8465" max="8465" width="27.36328125" style="885" customWidth="1"/>
    <col min="8466" max="8466" width="32.54296875" style="885" customWidth="1"/>
    <col min="8467" max="8467" width="30.453125" style="885" customWidth="1"/>
    <col min="8468" max="8468" width="24.36328125" style="885" customWidth="1"/>
    <col min="8469" max="8469" width="28" style="885" customWidth="1"/>
    <col min="8470" max="8470" width="19.453125" style="885" customWidth="1"/>
    <col min="8471" max="8707" width="9.08984375" style="885"/>
    <col min="8708" max="8708" width="14.54296875" style="885" customWidth="1"/>
    <col min="8709" max="8709" width="14.453125" style="885" customWidth="1"/>
    <col min="8710" max="8710" width="58.08984375" style="885" customWidth="1"/>
    <col min="8711" max="8711" width="30.453125" style="885" customWidth="1"/>
    <col min="8712" max="8712" width="27.36328125" style="885" customWidth="1"/>
    <col min="8713" max="8713" width="30.90625" style="885" customWidth="1"/>
    <col min="8714" max="8714" width="24.90625" style="885" customWidth="1"/>
    <col min="8715" max="8715" width="27.36328125" style="885" customWidth="1"/>
    <col min="8716" max="8716" width="32" style="885" customWidth="1"/>
    <col min="8717" max="8717" width="25.54296875" style="885" customWidth="1"/>
    <col min="8718" max="8718" width="27.36328125" style="885" customWidth="1"/>
    <col min="8719" max="8719" width="31.453125" style="885" customWidth="1"/>
    <col min="8720" max="8720" width="30.54296875" style="885" customWidth="1"/>
    <col min="8721" max="8721" width="27.36328125" style="885" customWidth="1"/>
    <col min="8722" max="8722" width="32.54296875" style="885" customWidth="1"/>
    <col min="8723" max="8723" width="30.453125" style="885" customWidth="1"/>
    <col min="8724" max="8724" width="24.36328125" style="885" customWidth="1"/>
    <col min="8725" max="8725" width="28" style="885" customWidth="1"/>
    <col min="8726" max="8726" width="19.453125" style="885" customWidth="1"/>
    <col min="8727" max="8963" width="9.08984375" style="885"/>
    <col min="8964" max="8964" width="14.54296875" style="885" customWidth="1"/>
    <col min="8965" max="8965" width="14.453125" style="885" customWidth="1"/>
    <col min="8966" max="8966" width="58.08984375" style="885" customWidth="1"/>
    <col min="8967" max="8967" width="30.453125" style="885" customWidth="1"/>
    <col min="8968" max="8968" width="27.36328125" style="885" customWidth="1"/>
    <col min="8969" max="8969" width="30.90625" style="885" customWidth="1"/>
    <col min="8970" max="8970" width="24.90625" style="885" customWidth="1"/>
    <col min="8971" max="8971" width="27.36328125" style="885" customWidth="1"/>
    <col min="8972" max="8972" width="32" style="885" customWidth="1"/>
    <col min="8973" max="8973" width="25.54296875" style="885" customWidth="1"/>
    <col min="8974" max="8974" width="27.36328125" style="885" customWidth="1"/>
    <col min="8975" max="8975" width="31.453125" style="885" customWidth="1"/>
    <col min="8976" max="8976" width="30.54296875" style="885" customWidth="1"/>
    <col min="8977" max="8977" width="27.36328125" style="885" customWidth="1"/>
    <col min="8978" max="8978" width="32.54296875" style="885" customWidth="1"/>
    <col min="8979" max="8979" width="30.453125" style="885" customWidth="1"/>
    <col min="8980" max="8980" width="24.36328125" style="885" customWidth="1"/>
    <col min="8981" max="8981" width="28" style="885" customWidth="1"/>
    <col min="8982" max="8982" width="19.453125" style="885" customWidth="1"/>
    <col min="8983" max="9219" width="9.08984375" style="885"/>
    <col min="9220" max="9220" width="14.54296875" style="885" customWidth="1"/>
    <col min="9221" max="9221" width="14.453125" style="885" customWidth="1"/>
    <col min="9222" max="9222" width="58.08984375" style="885" customWidth="1"/>
    <col min="9223" max="9223" width="30.453125" style="885" customWidth="1"/>
    <col min="9224" max="9224" width="27.36328125" style="885" customWidth="1"/>
    <col min="9225" max="9225" width="30.90625" style="885" customWidth="1"/>
    <col min="9226" max="9226" width="24.90625" style="885" customWidth="1"/>
    <col min="9227" max="9227" width="27.36328125" style="885" customWidth="1"/>
    <col min="9228" max="9228" width="32" style="885" customWidth="1"/>
    <col min="9229" max="9229" width="25.54296875" style="885" customWidth="1"/>
    <col min="9230" max="9230" width="27.36328125" style="885" customWidth="1"/>
    <col min="9231" max="9231" width="31.453125" style="885" customWidth="1"/>
    <col min="9232" max="9232" width="30.54296875" style="885" customWidth="1"/>
    <col min="9233" max="9233" width="27.36328125" style="885" customWidth="1"/>
    <col min="9234" max="9234" width="32.54296875" style="885" customWidth="1"/>
    <col min="9235" max="9235" width="30.453125" style="885" customWidth="1"/>
    <col min="9236" max="9236" width="24.36328125" style="885" customWidth="1"/>
    <col min="9237" max="9237" width="28" style="885" customWidth="1"/>
    <col min="9238" max="9238" width="19.453125" style="885" customWidth="1"/>
    <col min="9239" max="9475" width="9.08984375" style="885"/>
    <col min="9476" max="9476" width="14.54296875" style="885" customWidth="1"/>
    <col min="9477" max="9477" width="14.453125" style="885" customWidth="1"/>
    <col min="9478" max="9478" width="58.08984375" style="885" customWidth="1"/>
    <col min="9479" max="9479" width="30.453125" style="885" customWidth="1"/>
    <col min="9480" max="9480" width="27.36328125" style="885" customWidth="1"/>
    <col min="9481" max="9481" width="30.90625" style="885" customWidth="1"/>
    <col min="9482" max="9482" width="24.90625" style="885" customWidth="1"/>
    <col min="9483" max="9483" width="27.36328125" style="885" customWidth="1"/>
    <col min="9484" max="9484" width="32" style="885" customWidth="1"/>
    <col min="9485" max="9485" width="25.54296875" style="885" customWidth="1"/>
    <col min="9486" max="9486" width="27.36328125" style="885" customWidth="1"/>
    <col min="9487" max="9487" width="31.453125" style="885" customWidth="1"/>
    <col min="9488" max="9488" width="30.54296875" style="885" customWidth="1"/>
    <col min="9489" max="9489" width="27.36328125" style="885" customWidth="1"/>
    <col min="9490" max="9490" width="32.54296875" style="885" customWidth="1"/>
    <col min="9491" max="9491" width="30.453125" style="885" customWidth="1"/>
    <col min="9492" max="9492" width="24.36328125" style="885" customWidth="1"/>
    <col min="9493" max="9493" width="28" style="885" customWidth="1"/>
    <col min="9494" max="9494" width="19.453125" style="885" customWidth="1"/>
    <col min="9495" max="9731" width="9.08984375" style="885"/>
    <col min="9732" max="9732" width="14.54296875" style="885" customWidth="1"/>
    <col min="9733" max="9733" width="14.453125" style="885" customWidth="1"/>
    <col min="9734" max="9734" width="58.08984375" style="885" customWidth="1"/>
    <col min="9735" max="9735" width="30.453125" style="885" customWidth="1"/>
    <col min="9736" max="9736" width="27.36328125" style="885" customWidth="1"/>
    <col min="9737" max="9737" width="30.90625" style="885" customWidth="1"/>
    <col min="9738" max="9738" width="24.90625" style="885" customWidth="1"/>
    <col min="9739" max="9739" width="27.36328125" style="885" customWidth="1"/>
    <col min="9740" max="9740" width="32" style="885" customWidth="1"/>
    <col min="9741" max="9741" width="25.54296875" style="885" customWidth="1"/>
    <col min="9742" max="9742" width="27.36328125" style="885" customWidth="1"/>
    <col min="9743" max="9743" width="31.453125" style="885" customWidth="1"/>
    <col min="9744" max="9744" width="30.54296875" style="885" customWidth="1"/>
    <col min="9745" max="9745" width="27.36328125" style="885" customWidth="1"/>
    <col min="9746" max="9746" width="32.54296875" style="885" customWidth="1"/>
    <col min="9747" max="9747" width="30.453125" style="885" customWidth="1"/>
    <col min="9748" max="9748" width="24.36328125" style="885" customWidth="1"/>
    <col min="9749" max="9749" width="28" style="885" customWidth="1"/>
    <col min="9750" max="9750" width="19.453125" style="885" customWidth="1"/>
    <col min="9751" max="9987" width="9.08984375" style="885"/>
    <col min="9988" max="9988" width="14.54296875" style="885" customWidth="1"/>
    <col min="9989" max="9989" width="14.453125" style="885" customWidth="1"/>
    <col min="9990" max="9990" width="58.08984375" style="885" customWidth="1"/>
    <col min="9991" max="9991" width="30.453125" style="885" customWidth="1"/>
    <col min="9992" max="9992" width="27.36328125" style="885" customWidth="1"/>
    <col min="9993" max="9993" width="30.90625" style="885" customWidth="1"/>
    <col min="9994" max="9994" width="24.90625" style="885" customWidth="1"/>
    <col min="9995" max="9995" width="27.36328125" style="885" customWidth="1"/>
    <col min="9996" max="9996" width="32" style="885" customWidth="1"/>
    <col min="9997" max="9997" width="25.54296875" style="885" customWidth="1"/>
    <col min="9998" max="9998" width="27.36328125" style="885" customWidth="1"/>
    <col min="9999" max="9999" width="31.453125" style="885" customWidth="1"/>
    <col min="10000" max="10000" width="30.54296875" style="885" customWidth="1"/>
    <col min="10001" max="10001" width="27.36328125" style="885" customWidth="1"/>
    <col min="10002" max="10002" width="32.54296875" style="885" customWidth="1"/>
    <col min="10003" max="10003" width="30.453125" style="885" customWidth="1"/>
    <col min="10004" max="10004" width="24.36328125" style="885" customWidth="1"/>
    <col min="10005" max="10005" width="28" style="885" customWidth="1"/>
    <col min="10006" max="10006" width="19.453125" style="885" customWidth="1"/>
    <col min="10007" max="10243" width="9.08984375" style="885"/>
    <col min="10244" max="10244" width="14.54296875" style="885" customWidth="1"/>
    <col min="10245" max="10245" width="14.453125" style="885" customWidth="1"/>
    <col min="10246" max="10246" width="58.08984375" style="885" customWidth="1"/>
    <col min="10247" max="10247" width="30.453125" style="885" customWidth="1"/>
    <col min="10248" max="10248" width="27.36328125" style="885" customWidth="1"/>
    <col min="10249" max="10249" width="30.90625" style="885" customWidth="1"/>
    <col min="10250" max="10250" width="24.90625" style="885" customWidth="1"/>
    <col min="10251" max="10251" width="27.36328125" style="885" customWidth="1"/>
    <col min="10252" max="10252" width="32" style="885" customWidth="1"/>
    <col min="10253" max="10253" width="25.54296875" style="885" customWidth="1"/>
    <col min="10254" max="10254" width="27.36328125" style="885" customWidth="1"/>
    <col min="10255" max="10255" width="31.453125" style="885" customWidth="1"/>
    <col min="10256" max="10256" width="30.54296875" style="885" customWidth="1"/>
    <col min="10257" max="10257" width="27.36328125" style="885" customWidth="1"/>
    <col min="10258" max="10258" width="32.54296875" style="885" customWidth="1"/>
    <col min="10259" max="10259" width="30.453125" style="885" customWidth="1"/>
    <col min="10260" max="10260" width="24.36328125" style="885" customWidth="1"/>
    <col min="10261" max="10261" width="28" style="885" customWidth="1"/>
    <col min="10262" max="10262" width="19.453125" style="885" customWidth="1"/>
    <col min="10263" max="10499" width="9.08984375" style="885"/>
    <col min="10500" max="10500" width="14.54296875" style="885" customWidth="1"/>
    <col min="10501" max="10501" width="14.453125" style="885" customWidth="1"/>
    <col min="10502" max="10502" width="58.08984375" style="885" customWidth="1"/>
    <col min="10503" max="10503" width="30.453125" style="885" customWidth="1"/>
    <col min="10504" max="10504" width="27.36328125" style="885" customWidth="1"/>
    <col min="10505" max="10505" width="30.90625" style="885" customWidth="1"/>
    <col min="10506" max="10506" width="24.90625" style="885" customWidth="1"/>
    <col min="10507" max="10507" width="27.36328125" style="885" customWidth="1"/>
    <col min="10508" max="10508" width="32" style="885" customWidth="1"/>
    <col min="10509" max="10509" width="25.54296875" style="885" customWidth="1"/>
    <col min="10510" max="10510" width="27.36328125" style="885" customWidth="1"/>
    <col min="10511" max="10511" width="31.453125" style="885" customWidth="1"/>
    <col min="10512" max="10512" width="30.54296875" style="885" customWidth="1"/>
    <col min="10513" max="10513" width="27.36328125" style="885" customWidth="1"/>
    <col min="10514" max="10514" width="32.54296875" style="885" customWidth="1"/>
    <col min="10515" max="10515" width="30.453125" style="885" customWidth="1"/>
    <col min="10516" max="10516" width="24.36328125" style="885" customWidth="1"/>
    <col min="10517" max="10517" width="28" style="885" customWidth="1"/>
    <col min="10518" max="10518" width="19.453125" style="885" customWidth="1"/>
    <col min="10519" max="10755" width="9.08984375" style="885"/>
    <col min="10756" max="10756" width="14.54296875" style="885" customWidth="1"/>
    <col min="10757" max="10757" width="14.453125" style="885" customWidth="1"/>
    <col min="10758" max="10758" width="58.08984375" style="885" customWidth="1"/>
    <col min="10759" max="10759" width="30.453125" style="885" customWidth="1"/>
    <col min="10760" max="10760" width="27.36328125" style="885" customWidth="1"/>
    <col min="10761" max="10761" width="30.90625" style="885" customWidth="1"/>
    <col min="10762" max="10762" width="24.90625" style="885" customWidth="1"/>
    <col min="10763" max="10763" width="27.36328125" style="885" customWidth="1"/>
    <col min="10764" max="10764" width="32" style="885" customWidth="1"/>
    <col min="10765" max="10765" width="25.54296875" style="885" customWidth="1"/>
    <col min="10766" max="10766" width="27.36328125" style="885" customWidth="1"/>
    <col min="10767" max="10767" width="31.453125" style="885" customWidth="1"/>
    <col min="10768" max="10768" width="30.54296875" style="885" customWidth="1"/>
    <col min="10769" max="10769" width="27.36328125" style="885" customWidth="1"/>
    <col min="10770" max="10770" width="32.54296875" style="885" customWidth="1"/>
    <col min="10771" max="10771" width="30.453125" style="885" customWidth="1"/>
    <col min="10772" max="10772" width="24.36328125" style="885" customWidth="1"/>
    <col min="10773" max="10773" width="28" style="885" customWidth="1"/>
    <col min="10774" max="10774" width="19.453125" style="885" customWidth="1"/>
    <col min="10775" max="11011" width="9.08984375" style="885"/>
    <col min="11012" max="11012" width="14.54296875" style="885" customWidth="1"/>
    <col min="11013" max="11013" width="14.453125" style="885" customWidth="1"/>
    <col min="11014" max="11014" width="58.08984375" style="885" customWidth="1"/>
    <col min="11015" max="11015" width="30.453125" style="885" customWidth="1"/>
    <col min="11016" max="11016" width="27.36328125" style="885" customWidth="1"/>
    <col min="11017" max="11017" width="30.90625" style="885" customWidth="1"/>
    <col min="11018" max="11018" width="24.90625" style="885" customWidth="1"/>
    <col min="11019" max="11019" width="27.36328125" style="885" customWidth="1"/>
    <col min="11020" max="11020" width="32" style="885" customWidth="1"/>
    <col min="11021" max="11021" width="25.54296875" style="885" customWidth="1"/>
    <col min="11022" max="11022" width="27.36328125" style="885" customWidth="1"/>
    <col min="11023" max="11023" width="31.453125" style="885" customWidth="1"/>
    <col min="11024" max="11024" width="30.54296875" style="885" customWidth="1"/>
    <col min="11025" max="11025" width="27.36328125" style="885" customWidth="1"/>
    <col min="11026" max="11026" width="32.54296875" style="885" customWidth="1"/>
    <col min="11027" max="11027" width="30.453125" style="885" customWidth="1"/>
    <col min="11028" max="11028" width="24.36328125" style="885" customWidth="1"/>
    <col min="11029" max="11029" width="28" style="885" customWidth="1"/>
    <col min="11030" max="11030" width="19.453125" style="885" customWidth="1"/>
    <col min="11031" max="11267" width="9.08984375" style="885"/>
    <col min="11268" max="11268" width="14.54296875" style="885" customWidth="1"/>
    <col min="11269" max="11269" width="14.453125" style="885" customWidth="1"/>
    <col min="11270" max="11270" width="58.08984375" style="885" customWidth="1"/>
    <col min="11271" max="11271" width="30.453125" style="885" customWidth="1"/>
    <col min="11272" max="11272" width="27.36328125" style="885" customWidth="1"/>
    <col min="11273" max="11273" width="30.90625" style="885" customWidth="1"/>
    <col min="11274" max="11274" width="24.90625" style="885" customWidth="1"/>
    <col min="11275" max="11275" width="27.36328125" style="885" customWidth="1"/>
    <col min="11276" max="11276" width="32" style="885" customWidth="1"/>
    <col min="11277" max="11277" width="25.54296875" style="885" customWidth="1"/>
    <col min="11278" max="11278" width="27.36328125" style="885" customWidth="1"/>
    <col min="11279" max="11279" width="31.453125" style="885" customWidth="1"/>
    <col min="11280" max="11280" width="30.54296875" style="885" customWidth="1"/>
    <col min="11281" max="11281" width="27.36328125" style="885" customWidth="1"/>
    <col min="11282" max="11282" width="32.54296875" style="885" customWidth="1"/>
    <col min="11283" max="11283" width="30.453125" style="885" customWidth="1"/>
    <col min="11284" max="11284" width="24.36328125" style="885" customWidth="1"/>
    <col min="11285" max="11285" width="28" style="885" customWidth="1"/>
    <col min="11286" max="11286" width="19.453125" style="885" customWidth="1"/>
    <col min="11287" max="11523" width="9.08984375" style="885"/>
    <col min="11524" max="11524" width="14.54296875" style="885" customWidth="1"/>
    <col min="11525" max="11525" width="14.453125" style="885" customWidth="1"/>
    <col min="11526" max="11526" width="58.08984375" style="885" customWidth="1"/>
    <col min="11527" max="11527" width="30.453125" style="885" customWidth="1"/>
    <col min="11528" max="11528" width="27.36328125" style="885" customWidth="1"/>
    <col min="11529" max="11529" width="30.90625" style="885" customWidth="1"/>
    <col min="11530" max="11530" width="24.90625" style="885" customWidth="1"/>
    <col min="11531" max="11531" width="27.36328125" style="885" customWidth="1"/>
    <col min="11532" max="11532" width="32" style="885" customWidth="1"/>
    <col min="11533" max="11533" width="25.54296875" style="885" customWidth="1"/>
    <col min="11534" max="11534" width="27.36328125" style="885" customWidth="1"/>
    <col min="11535" max="11535" width="31.453125" style="885" customWidth="1"/>
    <col min="11536" max="11536" width="30.54296875" style="885" customWidth="1"/>
    <col min="11537" max="11537" width="27.36328125" style="885" customWidth="1"/>
    <col min="11538" max="11538" width="32.54296875" style="885" customWidth="1"/>
    <col min="11539" max="11539" width="30.453125" style="885" customWidth="1"/>
    <col min="11540" max="11540" width="24.36328125" style="885" customWidth="1"/>
    <col min="11541" max="11541" width="28" style="885" customWidth="1"/>
    <col min="11542" max="11542" width="19.453125" style="885" customWidth="1"/>
    <col min="11543" max="11779" width="9.08984375" style="885"/>
    <col min="11780" max="11780" width="14.54296875" style="885" customWidth="1"/>
    <col min="11781" max="11781" width="14.453125" style="885" customWidth="1"/>
    <col min="11782" max="11782" width="58.08984375" style="885" customWidth="1"/>
    <col min="11783" max="11783" width="30.453125" style="885" customWidth="1"/>
    <col min="11784" max="11784" width="27.36328125" style="885" customWidth="1"/>
    <col min="11785" max="11785" width="30.90625" style="885" customWidth="1"/>
    <col min="11786" max="11786" width="24.90625" style="885" customWidth="1"/>
    <col min="11787" max="11787" width="27.36328125" style="885" customWidth="1"/>
    <col min="11788" max="11788" width="32" style="885" customWidth="1"/>
    <col min="11789" max="11789" width="25.54296875" style="885" customWidth="1"/>
    <col min="11790" max="11790" width="27.36328125" style="885" customWidth="1"/>
    <col min="11791" max="11791" width="31.453125" style="885" customWidth="1"/>
    <col min="11792" max="11792" width="30.54296875" style="885" customWidth="1"/>
    <col min="11793" max="11793" width="27.36328125" style="885" customWidth="1"/>
    <col min="11794" max="11794" width="32.54296875" style="885" customWidth="1"/>
    <col min="11795" max="11795" width="30.453125" style="885" customWidth="1"/>
    <col min="11796" max="11796" width="24.36328125" style="885" customWidth="1"/>
    <col min="11797" max="11797" width="28" style="885" customWidth="1"/>
    <col min="11798" max="11798" width="19.453125" style="885" customWidth="1"/>
    <col min="11799" max="12035" width="9.08984375" style="885"/>
    <col min="12036" max="12036" width="14.54296875" style="885" customWidth="1"/>
    <col min="12037" max="12037" width="14.453125" style="885" customWidth="1"/>
    <col min="12038" max="12038" width="58.08984375" style="885" customWidth="1"/>
    <col min="12039" max="12039" width="30.453125" style="885" customWidth="1"/>
    <col min="12040" max="12040" width="27.36328125" style="885" customWidth="1"/>
    <col min="12041" max="12041" width="30.90625" style="885" customWidth="1"/>
    <col min="12042" max="12042" width="24.90625" style="885" customWidth="1"/>
    <col min="12043" max="12043" width="27.36328125" style="885" customWidth="1"/>
    <col min="12044" max="12044" width="32" style="885" customWidth="1"/>
    <col min="12045" max="12045" width="25.54296875" style="885" customWidth="1"/>
    <col min="12046" max="12046" width="27.36328125" style="885" customWidth="1"/>
    <col min="12047" max="12047" width="31.453125" style="885" customWidth="1"/>
    <col min="12048" max="12048" width="30.54296875" style="885" customWidth="1"/>
    <col min="12049" max="12049" width="27.36328125" style="885" customWidth="1"/>
    <col min="12050" max="12050" width="32.54296875" style="885" customWidth="1"/>
    <col min="12051" max="12051" width="30.453125" style="885" customWidth="1"/>
    <col min="12052" max="12052" width="24.36328125" style="885" customWidth="1"/>
    <col min="12053" max="12053" width="28" style="885" customWidth="1"/>
    <col min="12054" max="12054" width="19.453125" style="885" customWidth="1"/>
    <col min="12055" max="12291" width="9.08984375" style="885"/>
    <col min="12292" max="12292" width="14.54296875" style="885" customWidth="1"/>
    <col min="12293" max="12293" width="14.453125" style="885" customWidth="1"/>
    <col min="12294" max="12294" width="58.08984375" style="885" customWidth="1"/>
    <col min="12295" max="12295" width="30.453125" style="885" customWidth="1"/>
    <col min="12296" max="12296" width="27.36328125" style="885" customWidth="1"/>
    <col min="12297" max="12297" width="30.90625" style="885" customWidth="1"/>
    <col min="12298" max="12298" width="24.90625" style="885" customWidth="1"/>
    <col min="12299" max="12299" width="27.36328125" style="885" customWidth="1"/>
    <col min="12300" max="12300" width="32" style="885" customWidth="1"/>
    <col min="12301" max="12301" width="25.54296875" style="885" customWidth="1"/>
    <col min="12302" max="12302" width="27.36328125" style="885" customWidth="1"/>
    <col min="12303" max="12303" width="31.453125" style="885" customWidth="1"/>
    <col min="12304" max="12304" width="30.54296875" style="885" customWidth="1"/>
    <col min="12305" max="12305" width="27.36328125" style="885" customWidth="1"/>
    <col min="12306" max="12306" width="32.54296875" style="885" customWidth="1"/>
    <col min="12307" max="12307" width="30.453125" style="885" customWidth="1"/>
    <col min="12308" max="12308" width="24.36328125" style="885" customWidth="1"/>
    <col min="12309" max="12309" width="28" style="885" customWidth="1"/>
    <col min="12310" max="12310" width="19.453125" style="885" customWidth="1"/>
    <col min="12311" max="12547" width="9.08984375" style="885"/>
    <col min="12548" max="12548" width="14.54296875" style="885" customWidth="1"/>
    <col min="12549" max="12549" width="14.453125" style="885" customWidth="1"/>
    <col min="12550" max="12550" width="58.08984375" style="885" customWidth="1"/>
    <col min="12551" max="12551" width="30.453125" style="885" customWidth="1"/>
    <col min="12552" max="12552" width="27.36328125" style="885" customWidth="1"/>
    <col min="12553" max="12553" width="30.90625" style="885" customWidth="1"/>
    <col min="12554" max="12554" width="24.90625" style="885" customWidth="1"/>
    <col min="12555" max="12555" width="27.36328125" style="885" customWidth="1"/>
    <col min="12556" max="12556" width="32" style="885" customWidth="1"/>
    <col min="12557" max="12557" width="25.54296875" style="885" customWidth="1"/>
    <col min="12558" max="12558" width="27.36328125" style="885" customWidth="1"/>
    <col min="12559" max="12559" width="31.453125" style="885" customWidth="1"/>
    <col min="12560" max="12560" width="30.54296875" style="885" customWidth="1"/>
    <col min="12561" max="12561" width="27.36328125" style="885" customWidth="1"/>
    <col min="12562" max="12562" width="32.54296875" style="885" customWidth="1"/>
    <col min="12563" max="12563" width="30.453125" style="885" customWidth="1"/>
    <col min="12564" max="12564" width="24.36328125" style="885" customWidth="1"/>
    <col min="12565" max="12565" width="28" style="885" customWidth="1"/>
    <col min="12566" max="12566" width="19.453125" style="885" customWidth="1"/>
    <col min="12567" max="12803" width="9.08984375" style="885"/>
    <col min="12804" max="12804" width="14.54296875" style="885" customWidth="1"/>
    <col min="12805" max="12805" width="14.453125" style="885" customWidth="1"/>
    <col min="12806" max="12806" width="58.08984375" style="885" customWidth="1"/>
    <col min="12807" max="12807" width="30.453125" style="885" customWidth="1"/>
    <col min="12808" max="12808" width="27.36328125" style="885" customWidth="1"/>
    <col min="12809" max="12809" width="30.90625" style="885" customWidth="1"/>
    <col min="12810" max="12810" width="24.90625" style="885" customWidth="1"/>
    <col min="12811" max="12811" width="27.36328125" style="885" customWidth="1"/>
    <col min="12812" max="12812" width="32" style="885" customWidth="1"/>
    <col min="12813" max="12813" width="25.54296875" style="885" customWidth="1"/>
    <col min="12814" max="12814" width="27.36328125" style="885" customWidth="1"/>
    <col min="12815" max="12815" width="31.453125" style="885" customWidth="1"/>
    <col min="12816" max="12816" width="30.54296875" style="885" customWidth="1"/>
    <col min="12817" max="12817" width="27.36328125" style="885" customWidth="1"/>
    <col min="12818" max="12818" width="32.54296875" style="885" customWidth="1"/>
    <col min="12819" max="12819" width="30.453125" style="885" customWidth="1"/>
    <col min="12820" max="12820" width="24.36328125" style="885" customWidth="1"/>
    <col min="12821" max="12821" width="28" style="885" customWidth="1"/>
    <col min="12822" max="12822" width="19.453125" style="885" customWidth="1"/>
    <col min="12823" max="13059" width="9.08984375" style="885"/>
    <col min="13060" max="13060" width="14.54296875" style="885" customWidth="1"/>
    <col min="13061" max="13061" width="14.453125" style="885" customWidth="1"/>
    <col min="13062" max="13062" width="58.08984375" style="885" customWidth="1"/>
    <col min="13063" max="13063" width="30.453125" style="885" customWidth="1"/>
    <col min="13064" max="13064" width="27.36328125" style="885" customWidth="1"/>
    <col min="13065" max="13065" width="30.90625" style="885" customWidth="1"/>
    <col min="13066" max="13066" width="24.90625" style="885" customWidth="1"/>
    <col min="13067" max="13067" width="27.36328125" style="885" customWidth="1"/>
    <col min="13068" max="13068" width="32" style="885" customWidth="1"/>
    <col min="13069" max="13069" width="25.54296875" style="885" customWidth="1"/>
    <col min="13070" max="13070" width="27.36328125" style="885" customWidth="1"/>
    <col min="13071" max="13071" width="31.453125" style="885" customWidth="1"/>
    <col min="13072" max="13072" width="30.54296875" style="885" customWidth="1"/>
    <col min="13073" max="13073" width="27.36328125" style="885" customWidth="1"/>
    <col min="13074" max="13074" width="32.54296875" style="885" customWidth="1"/>
    <col min="13075" max="13075" width="30.453125" style="885" customWidth="1"/>
    <col min="13076" max="13076" width="24.36328125" style="885" customWidth="1"/>
    <col min="13077" max="13077" width="28" style="885" customWidth="1"/>
    <col min="13078" max="13078" width="19.453125" style="885" customWidth="1"/>
    <col min="13079" max="13315" width="9.08984375" style="885"/>
    <col min="13316" max="13316" width="14.54296875" style="885" customWidth="1"/>
    <col min="13317" max="13317" width="14.453125" style="885" customWidth="1"/>
    <col min="13318" max="13318" width="58.08984375" style="885" customWidth="1"/>
    <col min="13319" max="13319" width="30.453125" style="885" customWidth="1"/>
    <col min="13320" max="13320" width="27.36328125" style="885" customWidth="1"/>
    <col min="13321" max="13321" width="30.90625" style="885" customWidth="1"/>
    <col min="13322" max="13322" width="24.90625" style="885" customWidth="1"/>
    <col min="13323" max="13323" width="27.36328125" style="885" customWidth="1"/>
    <col min="13324" max="13324" width="32" style="885" customWidth="1"/>
    <col min="13325" max="13325" width="25.54296875" style="885" customWidth="1"/>
    <col min="13326" max="13326" width="27.36328125" style="885" customWidth="1"/>
    <col min="13327" max="13327" width="31.453125" style="885" customWidth="1"/>
    <col min="13328" max="13328" width="30.54296875" style="885" customWidth="1"/>
    <col min="13329" max="13329" width="27.36328125" style="885" customWidth="1"/>
    <col min="13330" max="13330" width="32.54296875" style="885" customWidth="1"/>
    <col min="13331" max="13331" width="30.453125" style="885" customWidth="1"/>
    <col min="13332" max="13332" width="24.36328125" style="885" customWidth="1"/>
    <col min="13333" max="13333" width="28" style="885" customWidth="1"/>
    <col min="13334" max="13334" width="19.453125" style="885" customWidth="1"/>
    <col min="13335" max="13571" width="9.08984375" style="885"/>
    <col min="13572" max="13572" width="14.54296875" style="885" customWidth="1"/>
    <col min="13573" max="13573" width="14.453125" style="885" customWidth="1"/>
    <col min="13574" max="13574" width="58.08984375" style="885" customWidth="1"/>
    <col min="13575" max="13575" width="30.453125" style="885" customWidth="1"/>
    <col min="13576" max="13576" width="27.36328125" style="885" customWidth="1"/>
    <col min="13577" max="13577" width="30.90625" style="885" customWidth="1"/>
    <col min="13578" max="13578" width="24.90625" style="885" customWidth="1"/>
    <col min="13579" max="13579" width="27.36328125" style="885" customWidth="1"/>
    <col min="13580" max="13580" width="32" style="885" customWidth="1"/>
    <col min="13581" max="13581" width="25.54296875" style="885" customWidth="1"/>
    <col min="13582" max="13582" width="27.36328125" style="885" customWidth="1"/>
    <col min="13583" max="13583" width="31.453125" style="885" customWidth="1"/>
    <col min="13584" max="13584" width="30.54296875" style="885" customWidth="1"/>
    <col min="13585" max="13585" width="27.36328125" style="885" customWidth="1"/>
    <col min="13586" max="13586" width="32.54296875" style="885" customWidth="1"/>
    <col min="13587" max="13587" width="30.453125" style="885" customWidth="1"/>
    <col min="13588" max="13588" width="24.36328125" style="885" customWidth="1"/>
    <col min="13589" max="13589" width="28" style="885" customWidth="1"/>
    <col min="13590" max="13590" width="19.453125" style="885" customWidth="1"/>
    <col min="13591" max="13827" width="9.08984375" style="885"/>
    <col min="13828" max="13828" width="14.54296875" style="885" customWidth="1"/>
    <col min="13829" max="13829" width="14.453125" style="885" customWidth="1"/>
    <col min="13830" max="13830" width="58.08984375" style="885" customWidth="1"/>
    <col min="13831" max="13831" width="30.453125" style="885" customWidth="1"/>
    <col min="13832" max="13832" width="27.36328125" style="885" customWidth="1"/>
    <col min="13833" max="13833" width="30.90625" style="885" customWidth="1"/>
    <col min="13834" max="13834" width="24.90625" style="885" customWidth="1"/>
    <col min="13835" max="13835" width="27.36328125" style="885" customWidth="1"/>
    <col min="13836" max="13836" width="32" style="885" customWidth="1"/>
    <col min="13837" max="13837" width="25.54296875" style="885" customWidth="1"/>
    <col min="13838" max="13838" width="27.36328125" style="885" customWidth="1"/>
    <col min="13839" max="13839" width="31.453125" style="885" customWidth="1"/>
    <col min="13840" max="13840" width="30.54296875" style="885" customWidth="1"/>
    <col min="13841" max="13841" width="27.36328125" style="885" customWidth="1"/>
    <col min="13842" max="13842" width="32.54296875" style="885" customWidth="1"/>
    <col min="13843" max="13843" width="30.453125" style="885" customWidth="1"/>
    <col min="13844" max="13844" width="24.36328125" style="885" customWidth="1"/>
    <col min="13845" max="13845" width="28" style="885" customWidth="1"/>
    <col min="13846" max="13846" width="19.453125" style="885" customWidth="1"/>
    <col min="13847" max="14083" width="9.08984375" style="885"/>
    <col min="14084" max="14084" width="14.54296875" style="885" customWidth="1"/>
    <col min="14085" max="14085" width="14.453125" style="885" customWidth="1"/>
    <col min="14086" max="14086" width="58.08984375" style="885" customWidth="1"/>
    <col min="14087" max="14087" width="30.453125" style="885" customWidth="1"/>
    <col min="14088" max="14088" width="27.36328125" style="885" customWidth="1"/>
    <col min="14089" max="14089" width="30.90625" style="885" customWidth="1"/>
    <col min="14090" max="14090" width="24.90625" style="885" customWidth="1"/>
    <col min="14091" max="14091" width="27.36328125" style="885" customWidth="1"/>
    <col min="14092" max="14092" width="32" style="885" customWidth="1"/>
    <col min="14093" max="14093" width="25.54296875" style="885" customWidth="1"/>
    <col min="14094" max="14094" width="27.36328125" style="885" customWidth="1"/>
    <col min="14095" max="14095" width="31.453125" style="885" customWidth="1"/>
    <col min="14096" max="14096" width="30.54296875" style="885" customWidth="1"/>
    <col min="14097" max="14097" width="27.36328125" style="885" customWidth="1"/>
    <col min="14098" max="14098" width="32.54296875" style="885" customWidth="1"/>
    <col min="14099" max="14099" width="30.453125" style="885" customWidth="1"/>
    <col min="14100" max="14100" width="24.36328125" style="885" customWidth="1"/>
    <col min="14101" max="14101" width="28" style="885" customWidth="1"/>
    <col min="14102" max="14102" width="19.453125" style="885" customWidth="1"/>
    <col min="14103" max="14339" width="9.08984375" style="885"/>
    <col min="14340" max="14340" width="14.54296875" style="885" customWidth="1"/>
    <col min="14341" max="14341" width="14.453125" style="885" customWidth="1"/>
    <col min="14342" max="14342" width="58.08984375" style="885" customWidth="1"/>
    <col min="14343" max="14343" width="30.453125" style="885" customWidth="1"/>
    <col min="14344" max="14344" width="27.36328125" style="885" customWidth="1"/>
    <col min="14345" max="14345" width="30.90625" style="885" customWidth="1"/>
    <col min="14346" max="14346" width="24.90625" style="885" customWidth="1"/>
    <col min="14347" max="14347" width="27.36328125" style="885" customWidth="1"/>
    <col min="14348" max="14348" width="32" style="885" customWidth="1"/>
    <col min="14349" max="14349" width="25.54296875" style="885" customWidth="1"/>
    <col min="14350" max="14350" width="27.36328125" style="885" customWidth="1"/>
    <col min="14351" max="14351" width="31.453125" style="885" customWidth="1"/>
    <col min="14352" max="14352" width="30.54296875" style="885" customWidth="1"/>
    <col min="14353" max="14353" width="27.36328125" style="885" customWidth="1"/>
    <col min="14354" max="14354" width="32.54296875" style="885" customWidth="1"/>
    <col min="14355" max="14355" width="30.453125" style="885" customWidth="1"/>
    <col min="14356" max="14356" width="24.36328125" style="885" customWidth="1"/>
    <col min="14357" max="14357" width="28" style="885" customWidth="1"/>
    <col min="14358" max="14358" width="19.453125" style="885" customWidth="1"/>
    <col min="14359" max="14595" width="9.08984375" style="885"/>
    <col min="14596" max="14596" width="14.54296875" style="885" customWidth="1"/>
    <col min="14597" max="14597" width="14.453125" style="885" customWidth="1"/>
    <col min="14598" max="14598" width="58.08984375" style="885" customWidth="1"/>
    <col min="14599" max="14599" width="30.453125" style="885" customWidth="1"/>
    <col min="14600" max="14600" width="27.36328125" style="885" customWidth="1"/>
    <col min="14601" max="14601" width="30.90625" style="885" customWidth="1"/>
    <col min="14602" max="14602" width="24.90625" style="885" customWidth="1"/>
    <col min="14603" max="14603" width="27.36328125" style="885" customWidth="1"/>
    <col min="14604" max="14604" width="32" style="885" customWidth="1"/>
    <col min="14605" max="14605" width="25.54296875" style="885" customWidth="1"/>
    <col min="14606" max="14606" width="27.36328125" style="885" customWidth="1"/>
    <col min="14607" max="14607" width="31.453125" style="885" customWidth="1"/>
    <col min="14608" max="14608" width="30.54296875" style="885" customWidth="1"/>
    <col min="14609" max="14609" width="27.36328125" style="885" customWidth="1"/>
    <col min="14610" max="14610" width="32.54296875" style="885" customWidth="1"/>
    <col min="14611" max="14611" width="30.453125" style="885" customWidth="1"/>
    <col min="14612" max="14612" width="24.36328125" style="885" customWidth="1"/>
    <col min="14613" max="14613" width="28" style="885" customWidth="1"/>
    <col min="14614" max="14614" width="19.453125" style="885" customWidth="1"/>
    <col min="14615" max="14851" width="9.08984375" style="885"/>
    <col min="14852" max="14852" width="14.54296875" style="885" customWidth="1"/>
    <col min="14853" max="14853" width="14.453125" style="885" customWidth="1"/>
    <col min="14854" max="14854" width="58.08984375" style="885" customWidth="1"/>
    <col min="14855" max="14855" width="30.453125" style="885" customWidth="1"/>
    <col min="14856" max="14856" width="27.36328125" style="885" customWidth="1"/>
    <col min="14857" max="14857" width="30.90625" style="885" customWidth="1"/>
    <col min="14858" max="14858" width="24.90625" style="885" customWidth="1"/>
    <col min="14859" max="14859" width="27.36328125" style="885" customWidth="1"/>
    <col min="14860" max="14860" width="32" style="885" customWidth="1"/>
    <col min="14861" max="14861" width="25.54296875" style="885" customWidth="1"/>
    <col min="14862" max="14862" width="27.36328125" style="885" customWidth="1"/>
    <col min="14863" max="14863" width="31.453125" style="885" customWidth="1"/>
    <col min="14864" max="14864" width="30.54296875" style="885" customWidth="1"/>
    <col min="14865" max="14865" width="27.36328125" style="885" customWidth="1"/>
    <col min="14866" max="14866" width="32.54296875" style="885" customWidth="1"/>
    <col min="14867" max="14867" width="30.453125" style="885" customWidth="1"/>
    <col min="14868" max="14868" width="24.36328125" style="885" customWidth="1"/>
    <col min="14869" max="14869" width="28" style="885" customWidth="1"/>
    <col min="14870" max="14870" width="19.453125" style="885" customWidth="1"/>
    <col min="14871" max="15107" width="9.08984375" style="885"/>
    <col min="15108" max="15108" width="14.54296875" style="885" customWidth="1"/>
    <col min="15109" max="15109" width="14.453125" style="885" customWidth="1"/>
    <col min="15110" max="15110" width="58.08984375" style="885" customWidth="1"/>
    <col min="15111" max="15111" width="30.453125" style="885" customWidth="1"/>
    <col min="15112" max="15112" width="27.36328125" style="885" customWidth="1"/>
    <col min="15113" max="15113" width="30.90625" style="885" customWidth="1"/>
    <col min="15114" max="15114" width="24.90625" style="885" customWidth="1"/>
    <col min="15115" max="15115" width="27.36328125" style="885" customWidth="1"/>
    <col min="15116" max="15116" width="32" style="885" customWidth="1"/>
    <col min="15117" max="15117" width="25.54296875" style="885" customWidth="1"/>
    <col min="15118" max="15118" width="27.36328125" style="885" customWidth="1"/>
    <col min="15119" max="15119" width="31.453125" style="885" customWidth="1"/>
    <col min="15120" max="15120" width="30.54296875" style="885" customWidth="1"/>
    <col min="15121" max="15121" width="27.36328125" style="885" customWidth="1"/>
    <col min="15122" max="15122" width="32.54296875" style="885" customWidth="1"/>
    <col min="15123" max="15123" width="30.453125" style="885" customWidth="1"/>
    <col min="15124" max="15124" width="24.36328125" style="885" customWidth="1"/>
    <col min="15125" max="15125" width="28" style="885" customWidth="1"/>
    <col min="15126" max="15126" width="19.453125" style="885" customWidth="1"/>
    <col min="15127" max="15363" width="9.08984375" style="885"/>
    <col min="15364" max="15364" width="14.54296875" style="885" customWidth="1"/>
    <col min="15365" max="15365" width="14.453125" style="885" customWidth="1"/>
    <col min="15366" max="15366" width="58.08984375" style="885" customWidth="1"/>
    <col min="15367" max="15367" width="30.453125" style="885" customWidth="1"/>
    <col min="15368" max="15368" width="27.36328125" style="885" customWidth="1"/>
    <col min="15369" max="15369" width="30.90625" style="885" customWidth="1"/>
    <col min="15370" max="15370" width="24.90625" style="885" customWidth="1"/>
    <col min="15371" max="15371" width="27.36328125" style="885" customWidth="1"/>
    <col min="15372" max="15372" width="32" style="885" customWidth="1"/>
    <col min="15373" max="15373" width="25.54296875" style="885" customWidth="1"/>
    <col min="15374" max="15374" width="27.36328125" style="885" customWidth="1"/>
    <col min="15375" max="15375" width="31.453125" style="885" customWidth="1"/>
    <col min="15376" max="15376" width="30.54296875" style="885" customWidth="1"/>
    <col min="15377" max="15377" width="27.36328125" style="885" customWidth="1"/>
    <col min="15378" max="15378" width="32.54296875" style="885" customWidth="1"/>
    <col min="15379" max="15379" width="30.453125" style="885" customWidth="1"/>
    <col min="15380" max="15380" width="24.36328125" style="885" customWidth="1"/>
    <col min="15381" max="15381" width="28" style="885" customWidth="1"/>
    <col min="15382" max="15382" width="19.453125" style="885" customWidth="1"/>
    <col min="15383" max="15619" width="9.08984375" style="885"/>
    <col min="15620" max="15620" width="14.54296875" style="885" customWidth="1"/>
    <col min="15621" max="15621" width="14.453125" style="885" customWidth="1"/>
    <col min="15622" max="15622" width="58.08984375" style="885" customWidth="1"/>
    <col min="15623" max="15623" width="30.453125" style="885" customWidth="1"/>
    <col min="15624" max="15624" width="27.36328125" style="885" customWidth="1"/>
    <col min="15625" max="15625" width="30.90625" style="885" customWidth="1"/>
    <col min="15626" max="15626" width="24.90625" style="885" customWidth="1"/>
    <col min="15627" max="15627" width="27.36328125" style="885" customWidth="1"/>
    <col min="15628" max="15628" width="32" style="885" customWidth="1"/>
    <col min="15629" max="15629" width="25.54296875" style="885" customWidth="1"/>
    <col min="15630" max="15630" width="27.36328125" style="885" customWidth="1"/>
    <col min="15631" max="15631" width="31.453125" style="885" customWidth="1"/>
    <col min="15632" max="15632" width="30.54296875" style="885" customWidth="1"/>
    <col min="15633" max="15633" width="27.36328125" style="885" customWidth="1"/>
    <col min="15634" max="15634" width="32.54296875" style="885" customWidth="1"/>
    <col min="15635" max="15635" width="30.453125" style="885" customWidth="1"/>
    <col min="15636" max="15636" width="24.36328125" style="885" customWidth="1"/>
    <col min="15637" max="15637" width="28" style="885" customWidth="1"/>
    <col min="15638" max="15638" width="19.453125" style="885" customWidth="1"/>
    <col min="15639" max="15875" width="9.08984375" style="885"/>
    <col min="15876" max="15876" width="14.54296875" style="885" customWidth="1"/>
    <col min="15877" max="15877" width="14.453125" style="885" customWidth="1"/>
    <col min="15878" max="15878" width="58.08984375" style="885" customWidth="1"/>
    <col min="15879" max="15879" width="30.453125" style="885" customWidth="1"/>
    <col min="15880" max="15880" width="27.36328125" style="885" customWidth="1"/>
    <col min="15881" max="15881" width="30.90625" style="885" customWidth="1"/>
    <col min="15882" max="15882" width="24.90625" style="885" customWidth="1"/>
    <col min="15883" max="15883" width="27.36328125" style="885" customWidth="1"/>
    <col min="15884" max="15884" width="32" style="885" customWidth="1"/>
    <col min="15885" max="15885" width="25.54296875" style="885" customWidth="1"/>
    <col min="15886" max="15886" width="27.36328125" style="885" customWidth="1"/>
    <col min="15887" max="15887" width="31.453125" style="885" customWidth="1"/>
    <col min="15888" max="15888" width="30.54296875" style="885" customWidth="1"/>
    <col min="15889" max="15889" width="27.36328125" style="885" customWidth="1"/>
    <col min="15890" max="15890" width="32.54296875" style="885" customWidth="1"/>
    <col min="15891" max="15891" width="30.453125" style="885" customWidth="1"/>
    <col min="15892" max="15892" width="24.36328125" style="885" customWidth="1"/>
    <col min="15893" max="15893" width="28" style="885" customWidth="1"/>
    <col min="15894" max="15894" width="19.453125" style="885" customWidth="1"/>
    <col min="15895" max="16131" width="9.08984375" style="885"/>
    <col min="16132" max="16132" width="14.54296875" style="885" customWidth="1"/>
    <col min="16133" max="16133" width="14.453125" style="885" customWidth="1"/>
    <col min="16134" max="16134" width="58.08984375" style="885" customWidth="1"/>
    <col min="16135" max="16135" width="30.453125" style="885" customWidth="1"/>
    <col min="16136" max="16136" width="27.36328125" style="885" customWidth="1"/>
    <col min="16137" max="16137" width="30.90625" style="885" customWidth="1"/>
    <col min="16138" max="16138" width="24.90625" style="885" customWidth="1"/>
    <col min="16139" max="16139" width="27.36328125" style="885" customWidth="1"/>
    <col min="16140" max="16140" width="32" style="885" customWidth="1"/>
    <col min="16141" max="16141" width="25.54296875" style="885" customWidth="1"/>
    <col min="16142" max="16142" width="27.36328125" style="885" customWidth="1"/>
    <col min="16143" max="16143" width="31.453125" style="885" customWidth="1"/>
    <col min="16144" max="16144" width="30.54296875" style="885" customWidth="1"/>
    <col min="16145" max="16145" width="27.36328125" style="885" customWidth="1"/>
    <col min="16146" max="16146" width="32.54296875" style="885" customWidth="1"/>
    <col min="16147" max="16147" width="30.453125" style="885" customWidth="1"/>
    <col min="16148" max="16148" width="24.36328125" style="885" customWidth="1"/>
    <col min="16149" max="16149" width="28" style="885" customWidth="1"/>
    <col min="16150" max="16150" width="19.453125" style="885" customWidth="1"/>
    <col min="16151" max="16384" width="9.08984375" style="885"/>
  </cols>
  <sheetData>
    <row r="1" spans="2:21" x14ac:dyDescent="0.3">
      <c r="C1" s="883"/>
      <c r="D1" s="884"/>
      <c r="E1" s="884"/>
      <c r="F1" s="884"/>
      <c r="G1" s="884"/>
      <c r="K1" s="884"/>
      <c r="L1" s="884"/>
      <c r="M1" s="884"/>
    </row>
    <row r="2" spans="2:21" s="861" customFormat="1" x14ac:dyDescent="0.3">
      <c r="B2" s="22"/>
      <c r="C2" s="888"/>
      <c r="D2" s="22"/>
      <c r="E2" s="22" t="str">
        <f>Index!B2</f>
        <v xml:space="preserve">      Maharashtra State Power Generation Company Ltd.</v>
      </c>
      <c r="F2" s="22"/>
      <c r="G2" s="22"/>
      <c r="H2" s="844"/>
    </row>
    <row r="3" spans="2:21" s="861" customFormat="1" x14ac:dyDescent="0.3">
      <c r="B3" s="889"/>
      <c r="C3" s="888"/>
      <c r="D3" s="874"/>
      <c r="E3" s="874"/>
      <c r="F3" s="874"/>
      <c r="G3" s="874"/>
      <c r="H3" s="1078"/>
    </row>
    <row r="4" spans="2:21" s="861" customFormat="1" ht="15" customHeight="1" x14ac:dyDescent="0.3">
      <c r="B4" s="889"/>
      <c r="C4" s="888"/>
      <c r="D4" s="874"/>
      <c r="E4" s="874"/>
      <c r="F4" s="874"/>
      <c r="G4" s="874"/>
      <c r="H4" s="863" t="s">
        <v>1108</v>
      </c>
    </row>
    <row r="5" spans="2:21" ht="15" customHeight="1" x14ac:dyDescent="0.3">
      <c r="U5" s="891" t="s">
        <v>10</v>
      </c>
    </row>
    <row r="6" spans="2:21" s="892" customFormat="1" x14ac:dyDescent="0.3">
      <c r="B6" s="1980" t="s">
        <v>339</v>
      </c>
      <c r="C6" s="1980" t="s">
        <v>1109</v>
      </c>
      <c r="D6" s="1985" t="s">
        <v>1110</v>
      </c>
      <c r="E6" s="1986"/>
      <c r="F6" s="1986"/>
      <c r="G6" s="1986"/>
      <c r="H6" s="1986"/>
      <c r="I6" s="1986"/>
      <c r="J6" s="1986"/>
      <c r="K6" s="1986"/>
      <c r="L6" s="1986"/>
      <c r="M6" s="1986"/>
      <c r="N6" s="1986"/>
      <c r="O6" s="1986"/>
      <c r="P6" s="1986"/>
      <c r="Q6" s="1986"/>
      <c r="R6" s="1986"/>
      <c r="S6" s="1987"/>
      <c r="T6" s="1988" t="s">
        <v>1111</v>
      </c>
      <c r="U6" s="1991" t="s">
        <v>1112</v>
      </c>
    </row>
    <row r="7" spans="2:21" s="893" customFormat="1" x14ac:dyDescent="0.25">
      <c r="B7" s="1981"/>
      <c r="C7" s="1981"/>
      <c r="D7" s="1994" t="s">
        <v>1113</v>
      </c>
      <c r="E7" s="1994"/>
      <c r="F7" s="1994"/>
      <c r="G7" s="1994"/>
      <c r="H7" s="1994" t="s">
        <v>1114</v>
      </c>
      <c r="I7" s="1994"/>
      <c r="J7" s="1994"/>
      <c r="K7" s="1994" t="s">
        <v>1114</v>
      </c>
      <c r="L7" s="1994"/>
      <c r="M7" s="1994"/>
      <c r="N7" s="1994" t="s">
        <v>1115</v>
      </c>
      <c r="O7" s="1994"/>
      <c r="P7" s="1994"/>
      <c r="Q7" s="1994" t="s">
        <v>1116</v>
      </c>
      <c r="R7" s="1994"/>
      <c r="S7" s="1994"/>
      <c r="T7" s="1989"/>
      <c r="U7" s="1992"/>
    </row>
    <row r="8" spans="2:21" s="895" customFormat="1" ht="70" x14ac:dyDescent="0.25">
      <c r="B8" s="1982"/>
      <c r="C8" s="1981"/>
      <c r="D8" s="894" t="s">
        <v>1117</v>
      </c>
      <c r="E8" s="894" t="s">
        <v>1118</v>
      </c>
      <c r="F8" s="894" t="s">
        <v>1119</v>
      </c>
      <c r="G8" s="894" t="s">
        <v>1120</v>
      </c>
      <c r="H8" s="894" t="s">
        <v>1118</v>
      </c>
      <c r="I8" s="894" t="s">
        <v>1119</v>
      </c>
      <c r="J8" s="894" t="s">
        <v>1120</v>
      </c>
      <c r="K8" s="894" t="s">
        <v>1118</v>
      </c>
      <c r="L8" s="894" t="s">
        <v>1119</v>
      </c>
      <c r="M8" s="894" t="s">
        <v>1120</v>
      </c>
      <c r="N8" s="894" t="s">
        <v>23</v>
      </c>
      <c r="O8" s="894" t="s">
        <v>23</v>
      </c>
      <c r="P8" s="894" t="s">
        <v>23</v>
      </c>
      <c r="Q8" s="894" t="s">
        <v>1118</v>
      </c>
      <c r="R8" s="894" t="s">
        <v>1119</v>
      </c>
      <c r="S8" s="894" t="s">
        <v>1120</v>
      </c>
      <c r="T8" s="1990"/>
      <c r="U8" s="1992"/>
    </row>
    <row r="9" spans="2:21" s="895" customFormat="1" x14ac:dyDescent="0.25">
      <c r="B9" s="1983"/>
      <c r="C9" s="1984"/>
      <c r="D9" s="894"/>
      <c r="E9" s="894" t="s">
        <v>80</v>
      </c>
      <c r="F9" s="894" t="s">
        <v>81</v>
      </c>
      <c r="G9" s="894" t="s">
        <v>1121</v>
      </c>
      <c r="H9" s="894" t="s">
        <v>390</v>
      </c>
      <c r="I9" s="894" t="s">
        <v>408</v>
      </c>
      <c r="J9" s="894" t="s">
        <v>1122</v>
      </c>
      <c r="K9" s="894" t="s">
        <v>409</v>
      </c>
      <c r="L9" s="894" t="s">
        <v>410</v>
      </c>
      <c r="M9" s="894" t="s">
        <v>1123</v>
      </c>
      <c r="N9" s="894"/>
      <c r="O9" s="894"/>
      <c r="P9" s="894"/>
      <c r="Q9" s="894" t="s">
        <v>1124</v>
      </c>
      <c r="R9" s="894" t="s">
        <v>1125</v>
      </c>
      <c r="S9" s="894" t="s">
        <v>1126</v>
      </c>
      <c r="T9" s="896" t="s">
        <v>1127</v>
      </c>
      <c r="U9" s="1993"/>
    </row>
    <row r="10" spans="2:21" s="900" customFormat="1" x14ac:dyDescent="0.3">
      <c r="B10" s="897">
        <v>1</v>
      </c>
      <c r="C10" s="898" t="s">
        <v>1128</v>
      </c>
      <c r="D10" s="899"/>
      <c r="E10" s="899"/>
      <c r="F10" s="899"/>
      <c r="G10" s="899"/>
      <c r="H10" s="899"/>
      <c r="I10" s="899"/>
      <c r="J10" s="899"/>
      <c r="K10" s="899"/>
      <c r="L10" s="899"/>
      <c r="M10" s="899"/>
      <c r="N10" s="899"/>
      <c r="O10" s="899"/>
      <c r="P10" s="899"/>
      <c r="Q10" s="899"/>
      <c r="R10" s="899"/>
      <c r="S10" s="899"/>
      <c r="T10" s="899"/>
      <c r="U10" s="899"/>
    </row>
    <row r="11" spans="2:21" x14ac:dyDescent="0.3">
      <c r="B11" s="901">
        <v>1.1000000000000001</v>
      </c>
      <c r="C11" s="902" t="s">
        <v>1129</v>
      </c>
      <c r="D11" s="899"/>
      <c r="E11" s="899"/>
      <c r="F11" s="899"/>
      <c r="G11" s="899"/>
      <c r="H11" s="899"/>
      <c r="I11" s="899"/>
      <c r="J11" s="899"/>
      <c r="K11" s="899"/>
      <c r="L11" s="899"/>
      <c r="M11" s="899"/>
      <c r="N11" s="899"/>
      <c r="O11" s="899"/>
      <c r="P11" s="899"/>
      <c r="Q11" s="899"/>
      <c r="R11" s="899"/>
      <c r="S11" s="899"/>
      <c r="T11" s="899"/>
      <c r="U11" s="899"/>
    </row>
    <row r="12" spans="2:21" x14ac:dyDescent="0.3">
      <c r="B12" s="901">
        <v>1.2</v>
      </c>
      <c r="C12" s="903" t="s">
        <v>1130</v>
      </c>
      <c r="D12" s="899"/>
      <c r="E12" s="899"/>
      <c r="F12" s="899"/>
      <c r="G12" s="899"/>
      <c r="H12" s="899"/>
      <c r="I12" s="899"/>
      <c r="J12" s="899"/>
      <c r="K12" s="899"/>
      <c r="L12" s="899"/>
      <c r="M12" s="899"/>
      <c r="N12" s="899"/>
      <c r="O12" s="899"/>
      <c r="P12" s="899"/>
      <c r="Q12" s="899"/>
      <c r="R12" s="899"/>
      <c r="S12" s="899"/>
      <c r="T12" s="899"/>
      <c r="U12" s="899"/>
    </row>
    <row r="13" spans="2:21" x14ac:dyDescent="0.3">
      <c r="B13" s="904">
        <v>1.3</v>
      </c>
      <c r="C13" s="903" t="s">
        <v>1131</v>
      </c>
      <c r="D13" s="899"/>
      <c r="E13" s="899"/>
      <c r="F13" s="899"/>
      <c r="G13" s="899"/>
      <c r="H13" s="899"/>
      <c r="I13" s="899"/>
      <c r="J13" s="899"/>
      <c r="K13" s="899"/>
      <c r="L13" s="899"/>
      <c r="M13" s="899"/>
      <c r="N13" s="899"/>
      <c r="O13" s="899"/>
      <c r="P13" s="899"/>
      <c r="Q13" s="899"/>
      <c r="R13" s="899"/>
      <c r="S13" s="899"/>
      <c r="T13" s="899"/>
      <c r="U13" s="899"/>
    </row>
    <row r="14" spans="2:21" s="900" customFormat="1" x14ac:dyDescent="0.3">
      <c r="B14" s="905"/>
      <c r="C14" s="906" t="s">
        <v>1132</v>
      </c>
      <c r="D14" s="899"/>
      <c r="E14" s="899"/>
      <c r="F14" s="899"/>
      <c r="G14" s="899"/>
      <c r="H14" s="899"/>
      <c r="I14" s="899"/>
      <c r="J14" s="899"/>
      <c r="K14" s="899"/>
      <c r="L14" s="899"/>
      <c r="M14" s="899"/>
      <c r="N14" s="899"/>
      <c r="O14" s="899"/>
      <c r="P14" s="899"/>
      <c r="Q14" s="899"/>
      <c r="R14" s="899"/>
      <c r="S14" s="899"/>
      <c r="T14" s="899"/>
      <c r="U14" s="899"/>
    </row>
    <row r="15" spans="2:21" s="900" customFormat="1" x14ac:dyDescent="0.3">
      <c r="B15" s="905"/>
      <c r="C15" s="906"/>
      <c r="D15" s="899"/>
      <c r="E15" s="899"/>
      <c r="F15" s="899"/>
      <c r="G15" s="899"/>
      <c r="H15" s="899"/>
      <c r="I15" s="899"/>
      <c r="J15" s="899"/>
      <c r="K15" s="899"/>
      <c r="L15" s="899"/>
      <c r="M15" s="899"/>
      <c r="N15" s="899"/>
      <c r="O15" s="899"/>
      <c r="P15" s="899"/>
      <c r="Q15" s="899"/>
      <c r="R15" s="899"/>
      <c r="S15" s="899"/>
      <c r="T15" s="899"/>
      <c r="U15" s="899"/>
    </row>
    <row r="16" spans="2:21" s="900" customFormat="1" x14ac:dyDescent="0.3">
      <c r="B16" s="907">
        <v>2</v>
      </c>
      <c r="C16" s="906" t="s">
        <v>1133</v>
      </c>
      <c r="D16" s="899"/>
      <c r="E16" s="899"/>
      <c r="F16" s="899"/>
      <c r="G16" s="899"/>
      <c r="H16" s="899"/>
      <c r="I16" s="899"/>
      <c r="J16" s="899"/>
      <c r="K16" s="899"/>
      <c r="L16" s="899"/>
      <c r="M16" s="899"/>
      <c r="N16" s="899"/>
      <c r="O16" s="899"/>
      <c r="P16" s="899"/>
      <c r="Q16" s="899"/>
      <c r="R16" s="899"/>
      <c r="S16" s="899"/>
      <c r="T16" s="899"/>
      <c r="U16" s="899"/>
    </row>
    <row r="17" spans="2:22" s="900" customFormat="1" x14ac:dyDescent="0.3">
      <c r="B17" s="907">
        <v>2.1</v>
      </c>
      <c r="C17" s="906" t="s">
        <v>1134</v>
      </c>
      <c r="D17" s="899"/>
      <c r="E17" s="899"/>
      <c r="F17" s="899"/>
      <c r="G17" s="899"/>
      <c r="H17" s="899"/>
      <c r="I17" s="899"/>
      <c r="J17" s="899"/>
      <c r="K17" s="899"/>
      <c r="L17" s="899"/>
      <c r="M17" s="899"/>
      <c r="N17" s="899"/>
      <c r="O17" s="899"/>
      <c r="P17" s="899"/>
      <c r="Q17" s="899"/>
      <c r="R17" s="899"/>
      <c r="S17" s="899"/>
      <c r="T17" s="899"/>
      <c r="U17" s="899"/>
    </row>
    <row r="18" spans="2:22" x14ac:dyDescent="0.3">
      <c r="B18" s="908" t="s">
        <v>108</v>
      </c>
      <c r="C18" s="909" t="s">
        <v>1135</v>
      </c>
      <c r="D18" s="899"/>
      <c r="E18" s="899"/>
      <c r="F18" s="899"/>
      <c r="G18" s="899"/>
      <c r="H18" s="899"/>
      <c r="I18" s="899"/>
      <c r="J18" s="899"/>
      <c r="K18" s="899"/>
      <c r="L18" s="899"/>
      <c r="M18" s="899"/>
      <c r="N18" s="899"/>
      <c r="O18" s="899"/>
      <c r="P18" s="899"/>
      <c r="Q18" s="899"/>
      <c r="R18" s="899"/>
      <c r="S18" s="899"/>
      <c r="T18" s="899"/>
      <c r="U18" s="899"/>
    </row>
    <row r="19" spans="2:22" x14ac:dyDescent="0.3">
      <c r="B19" s="908" t="s">
        <v>110</v>
      </c>
      <c r="C19" s="909" t="s">
        <v>1136</v>
      </c>
      <c r="D19" s="899"/>
      <c r="E19" s="899"/>
      <c r="F19" s="899"/>
      <c r="G19" s="899"/>
      <c r="H19" s="899"/>
      <c r="I19" s="899"/>
      <c r="J19" s="899"/>
      <c r="K19" s="899"/>
      <c r="L19" s="899"/>
      <c r="M19" s="899"/>
      <c r="N19" s="899"/>
      <c r="O19" s="899"/>
      <c r="P19" s="899"/>
      <c r="Q19" s="899"/>
      <c r="R19" s="899"/>
      <c r="S19" s="899"/>
      <c r="T19" s="899"/>
      <c r="U19" s="899"/>
    </row>
    <row r="20" spans="2:22" x14ac:dyDescent="0.3">
      <c r="B20" s="908" t="s">
        <v>112</v>
      </c>
      <c r="C20" s="909" t="s">
        <v>1137</v>
      </c>
      <c r="D20" s="899"/>
      <c r="E20" s="899"/>
      <c r="F20" s="899"/>
      <c r="G20" s="899"/>
      <c r="H20" s="899"/>
      <c r="I20" s="899"/>
      <c r="J20" s="899"/>
      <c r="K20" s="899"/>
      <c r="L20" s="899"/>
      <c r="M20" s="899"/>
      <c r="N20" s="899"/>
      <c r="O20" s="899"/>
      <c r="P20" s="899"/>
      <c r="Q20" s="899"/>
      <c r="R20" s="899"/>
      <c r="S20" s="899"/>
      <c r="T20" s="899"/>
      <c r="U20" s="899"/>
    </row>
    <row r="21" spans="2:22" x14ac:dyDescent="0.3">
      <c r="B21" s="908" t="s">
        <v>747</v>
      </c>
      <c r="C21" s="909" t="s">
        <v>1138</v>
      </c>
      <c r="D21" s="899"/>
      <c r="E21" s="899"/>
      <c r="F21" s="899"/>
      <c r="G21" s="899"/>
      <c r="H21" s="899"/>
      <c r="I21" s="899"/>
      <c r="J21" s="899"/>
      <c r="K21" s="899"/>
      <c r="L21" s="899"/>
      <c r="M21" s="899"/>
      <c r="N21" s="899"/>
      <c r="O21" s="899"/>
      <c r="P21" s="899"/>
      <c r="Q21" s="899"/>
      <c r="R21" s="899"/>
      <c r="S21" s="899"/>
      <c r="T21" s="899"/>
      <c r="U21" s="899"/>
    </row>
    <row r="22" spans="2:22" x14ac:dyDescent="0.3">
      <c r="B22" s="908" t="s">
        <v>859</v>
      </c>
      <c r="C22" s="909" t="s">
        <v>1139</v>
      </c>
      <c r="D22" s="899"/>
      <c r="E22" s="899"/>
      <c r="F22" s="899"/>
      <c r="G22" s="899"/>
      <c r="H22" s="899"/>
      <c r="I22" s="899"/>
      <c r="J22" s="899"/>
      <c r="K22" s="899"/>
      <c r="L22" s="899"/>
      <c r="M22" s="899"/>
      <c r="N22" s="899"/>
      <c r="O22" s="899"/>
      <c r="P22" s="899"/>
      <c r="Q22" s="899"/>
      <c r="R22" s="899"/>
      <c r="S22" s="899"/>
      <c r="T22" s="899"/>
      <c r="U22" s="899"/>
    </row>
    <row r="23" spans="2:22" x14ac:dyDescent="0.3">
      <c r="B23" s="908" t="s">
        <v>860</v>
      </c>
      <c r="C23" s="909" t="s">
        <v>1140</v>
      </c>
      <c r="D23" s="899"/>
      <c r="E23" s="899"/>
      <c r="F23" s="899"/>
      <c r="G23" s="899"/>
      <c r="H23" s="899"/>
      <c r="I23" s="899"/>
      <c r="J23" s="899"/>
      <c r="K23" s="899"/>
      <c r="L23" s="899"/>
      <c r="M23" s="899"/>
      <c r="N23" s="899"/>
      <c r="O23" s="899"/>
      <c r="P23" s="899"/>
      <c r="Q23" s="899"/>
      <c r="R23" s="899"/>
      <c r="S23" s="899"/>
      <c r="T23" s="899"/>
      <c r="U23" s="899"/>
    </row>
    <row r="24" spans="2:22" x14ac:dyDescent="0.3">
      <c r="B24" s="908" t="s">
        <v>861</v>
      </c>
      <c r="C24" s="909" t="s">
        <v>1141</v>
      </c>
      <c r="D24" s="899"/>
      <c r="E24" s="899"/>
      <c r="F24" s="899"/>
      <c r="G24" s="899"/>
      <c r="H24" s="899"/>
      <c r="I24" s="899"/>
      <c r="J24" s="899"/>
      <c r="K24" s="899"/>
      <c r="L24" s="899"/>
      <c r="M24" s="899"/>
      <c r="N24" s="899"/>
      <c r="O24" s="899"/>
      <c r="P24" s="899"/>
      <c r="Q24" s="899"/>
      <c r="R24" s="899"/>
      <c r="S24" s="899"/>
      <c r="T24" s="899"/>
      <c r="U24" s="899"/>
    </row>
    <row r="25" spans="2:22" x14ac:dyDescent="0.3">
      <c r="B25" s="908" t="s">
        <v>1142</v>
      </c>
      <c r="C25" s="909" t="s">
        <v>1143</v>
      </c>
      <c r="D25" s="899"/>
      <c r="E25" s="899"/>
      <c r="F25" s="899"/>
      <c r="G25" s="899"/>
      <c r="H25" s="899"/>
      <c r="I25" s="899"/>
      <c r="J25" s="899"/>
      <c r="K25" s="899"/>
      <c r="L25" s="899"/>
      <c r="M25" s="899"/>
      <c r="N25" s="899"/>
      <c r="O25" s="899"/>
      <c r="P25" s="899"/>
      <c r="Q25" s="899"/>
      <c r="R25" s="899"/>
      <c r="S25" s="899"/>
      <c r="T25" s="899"/>
      <c r="U25" s="899"/>
    </row>
    <row r="26" spans="2:22" x14ac:dyDescent="0.3">
      <c r="B26" s="908"/>
      <c r="C26" s="909"/>
      <c r="D26" s="899"/>
      <c r="E26" s="899"/>
      <c r="F26" s="899"/>
      <c r="G26" s="899"/>
      <c r="H26" s="899"/>
      <c r="I26" s="899"/>
      <c r="J26" s="899"/>
      <c r="K26" s="899"/>
      <c r="L26" s="899"/>
      <c r="M26" s="899"/>
      <c r="N26" s="899"/>
      <c r="O26" s="899"/>
      <c r="P26" s="899"/>
      <c r="Q26" s="899"/>
      <c r="R26" s="899"/>
      <c r="S26" s="899"/>
      <c r="T26" s="899"/>
      <c r="U26" s="899"/>
    </row>
    <row r="27" spans="2:22" s="900" customFormat="1" x14ac:dyDescent="0.3">
      <c r="B27" s="907">
        <v>2.2000000000000002</v>
      </c>
      <c r="C27" s="906" t="s">
        <v>1144</v>
      </c>
      <c r="D27" s="899"/>
      <c r="E27" s="899"/>
      <c r="F27" s="899"/>
      <c r="G27" s="899"/>
      <c r="H27" s="899"/>
      <c r="I27" s="899"/>
      <c r="J27" s="899"/>
      <c r="K27" s="899"/>
      <c r="L27" s="899"/>
      <c r="M27" s="899"/>
      <c r="N27" s="899"/>
      <c r="O27" s="899"/>
      <c r="P27" s="899"/>
      <c r="Q27" s="899"/>
      <c r="R27" s="899"/>
      <c r="S27" s="899"/>
      <c r="T27" s="899"/>
      <c r="U27" s="899"/>
      <c r="V27" s="910"/>
    </row>
    <row r="28" spans="2:22" x14ac:dyDescent="0.3">
      <c r="B28" s="908" t="s">
        <v>115</v>
      </c>
      <c r="C28" s="909" t="s">
        <v>1145</v>
      </c>
      <c r="D28" s="899"/>
      <c r="E28" s="899"/>
      <c r="F28" s="899"/>
      <c r="G28" s="899"/>
      <c r="H28" s="899"/>
      <c r="I28" s="899"/>
      <c r="J28" s="899"/>
      <c r="K28" s="899"/>
      <c r="L28" s="899"/>
      <c r="M28" s="899"/>
      <c r="N28" s="899"/>
      <c r="O28" s="899"/>
      <c r="P28" s="899"/>
      <c r="Q28" s="899"/>
      <c r="R28" s="899"/>
      <c r="S28" s="899"/>
      <c r="T28" s="899"/>
      <c r="U28" s="899"/>
      <c r="V28" s="911"/>
    </row>
    <row r="29" spans="2:22" ht="29.4" customHeight="1" x14ac:dyDescent="0.3">
      <c r="B29" s="908" t="s">
        <v>117</v>
      </c>
      <c r="C29" s="909" t="s">
        <v>1146</v>
      </c>
      <c r="D29" s="899"/>
      <c r="E29" s="899"/>
      <c r="F29" s="899"/>
      <c r="G29" s="899"/>
      <c r="H29" s="899"/>
      <c r="I29" s="899"/>
      <c r="J29" s="899"/>
      <c r="K29" s="899"/>
      <c r="L29" s="899"/>
      <c r="M29" s="899"/>
      <c r="N29" s="899"/>
      <c r="O29" s="899"/>
      <c r="P29" s="899"/>
      <c r="Q29" s="899"/>
      <c r="R29" s="899"/>
      <c r="S29" s="899"/>
      <c r="T29" s="899"/>
      <c r="U29" s="899"/>
      <c r="V29" s="911"/>
    </row>
    <row r="30" spans="2:22" x14ac:dyDescent="0.3">
      <c r="B30" s="908" t="s">
        <v>118</v>
      </c>
      <c r="C30" s="909" t="s">
        <v>1147</v>
      </c>
      <c r="D30" s="899"/>
      <c r="E30" s="899"/>
      <c r="F30" s="899"/>
      <c r="G30" s="899"/>
      <c r="H30" s="899"/>
      <c r="I30" s="899"/>
      <c r="J30" s="899"/>
      <c r="K30" s="899"/>
      <c r="L30" s="899"/>
      <c r="M30" s="899"/>
      <c r="N30" s="899"/>
      <c r="O30" s="899"/>
      <c r="P30" s="899"/>
      <c r="Q30" s="899"/>
      <c r="R30" s="899"/>
      <c r="S30" s="899"/>
      <c r="T30" s="899"/>
      <c r="U30" s="899"/>
    </row>
    <row r="31" spans="2:22" x14ac:dyDescent="0.3">
      <c r="B31" s="908" t="s">
        <v>752</v>
      </c>
      <c r="C31" s="909" t="s">
        <v>1148</v>
      </c>
      <c r="D31" s="899"/>
      <c r="E31" s="899"/>
      <c r="F31" s="899"/>
      <c r="G31" s="899"/>
      <c r="H31" s="899"/>
      <c r="I31" s="899"/>
      <c r="J31" s="899"/>
      <c r="K31" s="899"/>
      <c r="L31" s="899"/>
      <c r="M31" s="899"/>
      <c r="N31" s="899"/>
      <c r="O31" s="899"/>
      <c r="P31" s="899"/>
      <c r="Q31" s="899"/>
      <c r="R31" s="899"/>
      <c r="S31" s="899"/>
      <c r="T31" s="899"/>
      <c r="U31" s="899"/>
    </row>
    <row r="32" spans="2:22" ht="28" x14ac:dyDescent="0.3">
      <c r="B32" s="908" t="s">
        <v>862</v>
      </c>
      <c r="C32" s="909" t="s">
        <v>1149</v>
      </c>
      <c r="D32" s="899"/>
      <c r="E32" s="899"/>
      <c r="F32" s="899"/>
      <c r="G32" s="899"/>
      <c r="H32" s="899"/>
      <c r="I32" s="899"/>
      <c r="J32" s="899"/>
      <c r="K32" s="899"/>
      <c r="L32" s="899"/>
      <c r="M32" s="899"/>
      <c r="N32" s="899"/>
      <c r="O32" s="899"/>
      <c r="P32" s="899"/>
      <c r="Q32" s="899"/>
      <c r="R32" s="899"/>
      <c r="S32" s="899"/>
      <c r="T32" s="899"/>
      <c r="U32" s="899"/>
      <c r="V32" s="886"/>
    </row>
    <row r="33" spans="2:21" x14ac:dyDescent="0.3">
      <c r="B33" s="908" t="s">
        <v>863</v>
      </c>
      <c r="C33" s="909" t="s">
        <v>1150</v>
      </c>
      <c r="D33" s="899"/>
      <c r="E33" s="899"/>
      <c r="F33" s="899"/>
      <c r="G33" s="899"/>
      <c r="H33" s="899"/>
      <c r="I33" s="899"/>
      <c r="J33" s="899"/>
      <c r="K33" s="899"/>
      <c r="L33" s="899"/>
      <c r="M33" s="899"/>
      <c r="N33" s="899"/>
      <c r="O33" s="899"/>
      <c r="P33" s="899"/>
      <c r="Q33" s="899"/>
      <c r="R33" s="899"/>
      <c r="S33" s="899"/>
      <c r="T33" s="899"/>
      <c r="U33" s="899"/>
    </row>
    <row r="34" spans="2:21" x14ac:dyDescent="0.3">
      <c r="B34" s="908" t="s">
        <v>864</v>
      </c>
      <c r="C34" s="909" t="s">
        <v>1151</v>
      </c>
      <c r="D34" s="899"/>
      <c r="E34" s="899"/>
      <c r="F34" s="899"/>
      <c r="G34" s="899"/>
      <c r="H34" s="899"/>
      <c r="I34" s="899"/>
      <c r="J34" s="899"/>
      <c r="K34" s="899"/>
      <c r="L34" s="899"/>
      <c r="M34" s="899"/>
      <c r="N34" s="899"/>
      <c r="O34" s="899"/>
      <c r="P34" s="899"/>
      <c r="Q34" s="899"/>
      <c r="R34" s="899"/>
      <c r="S34" s="899"/>
      <c r="T34" s="899"/>
      <c r="U34" s="899"/>
    </row>
    <row r="35" spans="2:21" ht="17.399999999999999" customHeight="1" x14ac:dyDescent="0.3">
      <c r="B35" s="908" t="s">
        <v>1152</v>
      </c>
      <c r="C35" s="909" t="s">
        <v>1153</v>
      </c>
      <c r="D35" s="899"/>
      <c r="E35" s="899"/>
      <c r="F35" s="899"/>
      <c r="G35" s="899"/>
      <c r="H35" s="899"/>
      <c r="I35" s="899"/>
      <c r="J35" s="899"/>
      <c r="K35" s="899"/>
      <c r="L35" s="899"/>
      <c r="M35" s="899"/>
      <c r="N35" s="899"/>
      <c r="O35" s="899"/>
      <c r="P35" s="899"/>
      <c r="Q35" s="899"/>
      <c r="R35" s="899"/>
      <c r="S35" s="899"/>
      <c r="T35" s="899"/>
      <c r="U35" s="899"/>
    </row>
    <row r="36" spans="2:21" x14ac:dyDescent="0.3">
      <c r="B36" s="908" t="s">
        <v>1154</v>
      </c>
      <c r="C36" s="909" t="s">
        <v>1155</v>
      </c>
      <c r="D36" s="899"/>
      <c r="E36" s="899"/>
      <c r="F36" s="899"/>
      <c r="G36" s="899"/>
      <c r="H36" s="899"/>
      <c r="I36" s="899"/>
      <c r="J36" s="899"/>
      <c r="K36" s="899"/>
      <c r="L36" s="899"/>
      <c r="M36" s="899"/>
      <c r="N36" s="899"/>
      <c r="O36" s="899"/>
      <c r="P36" s="899"/>
      <c r="Q36" s="899"/>
      <c r="R36" s="899"/>
      <c r="S36" s="899"/>
      <c r="T36" s="899"/>
      <c r="U36" s="899"/>
    </row>
    <row r="37" spans="2:21" s="900" customFormat="1" x14ac:dyDescent="0.3">
      <c r="B37" s="908" t="s">
        <v>1156</v>
      </c>
      <c r="C37" s="903" t="s">
        <v>1157</v>
      </c>
      <c r="D37" s="899"/>
      <c r="E37" s="899"/>
      <c r="F37" s="899"/>
      <c r="G37" s="899"/>
      <c r="H37" s="899"/>
      <c r="I37" s="899"/>
      <c r="J37" s="899"/>
      <c r="K37" s="899"/>
      <c r="L37" s="899"/>
      <c r="M37" s="899"/>
      <c r="N37" s="899"/>
      <c r="O37" s="899"/>
      <c r="P37" s="899"/>
      <c r="Q37" s="899"/>
      <c r="R37" s="899"/>
      <c r="S37" s="899"/>
      <c r="T37" s="899"/>
      <c r="U37" s="899"/>
    </row>
    <row r="38" spans="2:21" x14ac:dyDescent="0.3">
      <c r="B38" s="908" t="s">
        <v>1158</v>
      </c>
      <c r="C38" s="909" t="s">
        <v>1159</v>
      </c>
      <c r="D38" s="899"/>
      <c r="E38" s="899"/>
      <c r="F38" s="899"/>
      <c r="G38" s="899"/>
      <c r="H38" s="899"/>
      <c r="I38" s="899"/>
      <c r="J38" s="899"/>
      <c r="K38" s="899"/>
      <c r="L38" s="899"/>
      <c r="M38" s="899"/>
      <c r="N38" s="899"/>
      <c r="O38" s="899"/>
      <c r="P38" s="899"/>
      <c r="Q38" s="899"/>
      <c r="R38" s="899"/>
      <c r="S38" s="899"/>
      <c r="T38" s="899"/>
      <c r="U38" s="899"/>
    </row>
    <row r="39" spans="2:21" x14ac:dyDescent="0.3">
      <c r="B39" s="908" t="s">
        <v>1160</v>
      </c>
      <c r="C39" s="909" t="s">
        <v>1161</v>
      </c>
      <c r="D39" s="899"/>
      <c r="E39" s="899"/>
      <c r="F39" s="899"/>
      <c r="G39" s="899"/>
      <c r="H39" s="899"/>
      <c r="I39" s="899"/>
      <c r="J39" s="899"/>
      <c r="K39" s="899"/>
      <c r="L39" s="899"/>
      <c r="M39" s="899"/>
      <c r="N39" s="899"/>
      <c r="O39" s="899"/>
      <c r="P39" s="899"/>
      <c r="Q39" s="899"/>
      <c r="R39" s="899"/>
      <c r="S39" s="899"/>
      <c r="T39" s="899"/>
      <c r="U39" s="899"/>
    </row>
    <row r="40" spans="2:21" x14ac:dyDescent="0.3">
      <c r="B40" s="908" t="s">
        <v>1162</v>
      </c>
      <c r="C40" s="909" t="s">
        <v>1163</v>
      </c>
      <c r="D40" s="899"/>
      <c r="E40" s="899"/>
      <c r="F40" s="899"/>
      <c r="G40" s="899"/>
      <c r="H40" s="899"/>
      <c r="I40" s="899"/>
      <c r="J40" s="899"/>
      <c r="K40" s="899"/>
      <c r="L40" s="899"/>
      <c r="M40" s="899"/>
      <c r="N40" s="899"/>
      <c r="O40" s="899"/>
      <c r="P40" s="899"/>
      <c r="Q40" s="899"/>
      <c r="R40" s="899"/>
      <c r="S40" s="899"/>
      <c r="T40" s="899"/>
      <c r="U40" s="899"/>
    </row>
    <row r="41" spans="2:21" x14ac:dyDescent="0.3">
      <c r="B41" s="908" t="s">
        <v>1164</v>
      </c>
      <c r="C41" s="909" t="s">
        <v>1165</v>
      </c>
      <c r="D41" s="899"/>
      <c r="E41" s="899"/>
      <c r="F41" s="899"/>
      <c r="G41" s="899"/>
      <c r="H41" s="899"/>
      <c r="I41" s="899"/>
      <c r="J41" s="899"/>
      <c r="K41" s="899"/>
      <c r="L41" s="899"/>
      <c r="M41" s="899"/>
      <c r="N41" s="899"/>
      <c r="O41" s="899"/>
      <c r="P41" s="899"/>
      <c r="Q41" s="899"/>
      <c r="R41" s="899"/>
      <c r="S41" s="899"/>
      <c r="T41" s="899"/>
      <c r="U41" s="899"/>
    </row>
    <row r="42" spans="2:21" x14ac:dyDescent="0.3">
      <c r="B42" s="908" t="s">
        <v>1166</v>
      </c>
      <c r="C42" s="909" t="s">
        <v>1167</v>
      </c>
      <c r="D42" s="899"/>
      <c r="E42" s="899"/>
      <c r="F42" s="899"/>
      <c r="G42" s="899"/>
      <c r="H42" s="899"/>
      <c r="I42" s="899"/>
      <c r="J42" s="899"/>
      <c r="K42" s="899"/>
      <c r="L42" s="899"/>
      <c r="M42" s="899"/>
      <c r="N42" s="899"/>
      <c r="O42" s="899"/>
      <c r="P42" s="899"/>
      <c r="Q42" s="899"/>
      <c r="R42" s="899"/>
      <c r="S42" s="899"/>
      <c r="T42" s="899"/>
      <c r="U42" s="899"/>
    </row>
    <row r="43" spans="2:21" x14ac:dyDescent="0.3">
      <c r="B43" s="908" t="s">
        <v>1168</v>
      </c>
      <c r="C43" s="909" t="s">
        <v>1169</v>
      </c>
      <c r="D43" s="899"/>
      <c r="E43" s="899"/>
      <c r="F43" s="899"/>
      <c r="G43" s="899"/>
      <c r="H43" s="899"/>
      <c r="I43" s="899"/>
      <c r="J43" s="899"/>
      <c r="K43" s="899"/>
      <c r="L43" s="899"/>
      <c r="M43" s="899"/>
      <c r="N43" s="899"/>
      <c r="O43" s="899"/>
      <c r="P43" s="899"/>
      <c r="Q43" s="899"/>
      <c r="R43" s="899"/>
      <c r="S43" s="899"/>
      <c r="T43" s="899"/>
      <c r="U43" s="899"/>
    </row>
    <row r="44" spans="2:21" x14ac:dyDescent="0.3">
      <c r="B44" s="908" t="s">
        <v>1170</v>
      </c>
      <c r="C44" s="909" t="s">
        <v>1171</v>
      </c>
      <c r="D44" s="899"/>
      <c r="E44" s="899"/>
      <c r="F44" s="899"/>
      <c r="G44" s="899"/>
      <c r="H44" s="899"/>
      <c r="I44" s="899"/>
      <c r="J44" s="899"/>
      <c r="K44" s="899"/>
      <c r="L44" s="899"/>
      <c r="M44" s="899"/>
      <c r="N44" s="899"/>
      <c r="O44" s="899"/>
      <c r="P44" s="899"/>
      <c r="Q44" s="899"/>
      <c r="R44" s="899"/>
      <c r="S44" s="899"/>
      <c r="T44" s="899"/>
      <c r="U44" s="899"/>
    </row>
    <row r="45" spans="2:21" x14ac:dyDescent="0.3">
      <c r="B45" s="908"/>
      <c r="C45" s="909"/>
      <c r="D45" s="899"/>
      <c r="E45" s="899"/>
      <c r="F45" s="899"/>
      <c r="G45" s="899"/>
      <c r="H45" s="899"/>
      <c r="I45" s="899"/>
      <c r="J45" s="899"/>
      <c r="K45" s="899"/>
      <c r="L45" s="899"/>
      <c r="M45" s="899"/>
      <c r="N45" s="899"/>
      <c r="O45" s="899"/>
      <c r="P45" s="899"/>
      <c r="Q45" s="899"/>
      <c r="R45" s="899"/>
      <c r="S45" s="899"/>
      <c r="T45" s="899"/>
      <c r="U45" s="899"/>
    </row>
    <row r="46" spans="2:21" s="900" customFormat="1" x14ac:dyDescent="0.3">
      <c r="B46" s="907">
        <v>2.2999999999999998</v>
      </c>
      <c r="C46" s="906" t="s">
        <v>1172</v>
      </c>
      <c r="D46" s="899"/>
      <c r="E46" s="899"/>
      <c r="F46" s="899"/>
      <c r="G46" s="899"/>
      <c r="H46" s="899"/>
      <c r="I46" s="899"/>
      <c r="J46" s="899"/>
      <c r="K46" s="899"/>
      <c r="L46" s="899"/>
      <c r="M46" s="899"/>
      <c r="N46" s="899"/>
      <c r="O46" s="899"/>
      <c r="P46" s="899"/>
      <c r="Q46" s="899"/>
      <c r="R46" s="899"/>
      <c r="S46" s="899"/>
      <c r="T46" s="899"/>
      <c r="U46" s="899"/>
    </row>
    <row r="47" spans="2:21" x14ac:dyDescent="0.3">
      <c r="B47" s="908" t="s">
        <v>1173</v>
      </c>
      <c r="C47" s="909" t="s">
        <v>1174</v>
      </c>
      <c r="D47" s="899"/>
      <c r="E47" s="899"/>
      <c r="F47" s="899"/>
      <c r="G47" s="899"/>
      <c r="H47" s="899"/>
      <c r="I47" s="899"/>
      <c r="J47" s="899"/>
      <c r="K47" s="899"/>
      <c r="L47" s="899"/>
      <c r="M47" s="899"/>
      <c r="N47" s="899"/>
      <c r="O47" s="899"/>
      <c r="P47" s="899"/>
      <c r="Q47" s="899"/>
      <c r="R47" s="899"/>
      <c r="S47" s="899"/>
      <c r="T47" s="899"/>
      <c r="U47" s="899"/>
    </row>
    <row r="48" spans="2:21" x14ac:dyDescent="0.3">
      <c r="B48" s="908" t="s">
        <v>1175</v>
      </c>
      <c r="C48" s="909" t="s">
        <v>1176</v>
      </c>
      <c r="D48" s="899"/>
      <c r="E48" s="899"/>
      <c r="F48" s="899"/>
      <c r="G48" s="899"/>
      <c r="H48" s="899"/>
      <c r="I48" s="899"/>
      <c r="J48" s="899"/>
      <c r="K48" s="899"/>
      <c r="L48" s="899"/>
      <c r="M48" s="899"/>
      <c r="N48" s="899"/>
      <c r="O48" s="899"/>
      <c r="P48" s="899"/>
      <c r="Q48" s="899"/>
      <c r="R48" s="899"/>
      <c r="S48" s="899"/>
      <c r="T48" s="899"/>
      <c r="U48" s="899"/>
    </row>
    <row r="49" spans="2:21" x14ac:dyDescent="0.3">
      <c r="B49" s="908" t="s">
        <v>1177</v>
      </c>
      <c r="C49" s="909" t="s">
        <v>1178</v>
      </c>
      <c r="D49" s="899"/>
      <c r="E49" s="899"/>
      <c r="F49" s="899"/>
      <c r="G49" s="899"/>
      <c r="H49" s="899"/>
      <c r="I49" s="899"/>
      <c r="J49" s="899"/>
      <c r="K49" s="899"/>
      <c r="L49" s="899"/>
      <c r="M49" s="899"/>
      <c r="N49" s="899"/>
      <c r="O49" s="899"/>
      <c r="P49" s="899"/>
      <c r="Q49" s="899"/>
      <c r="R49" s="899"/>
      <c r="S49" s="899"/>
      <c r="T49" s="899"/>
      <c r="U49" s="899"/>
    </row>
    <row r="50" spans="2:21" x14ac:dyDescent="0.3">
      <c r="B50" s="908" t="s">
        <v>1179</v>
      </c>
      <c r="C50" s="909" t="s">
        <v>1180</v>
      </c>
      <c r="D50" s="899"/>
      <c r="E50" s="899"/>
      <c r="F50" s="899"/>
      <c r="G50" s="899"/>
      <c r="H50" s="899"/>
      <c r="I50" s="899"/>
      <c r="J50" s="899"/>
      <c r="K50" s="899"/>
      <c r="L50" s="899"/>
      <c r="M50" s="899"/>
      <c r="N50" s="899"/>
      <c r="O50" s="899"/>
      <c r="P50" s="899"/>
      <c r="Q50" s="899"/>
      <c r="R50" s="899"/>
      <c r="S50" s="899"/>
      <c r="T50" s="899"/>
      <c r="U50" s="899"/>
    </row>
    <row r="51" spans="2:21" x14ac:dyDescent="0.3">
      <c r="B51" s="908" t="s">
        <v>1181</v>
      </c>
      <c r="C51" s="909" t="s">
        <v>1182</v>
      </c>
      <c r="D51" s="899"/>
      <c r="E51" s="899"/>
      <c r="F51" s="899"/>
      <c r="G51" s="899"/>
      <c r="H51" s="899"/>
      <c r="I51" s="899"/>
      <c r="J51" s="899"/>
      <c r="K51" s="899"/>
      <c r="L51" s="899"/>
      <c r="M51" s="899"/>
      <c r="N51" s="899"/>
      <c r="O51" s="899"/>
      <c r="P51" s="899"/>
      <c r="Q51" s="899"/>
      <c r="R51" s="899"/>
      <c r="S51" s="899"/>
      <c r="T51" s="899"/>
      <c r="U51" s="899"/>
    </row>
    <row r="52" spans="2:21" x14ac:dyDescent="0.3">
      <c r="B52" s="908" t="s">
        <v>1183</v>
      </c>
      <c r="C52" s="909" t="s">
        <v>1184</v>
      </c>
      <c r="D52" s="899"/>
      <c r="E52" s="899"/>
      <c r="F52" s="899"/>
      <c r="G52" s="899"/>
      <c r="H52" s="899"/>
      <c r="I52" s="899"/>
      <c r="J52" s="899"/>
      <c r="K52" s="899"/>
      <c r="L52" s="899"/>
      <c r="M52" s="899"/>
      <c r="N52" s="899"/>
      <c r="O52" s="899"/>
      <c r="P52" s="899"/>
      <c r="Q52" s="899"/>
      <c r="R52" s="899"/>
      <c r="S52" s="899"/>
      <c r="T52" s="899"/>
      <c r="U52" s="899"/>
    </row>
    <row r="53" spans="2:21" x14ac:dyDescent="0.3">
      <c r="B53" s="908" t="s">
        <v>1185</v>
      </c>
      <c r="C53" s="909" t="s">
        <v>1186</v>
      </c>
      <c r="D53" s="899"/>
      <c r="E53" s="899"/>
      <c r="F53" s="899"/>
      <c r="G53" s="899"/>
      <c r="H53" s="899"/>
      <c r="I53" s="899"/>
      <c r="J53" s="899"/>
      <c r="K53" s="899"/>
      <c r="L53" s="899"/>
      <c r="M53" s="899"/>
      <c r="N53" s="899"/>
      <c r="O53" s="899"/>
      <c r="P53" s="899"/>
      <c r="Q53" s="899"/>
      <c r="R53" s="899"/>
      <c r="S53" s="899"/>
      <c r="T53" s="899"/>
      <c r="U53" s="899"/>
    </row>
    <row r="54" spans="2:21" x14ac:dyDescent="0.3">
      <c r="B54" s="908" t="s">
        <v>1187</v>
      </c>
      <c r="C54" s="909" t="s">
        <v>1188</v>
      </c>
      <c r="D54" s="899"/>
      <c r="E54" s="899"/>
      <c r="F54" s="899"/>
      <c r="G54" s="899"/>
      <c r="H54" s="899"/>
      <c r="I54" s="899"/>
      <c r="J54" s="899"/>
      <c r="K54" s="899"/>
      <c r="L54" s="899"/>
      <c r="M54" s="899"/>
      <c r="N54" s="899"/>
      <c r="O54" s="899"/>
      <c r="P54" s="899"/>
      <c r="Q54" s="899"/>
      <c r="R54" s="899"/>
      <c r="S54" s="899"/>
      <c r="T54" s="899"/>
      <c r="U54" s="899"/>
    </row>
    <row r="55" spans="2:21" x14ac:dyDescent="0.3">
      <c r="B55" s="908" t="s">
        <v>1189</v>
      </c>
      <c r="C55" s="909" t="s">
        <v>1190</v>
      </c>
      <c r="D55" s="899"/>
      <c r="E55" s="899"/>
      <c r="F55" s="899"/>
      <c r="G55" s="899"/>
      <c r="H55" s="899"/>
      <c r="I55" s="899"/>
      <c r="J55" s="899"/>
      <c r="K55" s="899"/>
      <c r="L55" s="899"/>
      <c r="M55" s="899"/>
      <c r="N55" s="899"/>
      <c r="O55" s="899"/>
      <c r="P55" s="899"/>
      <c r="Q55" s="899"/>
      <c r="R55" s="899"/>
      <c r="S55" s="899"/>
      <c r="T55" s="899"/>
      <c r="U55" s="899"/>
    </row>
    <row r="56" spans="2:21" x14ac:dyDescent="0.3">
      <c r="B56" s="908" t="s">
        <v>1191</v>
      </c>
      <c r="C56" s="909" t="s">
        <v>1192</v>
      </c>
      <c r="D56" s="899"/>
      <c r="E56" s="899"/>
      <c r="F56" s="899"/>
      <c r="G56" s="899"/>
      <c r="H56" s="899"/>
      <c r="I56" s="899"/>
      <c r="J56" s="899"/>
      <c r="K56" s="899"/>
      <c r="L56" s="899"/>
      <c r="M56" s="899"/>
      <c r="N56" s="899"/>
      <c r="O56" s="899"/>
      <c r="P56" s="899"/>
      <c r="Q56" s="899"/>
      <c r="R56" s="899"/>
      <c r="S56" s="899"/>
      <c r="T56" s="899"/>
      <c r="U56" s="899"/>
    </row>
    <row r="57" spans="2:21" x14ac:dyDescent="0.3">
      <c r="B57" s="908" t="s">
        <v>1193</v>
      </c>
      <c r="C57" s="909" t="s">
        <v>1194</v>
      </c>
      <c r="D57" s="899"/>
      <c r="E57" s="899"/>
      <c r="F57" s="899"/>
      <c r="G57" s="899"/>
      <c r="H57" s="899"/>
      <c r="I57" s="899"/>
      <c r="J57" s="899"/>
      <c r="K57" s="899"/>
      <c r="L57" s="899"/>
      <c r="M57" s="899"/>
      <c r="N57" s="899"/>
      <c r="O57" s="899"/>
      <c r="P57" s="899"/>
      <c r="Q57" s="899"/>
      <c r="R57" s="899"/>
      <c r="S57" s="899"/>
      <c r="T57" s="899"/>
      <c r="U57" s="899"/>
    </row>
    <row r="58" spans="2:21" x14ac:dyDescent="0.3">
      <c r="B58" s="908" t="s">
        <v>1195</v>
      </c>
      <c r="C58" s="909" t="s">
        <v>1196</v>
      </c>
      <c r="D58" s="899"/>
      <c r="E58" s="899"/>
      <c r="F58" s="899"/>
      <c r="G58" s="899"/>
      <c r="H58" s="899"/>
      <c r="I58" s="899"/>
      <c r="J58" s="899"/>
      <c r="K58" s="899"/>
      <c r="L58" s="899"/>
      <c r="M58" s="899"/>
      <c r="N58" s="899"/>
      <c r="O58" s="899"/>
      <c r="P58" s="899"/>
      <c r="Q58" s="899"/>
      <c r="R58" s="899"/>
      <c r="S58" s="899"/>
      <c r="T58" s="899"/>
      <c r="U58" s="899"/>
    </row>
    <row r="59" spans="2:21" x14ac:dyDescent="0.3">
      <c r="B59" s="908" t="s">
        <v>1197</v>
      </c>
      <c r="C59" s="909" t="s">
        <v>1198</v>
      </c>
      <c r="D59" s="899"/>
      <c r="E59" s="899"/>
      <c r="F59" s="899"/>
      <c r="G59" s="899"/>
      <c r="H59" s="899"/>
      <c r="I59" s="899"/>
      <c r="J59" s="899"/>
      <c r="K59" s="899"/>
      <c r="L59" s="899"/>
      <c r="M59" s="899"/>
      <c r="N59" s="899"/>
      <c r="O59" s="899"/>
      <c r="P59" s="899"/>
      <c r="Q59" s="899"/>
      <c r="R59" s="899"/>
      <c r="S59" s="899"/>
      <c r="T59" s="899"/>
      <c r="U59" s="899"/>
    </row>
    <row r="60" spans="2:21" x14ac:dyDescent="0.3">
      <c r="B60" s="908" t="s">
        <v>1199</v>
      </c>
      <c r="C60" s="909" t="s">
        <v>1200</v>
      </c>
      <c r="D60" s="899"/>
      <c r="E60" s="899"/>
      <c r="F60" s="899"/>
      <c r="G60" s="899"/>
      <c r="H60" s="899"/>
      <c r="I60" s="899"/>
      <c r="J60" s="899"/>
      <c r="K60" s="899"/>
      <c r="L60" s="899"/>
      <c r="M60" s="899"/>
      <c r="N60" s="899"/>
      <c r="O60" s="899"/>
      <c r="P60" s="899"/>
      <c r="Q60" s="899"/>
      <c r="R60" s="899"/>
      <c r="S60" s="899"/>
      <c r="T60" s="899"/>
      <c r="U60" s="899"/>
    </row>
    <row r="61" spans="2:21" x14ac:dyDescent="0.3">
      <c r="B61" s="908" t="s">
        <v>1201</v>
      </c>
      <c r="C61" s="909" t="s">
        <v>1202</v>
      </c>
      <c r="D61" s="899"/>
      <c r="E61" s="899"/>
      <c r="F61" s="899"/>
      <c r="G61" s="899"/>
      <c r="H61" s="899"/>
      <c r="I61" s="899"/>
      <c r="J61" s="899"/>
      <c r="K61" s="899"/>
      <c r="L61" s="899"/>
      <c r="M61" s="899"/>
      <c r="N61" s="899"/>
      <c r="O61" s="899"/>
      <c r="P61" s="899"/>
      <c r="Q61" s="899"/>
      <c r="R61" s="899"/>
      <c r="S61" s="899"/>
      <c r="T61" s="899"/>
      <c r="U61" s="899"/>
    </row>
    <row r="62" spans="2:21" x14ac:dyDescent="0.3">
      <c r="B62" s="908" t="s">
        <v>1203</v>
      </c>
      <c r="C62" s="909" t="s">
        <v>1204</v>
      </c>
      <c r="D62" s="899"/>
      <c r="E62" s="899"/>
      <c r="F62" s="899"/>
      <c r="G62" s="899"/>
      <c r="H62" s="899"/>
      <c r="I62" s="899"/>
      <c r="J62" s="899"/>
      <c r="K62" s="899"/>
      <c r="L62" s="899"/>
      <c r="M62" s="899"/>
      <c r="N62" s="899"/>
      <c r="O62" s="899"/>
      <c r="P62" s="899"/>
      <c r="Q62" s="899"/>
      <c r="R62" s="899"/>
      <c r="S62" s="899"/>
      <c r="T62" s="899"/>
      <c r="U62" s="899"/>
    </row>
    <row r="63" spans="2:21" x14ac:dyDescent="0.3">
      <c r="B63" s="908" t="s">
        <v>1205</v>
      </c>
      <c r="C63" s="909" t="s">
        <v>1206</v>
      </c>
      <c r="D63" s="899"/>
      <c r="E63" s="899"/>
      <c r="F63" s="899"/>
      <c r="G63" s="899"/>
      <c r="H63" s="899"/>
      <c r="I63" s="899"/>
      <c r="J63" s="899"/>
      <c r="K63" s="899"/>
      <c r="L63" s="899"/>
      <c r="M63" s="899"/>
      <c r="N63" s="899"/>
      <c r="O63" s="899"/>
      <c r="P63" s="899"/>
      <c r="Q63" s="899"/>
      <c r="R63" s="899"/>
      <c r="S63" s="899"/>
      <c r="T63" s="899"/>
      <c r="U63" s="899"/>
    </row>
    <row r="64" spans="2:21" x14ac:dyDescent="0.3">
      <c r="B64" s="908" t="s">
        <v>1207</v>
      </c>
      <c r="C64" s="909" t="s">
        <v>1208</v>
      </c>
      <c r="D64" s="899"/>
      <c r="E64" s="899"/>
      <c r="F64" s="899"/>
      <c r="G64" s="899"/>
      <c r="H64" s="899"/>
      <c r="I64" s="899"/>
      <c r="J64" s="899"/>
      <c r="K64" s="899"/>
      <c r="L64" s="899"/>
      <c r="M64" s="899"/>
      <c r="N64" s="899"/>
      <c r="O64" s="899"/>
      <c r="P64" s="899"/>
      <c r="Q64" s="899"/>
      <c r="R64" s="899"/>
      <c r="S64" s="899"/>
      <c r="T64" s="899"/>
      <c r="U64" s="899"/>
    </row>
    <row r="65" spans="2:21" x14ac:dyDescent="0.3">
      <c r="B65" s="908" t="s">
        <v>1209</v>
      </c>
      <c r="C65" s="909" t="s">
        <v>1210</v>
      </c>
      <c r="D65" s="899"/>
      <c r="E65" s="899"/>
      <c r="F65" s="899"/>
      <c r="G65" s="899"/>
      <c r="H65" s="899"/>
      <c r="I65" s="899"/>
      <c r="J65" s="899"/>
      <c r="K65" s="899"/>
      <c r="L65" s="899"/>
      <c r="M65" s="899"/>
      <c r="N65" s="899"/>
      <c r="O65" s="899"/>
      <c r="P65" s="899"/>
      <c r="Q65" s="899"/>
      <c r="R65" s="899"/>
      <c r="S65" s="899"/>
      <c r="T65" s="899"/>
      <c r="U65" s="899"/>
    </row>
    <row r="66" spans="2:21" x14ac:dyDescent="0.3">
      <c r="B66" s="908" t="s">
        <v>1211</v>
      </c>
      <c r="C66" s="909" t="s">
        <v>1212</v>
      </c>
      <c r="D66" s="899"/>
      <c r="E66" s="899"/>
      <c r="F66" s="899"/>
      <c r="G66" s="899"/>
      <c r="H66" s="899"/>
      <c r="I66" s="899"/>
      <c r="J66" s="899"/>
      <c r="K66" s="899"/>
      <c r="L66" s="899"/>
      <c r="M66" s="899"/>
      <c r="N66" s="899"/>
      <c r="O66" s="899"/>
      <c r="P66" s="899"/>
      <c r="Q66" s="899"/>
      <c r="R66" s="899"/>
      <c r="S66" s="899"/>
      <c r="T66" s="899"/>
      <c r="U66" s="899"/>
    </row>
    <row r="67" spans="2:21" x14ac:dyDescent="0.3">
      <c r="B67" s="908" t="s">
        <v>1213</v>
      </c>
      <c r="C67" s="909" t="s">
        <v>1214</v>
      </c>
      <c r="D67" s="899"/>
      <c r="E67" s="899"/>
      <c r="F67" s="899"/>
      <c r="G67" s="899"/>
      <c r="H67" s="899"/>
      <c r="I67" s="899"/>
      <c r="J67" s="899"/>
      <c r="K67" s="899"/>
      <c r="L67" s="899"/>
      <c r="M67" s="899"/>
      <c r="N67" s="899"/>
      <c r="O67" s="899"/>
      <c r="P67" s="899"/>
      <c r="Q67" s="899"/>
      <c r="R67" s="899"/>
      <c r="S67" s="899"/>
      <c r="T67" s="899"/>
      <c r="U67" s="899"/>
    </row>
    <row r="68" spans="2:21" x14ac:dyDescent="0.3">
      <c r="B68" s="908" t="s">
        <v>1215</v>
      </c>
      <c r="C68" s="909" t="s">
        <v>1216</v>
      </c>
      <c r="D68" s="899"/>
      <c r="E68" s="899"/>
      <c r="F68" s="899"/>
      <c r="G68" s="899"/>
      <c r="H68" s="899"/>
      <c r="I68" s="899"/>
      <c r="J68" s="899"/>
      <c r="K68" s="899"/>
      <c r="L68" s="899"/>
      <c r="M68" s="899"/>
      <c r="N68" s="899"/>
      <c r="O68" s="899"/>
      <c r="P68" s="899"/>
      <c r="Q68" s="899"/>
      <c r="R68" s="899"/>
      <c r="S68" s="899"/>
      <c r="T68" s="899"/>
      <c r="U68" s="899"/>
    </row>
    <row r="69" spans="2:21" x14ac:dyDescent="0.3">
      <c r="B69" s="908" t="s">
        <v>1217</v>
      </c>
      <c r="C69" s="909" t="s">
        <v>1218</v>
      </c>
      <c r="D69" s="899"/>
      <c r="E69" s="899"/>
      <c r="F69" s="899"/>
      <c r="G69" s="899"/>
      <c r="H69" s="899"/>
      <c r="I69" s="899"/>
      <c r="J69" s="899"/>
      <c r="K69" s="899"/>
      <c r="L69" s="899"/>
      <c r="M69" s="899"/>
      <c r="N69" s="899"/>
      <c r="O69" s="899"/>
      <c r="P69" s="899"/>
      <c r="Q69" s="899"/>
      <c r="R69" s="899"/>
      <c r="S69" s="899"/>
      <c r="T69" s="899"/>
      <c r="U69" s="899"/>
    </row>
    <row r="70" spans="2:21" x14ac:dyDescent="0.3">
      <c r="B70" s="908" t="s">
        <v>1219</v>
      </c>
      <c r="C70" s="909" t="s">
        <v>1220</v>
      </c>
      <c r="D70" s="899"/>
      <c r="E70" s="899"/>
      <c r="F70" s="899"/>
      <c r="G70" s="899"/>
      <c r="H70" s="899"/>
      <c r="I70" s="899"/>
      <c r="J70" s="899"/>
      <c r="K70" s="899"/>
      <c r="L70" s="899"/>
      <c r="M70" s="899"/>
      <c r="N70" s="899"/>
      <c r="O70" s="899"/>
      <c r="P70" s="899"/>
      <c r="Q70" s="899"/>
      <c r="R70" s="899"/>
      <c r="S70" s="899"/>
      <c r="T70" s="899"/>
      <c r="U70" s="899"/>
    </row>
    <row r="71" spans="2:21" x14ac:dyDescent="0.3">
      <c r="B71" s="908" t="s">
        <v>1221</v>
      </c>
      <c r="C71" s="909" t="s">
        <v>1222</v>
      </c>
      <c r="D71" s="899"/>
      <c r="E71" s="899"/>
      <c r="F71" s="899"/>
      <c r="G71" s="899"/>
      <c r="H71" s="899"/>
      <c r="I71" s="899"/>
      <c r="J71" s="899"/>
      <c r="K71" s="899"/>
      <c r="L71" s="899"/>
      <c r="M71" s="899"/>
      <c r="N71" s="899"/>
      <c r="O71" s="899"/>
      <c r="P71" s="899"/>
      <c r="Q71" s="899"/>
      <c r="R71" s="899"/>
      <c r="S71" s="899"/>
      <c r="T71" s="899"/>
      <c r="U71" s="899"/>
    </row>
    <row r="72" spans="2:21" x14ac:dyDescent="0.3">
      <c r="B72" s="908" t="s">
        <v>1223</v>
      </c>
      <c r="C72" s="909" t="s">
        <v>1224</v>
      </c>
      <c r="D72" s="899"/>
      <c r="E72" s="899"/>
      <c r="F72" s="899"/>
      <c r="G72" s="899"/>
      <c r="H72" s="899"/>
      <c r="I72" s="899"/>
      <c r="J72" s="899"/>
      <c r="K72" s="899"/>
      <c r="L72" s="899"/>
      <c r="M72" s="899"/>
      <c r="N72" s="899"/>
      <c r="O72" s="899"/>
      <c r="P72" s="899"/>
      <c r="Q72" s="899"/>
      <c r="R72" s="899"/>
      <c r="S72" s="899"/>
      <c r="T72" s="899"/>
      <c r="U72" s="899"/>
    </row>
    <row r="73" spans="2:21" x14ac:dyDescent="0.3">
      <c r="B73" s="908" t="s">
        <v>1225</v>
      </c>
      <c r="C73" s="909" t="s">
        <v>1226</v>
      </c>
      <c r="D73" s="899"/>
      <c r="E73" s="899"/>
      <c r="F73" s="899"/>
      <c r="G73" s="899"/>
      <c r="H73" s="899"/>
      <c r="I73" s="899"/>
      <c r="J73" s="899"/>
      <c r="K73" s="899"/>
      <c r="L73" s="899"/>
      <c r="M73" s="899"/>
      <c r="N73" s="899"/>
      <c r="O73" s="899"/>
      <c r="P73" s="899"/>
      <c r="Q73" s="899"/>
      <c r="R73" s="899"/>
      <c r="S73" s="899"/>
      <c r="T73" s="899"/>
      <c r="U73" s="899"/>
    </row>
    <row r="74" spans="2:21" x14ac:dyDescent="0.3">
      <c r="B74" s="908" t="s">
        <v>1227</v>
      </c>
      <c r="C74" s="909" t="s">
        <v>1228</v>
      </c>
      <c r="D74" s="899"/>
      <c r="E74" s="899"/>
      <c r="F74" s="899"/>
      <c r="G74" s="899"/>
      <c r="H74" s="899"/>
      <c r="I74" s="899"/>
      <c r="J74" s="899"/>
      <c r="K74" s="899"/>
      <c r="L74" s="899"/>
      <c r="M74" s="899"/>
      <c r="N74" s="899"/>
      <c r="O74" s="899"/>
      <c r="P74" s="899"/>
      <c r="Q74" s="899"/>
      <c r="R74" s="899"/>
      <c r="S74" s="899"/>
      <c r="T74" s="899"/>
      <c r="U74" s="899"/>
    </row>
    <row r="75" spans="2:21" x14ac:dyDescent="0.3">
      <c r="B75" s="908" t="s">
        <v>1229</v>
      </c>
      <c r="C75" s="909" t="s">
        <v>1230</v>
      </c>
      <c r="D75" s="899"/>
      <c r="E75" s="899"/>
      <c r="F75" s="899"/>
      <c r="G75" s="899"/>
      <c r="H75" s="899"/>
      <c r="I75" s="899"/>
      <c r="J75" s="899"/>
      <c r="K75" s="899"/>
      <c r="L75" s="899"/>
      <c r="M75" s="899"/>
      <c r="N75" s="899"/>
      <c r="O75" s="899"/>
      <c r="P75" s="899"/>
      <c r="Q75" s="899"/>
      <c r="R75" s="899"/>
      <c r="S75" s="899"/>
      <c r="T75" s="899"/>
      <c r="U75" s="899"/>
    </row>
    <row r="76" spans="2:21" x14ac:dyDescent="0.3">
      <c r="B76" s="908" t="s">
        <v>1231</v>
      </c>
      <c r="C76" s="909" t="s">
        <v>1232</v>
      </c>
      <c r="D76" s="899"/>
      <c r="E76" s="899"/>
      <c r="F76" s="899"/>
      <c r="G76" s="899"/>
      <c r="H76" s="899"/>
      <c r="I76" s="899"/>
      <c r="J76" s="899"/>
      <c r="K76" s="899"/>
      <c r="L76" s="899"/>
      <c r="M76" s="899"/>
      <c r="N76" s="899"/>
      <c r="O76" s="899"/>
      <c r="P76" s="899"/>
      <c r="Q76" s="899"/>
      <c r="R76" s="899"/>
      <c r="S76" s="899"/>
      <c r="T76" s="899"/>
      <c r="U76" s="899"/>
    </row>
    <row r="77" spans="2:21" x14ac:dyDescent="0.3">
      <c r="B77" s="908" t="s">
        <v>1233</v>
      </c>
      <c r="C77" s="909" t="s">
        <v>850</v>
      </c>
      <c r="D77" s="899"/>
      <c r="E77" s="899"/>
      <c r="F77" s="899"/>
      <c r="G77" s="899"/>
      <c r="H77" s="899"/>
      <c r="I77" s="899"/>
      <c r="J77" s="899"/>
      <c r="K77" s="899"/>
      <c r="L77" s="899"/>
      <c r="M77" s="899"/>
      <c r="N77" s="899"/>
      <c r="O77" s="899"/>
      <c r="P77" s="899"/>
      <c r="Q77" s="899"/>
      <c r="R77" s="899"/>
      <c r="S77" s="899"/>
      <c r="T77" s="899"/>
      <c r="U77" s="899"/>
    </row>
    <row r="78" spans="2:21" x14ac:dyDescent="0.3">
      <c r="B78" s="908" t="s">
        <v>1234</v>
      </c>
      <c r="C78" s="909" t="s">
        <v>1235</v>
      </c>
      <c r="D78" s="899"/>
      <c r="E78" s="899"/>
      <c r="F78" s="899"/>
      <c r="G78" s="899"/>
      <c r="H78" s="899"/>
      <c r="I78" s="899"/>
      <c r="J78" s="899"/>
      <c r="K78" s="899"/>
      <c r="L78" s="899"/>
      <c r="M78" s="899"/>
      <c r="N78" s="899"/>
      <c r="O78" s="899"/>
      <c r="P78" s="899"/>
      <c r="Q78" s="899"/>
      <c r="R78" s="899"/>
      <c r="S78" s="899"/>
      <c r="T78" s="899"/>
      <c r="U78" s="899"/>
    </row>
    <row r="79" spans="2:21" x14ac:dyDescent="0.3">
      <c r="B79" s="908" t="s">
        <v>1236</v>
      </c>
      <c r="C79" s="909" t="s">
        <v>1237</v>
      </c>
      <c r="D79" s="899"/>
      <c r="E79" s="899"/>
      <c r="F79" s="899"/>
      <c r="G79" s="899"/>
      <c r="H79" s="899"/>
      <c r="I79" s="899"/>
      <c r="J79" s="899"/>
      <c r="K79" s="899"/>
      <c r="L79" s="899"/>
      <c r="M79" s="899"/>
      <c r="N79" s="899"/>
      <c r="O79" s="899"/>
      <c r="P79" s="899"/>
      <c r="Q79" s="899"/>
      <c r="R79" s="899"/>
      <c r="S79" s="899"/>
      <c r="T79" s="899"/>
      <c r="U79" s="899"/>
    </row>
    <row r="80" spans="2:21" s="900" customFormat="1" x14ac:dyDescent="0.3">
      <c r="B80" s="907"/>
      <c r="C80" s="912" t="s">
        <v>1238</v>
      </c>
      <c r="D80" s="899"/>
      <c r="E80" s="899"/>
      <c r="F80" s="899"/>
      <c r="G80" s="899"/>
      <c r="H80" s="899"/>
      <c r="I80" s="899"/>
      <c r="J80" s="899"/>
      <c r="K80" s="899"/>
      <c r="L80" s="899"/>
      <c r="M80" s="899"/>
      <c r="N80" s="899"/>
      <c r="O80" s="899"/>
      <c r="P80" s="899"/>
      <c r="Q80" s="899"/>
      <c r="R80" s="899"/>
      <c r="S80" s="899"/>
      <c r="T80" s="899"/>
      <c r="U80" s="899"/>
    </row>
    <row r="81" spans="2:21" s="900" customFormat="1" x14ac:dyDescent="0.3">
      <c r="B81" s="907"/>
      <c r="C81" s="912"/>
      <c r="D81" s="899"/>
      <c r="E81" s="899"/>
      <c r="F81" s="899"/>
      <c r="G81" s="899"/>
      <c r="H81" s="899"/>
      <c r="I81" s="899"/>
      <c r="J81" s="899"/>
      <c r="K81" s="899"/>
      <c r="L81" s="899"/>
      <c r="M81" s="899"/>
      <c r="N81" s="899"/>
      <c r="O81" s="899"/>
      <c r="P81" s="899"/>
      <c r="Q81" s="899"/>
      <c r="R81" s="899"/>
      <c r="S81" s="899"/>
      <c r="T81" s="899"/>
      <c r="U81" s="899"/>
    </row>
    <row r="82" spans="2:21" s="900" customFormat="1" x14ac:dyDescent="0.3">
      <c r="B82" s="907">
        <v>2.4</v>
      </c>
      <c r="C82" s="906" t="s">
        <v>1239</v>
      </c>
      <c r="D82" s="899"/>
      <c r="E82" s="899"/>
      <c r="F82" s="899"/>
      <c r="G82" s="899"/>
      <c r="H82" s="899"/>
      <c r="I82" s="899"/>
      <c r="J82" s="899"/>
      <c r="K82" s="899"/>
      <c r="L82" s="899"/>
      <c r="M82" s="899"/>
      <c r="N82" s="899"/>
      <c r="O82" s="899"/>
      <c r="P82" s="899"/>
      <c r="Q82" s="899"/>
      <c r="R82" s="899"/>
      <c r="S82" s="899"/>
      <c r="T82" s="899"/>
      <c r="U82" s="899"/>
    </row>
    <row r="83" spans="2:21" x14ac:dyDescent="0.3">
      <c r="B83" s="908" t="s">
        <v>1240</v>
      </c>
      <c r="C83" s="909" t="s">
        <v>1241</v>
      </c>
      <c r="D83" s="899"/>
      <c r="E83" s="899"/>
      <c r="F83" s="899"/>
      <c r="G83" s="899"/>
      <c r="H83" s="899"/>
      <c r="I83" s="899"/>
      <c r="J83" s="899"/>
      <c r="K83" s="899"/>
      <c r="L83" s="899"/>
      <c r="M83" s="899"/>
      <c r="N83" s="899"/>
      <c r="O83" s="899"/>
      <c r="P83" s="899"/>
      <c r="Q83" s="899"/>
      <c r="R83" s="899"/>
      <c r="S83" s="899"/>
      <c r="T83" s="899"/>
      <c r="U83" s="899"/>
    </row>
    <row r="84" spans="2:21" x14ac:dyDescent="0.3">
      <c r="B84" s="908" t="s">
        <v>1242</v>
      </c>
      <c r="C84" s="909" t="s">
        <v>1243</v>
      </c>
      <c r="D84" s="899"/>
      <c r="E84" s="899"/>
      <c r="F84" s="899"/>
      <c r="G84" s="899"/>
      <c r="H84" s="899"/>
      <c r="I84" s="899"/>
      <c r="J84" s="899"/>
      <c r="K84" s="899"/>
      <c r="L84" s="899"/>
      <c r="M84" s="899"/>
      <c r="N84" s="899"/>
      <c r="O84" s="899"/>
      <c r="P84" s="899"/>
      <c r="Q84" s="899"/>
      <c r="R84" s="899"/>
      <c r="S84" s="899"/>
      <c r="T84" s="899"/>
      <c r="U84" s="899"/>
    </row>
    <row r="85" spans="2:21" x14ac:dyDescent="0.3">
      <c r="B85" s="908" t="s">
        <v>1244</v>
      </c>
      <c r="C85" s="909" t="s">
        <v>1245</v>
      </c>
      <c r="D85" s="899"/>
      <c r="E85" s="899"/>
      <c r="F85" s="899"/>
      <c r="G85" s="899"/>
      <c r="H85" s="899"/>
      <c r="I85" s="899"/>
      <c r="J85" s="899"/>
      <c r="K85" s="899"/>
      <c r="L85" s="899"/>
      <c r="M85" s="899"/>
      <c r="N85" s="899"/>
      <c r="O85" s="899"/>
      <c r="P85" s="899"/>
      <c r="Q85" s="899"/>
      <c r="R85" s="899"/>
      <c r="S85" s="899"/>
      <c r="T85" s="899"/>
      <c r="U85" s="899"/>
    </row>
    <row r="86" spans="2:21" x14ac:dyDescent="0.3">
      <c r="B86" s="908" t="s">
        <v>1246</v>
      </c>
      <c r="C86" s="909" t="s">
        <v>1247</v>
      </c>
      <c r="D86" s="899"/>
      <c r="E86" s="899"/>
      <c r="F86" s="899"/>
      <c r="G86" s="899"/>
      <c r="H86" s="899"/>
      <c r="I86" s="899"/>
      <c r="J86" s="899"/>
      <c r="K86" s="899"/>
      <c r="L86" s="899"/>
      <c r="M86" s="899"/>
      <c r="N86" s="899"/>
      <c r="O86" s="899"/>
      <c r="P86" s="899"/>
      <c r="Q86" s="899"/>
      <c r="R86" s="899"/>
      <c r="S86" s="899"/>
      <c r="T86" s="899"/>
      <c r="U86" s="899"/>
    </row>
    <row r="87" spans="2:21" x14ac:dyDescent="0.3">
      <c r="B87" s="908" t="s">
        <v>1248</v>
      </c>
      <c r="C87" s="909" t="s">
        <v>1249</v>
      </c>
      <c r="D87" s="899"/>
      <c r="E87" s="899"/>
      <c r="F87" s="899"/>
      <c r="G87" s="899"/>
      <c r="H87" s="899"/>
      <c r="I87" s="899"/>
      <c r="J87" s="899"/>
      <c r="K87" s="899"/>
      <c r="L87" s="899"/>
      <c r="M87" s="899"/>
      <c r="N87" s="899"/>
      <c r="O87" s="899"/>
      <c r="P87" s="899"/>
      <c r="Q87" s="899"/>
      <c r="R87" s="899"/>
      <c r="S87" s="899"/>
      <c r="T87" s="899"/>
      <c r="U87" s="899"/>
    </row>
    <row r="88" spans="2:21" x14ac:dyDescent="0.3">
      <c r="B88" s="908" t="s">
        <v>1250</v>
      </c>
      <c r="C88" s="909" t="s">
        <v>1251</v>
      </c>
      <c r="D88" s="899"/>
      <c r="E88" s="899"/>
      <c r="F88" s="899"/>
      <c r="G88" s="899"/>
      <c r="H88" s="899"/>
      <c r="I88" s="899"/>
      <c r="J88" s="899"/>
      <c r="K88" s="899"/>
      <c r="L88" s="899"/>
      <c r="M88" s="899"/>
      <c r="N88" s="899"/>
      <c r="O88" s="899"/>
      <c r="P88" s="899"/>
      <c r="Q88" s="899"/>
      <c r="R88" s="899"/>
      <c r="S88" s="899"/>
      <c r="T88" s="899"/>
      <c r="U88" s="899"/>
    </row>
    <row r="89" spans="2:21" x14ac:dyDescent="0.3">
      <c r="B89" s="908" t="s">
        <v>1252</v>
      </c>
      <c r="C89" s="909" t="s">
        <v>1253</v>
      </c>
      <c r="D89" s="899"/>
      <c r="E89" s="899"/>
      <c r="F89" s="899"/>
      <c r="G89" s="899"/>
      <c r="H89" s="899"/>
      <c r="I89" s="899"/>
      <c r="J89" s="899"/>
      <c r="K89" s="899"/>
      <c r="L89" s="899"/>
      <c r="M89" s="899"/>
      <c r="N89" s="899"/>
      <c r="O89" s="899"/>
      <c r="P89" s="899"/>
      <c r="Q89" s="899"/>
      <c r="R89" s="899"/>
      <c r="S89" s="899"/>
      <c r="T89" s="899"/>
      <c r="U89" s="899"/>
    </row>
    <row r="90" spans="2:21" x14ac:dyDescent="0.3">
      <c r="B90" s="908" t="s">
        <v>1254</v>
      </c>
      <c r="C90" s="909" t="s">
        <v>1255</v>
      </c>
      <c r="D90" s="899"/>
      <c r="E90" s="899"/>
      <c r="F90" s="899"/>
      <c r="G90" s="899"/>
      <c r="H90" s="899"/>
      <c r="I90" s="899"/>
      <c r="J90" s="899"/>
      <c r="K90" s="899"/>
      <c r="L90" s="899"/>
      <c r="M90" s="899"/>
      <c r="N90" s="899"/>
      <c r="O90" s="899"/>
      <c r="P90" s="899"/>
      <c r="Q90" s="899"/>
      <c r="R90" s="899"/>
      <c r="S90" s="899"/>
      <c r="T90" s="899"/>
      <c r="U90" s="899"/>
    </row>
    <row r="91" spans="2:21" x14ac:dyDescent="0.3">
      <c r="B91" s="908" t="s">
        <v>1256</v>
      </c>
      <c r="C91" s="909" t="s">
        <v>1257</v>
      </c>
      <c r="D91" s="899"/>
      <c r="E91" s="899"/>
      <c r="F91" s="899"/>
      <c r="G91" s="899"/>
      <c r="H91" s="899"/>
      <c r="I91" s="899"/>
      <c r="J91" s="899"/>
      <c r="K91" s="899"/>
      <c r="L91" s="899"/>
      <c r="M91" s="899"/>
      <c r="N91" s="899"/>
      <c r="O91" s="899"/>
      <c r="P91" s="899"/>
      <c r="Q91" s="899"/>
      <c r="R91" s="899"/>
      <c r="S91" s="899"/>
      <c r="T91" s="899"/>
      <c r="U91" s="899"/>
    </row>
    <row r="92" spans="2:21" x14ac:dyDescent="0.3">
      <c r="B92" s="908" t="s">
        <v>1258</v>
      </c>
      <c r="C92" s="909" t="s">
        <v>1259</v>
      </c>
      <c r="D92" s="899"/>
      <c r="E92" s="899"/>
      <c r="F92" s="899"/>
      <c r="G92" s="899"/>
      <c r="H92" s="899"/>
      <c r="I92" s="899"/>
      <c r="J92" s="899"/>
      <c r="K92" s="899"/>
      <c r="L92" s="899"/>
      <c r="M92" s="899"/>
      <c r="N92" s="899"/>
      <c r="O92" s="899"/>
      <c r="P92" s="899"/>
      <c r="Q92" s="899"/>
      <c r="R92" s="899"/>
      <c r="S92" s="899"/>
      <c r="T92" s="899"/>
      <c r="U92" s="899"/>
    </row>
    <row r="93" spans="2:21" x14ac:dyDescent="0.3">
      <c r="B93" s="908" t="s">
        <v>1260</v>
      </c>
      <c r="C93" s="909" t="s">
        <v>1261</v>
      </c>
      <c r="D93" s="899"/>
      <c r="E93" s="899"/>
      <c r="F93" s="899"/>
      <c r="G93" s="899"/>
      <c r="H93" s="899"/>
      <c r="I93" s="899"/>
      <c r="J93" s="899"/>
      <c r="K93" s="899"/>
      <c r="L93" s="899"/>
      <c r="M93" s="899"/>
      <c r="N93" s="899"/>
      <c r="O93" s="899"/>
      <c r="P93" s="899"/>
      <c r="Q93" s="899"/>
      <c r="R93" s="899"/>
      <c r="S93" s="899"/>
      <c r="T93" s="899"/>
      <c r="U93" s="899"/>
    </row>
    <row r="94" spans="2:21" x14ac:dyDescent="0.3">
      <c r="B94" s="908" t="s">
        <v>1262</v>
      </c>
      <c r="C94" s="909" t="s">
        <v>1263</v>
      </c>
      <c r="D94" s="899"/>
      <c r="E94" s="899"/>
      <c r="F94" s="899"/>
      <c r="G94" s="899"/>
      <c r="H94" s="899"/>
      <c r="I94" s="899"/>
      <c r="J94" s="899"/>
      <c r="K94" s="899"/>
      <c r="L94" s="899"/>
      <c r="M94" s="899"/>
      <c r="N94" s="899"/>
      <c r="O94" s="899"/>
      <c r="P94" s="899"/>
      <c r="Q94" s="899"/>
      <c r="R94" s="899"/>
      <c r="S94" s="899"/>
      <c r="T94" s="899"/>
      <c r="U94" s="899"/>
    </row>
    <row r="95" spans="2:21" x14ac:dyDescent="0.3">
      <c r="B95" s="908" t="s">
        <v>1264</v>
      </c>
      <c r="C95" s="909" t="s">
        <v>1265</v>
      </c>
      <c r="D95" s="899"/>
      <c r="E95" s="899"/>
      <c r="F95" s="899"/>
      <c r="G95" s="899"/>
      <c r="H95" s="899"/>
      <c r="I95" s="899"/>
      <c r="J95" s="899"/>
      <c r="K95" s="899"/>
      <c r="L95" s="899"/>
      <c r="M95" s="899"/>
      <c r="N95" s="899"/>
      <c r="O95" s="899"/>
      <c r="P95" s="899"/>
      <c r="Q95" s="899"/>
      <c r="R95" s="899"/>
      <c r="S95" s="899"/>
      <c r="T95" s="899"/>
      <c r="U95" s="899"/>
    </row>
    <row r="96" spans="2:21" x14ac:dyDescent="0.3">
      <c r="B96" s="908" t="s">
        <v>1266</v>
      </c>
      <c r="C96" s="909" t="s">
        <v>1267</v>
      </c>
      <c r="D96" s="899"/>
      <c r="E96" s="899"/>
      <c r="F96" s="899"/>
      <c r="G96" s="899"/>
      <c r="H96" s="899"/>
      <c r="I96" s="899"/>
      <c r="J96" s="899"/>
      <c r="K96" s="899"/>
      <c r="L96" s="899"/>
      <c r="M96" s="899"/>
      <c r="N96" s="899"/>
      <c r="O96" s="899"/>
      <c r="P96" s="899"/>
      <c r="Q96" s="899"/>
      <c r="R96" s="899"/>
      <c r="S96" s="899"/>
      <c r="T96" s="899"/>
      <c r="U96" s="899"/>
    </row>
    <row r="97" spans="2:21" x14ac:dyDescent="0.3">
      <c r="B97" s="908" t="s">
        <v>1268</v>
      </c>
      <c r="C97" s="909" t="s">
        <v>1269</v>
      </c>
      <c r="D97" s="899"/>
      <c r="E97" s="899"/>
      <c r="F97" s="899"/>
      <c r="G97" s="899"/>
      <c r="H97" s="899"/>
      <c r="I97" s="899"/>
      <c r="J97" s="899"/>
      <c r="K97" s="899"/>
      <c r="L97" s="899"/>
      <c r="M97" s="899"/>
      <c r="N97" s="899"/>
      <c r="O97" s="899"/>
      <c r="P97" s="899"/>
      <c r="Q97" s="899"/>
      <c r="R97" s="899"/>
      <c r="S97" s="899"/>
      <c r="T97" s="899"/>
      <c r="U97" s="899"/>
    </row>
    <row r="98" spans="2:21" s="900" customFormat="1" x14ac:dyDescent="0.3">
      <c r="B98" s="907" t="s">
        <v>1270</v>
      </c>
      <c r="C98" s="906" t="s">
        <v>1271</v>
      </c>
      <c r="D98" s="899"/>
      <c r="E98" s="899"/>
      <c r="F98" s="899"/>
      <c r="G98" s="899"/>
      <c r="H98" s="899"/>
      <c r="I98" s="899"/>
      <c r="J98" s="899"/>
      <c r="K98" s="899"/>
      <c r="L98" s="899"/>
      <c r="M98" s="899"/>
      <c r="N98" s="899"/>
      <c r="O98" s="899"/>
      <c r="P98" s="899"/>
      <c r="Q98" s="899"/>
      <c r="R98" s="899"/>
      <c r="S98" s="899"/>
      <c r="T98" s="899"/>
      <c r="U98" s="899"/>
    </row>
    <row r="99" spans="2:21" s="900" customFormat="1" x14ac:dyDescent="0.3">
      <c r="B99" s="907"/>
      <c r="C99" s="906" t="s">
        <v>1272</v>
      </c>
      <c r="D99" s="899"/>
      <c r="E99" s="899"/>
      <c r="F99" s="899"/>
      <c r="G99" s="899"/>
      <c r="H99" s="899"/>
      <c r="I99" s="899"/>
      <c r="J99" s="899"/>
      <c r="K99" s="899"/>
      <c r="L99" s="899"/>
      <c r="M99" s="899"/>
      <c r="N99" s="899"/>
      <c r="O99" s="899"/>
      <c r="P99" s="899"/>
      <c r="Q99" s="899"/>
      <c r="R99" s="899"/>
      <c r="S99" s="899"/>
      <c r="T99" s="899"/>
      <c r="U99" s="899"/>
    </row>
    <row r="100" spans="2:21" s="900" customFormat="1" x14ac:dyDescent="0.3">
      <c r="B100" s="907"/>
      <c r="C100" s="906"/>
      <c r="D100" s="899"/>
      <c r="E100" s="899"/>
      <c r="F100" s="899"/>
      <c r="G100" s="899"/>
      <c r="H100" s="899"/>
      <c r="I100" s="899"/>
      <c r="J100" s="899"/>
      <c r="K100" s="899"/>
      <c r="L100" s="899"/>
      <c r="M100" s="899"/>
      <c r="N100" s="899"/>
      <c r="O100" s="899"/>
      <c r="P100" s="899"/>
      <c r="Q100" s="899"/>
      <c r="R100" s="899"/>
      <c r="S100" s="899"/>
      <c r="T100" s="899"/>
      <c r="U100" s="899"/>
    </row>
    <row r="101" spans="2:21" s="900" customFormat="1" x14ac:dyDescent="0.3">
      <c r="B101" s="907">
        <v>2.5</v>
      </c>
      <c r="C101" s="912" t="s">
        <v>1273</v>
      </c>
      <c r="D101" s="899"/>
      <c r="E101" s="899"/>
      <c r="F101" s="899"/>
      <c r="G101" s="899"/>
      <c r="H101" s="899"/>
      <c r="I101" s="899"/>
      <c r="J101" s="899"/>
      <c r="K101" s="899"/>
      <c r="L101" s="899"/>
      <c r="M101" s="899"/>
      <c r="N101" s="899"/>
      <c r="O101" s="899"/>
      <c r="P101" s="899"/>
      <c r="Q101" s="899"/>
      <c r="R101" s="899"/>
      <c r="S101" s="899"/>
      <c r="T101" s="899"/>
      <c r="U101" s="899"/>
    </row>
    <row r="102" spans="2:21" x14ac:dyDescent="0.3">
      <c r="B102" s="913" t="s">
        <v>411</v>
      </c>
      <c r="C102" s="909" t="s">
        <v>1274</v>
      </c>
      <c r="D102" s="899"/>
      <c r="E102" s="899"/>
      <c r="F102" s="899"/>
      <c r="G102" s="899"/>
      <c r="H102" s="899"/>
      <c r="I102" s="899"/>
      <c r="J102" s="899"/>
      <c r="K102" s="899"/>
      <c r="L102" s="899"/>
      <c r="M102" s="899"/>
      <c r="N102" s="899"/>
      <c r="O102" s="899"/>
      <c r="P102" s="899"/>
      <c r="Q102" s="899"/>
      <c r="R102" s="899"/>
      <c r="S102" s="899"/>
      <c r="T102" s="899"/>
      <c r="U102" s="899"/>
    </row>
    <row r="103" spans="2:21" x14ac:dyDescent="0.3">
      <c r="B103" s="913" t="s">
        <v>414</v>
      </c>
      <c r="C103" s="909" t="s">
        <v>1275</v>
      </c>
      <c r="D103" s="899"/>
      <c r="E103" s="899"/>
      <c r="F103" s="899"/>
      <c r="G103" s="899"/>
      <c r="H103" s="899"/>
      <c r="I103" s="899"/>
      <c r="J103" s="899"/>
      <c r="K103" s="899"/>
      <c r="L103" s="899"/>
      <c r="M103" s="899"/>
      <c r="N103" s="899"/>
      <c r="O103" s="899"/>
      <c r="P103" s="899"/>
      <c r="Q103" s="899"/>
      <c r="R103" s="899"/>
      <c r="S103" s="899"/>
      <c r="T103" s="899"/>
      <c r="U103" s="899"/>
    </row>
    <row r="104" spans="2:21" s="900" customFormat="1" x14ac:dyDescent="0.3">
      <c r="B104" s="907" t="s">
        <v>415</v>
      </c>
      <c r="C104" s="914" t="s">
        <v>1276</v>
      </c>
      <c r="D104" s="899"/>
      <c r="E104" s="899"/>
      <c r="F104" s="899"/>
      <c r="G104" s="899"/>
      <c r="H104" s="899"/>
      <c r="I104" s="899"/>
      <c r="J104" s="899"/>
      <c r="K104" s="899"/>
      <c r="L104" s="899"/>
      <c r="M104" s="899"/>
      <c r="N104" s="899"/>
      <c r="O104" s="899"/>
      <c r="P104" s="899"/>
      <c r="Q104" s="899"/>
      <c r="R104" s="899"/>
      <c r="S104" s="899"/>
      <c r="T104" s="899"/>
      <c r="U104" s="899"/>
    </row>
    <row r="105" spans="2:21" s="900" customFormat="1" x14ac:dyDescent="0.3">
      <c r="B105" s="907"/>
      <c r="C105" s="914"/>
      <c r="D105" s="899"/>
      <c r="E105" s="899"/>
      <c r="F105" s="899"/>
      <c r="G105" s="899"/>
      <c r="H105" s="899"/>
      <c r="I105" s="899"/>
      <c r="J105" s="899"/>
      <c r="K105" s="899"/>
      <c r="L105" s="899"/>
      <c r="M105" s="899"/>
      <c r="N105" s="899"/>
      <c r="O105" s="899"/>
      <c r="P105" s="899"/>
      <c r="Q105" s="899"/>
      <c r="R105" s="899"/>
      <c r="S105" s="899"/>
      <c r="T105" s="899"/>
      <c r="U105" s="899"/>
    </row>
    <row r="106" spans="2:21" s="900" customFormat="1" x14ac:dyDescent="0.3">
      <c r="B106" s="907">
        <v>2.6</v>
      </c>
      <c r="C106" s="906" t="s">
        <v>1277</v>
      </c>
      <c r="D106" s="899"/>
      <c r="E106" s="899"/>
      <c r="F106" s="899"/>
      <c r="G106" s="899"/>
      <c r="H106" s="899"/>
      <c r="I106" s="899"/>
      <c r="J106" s="899"/>
      <c r="K106" s="899"/>
      <c r="L106" s="899"/>
      <c r="M106" s="899"/>
      <c r="N106" s="899"/>
      <c r="O106" s="899"/>
      <c r="P106" s="899"/>
      <c r="Q106" s="899"/>
      <c r="R106" s="899"/>
      <c r="S106" s="899"/>
      <c r="T106" s="899"/>
      <c r="U106" s="899"/>
    </row>
    <row r="107" spans="2:21" x14ac:dyDescent="0.3">
      <c r="B107" s="908" t="s">
        <v>1278</v>
      </c>
      <c r="C107" s="903" t="s">
        <v>1279</v>
      </c>
      <c r="D107" s="899"/>
      <c r="E107" s="899"/>
      <c r="F107" s="899"/>
      <c r="G107" s="899"/>
      <c r="H107" s="899"/>
      <c r="I107" s="899"/>
      <c r="J107" s="899"/>
      <c r="K107" s="899"/>
      <c r="L107" s="899"/>
      <c r="M107" s="899"/>
      <c r="N107" s="899"/>
      <c r="O107" s="899"/>
      <c r="P107" s="899"/>
      <c r="Q107" s="899"/>
      <c r="R107" s="899"/>
      <c r="S107" s="899"/>
      <c r="T107" s="899"/>
      <c r="U107" s="899"/>
    </row>
    <row r="108" spans="2:21" x14ac:dyDescent="0.3">
      <c r="B108" s="908" t="s">
        <v>1280</v>
      </c>
      <c r="C108" s="903" t="s">
        <v>1281</v>
      </c>
      <c r="D108" s="899"/>
      <c r="E108" s="899"/>
      <c r="F108" s="899"/>
      <c r="G108" s="899"/>
      <c r="H108" s="899"/>
      <c r="I108" s="899"/>
      <c r="J108" s="899"/>
      <c r="K108" s="899"/>
      <c r="L108" s="899"/>
      <c r="M108" s="899"/>
      <c r="N108" s="899"/>
      <c r="O108" s="899"/>
      <c r="P108" s="899"/>
      <c r="Q108" s="899"/>
      <c r="R108" s="899"/>
      <c r="S108" s="899"/>
      <c r="T108" s="899"/>
      <c r="U108" s="899"/>
    </row>
    <row r="109" spans="2:21" s="900" customFormat="1" x14ac:dyDescent="0.3">
      <c r="B109" s="907" t="s">
        <v>1282</v>
      </c>
      <c r="C109" s="906" t="s">
        <v>1283</v>
      </c>
      <c r="D109" s="899"/>
      <c r="E109" s="899"/>
      <c r="F109" s="899"/>
      <c r="G109" s="899"/>
      <c r="H109" s="899"/>
      <c r="I109" s="899"/>
      <c r="J109" s="899"/>
      <c r="K109" s="899"/>
      <c r="L109" s="899"/>
      <c r="M109" s="899"/>
      <c r="N109" s="899"/>
      <c r="O109" s="899"/>
      <c r="P109" s="899"/>
      <c r="Q109" s="899"/>
      <c r="R109" s="899"/>
      <c r="S109" s="899"/>
      <c r="T109" s="899"/>
      <c r="U109" s="899"/>
    </row>
    <row r="110" spans="2:21" s="900" customFormat="1" x14ac:dyDescent="0.3">
      <c r="B110" s="907" t="s">
        <v>1284</v>
      </c>
      <c r="C110" s="906" t="s">
        <v>1285</v>
      </c>
      <c r="D110" s="899"/>
      <c r="E110" s="899"/>
      <c r="F110" s="899"/>
      <c r="G110" s="899"/>
      <c r="H110" s="899"/>
      <c r="I110" s="899"/>
      <c r="J110" s="899"/>
      <c r="K110" s="899"/>
      <c r="L110" s="899"/>
      <c r="M110" s="899"/>
      <c r="N110" s="899"/>
      <c r="O110" s="899"/>
      <c r="P110" s="899"/>
      <c r="Q110" s="899"/>
      <c r="R110" s="899"/>
      <c r="S110" s="899"/>
      <c r="T110" s="899"/>
      <c r="U110" s="899"/>
    </row>
    <row r="111" spans="2:21" s="900" customFormat="1" x14ac:dyDescent="0.3">
      <c r="B111" s="907"/>
      <c r="C111" s="906"/>
      <c r="D111" s="899"/>
      <c r="E111" s="899"/>
      <c r="F111" s="899"/>
      <c r="G111" s="899"/>
      <c r="H111" s="899"/>
      <c r="I111" s="899"/>
      <c r="J111" s="899"/>
      <c r="K111" s="899"/>
      <c r="L111" s="899"/>
      <c r="M111" s="899"/>
      <c r="N111" s="899"/>
      <c r="O111" s="899"/>
      <c r="P111" s="899"/>
      <c r="Q111" s="899"/>
      <c r="R111" s="899"/>
      <c r="S111" s="899"/>
      <c r="T111" s="899"/>
      <c r="U111" s="899"/>
    </row>
    <row r="112" spans="2:21" s="900" customFormat="1" x14ac:dyDescent="0.3">
      <c r="B112" s="907">
        <v>3</v>
      </c>
      <c r="C112" s="906" t="s">
        <v>1286</v>
      </c>
      <c r="D112" s="899"/>
      <c r="E112" s="899"/>
      <c r="F112" s="899"/>
      <c r="G112" s="899"/>
      <c r="H112" s="899"/>
      <c r="I112" s="899"/>
      <c r="J112" s="899"/>
      <c r="K112" s="899"/>
      <c r="L112" s="899"/>
      <c r="M112" s="899"/>
      <c r="N112" s="899"/>
      <c r="O112" s="899"/>
      <c r="P112" s="899"/>
      <c r="Q112" s="899"/>
      <c r="R112" s="899"/>
      <c r="S112" s="899"/>
      <c r="T112" s="899"/>
      <c r="U112" s="899"/>
    </row>
    <row r="113" spans="2:21" s="900" customFormat="1" x14ac:dyDescent="0.3">
      <c r="B113" s="915"/>
      <c r="C113" s="915"/>
      <c r="D113" s="899"/>
      <c r="E113" s="899"/>
      <c r="F113" s="899"/>
      <c r="G113" s="899"/>
      <c r="H113" s="899"/>
      <c r="I113" s="899"/>
      <c r="J113" s="899"/>
      <c r="K113" s="899"/>
      <c r="L113" s="899"/>
      <c r="M113" s="899"/>
      <c r="N113" s="899"/>
      <c r="O113" s="899"/>
      <c r="P113" s="899"/>
      <c r="Q113" s="899"/>
      <c r="R113" s="899"/>
      <c r="S113" s="899"/>
      <c r="T113" s="899"/>
      <c r="U113" s="899"/>
    </row>
    <row r="114" spans="2:21" s="900" customFormat="1" x14ac:dyDescent="0.3">
      <c r="B114" s="907">
        <v>4</v>
      </c>
      <c r="C114" s="906" t="s">
        <v>1287</v>
      </c>
      <c r="D114" s="899"/>
      <c r="E114" s="899"/>
      <c r="F114" s="899"/>
      <c r="G114" s="899"/>
      <c r="H114" s="899"/>
      <c r="I114" s="899"/>
      <c r="J114" s="899"/>
      <c r="K114" s="899"/>
      <c r="L114" s="899"/>
      <c r="M114" s="899"/>
      <c r="N114" s="899"/>
      <c r="O114" s="899"/>
      <c r="P114" s="899"/>
      <c r="Q114" s="899"/>
      <c r="R114" s="899"/>
      <c r="S114" s="899"/>
      <c r="T114" s="899"/>
      <c r="U114" s="899"/>
    </row>
    <row r="115" spans="2:21" x14ac:dyDescent="0.3">
      <c r="B115" s="908">
        <v>4.0999999999999996</v>
      </c>
      <c r="C115" s="903" t="s">
        <v>1288</v>
      </c>
      <c r="D115" s="899"/>
      <c r="E115" s="899"/>
      <c r="F115" s="899"/>
      <c r="G115" s="899"/>
      <c r="H115" s="899"/>
      <c r="I115" s="899"/>
      <c r="J115" s="899"/>
      <c r="K115" s="899"/>
      <c r="L115" s="899"/>
      <c r="M115" s="899"/>
      <c r="N115" s="899"/>
      <c r="O115" s="899"/>
      <c r="P115" s="899"/>
      <c r="Q115" s="899"/>
      <c r="R115" s="899"/>
      <c r="S115" s="899"/>
      <c r="T115" s="899"/>
      <c r="U115" s="899"/>
    </row>
    <row r="116" spans="2:21" x14ac:dyDescent="0.3">
      <c r="B116" s="908">
        <v>4.2</v>
      </c>
      <c r="C116" s="903" t="s">
        <v>1289</v>
      </c>
      <c r="D116" s="899"/>
      <c r="E116" s="899"/>
      <c r="F116" s="899"/>
      <c r="G116" s="899"/>
      <c r="H116" s="899"/>
      <c r="I116" s="899"/>
      <c r="J116" s="899"/>
      <c r="K116" s="899"/>
      <c r="L116" s="899"/>
      <c r="M116" s="899"/>
      <c r="N116" s="899"/>
      <c r="O116" s="899"/>
      <c r="P116" s="899"/>
      <c r="Q116" s="899"/>
      <c r="R116" s="899"/>
      <c r="S116" s="899"/>
      <c r="T116" s="899"/>
      <c r="U116" s="899"/>
    </row>
    <row r="117" spans="2:21" x14ac:dyDescent="0.3">
      <c r="B117" s="908">
        <v>4.3</v>
      </c>
      <c r="C117" s="909" t="s">
        <v>1290</v>
      </c>
      <c r="D117" s="899"/>
      <c r="E117" s="899"/>
      <c r="F117" s="899"/>
      <c r="G117" s="899"/>
      <c r="H117" s="899"/>
      <c r="I117" s="899"/>
      <c r="J117" s="899"/>
      <c r="K117" s="899"/>
      <c r="L117" s="899"/>
      <c r="M117" s="899"/>
      <c r="N117" s="899"/>
      <c r="O117" s="899"/>
      <c r="P117" s="899"/>
      <c r="Q117" s="899"/>
      <c r="R117" s="899"/>
      <c r="S117" s="899"/>
      <c r="T117" s="899"/>
      <c r="U117" s="899"/>
    </row>
    <row r="118" spans="2:21" x14ac:dyDescent="0.3">
      <c r="B118" s="908">
        <v>4.4000000000000004</v>
      </c>
      <c r="C118" s="909" t="s">
        <v>1291</v>
      </c>
      <c r="D118" s="899"/>
      <c r="E118" s="899"/>
      <c r="F118" s="899"/>
      <c r="G118" s="899"/>
      <c r="H118" s="899"/>
      <c r="I118" s="899"/>
      <c r="J118" s="899"/>
      <c r="K118" s="899"/>
      <c r="L118" s="899"/>
      <c r="M118" s="899"/>
      <c r="N118" s="899"/>
      <c r="O118" s="899"/>
      <c r="P118" s="899"/>
      <c r="Q118" s="899"/>
      <c r="R118" s="899"/>
      <c r="S118" s="899"/>
      <c r="T118" s="899"/>
      <c r="U118" s="899"/>
    </row>
    <row r="119" spans="2:21" x14ac:dyDescent="0.3">
      <c r="B119" s="908">
        <v>4.5</v>
      </c>
      <c r="C119" s="909" t="s">
        <v>1292</v>
      </c>
      <c r="D119" s="899"/>
      <c r="E119" s="899"/>
      <c r="F119" s="899"/>
      <c r="G119" s="899"/>
      <c r="H119" s="899"/>
      <c r="I119" s="899"/>
      <c r="J119" s="899"/>
      <c r="K119" s="899"/>
      <c r="L119" s="899"/>
      <c r="M119" s="899"/>
      <c r="N119" s="899"/>
      <c r="O119" s="899"/>
      <c r="P119" s="899"/>
      <c r="Q119" s="899"/>
      <c r="R119" s="899"/>
      <c r="S119" s="899"/>
      <c r="T119" s="899"/>
      <c r="U119" s="899"/>
    </row>
    <row r="120" spans="2:21" x14ac:dyDescent="0.3">
      <c r="B120" s="908">
        <v>4.5999999999999996</v>
      </c>
      <c r="C120" s="909" t="s">
        <v>1293</v>
      </c>
      <c r="D120" s="899"/>
      <c r="E120" s="899"/>
      <c r="F120" s="899"/>
      <c r="G120" s="899"/>
      <c r="H120" s="899"/>
      <c r="I120" s="899"/>
      <c r="J120" s="899"/>
      <c r="K120" s="899"/>
      <c r="L120" s="899"/>
      <c r="M120" s="899"/>
      <c r="N120" s="899"/>
      <c r="O120" s="899"/>
      <c r="P120" s="899"/>
      <c r="Q120" s="899"/>
      <c r="R120" s="899"/>
      <c r="S120" s="899"/>
      <c r="T120" s="899"/>
      <c r="U120" s="899"/>
    </row>
    <row r="121" spans="2:21" x14ac:dyDescent="0.3">
      <c r="B121" s="908">
        <v>4.7</v>
      </c>
      <c r="C121" s="909" t="s">
        <v>1294</v>
      </c>
      <c r="D121" s="899"/>
      <c r="E121" s="899"/>
      <c r="F121" s="899"/>
      <c r="G121" s="899"/>
      <c r="H121" s="899"/>
      <c r="I121" s="899"/>
      <c r="J121" s="899"/>
      <c r="K121" s="899"/>
      <c r="L121" s="899"/>
      <c r="M121" s="899"/>
      <c r="N121" s="899"/>
      <c r="O121" s="899"/>
      <c r="P121" s="899"/>
      <c r="Q121" s="899"/>
      <c r="R121" s="899"/>
      <c r="S121" s="899"/>
      <c r="T121" s="899"/>
      <c r="U121" s="899"/>
    </row>
    <row r="122" spans="2:21" x14ac:dyDescent="0.3">
      <c r="B122" s="908">
        <v>4.8</v>
      </c>
      <c r="C122" s="903" t="s">
        <v>1295</v>
      </c>
      <c r="D122" s="899"/>
      <c r="E122" s="899"/>
      <c r="F122" s="899"/>
      <c r="G122" s="899"/>
      <c r="H122" s="899"/>
      <c r="I122" s="899"/>
      <c r="J122" s="899"/>
      <c r="K122" s="899"/>
      <c r="L122" s="899"/>
      <c r="M122" s="899"/>
      <c r="N122" s="899"/>
      <c r="O122" s="899"/>
      <c r="P122" s="899"/>
      <c r="Q122" s="899"/>
      <c r="R122" s="899"/>
      <c r="S122" s="899"/>
      <c r="T122" s="899"/>
      <c r="U122" s="899"/>
    </row>
    <row r="123" spans="2:21" x14ac:dyDescent="0.3">
      <c r="B123" s="908">
        <v>4.9000000000000004</v>
      </c>
      <c r="C123" s="903" t="s">
        <v>1296</v>
      </c>
      <c r="D123" s="899"/>
      <c r="E123" s="899"/>
      <c r="F123" s="899"/>
      <c r="G123" s="899"/>
      <c r="H123" s="899"/>
      <c r="I123" s="899"/>
      <c r="J123" s="899"/>
      <c r="K123" s="899"/>
      <c r="L123" s="899"/>
      <c r="M123" s="899"/>
      <c r="N123" s="899"/>
      <c r="O123" s="899"/>
      <c r="P123" s="899"/>
      <c r="Q123" s="899"/>
      <c r="R123" s="899"/>
      <c r="S123" s="899"/>
      <c r="T123" s="899"/>
      <c r="U123" s="899"/>
    </row>
    <row r="124" spans="2:21" x14ac:dyDescent="0.3">
      <c r="B124" s="916">
        <v>4.0999999999999996</v>
      </c>
      <c r="C124" s="903" t="s">
        <v>1297</v>
      </c>
      <c r="D124" s="899"/>
      <c r="E124" s="899"/>
      <c r="F124" s="899"/>
      <c r="G124" s="899"/>
      <c r="H124" s="899"/>
      <c r="I124" s="899"/>
      <c r="J124" s="899"/>
      <c r="K124" s="899"/>
      <c r="L124" s="899"/>
      <c r="M124" s="899"/>
      <c r="N124" s="899"/>
      <c r="O124" s="899"/>
      <c r="P124" s="899"/>
      <c r="Q124" s="899"/>
      <c r="R124" s="899"/>
      <c r="S124" s="899"/>
      <c r="T124" s="899"/>
      <c r="U124" s="899"/>
    </row>
    <row r="125" spans="2:21" x14ac:dyDescent="0.3">
      <c r="B125" s="916">
        <v>4.1100000000000003</v>
      </c>
      <c r="C125" s="903" t="s">
        <v>1298</v>
      </c>
      <c r="D125" s="899"/>
      <c r="E125" s="899"/>
      <c r="F125" s="899"/>
      <c r="G125" s="899"/>
      <c r="H125" s="899"/>
      <c r="I125" s="899"/>
      <c r="J125" s="899"/>
      <c r="K125" s="899"/>
      <c r="L125" s="899"/>
      <c r="M125" s="899"/>
      <c r="N125" s="899"/>
      <c r="O125" s="899"/>
      <c r="P125" s="899"/>
      <c r="Q125" s="899"/>
      <c r="R125" s="899"/>
      <c r="S125" s="899"/>
      <c r="T125" s="899"/>
      <c r="U125" s="899"/>
    </row>
    <row r="126" spans="2:21" x14ac:dyDescent="0.3">
      <c r="B126" s="916">
        <v>4.12</v>
      </c>
      <c r="C126" s="909" t="s">
        <v>1299</v>
      </c>
      <c r="D126" s="899"/>
      <c r="E126" s="899"/>
      <c r="F126" s="899"/>
      <c r="G126" s="899"/>
      <c r="H126" s="899"/>
      <c r="I126" s="899"/>
      <c r="J126" s="899"/>
      <c r="K126" s="899"/>
      <c r="L126" s="899"/>
      <c r="M126" s="899"/>
      <c r="N126" s="899"/>
      <c r="O126" s="899"/>
      <c r="P126" s="899"/>
      <c r="Q126" s="899"/>
      <c r="R126" s="899"/>
      <c r="S126" s="899"/>
      <c r="T126" s="899"/>
      <c r="U126" s="899"/>
    </row>
    <row r="127" spans="2:21" x14ac:dyDescent="0.3">
      <c r="B127" s="916">
        <v>4.13</v>
      </c>
      <c r="C127" s="903" t="s">
        <v>1300</v>
      </c>
      <c r="D127" s="899"/>
      <c r="E127" s="899"/>
      <c r="F127" s="899"/>
      <c r="G127" s="899"/>
      <c r="H127" s="899"/>
      <c r="I127" s="899"/>
      <c r="J127" s="899"/>
      <c r="K127" s="899"/>
      <c r="L127" s="899"/>
      <c r="M127" s="899"/>
      <c r="N127" s="899"/>
      <c r="O127" s="899"/>
      <c r="P127" s="899"/>
      <c r="Q127" s="899"/>
      <c r="R127" s="899"/>
      <c r="S127" s="899"/>
      <c r="T127" s="899"/>
      <c r="U127" s="899"/>
    </row>
    <row r="128" spans="2:21" x14ac:dyDescent="0.3">
      <c r="B128" s="916">
        <v>4.1399999999999997</v>
      </c>
      <c r="C128" s="903" t="s">
        <v>1301</v>
      </c>
      <c r="D128" s="899"/>
      <c r="E128" s="899"/>
      <c r="F128" s="899"/>
      <c r="G128" s="899"/>
      <c r="H128" s="899"/>
      <c r="I128" s="899"/>
      <c r="J128" s="899"/>
      <c r="K128" s="899"/>
      <c r="L128" s="899"/>
      <c r="M128" s="899"/>
      <c r="N128" s="899"/>
      <c r="O128" s="899"/>
      <c r="P128" s="899"/>
      <c r="Q128" s="899"/>
      <c r="R128" s="899"/>
      <c r="S128" s="899"/>
      <c r="T128" s="899"/>
      <c r="U128" s="899"/>
    </row>
    <row r="129" spans="2:21" x14ac:dyDescent="0.3">
      <c r="B129" s="916">
        <v>4.1500000000000004</v>
      </c>
      <c r="C129" s="903" t="s">
        <v>1302</v>
      </c>
      <c r="D129" s="899"/>
      <c r="E129" s="899"/>
      <c r="F129" s="899"/>
      <c r="G129" s="899"/>
      <c r="H129" s="899"/>
      <c r="I129" s="899"/>
      <c r="J129" s="899"/>
      <c r="K129" s="899"/>
      <c r="L129" s="899"/>
      <c r="M129" s="899"/>
      <c r="N129" s="899"/>
      <c r="O129" s="899"/>
      <c r="P129" s="899"/>
      <c r="Q129" s="899"/>
      <c r="R129" s="899"/>
      <c r="S129" s="899"/>
      <c r="T129" s="899"/>
      <c r="U129" s="899"/>
    </row>
    <row r="130" spans="2:21" x14ac:dyDescent="0.3">
      <c r="B130" s="916">
        <v>4.16</v>
      </c>
      <c r="C130" s="903" t="s">
        <v>1303</v>
      </c>
      <c r="D130" s="899"/>
      <c r="E130" s="899"/>
      <c r="F130" s="899"/>
      <c r="G130" s="899"/>
      <c r="H130" s="899"/>
      <c r="I130" s="899"/>
      <c r="J130" s="899"/>
      <c r="K130" s="899"/>
      <c r="L130" s="899"/>
      <c r="M130" s="899"/>
      <c r="N130" s="899"/>
      <c r="O130" s="899"/>
      <c r="P130" s="899"/>
      <c r="Q130" s="899"/>
      <c r="R130" s="899"/>
      <c r="S130" s="899"/>
      <c r="T130" s="899"/>
      <c r="U130" s="899"/>
    </row>
    <row r="131" spans="2:21" x14ac:dyDescent="0.3">
      <c r="B131" s="916">
        <v>4.17</v>
      </c>
      <c r="C131" s="903" t="s">
        <v>250</v>
      </c>
      <c r="D131" s="899"/>
      <c r="E131" s="899"/>
      <c r="F131" s="899"/>
      <c r="G131" s="899"/>
      <c r="H131" s="899"/>
      <c r="I131" s="899"/>
      <c r="J131" s="899"/>
      <c r="K131" s="899"/>
      <c r="L131" s="899"/>
      <c r="M131" s="899"/>
      <c r="N131" s="899"/>
      <c r="O131" s="899"/>
      <c r="P131" s="899"/>
      <c r="Q131" s="899"/>
      <c r="R131" s="899"/>
      <c r="S131" s="899"/>
      <c r="T131" s="899"/>
      <c r="U131" s="899"/>
    </row>
    <row r="132" spans="2:21" s="900" customFormat="1" x14ac:dyDescent="0.3">
      <c r="B132" s="917"/>
      <c r="C132" s="906" t="s">
        <v>1304</v>
      </c>
      <c r="D132" s="899"/>
      <c r="E132" s="899"/>
      <c r="F132" s="899"/>
      <c r="G132" s="899"/>
      <c r="H132" s="899"/>
      <c r="I132" s="899"/>
      <c r="J132" s="899"/>
      <c r="K132" s="899"/>
      <c r="L132" s="899"/>
      <c r="M132" s="899"/>
      <c r="N132" s="899"/>
      <c r="O132" s="899"/>
      <c r="P132" s="899"/>
      <c r="Q132" s="899"/>
      <c r="R132" s="899"/>
      <c r="S132" s="899"/>
      <c r="T132" s="899"/>
      <c r="U132" s="899"/>
    </row>
    <row r="133" spans="2:21" x14ac:dyDescent="0.3">
      <c r="B133" s="916"/>
      <c r="C133" s="903"/>
      <c r="D133" s="899"/>
      <c r="E133" s="899"/>
      <c r="F133" s="899"/>
      <c r="G133" s="899"/>
      <c r="H133" s="899"/>
      <c r="I133" s="899"/>
      <c r="J133" s="899"/>
      <c r="K133" s="899"/>
      <c r="L133" s="899"/>
      <c r="M133" s="899"/>
      <c r="N133" s="899"/>
      <c r="O133" s="899"/>
      <c r="P133" s="899"/>
      <c r="Q133" s="899"/>
      <c r="R133" s="899"/>
      <c r="S133" s="899"/>
      <c r="T133" s="899"/>
      <c r="U133" s="899"/>
    </row>
    <row r="134" spans="2:21" s="900" customFormat="1" x14ac:dyDescent="0.3">
      <c r="B134" s="907">
        <v>5</v>
      </c>
      <c r="C134" s="914" t="s">
        <v>1305</v>
      </c>
      <c r="D134" s="899"/>
      <c r="E134" s="899"/>
      <c r="F134" s="899"/>
      <c r="G134" s="899"/>
      <c r="H134" s="899"/>
      <c r="I134" s="899"/>
      <c r="J134" s="899"/>
      <c r="K134" s="899"/>
      <c r="L134" s="899"/>
      <c r="M134" s="899"/>
      <c r="N134" s="899"/>
      <c r="O134" s="899"/>
      <c r="P134" s="899"/>
      <c r="Q134" s="899"/>
      <c r="R134" s="899"/>
      <c r="S134" s="899"/>
      <c r="T134" s="899"/>
      <c r="U134" s="899"/>
    </row>
    <row r="135" spans="2:21" x14ac:dyDescent="0.3">
      <c r="B135" s="908">
        <v>5.0999999999999996</v>
      </c>
      <c r="C135" s="903" t="s">
        <v>1306</v>
      </c>
      <c r="D135" s="899"/>
      <c r="E135" s="899"/>
      <c r="F135" s="899"/>
      <c r="G135" s="899"/>
      <c r="H135" s="899"/>
      <c r="I135" s="899"/>
      <c r="J135" s="899"/>
      <c r="K135" s="899"/>
      <c r="L135" s="899"/>
      <c r="M135" s="899"/>
      <c r="N135" s="899"/>
      <c r="O135" s="899"/>
      <c r="P135" s="899"/>
      <c r="Q135" s="899"/>
      <c r="R135" s="899"/>
      <c r="S135" s="899"/>
      <c r="T135" s="899"/>
      <c r="U135" s="899"/>
    </row>
    <row r="136" spans="2:21" x14ac:dyDescent="0.3">
      <c r="B136" s="908">
        <v>5.2</v>
      </c>
      <c r="C136" s="903" t="s">
        <v>1307</v>
      </c>
      <c r="D136" s="899"/>
      <c r="E136" s="899"/>
      <c r="F136" s="899"/>
      <c r="G136" s="899"/>
      <c r="H136" s="899"/>
      <c r="I136" s="899"/>
      <c r="J136" s="899"/>
      <c r="K136" s="899"/>
      <c r="L136" s="899"/>
      <c r="M136" s="899"/>
      <c r="N136" s="899"/>
      <c r="O136" s="899"/>
      <c r="P136" s="899"/>
      <c r="Q136" s="899"/>
      <c r="R136" s="899"/>
      <c r="S136" s="899"/>
      <c r="T136" s="899"/>
      <c r="U136" s="899"/>
    </row>
    <row r="137" spans="2:21" x14ac:dyDescent="0.3">
      <c r="B137" s="908">
        <v>5.3</v>
      </c>
      <c r="C137" s="903" t="s">
        <v>1308</v>
      </c>
      <c r="D137" s="899"/>
      <c r="E137" s="899"/>
      <c r="F137" s="899"/>
      <c r="G137" s="899"/>
      <c r="H137" s="899"/>
      <c r="I137" s="899"/>
      <c r="J137" s="899"/>
      <c r="K137" s="899"/>
      <c r="L137" s="899"/>
      <c r="M137" s="899"/>
      <c r="N137" s="899"/>
      <c r="O137" s="899"/>
      <c r="P137" s="899"/>
      <c r="Q137" s="899"/>
      <c r="R137" s="899"/>
      <c r="S137" s="899"/>
      <c r="T137" s="899"/>
      <c r="U137" s="899"/>
    </row>
    <row r="138" spans="2:21" x14ac:dyDescent="0.3">
      <c r="B138" s="908">
        <v>5.4</v>
      </c>
      <c r="C138" s="903" t="s">
        <v>1309</v>
      </c>
      <c r="D138" s="899"/>
      <c r="E138" s="899"/>
      <c r="F138" s="899"/>
      <c r="G138" s="899"/>
      <c r="H138" s="899"/>
      <c r="I138" s="899"/>
      <c r="J138" s="899"/>
      <c r="K138" s="899"/>
      <c r="L138" s="899"/>
      <c r="M138" s="899"/>
      <c r="N138" s="899"/>
      <c r="O138" s="899"/>
      <c r="P138" s="899"/>
      <c r="Q138" s="899"/>
      <c r="R138" s="899"/>
      <c r="S138" s="899"/>
      <c r="T138" s="899"/>
      <c r="U138" s="899"/>
    </row>
    <row r="139" spans="2:21" x14ac:dyDescent="0.3">
      <c r="B139" s="908">
        <v>5.5</v>
      </c>
      <c r="C139" s="903" t="s">
        <v>1310</v>
      </c>
      <c r="D139" s="899"/>
      <c r="E139" s="899"/>
      <c r="F139" s="899"/>
      <c r="G139" s="899"/>
      <c r="H139" s="899"/>
      <c r="I139" s="899"/>
      <c r="J139" s="899"/>
      <c r="K139" s="899"/>
      <c r="L139" s="899"/>
      <c r="M139" s="899"/>
      <c r="N139" s="899"/>
      <c r="O139" s="899"/>
      <c r="P139" s="899"/>
      <c r="Q139" s="899"/>
      <c r="R139" s="899"/>
      <c r="S139" s="899"/>
      <c r="T139" s="899"/>
      <c r="U139" s="899"/>
    </row>
    <row r="140" spans="2:21" x14ac:dyDescent="0.3">
      <c r="B140" s="908">
        <v>5.6</v>
      </c>
      <c r="C140" s="903" t="s">
        <v>1311</v>
      </c>
      <c r="D140" s="899"/>
      <c r="E140" s="899"/>
      <c r="F140" s="899"/>
      <c r="G140" s="899"/>
      <c r="H140" s="899"/>
      <c r="I140" s="899"/>
      <c r="J140" s="899"/>
      <c r="K140" s="899"/>
      <c r="L140" s="899"/>
      <c r="M140" s="899"/>
      <c r="N140" s="899"/>
      <c r="O140" s="899"/>
      <c r="P140" s="899"/>
      <c r="Q140" s="899"/>
      <c r="R140" s="899"/>
      <c r="S140" s="899"/>
      <c r="T140" s="899"/>
      <c r="U140" s="899"/>
    </row>
    <row r="141" spans="2:21" s="900" customFormat="1" x14ac:dyDescent="0.3">
      <c r="B141" s="907">
        <v>5.7</v>
      </c>
      <c r="C141" s="914" t="s">
        <v>1312</v>
      </c>
      <c r="D141" s="899"/>
      <c r="E141" s="899"/>
      <c r="F141" s="899"/>
      <c r="G141" s="899"/>
      <c r="H141" s="899"/>
      <c r="I141" s="899"/>
      <c r="J141" s="899"/>
      <c r="K141" s="899"/>
      <c r="L141" s="899"/>
      <c r="M141" s="899"/>
      <c r="N141" s="899"/>
      <c r="O141" s="899"/>
      <c r="P141" s="899"/>
      <c r="Q141" s="899"/>
      <c r="R141" s="899"/>
      <c r="S141" s="899"/>
      <c r="T141" s="899"/>
      <c r="U141" s="899"/>
    </row>
    <row r="142" spans="2:21" s="900" customFormat="1" x14ac:dyDescent="0.3">
      <c r="B142" s="907"/>
      <c r="C142" s="914"/>
      <c r="D142" s="899"/>
      <c r="E142" s="899"/>
      <c r="F142" s="899"/>
      <c r="G142" s="899"/>
      <c r="H142" s="899"/>
      <c r="I142" s="899"/>
      <c r="J142" s="899"/>
      <c r="K142" s="899"/>
      <c r="L142" s="899"/>
      <c r="M142" s="899"/>
      <c r="N142" s="899"/>
      <c r="O142" s="899"/>
      <c r="P142" s="899"/>
      <c r="Q142" s="899"/>
      <c r="R142" s="899"/>
      <c r="S142" s="899"/>
      <c r="T142" s="899"/>
      <c r="U142" s="899"/>
    </row>
    <row r="143" spans="2:21" s="900" customFormat="1" x14ac:dyDescent="0.3">
      <c r="B143" s="907">
        <v>6</v>
      </c>
      <c r="C143" s="906" t="s">
        <v>1313</v>
      </c>
      <c r="D143" s="899"/>
      <c r="E143" s="899"/>
      <c r="F143" s="899"/>
      <c r="G143" s="899"/>
      <c r="H143" s="899"/>
      <c r="I143" s="899"/>
      <c r="J143" s="899"/>
      <c r="K143" s="899"/>
      <c r="L143" s="899"/>
      <c r="M143" s="899"/>
      <c r="N143" s="899"/>
      <c r="O143" s="899"/>
      <c r="P143" s="899"/>
      <c r="Q143" s="899"/>
      <c r="R143" s="899"/>
      <c r="S143" s="899"/>
      <c r="T143" s="899"/>
      <c r="U143" s="899"/>
    </row>
    <row r="144" spans="2:21" x14ac:dyDescent="0.3">
      <c r="B144" s="908">
        <v>6.1</v>
      </c>
      <c r="C144" s="903" t="s">
        <v>1314</v>
      </c>
      <c r="D144" s="899"/>
      <c r="E144" s="899"/>
      <c r="F144" s="899"/>
      <c r="G144" s="899"/>
      <c r="H144" s="899"/>
      <c r="I144" s="899"/>
      <c r="J144" s="899"/>
      <c r="K144" s="899"/>
      <c r="L144" s="899"/>
      <c r="M144" s="899"/>
      <c r="N144" s="899"/>
      <c r="O144" s="899"/>
      <c r="P144" s="899"/>
      <c r="Q144" s="899"/>
      <c r="R144" s="899"/>
      <c r="S144" s="899"/>
      <c r="T144" s="899"/>
      <c r="U144" s="899"/>
    </row>
    <row r="145" spans="2:21" x14ac:dyDescent="0.3">
      <c r="B145" s="913">
        <v>6.2</v>
      </c>
      <c r="C145" s="909" t="s">
        <v>1315</v>
      </c>
      <c r="D145" s="899"/>
      <c r="E145" s="899"/>
      <c r="F145" s="899"/>
      <c r="G145" s="899"/>
      <c r="H145" s="899"/>
      <c r="I145" s="899"/>
      <c r="J145" s="899"/>
      <c r="K145" s="899"/>
      <c r="L145" s="899"/>
      <c r="M145" s="899"/>
      <c r="N145" s="899"/>
      <c r="O145" s="899"/>
      <c r="P145" s="899"/>
      <c r="Q145" s="899"/>
      <c r="R145" s="899"/>
      <c r="S145" s="899"/>
      <c r="T145" s="899"/>
      <c r="U145" s="899"/>
    </row>
    <row r="146" spans="2:21" x14ac:dyDescent="0.3">
      <c r="B146" s="908">
        <v>6.3</v>
      </c>
      <c r="C146" s="903" t="s">
        <v>1316</v>
      </c>
      <c r="D146" s="899"/>
      <c r="E146" s="899"/>
      <c r="F146" s="899"/>
      <c r="G146" s="899"/>
      <c r="H146" s="899"/>
      <c r="I146" s="899"/>
      <c r="J146" s="899"/>
      <c r="K146" s="899"/>
      <c r="L146" s="899"/>
      <c r="M146" s="899"/>
      <c r="N146" s="899"/>
      <c r="O146" s="899"/>
      <c r="P146" s="899"/>
      <c r="Q146" s="899"/>
      <c r="R146" s="899"/>
      <c r="S146" s="899"/>
      <c r="T146" s="899"/>
      <c r="U146" s="899"/>
    </row>
    <row r="147" spans="2:21" x14ac:dyDescent="0.3">
      <c r="B147" s="913">
        <v>6.4</v>
      </c>
      <c r="C147" s="903" t="s">
        <v>1317</v>
      </c>
      <c r="D147" s="899"/>
      <c r="E147" s="899"/>
      <c r="F147" s="899"/>
      <c r="G147" s="899"/>
      <c r="H147" s="899"/>
      <c r="I147" s="899"/>
      <c r="J147" s="899"/>
      <c r="K147" s="899"/>
      <c r="L147" s="899"/>
      <c r="M147" s="899"/>
      <c r="N147" s="899"/>
      <c r="O147" s="899"/>
      <c r="P147" s="899"/>
      <c r="Q147" s="899"/>
      <c r="R147" s="899"/>
      <c r="S147" s="899"/>
      <c r="T147" s="899"/>
      <c r="U147" s="899"/>
    </row>
    <row r="148" spans="2:21" s="900" customFormat="1" x14ac:dyDescent="0.3">
      <c r="B148" s="907">
        <v>6.5</v>
      </c>
      <c r="C148" s="906" t="s">
        <v>1318</v>
      </c>
      <c r="D148" s="899"/>
      <c r="E148" s="899"/>
      <c r="F148" s="899"/>
      <c r="G148" s="899"/>
      <c r="H148" s="899"/>
      <c r="I148" s="899"/>
      <c r="J148" s="899"/>
      <c r="K148" s="899"/>
      <c r="L148" s="899"/>
      <c r="M148" s="899"/>
      <c r="N148" s="899"/>
      <c r="O148" s="899"/>
      <c r="P148" s="899"/>
      <c r="Q148" s="899"/>
      <c r="R148" s="899"/>
      <c r="S148" s="899"/>
      <c r="T148" s="899"/>
      <c r="U148" s="899"/>
    </row>
    <row r="149" spans="2:21" s="900" customFormat="1" x14ac:dyDescent="0.3">
      <c r="B149" s="907"/>
      <c r="C149" s="906"/>
      <c r="D149" s="899"/>
      <c r="E149" s="899"/>
      <c r="F149" s="899"/>
      <c r="G149" s="899"/>
      <c r="H149" s="899"/>
      <c r="I149" s="899"/>
      <c r="J149" s="899"/>
      <c r="K149" s="899"/>
      <c r="L149" s="899"/>
      <c r="M149" s="899"/>
      <c r="N149" s="899"/>
      <c r="O149" s="899"/>
      <c r="P149" s="899"/>
      <c r="Q149" s="899"/>
      <c r="R149" s="899"/>
      <c r="S149" s="899"/>
      <c r="T149" s="899"/>
      <c r="U149" s="899"/>
    </row>
    <row r="150" spans="2:21" s="900" customFormat="1" x14ac:dyDescent="0.3">
      <c r="B150" s="907">
        <v>7</v>
      </c>
      <c r="C150" s="906" t="s">
        <v>1319</v>
      </c>
      <c r="D150" s="899"/>
      <c r="E150" s="899"/>
      <c r="F150" s="899"/>
      <c r="G150" s="899"/>
      <c r="H150" s="899"/>
      <c r="I150" s="899"/>
      <c r="J150" s="899"/>
      <c r="K150" s="899"/>
      <c r="L150" s="899"/>
      <c r="M150" s="899"/>
      <c r="N150" s="899"/>
      <c r="O150" s="899"/>
      <c r="P150" s="899"/>
      <c r="Q150" s="899"/>
      <c r="R150" s="899"/>
      <c r="S150" s="899"/>
      <c r="T150" s="899"/>
      <c r="U150" s="899"/>
    </row>
    <row r="151" spans="2:21" s="900" customFormat="1" ht="18" customHeight="1" x14ac:dyDescent="0.3">
      <c r="B151" s="913">
        <v>7.1</v>
      </c>
      <c r="C151" s="903" t="s">
        <v>1320</v>
      </c>
      <c r="D151" s="899"/>
      <c r="E151" s="899"/>
      <c r="F151" s="899"/>
      <c r="G151" s="899"/>
      <c r="H151" s="899"/>
      <c r="I151" s="899"/>
      <c r="J151" s="899"/>
      <c r="K151" s="899"/>
      <c r="L151" s="899"/>
      <c r="M151" s="899"/>
      <c r="N151" s="899"/>
      <c r="O151" s="899"/>
      <c r="P151" s="899"/>
      <c r="Q151" s="899"/>
      <c r="R151" s="899"/>
      <c r="S151" s="899"/>
      <c r="T151" s="899"/>
      <c r="U151" s="899"/>
    </row>
    <row r="152" spans="2:21" x14ac:dyDescent="0.3">
      <c r="B152" s="913">
        <v>7.2</v>
      </c>
      <c r="C152" s="909" t="s">
        <v>1321</v>
      </c>
      <c r="D152" s="899"/>
      <c r="E152" s="899"/>
      <c r="F152" s="899"/>
      <c r="G152" s="899"/>
      <c r="H152" s="899"/>
      <c r="I152" s="899"/>
      <c r="J152" s="899"/>
      <c r="K152" s="899"/>
      <c r="L152" s="899"/>
      <c r="M152" s="899"/>
      <c r="N152" s="899"/>
      <c r="O152" s="899"/>
      <c r="P152" s="899"/>
      <c r="Q152" s="899"/>
      <c r="R152" s="899"/>
      <c r="S152" s="899"/>
      <c r="T152" s="899"/>
      <c r="U152" s="899"/>
    </row>
    <row r="153" spans="2:21" x14ac:dyDescent="0.3">
      <c r="B153" s="913"/>
      <c r="C153" s="909"/>
      <c r="D153" s="899"/>
      <c r="E153" s="899"/>
      <c r="F153" s="899"/>
      <c r="G153" s="899"/>
      <c r="H153" s="899"/>
      <c r="I153" s="899"/>
      <c r="J153" s="899"/>
      <c r="K153" s="899"/>
      <c r="L153" s="899"/>
      <c r="M153" s="899"/>
      <c r="N153" s="899"/>
      <c r="O153" s="899"/>
      <c r="P153" s="899"/>
      <c r="Q153" s="899"/>
      <c r="R153" s="899"/>
      <c r="S153" s="899"/>
      <c r="T153" s="899"/>
      <c r="U153" s="899"/>
    </row>
    <row r="154" spans="2:21" s="900" customFormat="1" x14ac:dyDescent="0.3">
      <c r="B154" s="907">
        <v>8</v>
      </c>
      <c r="C154" s="906" t="s">
        <v>1322</v>
      </c>
      <c r="D154" s="899"/>
      <c r="E154" s="899"/>
      <c r="F154" s="899"/>
      <c r="G154" s="899"/>
      <c r="H154" s="899"/>
      <c r="I154" s="899"/>
      <c r="J154" s="899"/>
      <c r="K154" s="899"/>
      <c r="L154" s="899"/>
      <c r="M154" s="899"/>
      <c r="N154" s="899"/>
      <c r="O154" s="899"/>
      <c r="P154" s="899"/>
      <c r="Q154" s="899"/>
      <c r="R154" s="899"/>
      <c r="S154" s="899"/>
      <c r="T154" s="899"/>
      <c r="U154" s="899"/>
    </row>
    <row r="155" spans="2:21" x14ac:dyDescent="0.3">
      <c r="L155" s="918"/>
    </row>
  </sheetData>
  <mergeCells count="10">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E3" sqref="E3"/>
    </sheetView>
  </sheetViews>
  <sheetFormatPr defaultColWidth="9.08984375" defaultRowHeight="14" x14ac:dyDescent="0.3"/>
  <cols>
    <col min="1" max="1" width="4.6328125" style="919" customWidth="1"/>
    <col min="2" max="2" width="9.08984375" style="919" customWidth="1"/>
    <col min="3" max="12" width="16.54296875" style="919" customWidth="1"/>
    <col min="13" max="13" width="16.54296875" style="921" customWidth="1"/>
    <col min="14" max="14" width="23.08984375" style="919" customWidth="1"/>
    <col min="15" max="256" width="9.08984375" style="919"/>
    <col min="257" max="257" width="4.6328125" style="919" customWidth="1"/>
    <col min="258" max="258" width="10.54296875" style="919" customWidth="1"/>
    <col min="259" max="259" width="49.08984375" style="919" customWidth="1"/>
    <col min="260" max="260" width="68.54296875" style="919" customWidth="1"/>
    <col min="261" max="261" width="35.453125" style="919" customWidth="1"/>
    <col min="262" max="262" width="21" style="919" customWidth="1"/>
    <col min="263" max="263" width="28.453125" style="919" customWidth="1"/>
    <col min="264" max="264" width="30.6328125" style="919" customWidth="1"/>
    <col min="265" max="265" width="29.54296875" style="919" customWidth="1"/>
    <col min="266" max="266" width="33.54296875" style="919" customWidth="1"/>
    <col min="267" max="267" width="26.54296875" style="919" customWidth="1"/>
    <col min="268" max="268" width="31.54296875" style="919" customWidth="1"/>
    <col min="269" max="269" width="34.36328125" style="919" customWidth="1"/>
    <col min="270" max="270" width="45.08984375" style="919" customWidth="1"/>
    <col min="271" max="512" width="9.08984375" style="919"/>
    <col min="513" max="513" width="4.6328125" style="919" customWidth="1"/>
    <col min="514" max="514" width="10.54296875" style="919" customWidth="1"/>
    <col min="515" max="515" width="49.08984375" style="919" customWidth="1"/>
    <col min="516" max="516" width="68.54296875" style="919" customWidth="1"/>
    <col min="517" max="517" width="35.453125" style="919" customWidth="1"/>
    <col min="518" max="518" width="21" style="919" customWidth="1"/>
    <col min="519" max="519" width="28.453125" style="919" customWidth="1"/>
    <col min="520" max="520" width="30.6328125" style="919" customWidth="1"/>
    <col min="521" max="521" width="29.54296875" style="919" customWidth="1"/>
    <col min="522" max="522" width="33.54296875" style="919" customWidth="1"/>
    <col min="523" max="523" width="26.54296875" style="919" customWidth="1"/>
    <col min="524" max="524" width="31.54296875" style="919" customWidth="1"/>
    <col min="525" max="525" width="34.36328125" style="919" customWidth="1"/>
    <col min="526" max="526" width="45.08984375" style="919" customWidth="1"/>
    <col min="527" max="768" width="9.08984375" style="919"/>
    <col min="769" max="769" width="4.6328125" style="919" customWidth="1"/>
    <col min="770" max="770" width="10.54296875" style="919" customWidth="1"/>
    <col min="771" max="771" width="49.08984375" style="919" customWidth="1"/>
    <col min="772" max="772" width="68.54296875" style="919" customWidth="1"/>
    <col min="773" max="773" width="35.453125" style="919" customWidth="1"/>
    <col min="774" max="774" width="21" style="919" customWidth="1"/>
    <col min="775" max="775" width="28.453125" style="919" customWidth="1"/>
    <col min="776" max="776" width="30.6328125" style="919" customWidth="1"/>
    <col min="777" max="777" width="29.54296875" style="919" customWidth="1"/>
    <col min="778" max="778" width="33.54296875" style="919" customWidth="1"/>
    <col min="779" max="779" width="26.54296875" style="919" customWidth="1"/>
    <col min="780" max="780" width="31.54296875" style="919" customWidth="1"/>
    <col min="781" max="781" width="34.36328125" style="919" customWidth="1"/>
    <col min="782" max="782" width="45.08984375" style="919" customWidth="1"/>
    <col min="783" max="1024" width="9.08984375" style="919"/>
    <col min="1025" max="1025" width="4.6328125" style="919" customWidth="1"/>
    <col min="1026" max="1026" width="10.54296875" style="919" customWidth="1"/>
    <col min="1027" max="1027" width="49.08984375" style="919" customWidth="1"/>
    <col min="1028" max="1028" width="68.54296875" style="919" customWidth="1"/>
    <col min="1029" max="1029" width="35.453125" style="919" customWidth="1"/>
    <col min="1030" max="1030" width="21" style="919" customWidth="1"/>
    <col min="1031" max="1031" width="28.453125" style="919" customWidth="1"/>
    <col min="1032" max="1032" width="30.6328125" style="919" customWidth="1"/>
    <col min="1033" max="1033" width="29.54296875" style="919" customWidth="1"/>
    <col min="1034" max="1034" width="33.54296875" style="919" customWidth="1"/>
    <col min="1035" max="1035" width="26.54296875" style="919" customWidth="1"/>
    <col min="1036" max="1036" width="31.54296875" style="919" customWidth="1"/>
    <col min="1037" max="1037" width="34.36328125" style="919" customWidth="1"/>
    <col min="1038" max="1038" width="45.08984375" style="919" customWidth="1"/>
    <col min="1039" max="1280" width="9.08984375" style="919"/>
    <col min="1281" max="1281" width="4.6328125" style="919" customWidth="1"/>
    <col min="1282" max="1282" width="10.54296875" style="919" customWidth="1"/>
    <col min="1283" max="1283" width="49.08984375" style="919" customWidth="1"/>
    <col min="1284" max="1284" width="68.54296875" style="919" customWidth="1"/>
    <col min="1285" max="1285" width="35.453125" style="919" customWidth="1"/>
    <col min="1286" max="1286" width="21" style="919" customWidth="1"/>
    <col min="1287" max="1287" width="28.453125" style="919" customWidth="1"/>
    <col min="1288" max="1288" width="30.6328125" style="919" customWidth="1"/>
    <col min="1289" max="1289" width="29.54296875" style="919" customWidth="1"/>
    <col min="1290" max="1290" width="33.54296875" style="919" customWidth="1"/>
    <col min="1291" max="1291" width="26.54296875" style="919" customWidth="1"/>
    <col min="1292" max="1292" width="31.54296875" style="919" customWidth="1"/>
    <col min="1293" max="1293" width="34.36328125" style="919" customWidth="1"/>
    <col min="1294" max="1294" width="45.08984375" style="919" customWidth="1"/>
    <col min="1295" max="1536" width="9.08984375" style="919"/>
    <col min="1537" max="1537" width="4.6328125" style="919" customWidth="1"/>
    <col min="1538" max="1538" width="10.54296875" style="919" customWidth="1"/>
    <col min="1539" max="1539" width="49.08984375" style="919" customWidth="1"/>
    <col min="1540" max="1540" width="68.54296875" style="919" customWidth="1"/>
    <col min="1541" max="1541" width="35.453125" style="919" customWidth="1"/>
    <col min="1542" max="1542" width="21" style="919" customWidth="1"/>
    <col min="1543" max="1543" width="28.453125" style="919" customWidth="1"/>
    <col min="1544" max="1544" width="30.6328125" style="919" customWidth="1"/>
    <col min="1545" max="1545" width="29.54296875" style="919" customWidth="1"/>
    <col min="1546" max="1546" width="33.54296875" style="919" customWidth="1"/>
    <col min="1547" max="1547" width="26.54296875" style="919" customWidth="1"/>
    <col min="1548" max="1548" width="31.54296875" style="919" customWidth="1"/>
    <col min="1549" max="1549" width="34.36328125" style="919" customWidth="1"/>
    <col min="1550" max="1550" width="45.08984375" style="919" customWidth="1"/>
    <col min="1551" max="1792" width="9.08984375" style="919"/>
    <col min="1793" max="1793" width="4.6328125" style="919" customWidth="1"/>
    <col min="1794" max="1794" width="10.54296875" style="919" customWidth="1"/>
    <col min="1795" max="1795" width="49.08984375" style="919" customWidth="1"/>
    <col min="1796" max="1796" width="68.54296875" style="919" customWidth="1"/>
    <col min="1797" max="1797" width="35.453125" style="919" customWidth="1"/>
    <col min="1798" max="1798" width="21" style="919" customWidth="1"/>
    <col min="1799" max="1799" width="28.453125" style="919" customWidth="1"/>
    <col min="1800" max="1800" width="30.6328125" style="919" customWidth="1"/>
    <col min="1801" max="1801" width="29.54296875" style="919" customWidth="1"/>
    <col min="1802" max="1802" width="33.54296875" style="919" customWidth="1"/>
    <col min="1803" max="1803" width="26.54296875" style="919" customWidth="1"/>
    <col min="1804" max="1804" width="31.54296875" style="919" customWidth="1"/>
    <col min="1805" max="1805" width="34.36328125" style="919" customWidth="1"/>
    <col min="1806" max="1806" width="45.08984375" style="919" customWidth="1"/>
    <col min="1807" max="2048" width="9.08984375" style="919"/>
    <col min="2049" max="2049" width="4.6328125" style="919" customWidth="1"/>
    <col min="2050" max="2050" width="10.54296875" style="919" customWidth="1"/>
    <col min="2051" max="2051" width="49.08984375" style="919" customWidth="1"/>
    <col min="2052" max="2052" width="68.54296875" style="919" customWidth="1"/>
    <col min="2053" max="2053" width="35.453125" style="919" customWidth="1"/>
    <col min="2054" max="2054" width="21" style="919" customWidth="1"/>
    <col min="2055" max="2055" width="28.453125" style="919" customWidth="1"/>
    <col min="2056" max="2056" width="30.6328125" style="919" customWidth="1"/>
    <col min="2057" max="2057" width="29.54296875" style="919" customWidth="1"/>
    <col min="2058" max="2058" width="33.54296875" style="919" customWidth="1"/>
    <col min="2059" max="2059" width="26.54296875" style="919" customWidth="1"/>
    <col min="2060" max="2060" width="31.54296875" style="919" customWidth="1"/>
    <col min="2061" max="2061" width="34.36328125" style="919" customWidth="1"/>
    <col min="2062" max="2062" width="45.08984375" style="919" customWidth="1"/>
    <col min="2063" max="2304" width="9.08984375" style="919"/>
    <col min="2305" max="2305" width="4.6328125" style="919" customWidth="1"/>
    <col min="2306" max="2306" width="10.54296875" style="919" customWidth="1"/>
    <col min="2307" max="2307" width="49.08984375" style="919" customWidth="1"/>
    <col min="2308" max="2308" width="68.54296875" style="919" customWidth="1"/>
    <col min="2309" max="2309" width="35.453125" style="919" customWidth="1"/>
    <col min="2310" max="2310" width="21" style="919" customWidth="1"/>
    <col min="2311" max="2311" width="28.453125" style="919" customWidth="1"/>
    <col min="2312" max="2312" width="30.6328125" style="919" customWidth="1"/>
    <col min="2313" max="2313" width="29.54296875" style="919" customWidth="1"/>
    <col min="2314" max="2314" width="33.54296875" style="919" customWidth="1"/>
    <col min="2315" max="2315" width="26.54296875" style="919" customWidth="1"/>
    <col min="2316" max="2316" width="31.54296875" style="919" customWidth="1"/>
    <col min="2317" max="2317" width="34.36328125" style="919" customWidth="1"/>
    <col min="2318" max="2318" width="45.08984375" style="919" customWidth="1"/>
    <col min="2319" max="2560" width="9.08984375" style="919"/>
    <col min="2561" max="2561" width="4.6328125" style="919" customWidth="1"/>
    <col min="2562" max="2562" width="10.54296875" style="919" customWidth="1"/>
    <col min="2563" max="2563" width="49.08984375" style="919" customWidth="1"/>
    <col min="2564" max="2564" width="68.54296875" style="919" customWidth="1"/>
    <col min="2565" max="2565" width="35.453125" style="919" customWidth="1"/>
    <col min="2566" max="2566" width="21" style="919" customWidth="1"/>
    <col min="2567" max="2567" width="28.453125" style="919" customWidth="1"/>
    <col min="2568" max="2568" width="30.6328125" style="919" customWidth="1"/>
    <col min="2569" max="2569" width="29.54296875" style="919" customWidth="1"/>
    <col min="2570" max="2570" width="33.54296875" style="919" customWidth="1"/>
    <col min="2571" max="2571" width="26.54296875" style="919" customWidth="1"/>
    <col min="2572" max="2572" width="31.54296875" style="919" customWidth="1"/>
    <col min="2573" max="2573" width="34.36328125" style="919" customWidth="1"/>
    <col min="2574" max="2574" width="45.08984375" style="919" customWidth="1"/>
    <col min="2575" max="2816" width="9.08984375" style="919"/>
    <col min="2817" max="2817" width="4.6328125" style="919" customWidth="1"/>
    <col min="2818" max="2818" width="10.54296875" style="919" customWidth="1"/>
    <col min="2819" max="2819" width="49.08984375" style="919" customWidth="1"/>
    <col min="2820" max="2820" width="68.54296875" style="919" customWidth="1"/>
    <col min="2821" max="2821" width="35.453125" style="919" customWidth="1"/>
    <col min="2822" max="2822" width="21" style="919" customWidth="1"/>
    <col min="2823" max="2823" width="28.453125" style="919" customWidth="1"/>
    <col min="2824" max="2824" width="30.6328125" style="919" customWidth="1"/>
    <col min="2825" max="2825" width="29.54296875" style="919" customWidth="1"/>
    <col min="2826" max="2826" width="33.54296875" style="919" customWidth="1"/>
    <col min="2827" max="2827" width="26.54296875" style="919" customWidth="1"/>
    <col min="2828" max="2828" width="31.54296875" style="919" customWidth="1"/>
    <col min="2829" max="2829" width="34.36328125" style="919" customWidth="1"/>
    <col min="2830" max="2830" width="45.08984375" style="919" customWidth="1"/>
    <col min="2831" max="3072" width="9.08984375" style="919"/>
    <col min="3073" max="3073" width="4.6328125" style="919" customWidth="1"/>
    <col min="3074" max="3074" width="10.54296875" style="919" customWidth="1"/>
    <col min="3075" max="3075" width="49.08984375" style="919" customWidth="1"/>
    <col min="3076" max="3076" width="68.54296875" style="919" customWidth="1"/>
    <col min="3077" max="3077" width="35.453125" style="919" customWidth="1"/>
    <col min="3078" max="3078" width="21" style="919" customWidth="1"/>
    <col min="3079" max="3079" width="28.453125" style="919" customWidth="1"/>
    <col min="3080" max="3080" width="30.6328125" style="919" customWidth="1"/>
    <col min="3081" max="3081" width="29.54296875" style="919" customWidth="1"/>
    <col min="3082" max="3082" width="33.54296875" style="919" customWidth="1"/>
    <col min="3083" max="3083" width="26.54296875" style="919" customWidth="1"/>
    <col min="3084" max="3084" width="31.54296875" style="919" customWidth="1"/>
    <col min="3085" max="3085" width="34.36328125" style="919" customWidth="1"/>
    <col min="3086" max="3086" width="45.08984375" style="919" customWidth="1"/>
    <col min="3087" max="3328" width="9.08984375" style="919"/>
    <col min="3329" max="3329" width="4.6328125" style="919" customWidth="1"/>
    <col min="3330" max="3330" width="10.54296875" style="919" customWidth="1"/>
    <col min="3331" max="3331" width="49.08984375" style="919" customWidth="1"/>
    <col min="3332" max="3332" width="68.54296875" style="919" customWidth="1"/>
    <col min="3333" max="3333" width="35.453125" style="919" customWidth="1"/>
    <col min="3334" max="3334" width="21" style="919" customWidth="1"/>
    <col min="3335" max="3335" width="28.453125" style="919" customWidth="1"/>
    <col min="3336" max="3336" width="30.6328125" style="919" customWidth="1"/>
    <col min="3337" max="3337" width="29.54296875" style="919" customWidth="1"/>
    <col min="3338" max="3338" width="33.54296875" style="919" customWidth="1"/>
    <col min="3339" max="3339" width="26.54296875" style="919" customWidth="1"/>
    <col min="3340" max="3340" width="31.54296875" style="919" customWidth="1"/>
    <col min="3341" max="3341" width="34.36328125" style="919" customWidth="1"/>
    <col min="3342" max="3342" width="45.08984375" style="919" customWidth="1"/>
    <col min="3343" max="3584" width="9.08984375" style="919"/>
    <col min="3585" max="3585" width="4.6328125" style="919" customWidth="1"/>
    <col min="3586" max="3586" width="10.54296875" style="919" customWidth="1"/>
    <col min="3587" max="3587" width="49.08984375" style="919" customWidth="1"/>
    <col min="3588" max="3588" width="68.54296875" style="919" customWidth="1"/>
    <col min="3589" max="3589" width="35.453125" style="919" customWidth="1"/>
    <col min="3590" max="3590" width="21" style="919" customWidth="1"/>
    <col min="3591" max="3591" width="28.453125" style="919" customWidth="1"/>
    <col min="3592" max="3592" width="30.6328125" style="919" customWidth="1"/>
    <col min="3593" max="3593" width="29.54296875" style="919" customWidth="1"/>
    <col min="3594" max="3594" width="33.54296875" style="919" customWidth="1"/>
    <col min="3595" max="3595" width="26.54296875" style="919" customWidth="1"/>
    <col min="3596" max="3596" width="31.54296875" style="919" customWidth="1"/>
    <col min="3597" max="3597" width="34.36328125" style="919" customWidth="1"/>
    <col min="3598" max="3598" width="45.08984375" style="919" customWidth="1"/>
    <col min="3599" max="3840" width="9.08984375" style="919"/>
    <col min="3841" max="3841" width="4.6328125" style="919" customWidth="1"/>
    <col min="3842" max="3842" width="10.54296875" style="919" customWidth="1"/>
    <col min="3843" max="3843" width="49.08984375" style="919" customWidth="1"/>
    <col min="3844" max="3844" width="68.54296875" style="919" customWidth="1"/>
    <col min="3845" max="3845" width="35.453125" style="919" customWidth="1"/>
    <col min="3846" max="3846" width="21" style="919" customWidth="1"/>
    <col min="3847" max="3847" width="28.453125" style="919" customWidth="1"/>
    <col min="3848" max="3848" width="30.6328125" style="919" customWidth="1"/>
    <col min="3849" max="3849" width="29.54296875" style="919" customWidth="1"/>
    <col min="3850" max="3850" width="33.54296875" style="919" customWidth="1"/>
    <col min="3851" max="3851" width="26.54296875" style="919" customWidth="1"/>
    <col min="3852" max="3852" width="31.54296875" style="919" customWidth="1"/>
    <col min="3853" max="3853" width="34.36328125" style="919" customWidth="1"/>
    <col min="3854" max="3854" width="45.08984375" style="919" customWidth="1"/>
    <col min="3855" max="4096" width="9.08984375" style="919"/>
    <col min="4097" max="4097" width="4.6328125" style="919" customWidth="1"/>
    <col min="4098" max="4098" width="10.54296875" style="919" customWidth="1"/>
    <col min="4099" max="4099" width="49.08984375" style="919" customWidth="1"/>
    <col min="4100" max="4100" width="68.54296875" style="919" customWidth="1"/>
    <col min="4101" max="4101" width="35.453125" style="919" customWidth="1"/>
    <col min="4102" max="4102" width="21" style="919" customWidth="1"/>
    <col min="4103" max="4103" width="28.453125" style="919" customWidth="1"/>
    <col min="4104" max="4104" width="30.6328125" style="919" customWidth="1"/>
    <col min="4105" max="4105" width="29.54296875" style="919" customWidth="1"/>
    <col min="4106" max="4106" width="33.54296875" style="919" customWidth="1"/>
    <col min="4107" max="4107" width="26.54296875" style="919" customWidth="1"/>
    <col min="4108" max="4108" width="31.54296875" style="919" customWidth="1"/>
    <col min="4109" max="4109" width="34.36328125" style="919" customWidth="1"/>
    <col min="4110" max="4110" width="45.08984375" style="919" customWidth="1"/>
    <col min="4111" max="4352" width="9.08984375" style="919"/>
    <col min="4353" max="4353" width="4.6328125" style="919" customWidth="1"/>
    <col min="4354" max="4354" width="10.54296875" style="919" customWidth="1"/>
    <col min="4355" max="4355" width="49.08984375" style="919" customWidth="1"/>
    <col min="4356" max="4356" width="68.54296875" style="919" customWidth="1"/>
    <col min="4357" max="4357" width="35.453125" style="919" customWidth="1"/>
    <col min="4358" max="4358" width="21" style="919" customWidth="1"/>
    <col min="4359" max="4359" width="28.453125" style="919" customWidth="1"/>
    <col min="4360" max="4360" width="30.6328125" style="919" customWidth="1"/>
    <col min="4361" max="4361" width="29.54296875" style="919" customWidth="1"/>
    <col min="4362" max="4362" width="33.54296875" style="919" customWidth="1"/>
    <col min="4363" max="4363" width="26.54296875" style="919" customWidth="1"/>
    <col min="4364" max="4364" width="31.54296875" style="919" customWidth="1"/>
    <col min="4365" max="4365" width="34.36328125" style="919" customWidth="1"/>
    <col min="4366" max="4366" width="45.08984375" style="919" customWidth="1"/>
    <col min="4367" max="4608" width="9.08984375" style="919"/>
    <col min="4609" max="4609" width="4.6328125" style="919" customWidth="1"/>
    <col min="4610" max="4610" width="10.54296875" style="919" customWidth="1"/>
    <col min="4611" max="4611" width="49.08984375" style="919" customWidth="1"/>
    <col min="4612" max="4612" width="68.54296875" style="919" customWidth="1"/>
    <col min="4613" max="4613" width="35.453125" style="919" customWidth="1"/>
    <col min="4614" max="4614" width="21" style="919" customWidth="1"/>
    <col min="4615" max="4615" width="28.453125" style="919" customWidth="1"/>
    <col min="4616" max="4616" width="30.6328125" style="919" customWidth="1"/>
    <col min="4617" max="4617" width="29.54296875" style="919" customWidth="1"/>
    <col min="4618" max="4618" width="33.54296875" style="919" customWidth="1"/>
    <col min="4619" max="4619" width="26.54296875" style="919" customWidth="1"/>
    <col min="4620" max="4620" width="31.54296875" style="919" customWidth="1"/>
    <col min="4621" max="4621" width="34.36328125" style="919" customWidth="1"/>
    <col min="4622" max="4622" width="45.08984375" style="919" customWidth="1"/>
    <col min="4623" max="4864" width="9.08984375" style="919"/>
    <col min="4865" max="4865" width="4.6328125" style="919" customWidth="1"/>
    <col min="4866" max="4866" width="10.54296875" style="919" customWidth="1"/>
    <col min="4867" max="4867" width="49.08984375" style="919" customWidth="1"/>
    <col min="4868" max="4868" width="68.54296875" style="919" customWidth="1"/>
    <col min="4869" max="4869" width="35.453125" style="919" customWidth="1"/>
    <col min="4870" max="4870" width="21" style="919" customWidth="1"/>
    <col min="4871" max="4871" width="28.453125" style="919" customWidth="1"/>
    <col min="4872" max="4872" width="30.6328125" style="919" customWidth="1"/>
    <col min="4873" max="4873" width="29.54296875" style="919" customWidth="1"/>
    <col min="4874" max="4874" width="33.54296875" style="919" customWidth="1"/>
    <col min="4875" max="4875" width="26.54296875" style="919" customWidth="1"/>
    <col min="4876" max="4876" width="31.54296875" style="919" customWidth="1"/>
    <col min="4877" max="4877" width="34.36328125" style="919" customWidth="1"/>
    <col min="4878" max="4878" width="45.08984375" style="919" customWidth="1"/>
    <col min="4879" max="5120" width="9.08984375" style="919"/>
    <col min="5121" max="5121" width="4.6328125" style="919" customWidth="1"/>
    <col min="5122" max="5122" width="10.54296875" style="919" customWidth="1"/>
    <col min="5123" max="5123" width="49.08984375" style="919" customWidth="1"/>
    <col min="5124" max="5124" width="68.54296875" style="919" customWidth="1"/>
    <col min="5125" max="5125" width="35.453125" style="919" customWidth="1"/>
    <col min="5126" max="5126" width="21" style="919" customWidth="1"/>
    <col min="5127" max="5127" width="28.453125" style="919" customWidth="1"/>
    <col min="5128" max="5128" width="30.6328125" style="919" customWidth="1"/>
    <col min="5129" max="5129" width="29.54296875" style="919" customWidth="1"/>
    <col min="5130" max="5130" width="33.54296875" style="919" customWidth="1"/>
    <col min="5131" max="5131" width="26.54296875" style="919" customWidth="1"/>
    <col min="5132" max="5132" width="31.54296875" style="919" customWidth="1"/>
    <col min="5133" max="5133" width="34.36328125" style="919" customWidth="1"/>
    <col min="5134" max="5134" width="45.08984375" style="919" customWidth="1"/>
    <col min="5135" max="5376" width="9.08984375" style="919"/>
    <col min="5377" max="5377" width="4.6328125" style="919" customWidth="1"/>
    <col min="5378" max="5378" width="10.54296875" style="919" customWidth="1"/>
    <col min="5379" max="5379" width="49.08984375" style="919" customWidth="1"/>
    <col min="5380" max="5380" width="68.54296875" style="919" customWidth="1"/>
    <col min="5381" max="5381" width="35.453125" style="919" customWidth="1"/>
    <col min="5382" max="5382" width="21" style="919" customWidth="1"/>
    <col min="5383" max="5383" width="28.453125" style="919" customWidth="1"/>
    <col min="5384" max="5384" width="30.6328125" style="919" customWidth="1"/>
    <col min="5385" max="5385" width="29.54296875" style="919" customWidth="1"/>
    <col min="5386" max="5386" width="33.54296875" style="919" customWidth="1"/>
    <col min="5387" max="5387" width="26.54296875" style="919" customWidth="1"/>
    <col min="5388" max="5388" width="31.54296875" style="919" customWidth="1"/>
    <col min="5389" max="5389" width="34.36328125" style="919" customWidth="1"/>
    <col min="5390" max="5390" width="45.08984375" style="919" customWidth="1"/>
    <col min="5391" max="5632" width="9.08984375" style="919"/>
    <col min="5633" max="5633" width="4.6328125" style="919" customWidth="1"/>
    <col min="5634" max="5634" width="10.54296875" style="919" customWidth="1"/>
    <col min="5635" max="5635" width="49.08984375" style="919" customWidth="1"/>
    <col min="5636" max="5636" width="68.54296875" style="919" customWidth="1"/>
    <col min="5637" max="5637" width="35.453125" style="919" customWidth="1"/>
    <col min="5638" max="5638" width="21" style="919" customWidth="1"/>
    <col min="5639" max="5639" width="28.453125" style="919" customWidth="1"/>
    <col min="5640" max="5640" width="30.6328125" style="919" customWidth="1"/>
    <col min="5641" max="5641" width="29.54296875" style="919" customWidth="1"/>
    <col min="5642" max="5642" width="33.54296875" style="919" customWidth="1"/>
    <col min="5643" max="5643" width="26.54296875" style="919" customWidth="1"/>
    <col min="5644" max="5644" width="31.54296875" style="919" customWidth="1"/>
    <col min="5645" max="5645" width="34.36328125" style="919" customWidth="1"/>
    <col min="5646" max="5646" width="45.08984375" style="919" customWidth="1"/>
    <col min="5647" max="5888" width="9.08984375" style="919"/>
    <col min="5889" max="5889" width="4.6328125" style="919" customWidth="1"/>
    <col min="5890" max="5890" width="10.54296875" style="919" customWidth="1"/>
    <col min="5891" max="5891" width="49.08984375" style="919" customWidth="1"/>
    <col min="5892" max="5892" width="68.54296875" style="919" customWidth="1"/>
    <col min="5893" max="5893" width="35.453125" style="919" customWidth="1"/>
    <col min="5894" max="5894" width="21" style="919" customWidth="1"/>
    <col min="5895" max="5895" width="28.453125" style="919" customWidth="1"/>
    <col min="5896" max="5896" width="30.6328125" style="919" customWidth="1"/>
    <col min="5897" max="5897" width="29.54296875" style="919" customWidth="1"/>
    <col min="5898" max="5898" width="33.54296875" style="919" customWidth="1"/>
    <col min="5899" max="5899" width="26.54296875" style="919" customWidth="1"/>
    <col min="5900" max="5900" width="31.54296875" style="919" customWidth="1"/>
    <col min="5901" max="5901" width="34.36328125" style="919" customWidth="1"/>
    <col min="5902" max="5902" width="45.08984375" style="919" customWidth="1"/>
    <col min="5903" max="6144" width="9.08984375" style="919"/>
    <col min="6145" max="6145" width="4.6328125" style="919" customWidth="1"/>
    <col min="6146" max="6146" width="10.54296875" style="919" customWidth="1"/>
    <col min="6147" max="6147" width="49.08984375" style="919" customWidth="1"/>
    <col min="6148" max="6148" width="68.54296875" style="919" customWidth="1"/>
    <col min="6149" max="6149" width="35.453125" style="919" customWidth="1"/>
    <col min="6150" max="6150" width="21" style="919" customWidth="1"/>
    <col min="6151" max="6151" width="28.453125" style="919" customWidth="1"/>
    <col min="6152" max="6152" width="30.6328125" style="919" customWidth="1"/>
    <col min="6153" max="6153" width="29.54296875" style="919" customWidth="1"/>
    <col min="6154" max="6154" width="33.54296875" style="919" customWidth="1"/>
    <col min="6155" max="6155" width="26.54296875" style="919" customWidth="1"/>
    <col min="6156" max="6156" width="31.54296875" style="919" customWidth="1"/>
    <col min="6157" max="6157" width="34.36328125" style="919" customWidth="1"/>
    <col min="6158" max="6158" width="45.08984375" style="919" customWidth="1"/>
    <col min="6159" max="6400" width="9.08984375" style="919"/>
    <col min="6401" max="6401" width="4.6328125" style="919" customWidth="1"/>
    <col min="6402" max="6402" width="10.54296875" style="919" customWidth="1"/>
    <col min="6403" max="6403" width="49.08984375" style="919" customWidth="1"/>
    <col min="6404" max="6404" width="68.54296875" style="919" customWidth="1"/>
    <col min="6405" max="6405" width="35.453125" style="919" customWidth="1"/>
    <col min="6406" max="6406" width="21" style="919" customWidth="1"/>
    <col min="6407" max="6407" width="28.453125" style="919" customWidth="1"/>
    <col min="6408" max="6408" width="30.6328125" style="919" customWidth="1"/>
    <col min="6409" max="6409" width="29.54296875" style="919" customWidth="1"/>
    <col min="6410" max="6410" width="33.54296875" style="919" customWidth="1"/>
    <col min="6411" max="6411" width="26.54296875" style="919" customWidth="1"/>
    <col min="6412" max="6412" width="31.54296875" style="919" customWidth="1"/>
    <col min="6413" max="6413" width="34.36328125" style="919" customWidth="1"/>
    <col min="6414" max="6414" width="45.08984375" style="919" customWidth="1"/>
    <col min="6415" max="6656" width="9.08984375" style="919"/>
    <col min="6657" max="6657" width="4.6328125" style="919" customWidth="1"/>
    <col min="6658" max="6658" width="10.54296875" style="919" customWidth="1"/>
    <col min="6659" max="6659" width="49.08984375" style="919" customWidth="1"/>
    <col min="6660" max="6660" width="68.54296875" style="919" customWidth="1"/>
    <col min="6661" max="6661" width="35.453125" style="919" customWidth="1"/>
    <col min="6662" max="6662" width="21" style="919" customWidth="1"/>
    <col min="6663" max="6663" width="28.453125" style="919" customWidth="1"/>
    <col min="6664" max="6664" width="30.6328125" style="919" customWidth="1"/>
    <col min="6665" max="6665" width="29.54296875" style="919" customWidth="1"/>
    <col min="6666" max="6666" width="33.54296875" style="919" customWidth="1"/>
    <col min="6667" max="6667" width="26.54296875" style="919" customWidth="1"/>
    <col min="6668" max="6668" width="31.54296875" style="919" customWidth="1"/>
    <col min="6669" max="6669" width="34.36328125" style="919" customWidth="1"/>
    <col min="6670" max="6670" width="45.08984375" style="919" customWidth="1"/>
    <col min="6671" max="6912" width="9.08984375" style="919"/>
    <col min="6913" max="6913" width="4.6328125" style="919" customWidth="1"/>
    <col min="6914" max="6914" width="10.54296875" style="919" customWidth="1"/>
    <col min="6915" max="6915" width="49.08984375" style="919" customWidth="1"/>
    <col min="6916" max="6916" width="68.54296875" style="919" customWidth="1"/>
    <col min="6917" max="6917" width="35.453125" style="919" customWidth="1"/>
    <col min="6918" max="6918" width="21" style="919" customWidth="1"/>
    <col min="6919" max="6919" width="28.453125" style="919" customWidth="1"/>
    <col min="6920" max="6920" width="30.6328125" style="919" customWidth="1"/>
    <col min="6921" max="6921" width="29.54296875" style="919" customWidth="1"/>
    <col min="6922" max="6922" width="33.54296875" style="919" customWidth="1"/>
    <col min="6923" max="6923" width="26.54296875" style="919" customWidth="1"/>
    <col min="6924" max="6924" width="31.54296875" style="919" customWidth="1"/>
    <col min="6925" max="6925" width="34.36328125" style="919" customWidth="1"/>
    <col min="6926" max="6926" width="45.08984375" style="919" customWidth="1"/>
    <col min="6927" max="7168" width="9.08984375" style="919"/>
    <col min="7169" max="7169" width="4.6328125" style="919" customWidth="1"/>
    <col min="7170" max="7170" width="10.54296875" style="919" customWidth="1"/>
    <col min="7171" max="7171" width="49.08984375" style="919" customWidth="1"/>
    <col min="7172" max="7172" width="68.54296875" style="919" customWidth="1"/>
    <col min="7173" max="7173" width="35.453125" style="919" customWidth="1"/>
    <col min="7174" max="7174" width="21" style="919" customWidth="1"/>
    <col min="7175" max="7175" width="28.453125" style="919" customWidth="1"/>
    <col min="7176" max="7176" width="30.6328125" style="919" customWidth="1"/>
    <col min="7177" max="7177" width="29.54296875" style="919" customWidth="1"/>
    <col min="7178" max="7178" width="33.54296875" style="919" customWidth="1"/>
    <col min="7179" max="7179" width="26.54296875" style="919" customWidth="1"/>
    <col min="7180" max="7180" width="31.54296875" style="919" customWidth="1"/>
    <col min="7181" max="7181" width="34.36328125" style="919" customWidth="1"/>
    <col min="7182" max="7182" width="45.08984375" style="919" customWidth="1"/>
    <col min="7183" max="7424" width="9.08984375" style="919"/>
    <col min="7425" max="7425" width="4.6328125" style="919" customWidth="1"/>
    <col min="7426" max="7426" width="10.54296875" style="919" customWidth="1"/>
    <col min="7427" max="7427" width="49.08984375" style="919" customWidth="1"/>
    <col min="7428" max="7428" width="68.54296875" style="919" customWidth="1"/>
    <col min="7429" max="7429" width="35.453125" style="919" customWidth="1"/>
    <col min="7430" max="7430" width="21" style="919" customWidth="1"/>
    <col min="7431" max="7431" width="28.453125" style="919" customWidth="1"/>
    <col min="7432" max="7432" width="30.6328125" style="919" customWidth="1"/>
    <col min="7433" max="7433" width="29.54296875" style="919" customWidth="1"/>
    <col min="7434" max="7434" width="33.54296875" style="919" customWidth="1"/>
    <col min="7435" max="7435" width="26.54296875" style="919" customWidth="1"/>
    <col min="7436" max="7436" width="31.54296875" style="919" customWidth="1"/>
    <col min="7437" max="7437" width="34.36328125" style="919" customWidth="1"/>
    <col min="7438" max="7438" width="45.08984375" style="919" customWidth="1"/>
    <col min="7439" max="7680" width="9.08984375" style="919"/>
    <col min="7681" max="7681" width="4.6328125" style="919" customWidth="1"/>
    <col min="7682" max="7682" width="10.54296875" style="919" customWidth="1"/>
    <col min="7683" max="7683" width="49.08984375" style="919" customWidth="1"/>
    <col min="7684" max="7684" width="68.54296875" style="919" customWidth="1"/>
    <col min="7685" max="7685" width="35.453125" style="919" customWidth="1"/>
    <col min="7686" max="7686" width="21" style="919" customWidth="1"/>
    <col min="7687" max="7687" width="28.453125" style="919" customWidth="1"/>
    <col min="7688" max="7688" width="30.6328125" style="919" customWidth="1"/>
    <col min="7689" max="7689" width="29.54296875" style="919" customWidth="1"/>
    <col min="7690" max="7690" width="33.54296875" style="919" customWidth="1"/>
    <col min="7691" max="7691" width="26.54296875" style="919" customWidth="1"/>
    <col min="7692" max="7692" width="31.54296875" style="919" customWidth="1"/>
    <col min="7693" max="7693" width="34.36328125" style="919" customWidth="1"/>
    <col min="7694" max="7694" width="45.08984375" style="919" customWidth="1"/>
    <col min="7695" max="7936" width="9.08984375" style="919"/>
    <col min="7937" max="7937" width="4.6328125" style="919" customWidth="1"/>
    <col min="7938" max="7938" width="10.54296875" style="919" customWidth="1"/>
    <col min="7939" max="7939" width="49.08984375" style="919" customWidth="1"/>
    <col min="7940" max="7940" width="68.54296875" style="919" customWidth="1"/>
    <col min="7941" max="7941" width="35.453125" style="919" customWidth="1"/>
    <col min="7942" max="7942" width="21" style="919" customWidth="1"/>
    <col min="7943" max="7943" width="28.453125" style="919" customWidth="1"/>
    <col min="7944" max="7944" width="30.6328125" style="919" customWidth="1"/>
    <col min="7945" max="7945" width="29.54296875" style="919" customWidth="1"/>
    <col min="7946" max="7946" width="33.54296875" style="919" customWidth="1"/>
    <col min="7947" max="7947" width="26.54296875" style="919" customWidth="1"/>
    <col min="7948" max="7948" width="31.54296875" style="919" customWidth="1"/>
    <col min="7949" max="7949" width="34.36328125" style="919" customWidth="1"/>
    <col min="7950" max="7950" width="45.08984375" style="919" customWidth="1"/>
    <col min="7951" max="8192" width="9.08984375" style="919"/>
    <col min="8193" max="8193" width="4.6328125" style="919" customWidth="1"/>
    <col min="8194" max="8194" width="10.54296875" style="919" customWidth="1"/>
    <col min="8195" max="8195" width="49.08984375" style="919" customWidth="1"/>
    <col min="8196" max="8196" width="68.54296875" style="919" customWidth="1"/>
    <col min="8197" max="8197" width="35.453125" style="919" customWidth="1"/>
    <col min="8198" max="8198" width="21" style="919" customWidth="1"/>
    <col min="8199" max="8199" width="28.453125" style="919" customWidth="1"/>
    <col min="8200" max="8200" width="30.6328125" style="919" customWidth="1"/>
    <col min="8201" max="8201" width="29.54296875" style="919" customWidth="1"/>
    <col min="8202" max="8202" width="33.54296875" style="919" customWidth="1"/>
    <col min="8203" max="8203" width="26.54296875" style="919" customWidth="1"/>
    <col min="8204" max="8204" width="31.54296875" style="919" customWidth="1"/>
    <col min="8205" max="8205" width="34.36328125" style="919" customWidth="1"/>
    <col min="8206" max="8206" width="45.08984375" style="919" customWidth="1"/>
    <col min="8207" max="8448" width="9.08984375" style="919"/>
    <col min="8449" max="8449" width="4.6328125" style="919" customWidth="1"/>
    <col min="8450" max="8450" width="10.54296875" style="919" customWidth="1"/>
    <col min="8451" max="8451" width="49.08984375" style="919" customWidth="1"/>
    <col min="8452" max="8452" width="68.54296875" style="919" customWidth="1"/>
    <col min="8453" max="8453" width="35.453125" style="919" customWidth="1"/>
    <col min="8454" max="8454" width="21" style="919" customWidth="1"/>
    <col min="8455" max="8455" width="28.453125" style="919" customWidth="1"/>
    <col min="8456" max="8456" width="30.6328125" style="919" customWidth="1"/>
    <col min="8457" max="8457" width="29.54296875" style="919" customWidth="1"/>
    <col min="8458" max="8458" width="33.54296875" style="919" customWidth="1"/>
    <col min="8459" max="8459" width="26.54296875" style="919" customWidth="1"/>
    <col min="8460" max="8460" width="31.54296875" style="919" customWidth="1"/>
    <col min="8461" max="8461" width="34.36328125" style="919" customWidth="1"/>
    <col min="8462" max="8462" width="45.08984375" style="919" customWidth="1"/>
    <col min="8463" max="8704" width="9.08984375" style="919"/>
    <col min="8705" max="8705" width="4.6328125" style="919" customWidth="1"/>
    <col min="8706" max="8706" width="10.54296875" style="919" customWidth="1"/>
    <col min="8707" max="8707" width="49.08984375" style="919" customWidth="1"/>
    <col min="8708" max="8708" width="68.54296875" style="919" customWidth="1"/>
    <col min="8709" max="8709" width="35.453125" style="919" customWidth="1"/>
    <col min="8710" max="8710" width="21" style="919" customWidth="1"/>
    <col min="8711" max="8711" width="28.453125" style="919" customWidth="1"/>
    <col min="8712" max="8712" width="30.6328125" style="919" customWidth="1"/>
    <col min="8713" max="8713" width="29.54296875" style="919" customWidth="1"/>
    <col min="8714" max="8714" width="33.54296875" style="919" customWidth="1"/>
    <col min="8715" max="8715" width="26.54296875" style="919" customWidth="1"/>
    <col min="8716" max="8716" width="31.54296875" style="919" customWidth="1"/>
    <col min="8717" max="8717" width="34.36328125" style="919" customWidth="1"/>
    <col min="8718" max="8718" width="45.08984375" style="919" customWidth="1"/>
    <col min="8719" max="8960" width="9.08984375" style="919"/>
    <col min="8961" max="8961" width="4.6328125" style="919" customWidth="1"/>
    <col min="8962" max="8962" width="10.54296875" style="919" customWidth="1"/>
    <col min="8963" max="8963" width="49.08984375" style="919" customWidth="1"/>
    <col min="8964" max="8964" width="68.54296875" style="919" customWidth="1"/>
    <col min="8965" max="8965" width="35.453125" style="919" customWidth="1"/>
    <col min="8966" max="8966" width="21" style="919" customWidth="1"/>
    <col min="8967" max="8967" width="28.453125" style="919" customWidth="1"/>
    <col min="8968" max="8968" width="30.6328125" style="919" customWidth="1"/>
    <col min="8969" max="8969" width="29.54296875" style="919" customWidth="1"/>
    <col min="8970" max="8970" width="33.54296875" style="919" customWidth="1"/>
    <col min="8971" max="8971" width="26.54296875" style="919" customWidth="1"/>
    <col min="8972" max="8972" width="31.54296875" style="919" customWidth="1"/>
    <col min="8973" max="8973" width="34.36328125" style="919" customWidth="1"/>
    <col min="8974" max="8974" width="45.08984375" style="919" customWidth="1"/>
    <col min="8975" max="9216" width="9.08984375" style="919"/>
    <col min="9217" max="9217" width="4.6328125" style="919" customWidth="1"/>
    <col min="9218" max="9218" width="10.54296875" style="919" customWidth="1"/>
    <col min="9219" max="9219" width="49.08984375" style="919" customWidth="1"/>
    <col min="9220" max="9220" width="68.54296875" style="919" customWidth="1"/>
    <col min="9221" max="9221" width="35.453125" style="919" customWidth="1"/>
    <col min="9222" max="9222" width="21" style="919" customWidth="1"/>
    <col min="9223" max="9223" width="28.453125" style="919" customWidth="1"/>
    <col min="9224" max="9224" width="30.6328125" style="919" customWidth="1"/>
    <col min="9225" max="9225" width="29.54296875" style="919" customWidth="1"/>
    <col min="9226" max="9226" width="33.54296875" style="919" customWidth="1"/>
    <col min="9227" max="9227" width="26.54296875" style="919" customWidth="1"/>
    <col min="9228" max="9228" width="31.54296875" style="919" customWidth="1"/>
    <col min="9229" max="9229" width="34.36328125" style="919" customWidth="1"/>
    <col min="9230" max="9230" width="45.08984375" style="919" customWidth="1"/>
    <col min="9231" max="9472" width="9.08984375" style="919"/>
    <col min="9473" max="9473" width="4.6328125" style="919" customWidth="1"/>
    <col min="9474" max="9474" width="10.54296875" style="919" customWidth="1"/>
    <col min="9475" max="9475" width="49.08984375" style="919" customWidth="1"/>
    <col min="9476" max="9476" width="68.54296875" style="919" customWidth="1"/>
    <col min="9477" max="9477" width="35.453125" style="919" customWidth="1"/>
    <col min="9478" max="9478" width="21" style="919" customWidth="1"/>
    <col min="9479" max="9479" width="28.453125" style="919" customWidth="1"/>
    <col min="9480" max="9480" width="30.6328125" style="919" customWidth="1"/>
    <col min="9481" max="9481" width="29.54296875" style="919" customWidth="1"/>
    <col min="9482" max="9482" width="33.54296875" style="919" customWidth="1"/>
    <col min="9483" max="9483" width="26.54296875" style="919" customWidth="1"/>
    <col min="9484" max="9484" width="31.54296875" style="919" customWidth="1"/>
    <col min="9485" max="9485" width="34.36328125" style="919" customWidth="1"/>
    <col min="9486" max="9486" width="45.08984375" style="919" customWidth="1"/>
    <col min="9487" max="9728" width="9.08984375" style="919"/>
    <col min="9729" max="9729" width="4.6328125" style="919" customWidth="1"/>
    <col min="9730" max="9730" width="10.54296875" style="919" customWidth="1"/>
    <col min="9731" max="9731" width="49.08984375" style="919" customWidth="1"/>
    <col min="9732" max="9732" width="68.54296875" style="919" customWidth="1"/>
    <col min="9733" max="9733" width="35.453125" style="919" customWidth="1"/>
    <col min="9734" max="9734" width="21" style="919" customWidth="1"/>
    <col min="9735" max="9735" width="28.453125" style="919" customWidth="1"/>
    <col min="9736" max="9736" width="30.6328125" style="919" customWidth="1"/>
    <col min="9737" max="9737" width="29.54296875" style="919" customWidth="1"/>
    <col min="9738" max="9738" width="33.54296875" style="919" customWidth="1"/>
    <col min="9739" max="9739" width="26.54296875" style="919" customWidth="1"/>
    <col min="9740" max="9740" width="31.54296875" style="919" customWidth="1"/>
    <col min="9741" max="9741" width="34.36328125" style="919" customWidth="1"/>
    <col min="9742" max="9742" width="45.08984375" style="919" customWidth="1"/>
    <col min="9743" max="9984" width="9.08984375" style="919"/>
    <col min="9985" max="9985" width="4.6328125" style="919" customWidth="1"/>
    <col min="9986" max="9986" width="10.54296875" style="919" customWidth="1"/>
    <col min="9987" max="9987" width="49.08984375" style="919" customWidth="1"/>
    <col min="9988" max="9988" width="68.54296875" style="919" customWidth="1"/>
    <col min="9989" max="9989" width="35.453125" style="919" customWidth="1"/>
    <col min="9990" max="9990" width="21" style="919" customWidth="1"/>
    <col min="9991" max="9991" width="28.453125" style="919" customWidth="1"/>
    <col min="9992" max="9992" width="30.6328125" style="919" customWidth="1"/>
    <col min="9993" max="9993" width="29.54296875" style="919" customWidth="1"/>
    <col min="9994" max="9994" width="33.54296875" style="919" customWidth="1"/>
    <col min="9995" max="9995" width="26.54296875" style="919" customWidth="1"/>
    <col min="9996" max="9996" width="31.54296875" style="919" customWidth="1"/>
    <col min="9997" max="9997" width="34.36328125" style="919" customWidth="1"/>
    <col min="9998" max="9998" width="45.08984375" style="919" customWidth="1"/>
    <col min="9999" max="10240" width="9.08984375" style="919"/>
    <col min="10241" max="10241" width="4.6328125" style="919" customWidth="1"/>
    <col min="10242" max="10242" width="10.54296875" style="919" customWidth="1"/>
    <col min="10243" max="10243" width="49.08984375" style="919" customWidth="1"/>
    <col min="10244" max="10244" width="68.54296875" style="919" customWidth="1"/>
    <col min="10245" max="10245" width="35.453125" style="919" customWidth="1"/>
    <col min="10246" max="10246" width="21" style="919" customWidth="1"/>
    <col min="10247" max="10247" width="28.453125" style="919" customWidth="1"/>
    <col min="10248" max="10248" width="30.6328125" style="919" customWidth="1"/>
    <col min="10249" max="10249" width="29.54296875" style="919" customWidth="1"/>
    <col min="10250" max="10250" width="33.54296875" style="919" customWidth="1"/>
    <col min="10251" max="10251" width="26.54296875" style="919" customWidth="1"/>
    <col min="10252" max="10252" width="31.54296875" style="919" customWidth="1"/>
    <col min="10253" max="10253" width="34.36328125" style="919" customWidth="1"/>
    <col min="10254" max="10254" width="45.08984375" style="919" customWidth="1"/>
    <col min="10255" max="10496" width="9.08984375" style="919"/>
    <col min="10497" max="10497" width="4.6328125" style="919" customWidth="1"/>
    <col min="10498" max="10498" width="10.54296875" style="919" customWidth="1"/>
    <col min="10499" max="10499" width="49.08984375" style="919" customWidth="1"/>
    <col min="10500" max="10500" width="68.54296875" style="919" customWidth="1"/>
    <col min="10501" max="10501" width="35.453125" style="919" customWidth="1"/>
    <col min="10502" max="10502" width="21" style="919" customWidth="1"/>
    <col min="10503" max="10503" width="28.453125" style="919" customWidth="1"/>
    <col min="10504" max="10504" width="30.6328125" style="919" customWidth="1"/>
    <col min="10505" max="10505" width="29.54296875" style="919" customWidth="1"/>
    <col min="10506" max="10506" width="33.54296875" style="919" customWidth="1"/>
    <col min="10507" max="10507" width="26.54296875" style="919" customWidth="1"/>
    <col min="10508" max="10508" width="31.54296875" style="919" customWidth="1"/>
    <col min="10509" max="10509" width="34.36328125" style="919" customWidth="1"/>
    <col min="10510" max="10510" width="45.08984375" style="919" customWidth="1"/>
    <col min="10511" max="10752" width="9.08984375" style="919"/>
    <col min="10753" max="10753" width="4.6328125" style="919" customWidth="1"/>
    <col min="10754" max="10754" width="10.54296875" style="919" customWidth="1"/>
    <col min="10755" max="10755" width="49.08984375" style="919" customWidth="1"/>
    <col min="10756" max="10756" width="68.54296875" style="919" customWidth="1"/>
    <col min="10757" max="10757" width="35.453125" style="919" customWidth="1"/>
    <col min="10758" max="10758" width="21" style="919" customWidth="1"/>
    <col min="10759" max="10759" width="28.453125" style="919" customWidth="1"/>
    <col min="10760" max="10760" width="30.6328125" style="919" customWidth="1"/>
    <col min="10761" max="10761" width="29.54296875" style="919" customWidth="1"/>
    <col min="10762" max="10762" width="33.54296875" style="919" customWidth="1"/>
    <col min="10763" max="10763" width="26.54296875" style="919" customWidth="1"/>
    <col min="10764" max="10764" width="31.54296875" style="919" customWidth="1"/>
    <col min="10765" max="10765" width="34.36328125" style="919" customWidth="1"/>
    <col min="10766" max="10766" width="45.08984375" style="919" customWidth="1"/>
    <col min="10767" max="11008" width="9.08984375" style="919"/>
    <col min="11009" max="11009" width="4.6328125" style="919" customWidth="1"/>
    <col min="11010" max="11010" width="10.54296875" style="919" customWidth="1"/>
    <col min="11011" max="11011" width="49.08984375" style="919" customWidth="1"/>
    <col min="11012" max="11012" width="68.54296875" style="919" customWidth="1"/>
    <col min="11013" max="11013" width="35.453125" style="919" customWidth="1"/>
    <col min="11014" max="11014" width="21" style="919" customWidth="1"/>
    <col min="11015" max="11015" width="28.453125" style="919" customWidth="1"/>
    <col min="11016" max="11016" width="30.6328125" style="919" customWidth="1"/>
    <col min="11017" max="11017" width="29.54296875" style="919" customWidth="1"/>
    <col min="11018" max="11018" width="33.54296875" style="919" customWidth="1"/>
    <col min="11019" max="11019" width="26.54296875" style="919" customWidth="1"/>
    <col min="11020" max="11020" width="31.54296875" style="919" customWidth="1"/>
    <col min="11021" max="11021" width="34.36328125" style="919" customWidth="1"/>
    <col min="11022" max="11022" width="45.08984375" style="919" customWidth="1"/>
    <col min="11023" max="11264" width="9.08984375" style="919"/>
    <col min="11265" max="11265" width="4.6328125" style="919" customWidth="1"/>
    <col min="11266" max="11266" width="10.54296875" style="919" customWidth="1"/>
    <col min="11267" max="11267" width="49.08984375" style="919" customWidth="1"/>
    <col min="11268" max="11268" width="68.54296875" style="919" customWidth="1"/>
    <col min="11269" max="11269" width="35.453125" style="919" customWidth="1"/>
    <col min="11270" max="11270" width="21" style="919" customWidth="1"/>
    <col min="11271" max="11271" width="28.453125" style="919" customWidth="1"/>
    <col min="11272" max="11272" width="30.6328125" style="919" customWidth="1"/>
    <col min="11273" max="11273" width="29.54296875" style="919" customWidth="1"/>
    <col min="11274" max="11274" width="33.54296875" style="919" customWidth="1"/>
    <col min="11275" max="11275" width="26.54296875" style="919" customWidth="1"/>
    <col min="11276" max="11276" width="31.54296875" style="919" customWidth="1"/>
    <col min="11277" max="11277" width="34.36328125" style="919" customWidth="1"/>
    <col min="11278" max="11278" width="45.08984375" style="919" customWidth="1"/>
    <col min="11279" max="11520" width="9.08984375" style="919"/>
    <col min="11521" max="11521" width="4.6328125" style="919" customWidth="1"/>
    <col min="11522" max="11522" width="10.54296875" style="919" customWidth="1"/>
    <col min="11523" max="11523" width="49.08984375" style="919" customWidth="1"/>
    <col min="11524" max="11524" width="68.54296875" style="919" customWidth="1"/>
    <col min="11525" max="11525" width="35.453125" style="919" customWidth="1"/>
    <col min="11526" max="11526" width="21" style="919" customWidth="1"/>
    <col min="11527" max="11527" width="28.453125" style="919" customWidth="1"/>
    <col min="11528" max="11528" width="30.6328125" style="919" customWidth="1"/>
    <col min="11529" max="11529" width="29.54296875" style="919" customWidth="1"/>
    <col min="11530" max="11530" width="33.54296875" style="919" customWidth="1"/>
    <col min="11531" max="11531" width="26.54296875" style="919" customWidth="1"/>
    <col min="11532" max="11532" width="31.54296875" style="919" customWidth="1"/>
    <col min="11533" max="11533" width="34.36328125" style="919" customWidth="1"/>
    <col min="11534" max="11534" width="45.08984375" style="919" customWidth="1"/>
    <col min="11535" max="11776" width="9.08984375" style="919"/>
    <col min="11777" max="11777" width="4.6328125" style="919" customWidth="1"/>
    <col min="11778" max="11778" width="10.54296875" style="919" customWidth="1"/>
    <col min="11779" max="11779" width="49.08984375" style="919" customWidth="1"/>
    <col min="11780" max="11780" width="68.54296875" style="919" customWidth="1"/>
    <col min="11781" max="11781" width="35.453125" style="919" customWidth="1"/>
    <col min="11782" max="11782" width="21" style="919" customWidth="1"/>
    <col min="11783" max="11783" width="28.453125" style="919" customWidth="1"/>
    <col min="11784" max="11784" width="30.6328125" style="919" customWidth="1"/>
    <col min="11785" max="11785" width="29.54296875" style="919" customWidth="1"/>
    <col min="11786" max="11786" width="33.54296875" style="919" customWidth="1"/>
    <col min="11787" max="11787" width="26.54296875" style="919" customWidth="1"/>
    <col min="11788" max="11788" width="31.54296875" style="919" customWidth="1"/>
    <col min="11789" max="11789" width="34.36328125" style="919" customWidth="1"/>
    <col min="11790" max="11790" width="45.08984375" style="919" customWidth="1"/>
    <col min="11791" max="12032" width="9.08984375" style="919"/>
    <col min="12033" max="12033" width="4.6328125" style="919" customWidth="1"/>
    <col min="12034" max="12034" width="10.54296875" style="919" customWidth="1"/>
    <col min="12035" max="12035" width="49.08984375" style="919" customWidth="1"/>
    <col min="12036" max="12036" width="68.54296875" style="919" customWidth="1"/>
    <col min="12037" max="12037" width="35.453125" style="919" customWidth="1"/>
    <col min="12038" max="12038" width="21" style="919" customWidth="1"/>
    <col min="12039" max="12039" width="28.453125" style="919" customWidth="1"/>
    <col min="12040" max="12040" width="30.6328125" style="919" customWidth="1"/>
    <col min="12041" max="12041" width="29.54296875" style="919" customWidth="1"/>
    <col min="12042" max="12042" width="33.54296875" style="919" customWidth="1"/>
    <col min="12043" max="12043" width="26.54296875" style="919" customWidth="1"/>
    <col min="12044" max="12044" width="31.54296875" style="919" customWidth="1"/>
    <col min="12045" max="12045" width="34.36328125" style="919" customWidth="1"/>
    <col min="12046" max="12046" width="45.08984375" style="919" customWidth="1"/>
    <col min="12047" max="12288" width="9.08984375" style="919"/>
    <col min="12289" max="12289" width="4.6328125" style="919" customWidth="1"/>
    <col min="12290" max="12290" width="10.54296875" style="919" customWidth="1"/>
    <col min="12291" max="12291" width="49.08984375" style="919" customWidth="1"/>
    <col min="12292" max="12292" width="68.54296875" style="919" customWidth="1"/>
    <col min="12293" max="12293" width="35.453125" style="919" customWidth="1"/>
    <col min="12294" max="12294" width="21" style="919" customWidth="1"/>
    <col min="12295" max="12295" width="28.453125" style="919" customWidth="1"/>
    <col min="12296" max="12296" width="30.6328125" style="919" customWidth="1"/>
    <col min="12297" max="12297" width="29.54296875" style="919" customWidth="1"/>
    <col min="12298" max="12298" width="33.54296875" style="919" customWidth="1"/>
    <col min="12299" max="12299" width="26.54296875" style="919" customWidth="1"/>
    <col min="12300" max="12300" width="31.54296875" style="919" customWidth="1"/>
    <col min="12301" max="12301" width="34.36328125" style="919" customWidth="1"/>
    <col min="12302" max="12302" width="45.08984375" style="919" customWidth="1"/>
    <col min="12303" max="12544" width="9.08984375" style="919"/>
    <col min="12545" max="12545" width="4.6328125" style="919" customWidth="1"/>
    <col min="12546" max="12546" width="10.54296875" style="919" customWidth="1"/>
    <col min="12547" max="12547" width="49.08984375" style="919" customWidth="1"/>
    <col min="12548" max="12548" width="68.54296875" style="919" customWidth="1"/>
    <col min="12549" max="12549" width="35.453125" style="919" customWidth="1"/>
    <col min="12550" max="12550" width="21" style="919" customWidth="1"/>
    <col min="12551" max="12551" width="28.453125" style="919" customWidth="1"/>
    <col min="12552" max="12552" width="30.6328125" style="919" customWidth="1"/>
    <col min="12553" max="12553" width="29.54296875" style="919" customWidth="1"/>
    <col min="12554" max="12554" width="33.54296875" style="919" customWidth="1"/>
    <col min="12555" max="12555" width="26.54296875" style="919" customWidth="1"/>
    <col min="12556" max="12556" width="31.54296875" style="919" customWidth="1"/>
    <col min="12557" max="12557" width="34.36328125" style="919" customWidth="1"/>
    <col min="12558" max="12558" width="45.08984375" style="919" customWidth="1"/>
    <col min="12559" max="12800" width="9.08984375" style="919"/>
    <col min="12801" max="12801" width="4.6328125" style="919" customWidth="1"/>
    <col min="12802" max="12802" width="10.54296875" style="919" customWidth="1"/>
    <col min="12803" max="12803" width="49.08984375" style="919" customWidth="1"/>
    <col min="12804" max="12804" width="68.54296875" style="919" customWidth="1"/>
    <col min="12805" max="12805" width="35.453125" style="919" customWidth="1"/>
    <col min="12806" max="12806" width="21" style="919" customWidth="1"/>
    <col min="12807" max="12807" width="28.453125" style="919" customWidth="1"/>
    <col min="12808" max="12808" width="30.6328125" style="919" customWidth="1"/>
    <col min="12809" max="12809" width="29.54296875" style="919" customWidth="1"/>
    <col min="12810" max="12810" width="33.54296875" style="919" customWidth="1"/>
    <col min="12811" max="12811" width="26.54296875" style="919" customWidth="1"/>
    <col min="12812" max="12812" width="31.54296875" style="919" customWidth="1"/>
    <col min="12813" max="12813" width="34.36328125" style="919" customWidth="1"/>
    <col min="12814" max="12814" width="45.08984375" style="919" customWidth="1"/>
    <col min="12815" max="13056" width="9.08984375" style="919"/>
    <col min="13057" max="13057" width="4.6328125" style="919" customWidth="1"/>
    <col min="13058" max="13058" width="10.54296875" style="919" customWidth="1"/>
    <col min="13059" max="13059" width="49.08984375" style="919" customWidth="1"/>
    <col min="13060" max="13060" width="68.54296875" style="919" customWidth="1"/>
    <col min="13061" max="13061" width="35.453125" style="919" customWidth="1"/>
    <col min="13062" max="13062" width="21" style="919" customWidth="1"/>
    <col min="13063" max="13063" width="28.453125" style="919" customWidth="1"/>
    <col min="13064" max="13064" width="30.6328125" style="919" customWidth="1"/>
    <col min="13065" max="13065" width="29.54296875" style="919" customWidth="1"/>
    <col min="13066" max="13066" width="33.54296875" style="919" customWidth="1"/>
    <col min="13067" max="13067" width="26.54296875" style="919" customWidth="1"/>
    <col min="13068" max="13068" width="31.54296875" style="919" customWidth="1"/>
    <col min="13069" max="13069" width="34.36328125" style="919" customWidth="1"/>
    <col min="13070" max="13070" width="45.08984375" style="919" customWidth="1"/>
    <col min="13071" max="13312" width="9.08984375" style="919"/>
    <col min="13313" max="13313" width="4.6328125" style="919" customWidth="1"/>
    <col min="13314" max="13314" width="10.54296875" style="919" customWidth="1"/>
    <col min="13315" max="13315" width="49.08984375" style="919" customWidth="1"/>
    <col min="13316" max="13316" width="68.54296875" style="919" customWidth="1"/>
    <col min="13317" max="13317" width="35.453125" style="919" customWidth="1"/>
    <col min="13318" max="13318" width="21" style="919" customWidth="1"/>
    <col min="13319" max="13319" width="28.453125" style="919" customWidth="1"/>
    <col min="13320" max="13320" width="30.6328125" style="919" customWidth="1"/>
    <col min="13321" max="13321" width="29.54296875" style="919" customWidth="1"/>
    <col min="13322" max="13322" width="33.54296875" style="919" customWidth="1"/>
    <col min="13323" max="13323" width="26.54296875" style="919" customWidth="1"/>
    <col min="13324" max="13324" width="31.54296875" style="919" customWidth="1"/>
    <col min="13325" max="13325" width="34.36328125" style="919" customWidth="1"/>
    <col min="13326" max="13326" width="45.08984375" style="919" customWidth="1"/>
    <col min="13327" max="13568" width="9.08984375" style="919"/>
    <col min="13569" max="13569" width="4.6328125" style="919" customWidth="1"/>
    <col min="13570" max="13570" width="10.54296875" style="919" customWidth="1"/>
    <col min="13571" max="13571" width="49.08984375" style="919" customWidth="1"/>
    <col min="13572" max="13572" width="68.54296875" style="919" customWidth="1"/>
    <col min="13573" max="13573" width="35.453125" style="919" customWidth="1"/>
    <col min="13574" max="13574" width="21" style="919" customWidth="1"/>
    <col min="13575" max="13575" width="28.453125" style="919" customWidth="1"/>
    <col min="13576" max="13576" width="30.6328125" style="919" customWidth="1"/>
    <col min="13577" max="13577" width="29.54296875" style="919" customWidth="1"/>
    <col min="13578" max="13578" width="33.54296875" style="919" customWidth="1"/>
    <col min="13579" max="13579" width="26.54296875" style="919" customWidth="1"/>
    <col min="13580" max="13580" width="31.54296875" style="919" customWidth="1"/>
    <col min="13581" max="13581" width="34.36328125" style="919" customWidth="1"/>
    <col min="13582" max="13582" width="45.08984375" style="919" customWidth="1"/>
    <col min="13583" max="13824" width="9.08984375" style="919"/>
    <col min="13825" max="13825" width="4.6328125" style="919" customWidth="1"/>
    <col min="13826" max="13826" width="10.54296875" style="919" customWidth="1"/>
    <col min="13827" max="13827" width="49.08984375" style="919" customWidth="1"/>
    <col min="13828" max="13828" width="68.54296875" style="919" customWidth="1"/>
    <col min="13829" max="13829" width="35.453125" style="919" customWidth="1"/>
    <col min="13830" max="13830" width="21" style="919" customWidth="1"/>
    <col min="13831" max="13831" width="28.453125" style="919" customWidth="1"/>
    <col min="13832" max="13832" width="30.6328125" style="919" customWidth="1"/>
    <col min="13833" max="13833" width="29.54296875" style="919" customWidth="1"/>
    <col min="13834" max="13834" width="33.54296875" style="919" customWidth="1"/>
    <col min="13835" max="13835" width="26.54296875" style="919" customWidth="1"/>
    <col min="13836" max="13836" width="31.54296875" style="919" customWidth="1"/>
    <col min="13837" max="13837" width="34.36328125" style="919" customWidth="1"/>
    <col min="13838" max="13838" width="45.08984375" style="919" customWidth="1"/>
    <col min="13839" max="14080" width="9.08984375" style="919"/>
    <col min="14081" max="14081" width="4.6328125" style="919" customWidth="1"/>
    <col min="14082" max="14082" width="10.54296875" style="919" customWidth="1"/>
    <col min="14083" max="14083" width="49.08984375" style="919" customWidth="1"/>
    <col min="14084" max="14084" width="68.54296875" style="919" customWidth="1"/>
    <col min="14085" max="14085" width="35.453125" style="919" customWidth="1"/>
    <col min="14086" max="14086" width="21" style="919" customWidth="1"/>
    <col min="14087" max="14087" width="28.453125" style="919" customWidth="1"/>
    <col min="14088" max="14088" width="30.6328125" style="919" customWidth="1"/>
    <col min="14089" max="14089" width="29.54296875" style="919" customWidth="1"/>
    <col min="14090" max="14090" width="33.54296875" style="919" customWidth="1"/>
    <col min="14091" max="14091" width="26.54296875" style="919" customWidth="1"/>
    <col min="14092" max="14092" width="31.54296875" style="919" customWidth="1"/>
    <col min="14093" max="14093" width="34.36328125" style="919" customWidth="1"/>
    <col min="14094" max="14094" width="45.08984375" style="919" customWidth="1"/>
    <col min="14095" max="14336" width="9.08984375" style="919"/>
    <col min="14337" max="14337" width="4.6328125" style="919" customWidth="1"/>
    <col min="14338" max="14338" width="10.54296875" style="919" customWidth="1"/>
    <col min="14339" max="14339" width="49.08984375" style="919" customWidth="1"/>
    <col min="14340" max="14340" width="68.54296875" style="919" customWidth="1"/>
    <col min="14341" max="14341" width="35.453125" style="919" customWidth="1"/>
    <col min="14342" max="14342" width="21" style="919" customWidth="1"/>
    <col min="14343" max="14343" width="28.453125" style="919" customWidth="1"/>
    <col min="14344" max="14344" width="30.6328125" style="919" customWidth="1"/>
    <col min="14345" max="14345" width="29.54296875" style="919" customWidth="1"/>
    <col min="14346" max="14346" width="33.54296875" style="919" customWidth="1"/>
    <col min="14347" max="14347" width="26.54296875" style="919" customWidth="1"/>
    <col min="14348" max="14348" width="31.54296875" style="919" customWidth="1"/>
    <col min="14349" max="14349" width="34.36328125" style="919" customWidth="1"/>
    <col min="14350" max="14350" width="45.08984375" style="919" customWidth="1"/>
    <col min="14351" max="14592" width="9.08984375" style="919"/>
    <col min="14593" max="14593" width="4.6328125" style="919" customWidth="1"/>
    <col min="14594" max="14594" width="10.54296875" style="919" customWidth="1"/>
    <col min="14595" max="14595" width="49.08984375" style="919" customWidth="1"/>
    <col min="14596" max="14596" width="68.54296875" style="919" customWidth="1"/>
    <col min="14597" max="14597" width="35.453125" style="919" customWidth="1"/>
    <col min="14598" max="14598" width="21" style="919" customWidth="1"/>
    <col min="14599" max="14599" width="28.453125" style="919" customWidth="1"/>
    <col min="14600" max="14600" width="30.6328125" style="919" customWidth="1"/>
    <col min="14601" max="14601" width="29.54296875" style="919" customWidth="1"/>
    <col min="14602" max="14602" width="33.54296875" style="919" customWidth="1"/>
    <col min="14603" max="14603" width="26.54296875" style="919" customWidth="1"/>
    <col min="14604" max="14604" width="31.54296875" style="919" customWidth="1"/>
    <col min="14605" max="14605" width="34.36328125" style="919" customWidth="1"/>
    <col min="14606" max="14606" width="45.08984375" style="919" customWidth="1"/>
    <col min="14607" max="14848" width="9.08984375" style="919"/>
    <col min="14849" max="14849" width="4.6328125" style="919" customWidth="1"/>
    <col min="14850" max="14850" width="10.54296875" style="919" customWidth="1"/>
    <col min="14851" max="14851" width="49.08984375" style="919" customWidth="1"/>
    <col min="14852" max="14852" width="68.54296875" style="919" customWidth="1"/>
    <col min="14853" max="14853" width="35.453125" style="919" customWidth="1"/>
    <col min="14854" max="14854" width="21" style="919" customWidth="1"/>
    <col min="14855" max="14855" width="28.453125" style="919" customWidth="1"/>
    <col min="14856" max="14856" width="30.6328125" style="919" customWidth="1"/>
    <col min="14857" max="14857" width="29.54296875" style="919" customWidth="1"/>
    <col min="14858" max="14858" width="33.54296875" style="919" customWidth="1"/>
    <col min="14859" max="14859" width="26.54296875" style="919" customWidth="1"/>
    <col min="14860" max="14860" width="31.54296875" style="919" customWidth="1"/>
    <col min="14861" max="14861" width="34.36328125" style="919" customWidth="1"/>
    <col min="14862" max="14862" width="45.08984375" style="919" customWidth="1"/>
    <col min="14863" max="15104" width="9.08984375" style="919"/>
    <col min="15105" max="15105" width="4.6328125" style="919" customWidth="1"/>
    <col min="15106" max="15106" width="10.54296875" style="919" customWidth="1"/>
    <col min="15107" max="15107" width="49.08984375" style="919" customWidth="1"/>
    <col min="15108" max="15108" width="68.54296875" style="919" customWidth="1"/>
    <col min="15109" max="15109" width="35.453125" style="919" customWidth="1"/>
    <col min="15110" max="15110" width="21" style="919" customWidth="1"/>
    <col min="15111" max="15111" width="28.453125" style="919" customWidth="1"/>
    <col min="15112" max="15112" width="30.6328125" style="919" customWidth="1"/>
    <col min="15113" max="15113" width="29.54296875" style="919" customWidth="1"/>
    <col min="15114" max="15114" width="33.54296875" style="919" customWidth="1"/>
    <col min="15115" max="15115" width="26.54296875" style="919" customWidth="1"/>
    <col min="15116" max="15116" width="31.54296875" style="919" customWidth="1"/>
    <col min="15117" max="15117" width="34.36328125" style="919" customWidth="1"/>
    <col min="15118" max="15118" width="45.08984375" style="919" customWidth="1"/>
    <col min="15119" max="15360" width="9.08984375" style="919"/>
    <col min="15361" max="15361" width="4.6328125" style="919" customWidth="1"/>
    <col min="15362" max="15362" width="10.54296875" style="919" customWidth="1"/>
    <col min="15363" max="15363" width="49.08984375" style="919" customWidth="1"/>
    <col min="15364" max="15364" width="68.54296875" style="919" customWidth="1"/>
    <col min="15365" max="15365" width="35.453125" style="919" customWidth="1"/>
    <col min="15366" max="15366" width="21" style="919" customWidth="1"/>
    <col min="15367" max="15367" width="28.453125" style="919" customWidth="1"/>
    <col min="15368" max="15368" width="30.6328125" style="919" customWidth="1"/>
    <col min="15369" max="15369" width="29.54296875" style="919" customWidth="1"/>
    <col min="15370" max="15370" width="33.54296875" style="919" customWidth="1"/>
    <col min="15371" max="15371" width="26.54296875" style="919" customWidth="1"/>
    <col min="15372" max="15372" width="31.54296875" style="919" customWidth="1"/>
    <col min="15373" max="15373" width="34.36328125" style="919" customWidth="1"/>
    <col min="15374" max="15374" width="45.08984375" style="919" customWidth="1"/>
    <col min="15375" max="15616" width="9.08984375" style="919"/>
    <col min="15617" max="15617" width="4.6328125" style="919" customWidth="1"/>
    <col min="15618" max="15618" width="10.54296875" style="919" customWidth="1"/>
    <col min="15619" max="15619" width="49.08984375" style="919" customWidth="1"/>
    <col min="15620" max="15620" width="68.54296875" style="919" customWidth="1"/>
    <col min="15621" max="15621" width="35.453125" style="919" customWidth="1"/>
    <col min="15622" max="15622" width="21" style="919" customWidth="1"/>
    <col min="15623" max="15623" width="28.453125" style="919" customWidth="1"/>
    <col min="15624" max="15624" width="30.6328125" style="919" customWidth="1"/>
    <col min="15625" max="15625" width="29.54296875" style="919" customWidth="1"/>
    <col min="15626" max="15626" width="33.54296875" style="919" customWidth="1"/>
    <col min="15627" max="15627" width="26.54296875" style="919" customWidth="1"/>
    <col min="15628" max="15628" width="31.54296875" style="919" customWidth="1"/>
    <col min="15629" max="15629" width="34.36328125" style="919" customWidth="1"/>
    <col min="15630" max="15630" width="45.08984375" style="919" customWidth="1"/>
    <col min="15631" max="15872" width="9.08984375" style="919"/>
    <col min="15873" max="15873" width="4.6328125" style="919" customWidth="1"/>
    <col min="15874" max="15874" width="10.54296875" style="919" customWidth="1"/>
    <col min="15875" max="15875" width="49.08984375" style="919" customWidth="1"/>
    <col min="15876" max="15876" width="68.54296875" style="919" customWidth="1"/>
    <col min="15877" max="15877" width="35.453125" style="919" customWidth="1"/>
    <col min="15878" max="15878" width="21" style="919" customWidth="1"/>
    <col min="15879" max="15879" width="28.453125" style="919" customWidth="1"/>
    <col min="15880" max="15880" width="30.6328125" style="919" customWidth="1"/>
    <col min="15881" max="15881" width="29.54296875" style="919" customWidth="1"/>
    <col min="15882" max="15882" width="33.54296875" style="919" customWidth="1"/>
    <col min="15883" max="15883" width="26.54296875" style="919" customWidth="1"/>
    <col min="15884" max="15884" width="31.54296875" style="919" customWidth="1"/>
    <col min="15885" max="15885" width="34.36328125" style="919" customWidth="1"/>
    <col min="15886" max="15886" width="45.08984375" style="919" customWidth="1"/>
    <col min="15887" max="16128" width="9.08984375" style="919"/>
    <col min="16129" max="16129" width="4.6328125" style="919" customWidth="1"/>
    <col min="16130" max="16130" width="10.54296875" style="919" customWidth="1"/>
    <col min="16131" max="16131" width="49.08984375" style="919" customWidth="1"/>
    <col min="16132" max="16132" width="68.54296875" style="919" customWidth="1"/>
    <col min="16133" max="16133" width="35.453125" style="919" customWidth="1"/>
    <col min="16134" max="16134" width="21" style="919" customWidth="1"/>
    <col min="16135" max="16135" width="28.453125" style="919" customWidth="1"/>
    <col min="16136" max="16136" width="30.6328125" style="919" customWidth="1"/>
    <col min="16137" max="16137" width="29.54296875" style="919" customWidth="1"/>
    <col min="16138" max="16138" width="33.54296875" style="919" customWidth="1"/>
    <col min="16139" max="16139" width="26.54296875" style="919" customWidth="1"/>
    <col min="16140" max="16140" width="31.54296875" style="919" customWidth="1"/>
    <col min="16141" max="16141" width="34.36328125" style="919" customWidth="1"/>
    <col min="16142" max="16142" width="45.08984375" style="919" customWidth="1"/>
    <col min="16143" max="16384" width="9.08984375" style="919"/>
  </cols>
  <sheetData>
    <row r="1" spans="2:14" x14ac:dyDescent="0.3">
      <c r="C1" s="920"/>
      <c r="D1" s="920"/>
    </row>
    <row r="2" spans="2:14" ht="31.5" customHeight="1" x14ac:dyDescent="0.3">
      <c r="C2" s="889"/>
      <c r="D2" s="889"/>
      <c r="E2" s="889" t="str">
        <f>Index!B2</f>
        <v xml:space="preserve">      Maharashtra State Power Generation Company Ltd.</v>
      </c>
      <c r="F2" s="889"/>
      <c r="G2" s="889"/>
      <c r="H2" s="889"/>
      <c r="I2" s="889"/>
      <c r="J2" s="889"/>
      <c r="K2" s="889"/>
      <c r="L2" s="889"/>
      <c r="M2" s="889"/>
      <c r="N2" s="889"/>
    </row>
    <row r="3" spans="2:14" s="861" customFormat="1" x14ac:dyDescent="0.3">
      <c r="B3" s="22"/>
      <c r="C3" s="888"/>
      <c r="D3" s="22"/>
      <c r="E3" s="22"/>
      <c r="F3" s="22"/>
      <c r="G3" s="22"/>
      <c r="H3" s="844"/>
    </row>
    <row r="4" spans="2:14" s="861" customFormat="1" x14ac:dyDescent="0.3">
      <c r="B4" s="889"/>
      <c r="C4" s="888"/>
      <c r="D4" s="874"/>
      <c r="E4" s="874"/>
      <c r="F4" s="874"/>
      <c r="G4" s="874"/>
      <c r="H4" s="863" t="s">
        <v>1087</v>
      </c>
    </row>
    <row r="5" spans="2:14" s="861" customFormat="1" x14ac:dyDescent="0.3">
      <c r="B5" s="889"/>
      <c r="C5" s="888"/>
      <c r="D5" s="874"/>
      <c r="E5" s="874"/>
      <c r="F5" s="874"/>
      <c r="G5" s="874"/>
      <c r="H5" s="922" t="s">
        <v>1323</v>
      </c>
    </row>
    <row r="6" spans="2:14" s="861" customFormat="1" x14ac:dyDescent="0.3">
      <c r="B6" s="889"/>
      <c r="C6" s="888"/>
      <c r="D6" s="874"/>
      <c r="E6" s="874"/>
      <c r="F6" s="874"/>
      <c r="G6" s="874"/>
      <c r="H6" s="922"/>
    </row>
    <row r="7" spans="2:14" ht="81" customHeight="1" x14ac:dyDescent="0.3">
      <c r="B7" s="923" t="s">
        <v>339</v>
      </c>
      <c r="C7" s="923" t="s">
        <v>1324</v>
      </c>
      <c r="D7" s="923" t="s">
        <v>1325</v>
      </c>
      <c r="E7" s="923" t="s">
        <v>1326</v>
      </c>
      <c r="F7" s="923" t="s">
        <v>1327</v>
      </c>
      <c r="G7" s="923" t="s">
        <v>1328</v>
      </c>
      <c r="H7" s="923" t="s">
        <v>1329</v>
      </c>
      <c r="I7" s="923" t="s">
        <v>1330</v>
      </c>
      <c r="J7" s="923" t="s">
        <v>1331</v>
      </c>
      <c r="K7" s="923" t="s">
        <v>1332</v>
      </c>
      <c r="L7" s="923" t="s">
        <v>1333</v>
      </c>
      <c r="M7" s="924" t="s">
        <v>1334</v>
      </c>
      <c r="N7" s="923" t="s">
        <v>1335</v>
      </c>
    </row>
    <row r="8" spans="2:14" x14ac:dyDescent="0.3">
      <c r="B8" s="925"/>
      <c r="C8" s="909"/>
      <c r="D8" s="909"/>
      <c r="E8" s="909"/>
      <c r="F8" s="909"/>
      <c r="G8" s="909"/>
      <c r="H8" s="909"/>
      <c r="I8" s="909"/>
      <c r="J8" s="909"/>
      <c r="K8" s="909"/>
      <c r="L8" s="909"/>
      <c r="M8" s="909"/>
      <c r="N8" s="909"/>
    </row>
    <row r="9" spans="2:14" s="926" customFormat="1" x14ac:dyDescent="0.3">
      <c r="B9" s="925"/>
      <c r="C9" s="909"/>
      <c r="D9" s="909"/>
      <c r="E9" s="909"/>
      <c r="F9" s="909"/>
      <c r="G9" s="909"/>
      <c r="H9" s="909"/>
      <c r="I9" s="909"/>
      <c r="J9" s="909"/>
      <c r="K9" s="909"/>
      <c r="L9" s="909"/>
      <c r="M9" s="909"/>
      <c r="N9" s="909"/>
    </row>
    <row r="10" spans="2:14" x14ac:dyDescent="0.3">
      <c r="B10" s="925"/>
      <c r="C10" s="909"/>
      <c r="D10" s="909"/>
      <c r="E10" s="909"/>
      <c r="F10" s="909"/>
      <c r="G10" s="909"/>
      <c r="H10" s="909"/>
      <c r="I10" s="909"/>
      <c r="J10" s="909"/>
      <c r="K10" s="909"/>
      <c r="L10" s="909"/>
      <c r="M10" s="909"/>
      <c r="N10" s="909"/>
    </row>
    <row r="11" spans="2:14" x14ac:dyDescent="0.3">
      <c r="B11" s="925"/>
      <c r="C11" s="909"/>
      <c r="D11" s="909"/>
      <c r="E11" s="909"/>
      <c r="F11" s="909"/>
      <c r="G11" s="909"/>
      <c r="H11" s="909"/>
      <c r="I11" s="909"/>
      <c r="J11" s="909"/>
      <c r="K11" s="909"/>
      <c r="L11" s="909"/>
      <c r="M11" s="909"/>
      <c r="N11" s="909"/>
    </row>
    <row r="12" spans="2:14" x14ac:dyDescent="0.3">
      <c r="B12" s="925"/>
      <c r="C12" s="909"/>
      <c r="D12" s="909"/>
      <c r="E12" s="909"/>
      <c r="F12" s="909"/>
      <c r="G12" s="909"/>
      <c r="H12" s="909"/>
      <c r="I12" s="909"/>
      <c r="J12" s="909"/>
      <c r="K12" s="909"/>
      <c r="L12" s="909"/>
      <c r="M12" s="909"/>
      <c r="N12" s="909"/>
    </row>
    <row r="13" spans="2:14" ht="14.5" thickBot="1" x14ac:dyDescent="0.35">
      <c r="B13" s="927"/>
      <c r="C13" s="909"/>
      <c r="D13" s="909"/>
      <c r="E13" s="909"/>
      <c r="F13" s="909"/>
      <c r="G13" s="909"/>
      <c r="H13" s="909"/>
      <c r="I13" s="909"/>
      <c r="J13" s="909"/>
      <c r="K13" s="909"/>
      <c r="L13" s="909"/>
      <c r="M13" s="909"/>
      <c r="N13" s="909"/>
    </row>
    <row r="14" spans="2:14" x14ac:dyDescent="0.3">
      <c r="M14" s="919"/>
    </row>
    <row r="15" spans="2:14" x14ac:dyDescent="0.3">
      <c r="M15" s="919"/>
    </row>
    <row r="16" spans="2:14" x14ac:dyDescent="0.3">
      <c r="M16" s="919"/>
    </row>
    <row r="17" spans="3:13" x14ac:dyDescent="0.3">
      <c r="M17" s="919"/>
    </row>
    <row r="18" spans="3:13" x14ac:dyDescent="0.3">
      <c r="M18" s="919"/>
    </row>
    <row r="19" spans="3:13" x14ac:dyDescent="0.3">
      <c r="M19" s="919"/>
    </row>
    <row r="20" spans="3:13" x14ac:dyDescent="0.3">
      <c r="M20" s="919"/>
    </row>
    <row r="21" spans="3:13" x14ac:dyDescent="0.3">
      <c r="M21" s="919"/>
    </row>
    <row r="22" spans="3:13" x14ac:dyDescent="0.3">
      <c r="M22" s="919"/>
    </row>
    <row r="23" spans="3:13" ht="27.75" customHeight="1" x14ac:dyDescent="0.3">
      <c r="M23" s="919"/>
    </row>
    <row r="24" spans="3:13" ht="27.75" customHeight="1" x14ac:dyDescent="0.3">
      <c r="M24" s="919"/>
    </row>
    <row r="25" spans="3:13" x14ac:dyDescent="0.3">
      <c r="M25" s="919"/>
    </row>
    <row r="26" spans="3:13" x14ac:dyDescent="0.3">
      <c r="M26" s="919"/>
    </row>
    <row r="27" spans="3:13" x14ac:dyDescent="0.3">
      <c r="M27" s="919"/>
    </row>
    <row r="28" spans="3:13" x14ac:dyDescent="0.3">
      <c r="M28" s="919"/>
    </row>
    <row r="29" spans="3:13" ht="29.4" customHeight="1" x14ac:dyDescent="0.3">
      <c r="C29" s="928"/>
      <c r="M29" s="919"/>
    </row>
    <row r="30" spans="3:13" x14ac:dyDescent="0.3">
      <c r="M30" s="919"/>
    </row>
    <row r="31" spans="3:13" x14ac:dyDescent="0.3">
      <c r="M31" s="919"/>
    </row>
    <row r="32" spans="3:13" x14ac:dyDescent="0.3">
      <c r="M32" s="919"/>
    </row>
    <row r="33" spans="13:14" x14ac:dyDescent="0.3">
      <c r="M33" s="919"/>
    </row>
    <row r="34" spans="13:14" x14ac:dyDescent="0.3">
      <c r="M34" s="919"/>
    </row>
    <row r="35" spans="13:14" x14ac:dyDescent="0.3">
      <c r="M35" s="919"/>
    </row>
    <row r="36" spans="13:14" x14ac:dyDescent="0.3">
      <c r="M36" s="919"/>
    </row>
    <row r="37" spans="13:14" x14ac:dyDescent="0.3">
      <c r="M37" s="919"/>
    </row>
    <row r="38" spans="13:14" x14ac:dyDescent="0.3">
      <c r="M38" s="919"/>
    </row>
    <row r="39" spans="13:14" x14ac:dyDescent="0.3">
      <c r="M39" s="919"/>
    </row>
    <row r="40" spans="13:14" x14ac:dyDescent="0.3">
      <c r="M40" s="919"/>
    </row>
    <row r="41" spans="13:14" x14ac:dyDescent="0.3">
      <c r="M41" s="919"/>
    </row>
    <row r="42" spans="13:14" x14ac:dyDescent="0.3">
      <c r="M42" s="919"/>
    </row>
    <row r="43" spans="13:14" x14ac:dyDescent="0.3">
      <c r="M43" s="919"/>
    </row>
    <row r="44" spans="13:14" x14ac:dyDescent="0.3">
      <c r="M44" s="919"/>
    </row>
    <row r="45" spans="13:14" x14ac:dyDescent="0.3">
      <c r="M45" s="919"/>
      <c r="N45" s="929"/>
    </row>
    <row r="46" spans="13:14" x14ac:dyDescent="0.3">
      <c r="M46" s="919"/>
    </row>
    <row r="47" spans="13:14" x14ac:dyDescent="0.3">
      <c r="M47" s="919"/>
    </row>
    <row r="48" spans="13:14" x14ac:dyDescent="0.3">
      <c r="M48" s="919"/>
    </row>
    <row r="49" spans="4:14" x14ac:dyDescent="0.3">
      <c r="M49" s="919"/>
    </row>
    <row r="50" spans="4:14" x14ac:dyDescent="0.3">
      <c r="M50" s="919"/>
    </row>
    <row r="51" spans="4:14" x14ac:dyDescent="0.3">
      <c r="M51" s="919"/>
    </row>
    <row r="52" spans="4:14" x14ac:dyDescent="0.3">
      <c r="M52" s="919"/>
    </row>
    <row r="53" spans="4:14" x14ac:dyDescent="0.3">
      <c r="M53" s="919"/>
    </row>
    <row r="54" spans="4:14" x14ac:dyDescent="0.3">
      <c r="M54" s="919"/>
    </row>
    <row r="55" spans="4:14" x14ac:dyDescent="0.3">
      <c r="M55" s="919"/>
    </row>
    <row r="56" spans="4:14" x14ac:dyDescent="0.3">
      <c r="M56" s="919"/>
    </row>
    <row r="57" spans="4:14" x14ac:dyDescent="0.3">
      <c r="M57" s="919"/>
    </row>
    <row r="58" spans="4:14" x14ac:dyDescent="0.3">
      <c r="M58" s="919"/>
    </row>
    <row r="59" spans="4:14" x14ac:dyDescent="0.3">
      <c r="M59" s="919"/>
      <c r="N59" s="929"/>
    </row>
    <row r="60" spans="4:14" x14ac:dyDescent="0.3">
      <c r="M60" s="919"/>
    </row>
    <row r="61" spans="4:14" x14ac:dyDescent="0.3">
      <c r="M61" s="919"/>
    </row>
    <row r="62" spans="4:14" x14ac:dyDescent="0.3">
      <c r="M62" s="930"/>
    </row>
    <row r="63" spans="4:14" x14ac:dyDescent="0.3">
      <c r="M63" s="931"/>
    </row>
    <row r="64" spans="4:14" x14ac:dyDescent="0.3">
      <c r="D64" s="932"/>
    </row>
    <row r="65" spans="13:13" x14ac:dyDescent="0.3">
      <c r="M65" s="931"/>
    </row>
    <row r="70" spans="13:13" x14ac:dyDescent="0.3">
      <c r="M70" s="930"/>
    </row>
    <row r="73" spans="13:13" x14ac:dyDescent="0.3">
      <c r="M73" s="930"/>
    </row>
    <row r="75" spans="13:13" x14ac:dyDescent="0.3">
      <c r="M75" s="933"/>
    </row>
    <row r="76" spans="13:13" x14ac:dyDescent="0.3">
      <c r="M76" s="934"/>
    </row>
  </sheetData>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A15" sqref="A15:D17"/>
    </sheetView>
  </sheetViews>
  <sheetFormatPr defaultColWidth="9.36328125" defaultRowHeight="14" x14ac:dyDescent="0.3"/>
  <cols>
    <col min="1" max="1" width="8.36328125" style="170" customWidth="1"/>
    <col min="2" max="2" width="33.81640625" style="170" customWidth="1"/>
    <col min="3" max="3" width="11.08984375" style="170" customWidth="1"/>
    <col min="4" max="4" width="14.453125" style="170" customWidth="1"/>
    <col min="5" max="5" width="10.08984375" style="170" customWidth="1"/>
    <col min="6" max="6" width="11.08984375" style="170" customWidth="1"/>
    <col min="7" max="7" width="14.1796875" style="170" customWidth="1"/>
    <col min="8" max="8" width="7.90625" style="170" customWidth="1"/>
    <col min="9" max="9" width="11.08984375" style="170" customWidth="1"/>
    <col min="10" max="10" width="14.1796875" style="170" customWidth="1"/>
    <col min="11" max="11" width="15.81640625" style="170" customWidth="1"/>
    <col min="12" max="12" width="12.453125" style="170" customWidth="1"/>
    <col min="13" max="14" width="12.90625" style="170" customWidth="1"/>
    <col min="15" max="15" width="13.1796875" style="170" customWidth="1"/>
    <col min="16" max="16" width="13.81640625" style="170" customWidth="1"/>
    <col min="17" max="17" width="12.54296875" style="170" customWidth="1"/>
    <col min="18" max="16384" width="9.36328125" style="170"/>
  </cols>
  <sheetData>
    <row r="1" spans="1:18" x14ac:dyDescent="0.3">
      <c r="A1" s="167"/>
      <c r="B1" s="168"/>
      <c r="C1" s="169"/>
      <c r="D1" s="169"/>
      <c r="E1" s="169"/>
      <c r="F1" s="169"/>
    </row>
    <row r="2" spans="1:18" x14ac:dyDescent="0.3">
      <c r="A2" s="1765" t="str">
        <f>Index!B2</f>
        <v xml:space="preserve">      Maharashtra State Power Generation Company Ltd.</v>
      </c>
      <c r="B2" s="1765"/>
      <c r="C2" s="1765"/>
      <c r="D2" s="1765"/>
      <c r="E2" s="1765"/>
      <c r="F2" s="1765"/>
      <c r="G2" s="1765"/>
      <c r="H2" s="1765"/>
      <c r="I2" s="609"/>
      <c r="J2" s="1765" t="s">
        <v>779</v>
      </c>
      <c r="K2" s="1765"/>
      <c r="L2" s="1765"/>
      <c r="M2" s="1765"/>
      <c r="N2" s="1765"/>
      <c r="O2" s="1765"/>
      <c r="P2" s="1765"/>
      <c r="Q2" s="1765"/>
      <c r="R2" s="526"/>
    </row>
    <row r="3" spans="1:18" x14ac:dyDescent="0.3">
      <c r="A3" s="1765" t="str">
        <f>Index!B3</f>
        <v>MYT Petition Formats for Parli Units 6 &amp; 7</v>
      </c>
      <c r="B3" s="1765"/>
      <c r="C3" s="1765"/>
      <c r="D3" s="1765"/>
      <c r="E3" s="1765"/>
      <c r="F3" s="1765"/>
      <c r="G3" s="1765"/>
      <c r="H3" s="1765"/>
      <c r="I3" s="609"/>
      <c r="J3" s="1765" t="str">
        <f>A3</f>
        <v>MYT Petition Formats for Parli Units 6 &amp; 7</v>
      </c>
      <c r="K3" s="1765"/>
      <c r="L3" s="1765"/>
      <c r="M3" s="1765"/>
      <c r="N3" s="1765"/>
      <c r="O3" s="1765"/>
      <c r="P3" s="1765"/>
      <c r="Q3" s="1765"/>
      <c r="R3" s="526"/>
    </row>
    <row r="4" spans="1:18" x14ac:dyDescent="0.3">
      <c r="A4" s="1766" t="s">
        <v>368</v>
      </c>
      <c r="B4" s="1766"/>
      <c r="C4" s="1766"/>
      <c r="D4" s="1766"/>
      <c r="E4" s="1766"/>
      <c r="F4" s="1766"/>
      <c r="G4" s="1766"/>
      <c r="H4" s="1766"/>
      <c r="I4" s="610"/>
      <c r="J4" s="1766" t="s">
        <v>368</v>
      </c>
      <c r="K4" s="1766"/>
      <c r="L4" s="1766"/>
      <c r="M4" s="1766"/>
      <c r="N4" s="1766"/>
      <c r="O4" s="1766"/>
      <c r="P4" s="1766"/>
      <c r="Q4" s="1766"/>
      <c r="R4" s="527"/>
    </row>
    <row r="5" spans="1:18" s="223" customFormat="1" ht="36" customHeight="1" x14ac:dyDescent="0.3">
      <c r="A5" s="171"/>
      <c r="B5" s="169"/>
      <c r="C5" s="169"/>
      <c r="D5" s="169"/>
      <c r="E5" s="169"/>
      <c r="F5" s="169"/>
      <c r="H5" s="294"/>
      <c r="I5" s="170"/>
      <c r="J5" s="170"/>
      <c r="K5" s="170"/>
      <c r="L5" s="170"/>
      <c r="M5" s="170"/>
      <c r="N5" s="170"/>
      <c r="O5" s="170"/>
      <c r="P5" s="170"/>
      <c r="Q5" s="170"/>
    </row>
    <row r="6" spans="1:18" s="223" customFormat="1" ht="15.65" customHeight="1" x14ac:dyDescent="0.25">
      <c r="A6" s="1775" t="s">
        <v>339</v>
      </c>
      <c r="B6" s="1771" t="s">
        <v>36</v>
      </c>
      <c r="C6" s="1777" t="s">
        <v>506</v>
      </c>
      <c r="D6" s="1778"/>
      <c r="E6" s="1779"/>
      <c r="F6" s="1777" t="s">
        <v>507</v>
      </c>
      <c r="G6" s="1778"/>
      <c r="H6" s="1779"/>
      <c r="I6" s="1777" t="s">
        <v>508</v>
      </c>
      <c r="J6" s="1778"/>
      <c r="K6" s="1779"/>
      <c r="L6" s="1757" t="s">
        <v>967</v>
      </c>
      <c r="M6" s="1757"/>
      <c r="N6" s="1757"/>
      <c r="O6" s="1757"/>
      <c r="P6" s="1757"/>
      <c r="Q6" s="1769" t="s">
        <v>26</v>
      </c>
    </row>
    <row r="7" spans="1:18" s="223" customFormat="1" ht="28" x14ac:dyDescent="0.25">
      <c r="A7" s="1776"/>
      <c r="B7" s="1772"/>
      <c r="C7" s="297" t="s">
        <v>966</v>
      </c>
      <c r="D7" s="595" t="s">
        <v>916</v>
      </c>
      <c r="E7" s="297" t="s">
        <v>7</v>
      </c>
      <c r="F7" s="297" t="s">
        <v>966</v>
      </c>
      <c r="G7" s="595" t="s">
        <v>916</v>
      </c>
      <c r="H7" s="295" t="s">
        <v>7</v>
      </c>
      <c r="I7" s="297" t="s">
        <v>448</v>
      </c>
      <c r="J7" s="595" t="s">
        <v>916</v>
      </c>
      <c r="K7" s="295" t="s">
        <v>681</v>
      </c>
      <c r="L7" s="672" t="s">
        <v>968</v>
      </c>
      <c r="M7" s="672" t="s">
        <v>969</v>
      </c>
      <c r="N7" s="672" t="s">
        <v>970</v>
      </c>
      <c r="O7" s="672" t="s">
        <v>971</v>
      </c>
      <c r="P7" s="672" t="s">
        <v>972</v>
      </c>
      <c r="Q7" s="1770"/>
    </row>
    <row r="8" spans="1:18" s="524" customFormat="1" ht="15" x14ac:dyDescent="0.25">
      <c r="A8" s="664"/>
      <c r="B8" s="663"/>
      <c r="C8" s="297"/>
      <c r="D8" s="595"/>
      <c r="E8" s="297"/>
      <c r="F8" s="297"/>
      <c r="G8" s="595"/>
      <c r="H8" s="661"/>
      <c r="I8" s="297"/>
      <c r="J8" s="595"/>
      <c r="K8" s="661"/>
      <c r="L8" s="672" t="s">
        <v>21</v>
      </c>
      <c r="M8" s="672" t="s">
        <v>21</v>
      </c>
      <c r="N8" s="672" t="s">
        <v>21</v>
      </c>
      <c r="O8" s="672" t="s">
        <v>21</v>
      </c>
      <c r="P8" s="672" t="s">
        <v>21</v>
      </c>
      <c r="Q8" s="662"/>
    </row>
    <row r="9" spans="1:18" s="641" customFormat="1" x14ac:dyDescent="0.3">
      <c r="A9" s="635">
        <v>1</v>
      </c>
      <c r="B9" s="636" t="s">
        <v>634</v>
      </c>
      <c r="C9" s="637">
        <f>'F1'!E27-'F1'!E11</f>
        <v>455.60701150123646</v>
      </c>
      <c r="D9" s="638">
        <f>SUM('F1'!F13:F22,'F1'!F24)-'F1'!F26</f>
        <v>451.83786220239085</v>
      </c>
      <c r="E9" s="638">
        <f>SUM('F1'!G13:G22,'F1'!G24)-'F1'!G26</f>
        <v>563.65903327468106</v>
      </c>
      <c r="F9" s="638">
        <f>'F1'!$I$27-'F1'!$I$11</f>
        <v>462.65137728470154</v>
      </c>
      <c r="G9" s="638">
        <f>SUM('F1'!J13:J22,'F1'!J24)-'F1'!J26</f>
        <v>513.88292715172952</v>
      </c>
      <c r="H9" s="638">
        <f>SUM('F1'!K13:K22,'F1'!K24)-'F1'!K26</f>
        <v>621.97890903621942</v>
      </c>
      <c r="I9" s="639">
        <f>'F1'!$M$27-'F1'!$M$11</f>
        <v>482.25679961871197</v>
      </c>
      <c r="J9" s="639">
        <f ca="1">SUM('F1'!N13:N22,'F1'!N24)-'F1'!N26</f>
        <v>542.63015924675165</v>
      </c>
      <c r="K9" s="639">
        <f ca="1">SUM('F1'!Q13:Q22,'F1'!Q24)-'F1'!Q26</f>
        <v>589.56867976315084</v>
      </c>
      <c r="L9" s="639">
        <f ca="1">SUM('F1'!S13:S22,'F1'!S24)-'F1'!S26</f>
        <v>626.18406192487714</v>
      </c>
      <c r="M9" s="639">
        <f ca="1">SUM('F1'!T13:T22,'F1'!T24)-'F1'!T26</f>
        <v>656.45265694034379</v>
      </c>
      <c r="N9" s="639">
        <f ca="1">SUM('F1'!U13:U22,'F1'!U24)-'F1'!U26</f>
        <v>676.83700817342265</v>
      </c>
      <c r="O9" s="639">
        <f ca="1">SUM('F1'!V13:V22,'F1'!V24)-'F1'!V26</f>
        <v>713.93479135163739</v>
      </c>
      <c r="P9" s="639">
        <f ca="1">SUM('F1'!W13:W22,'F1'!W24)-'F1'!W26</f>
        <v>750.34800570972629</v>
      </c>
      <c r="Q9" s="640"/>
    </row>
    <row r="10" spans="1:18" s="641" customFormat="1" x14ac:dyDescent="0.3">
      <c r="A10" s="642"/>
      <c r="B10" s="119"/>
      <c r="C10" s="119"/>
      <c r="D10" s="643"/>
      <c r="E10" s="643"/>
      <c r="F10" s="643"/>
      <c r="G10" s="592"/>
      <c r="H10" s="592"/>
      <c r="I10" s="592"/>
      <c r="J10" s="592"/>
      <c r="K10" s="592"/>
      <c r="L10" s="592"/>
      <c r="M10" s="592"/>
      <c r="N10" s="592"/>
      <c r="O10" s="592"/>
      <c r="P10" s="592"/>
      <c r="Q10" s="640"/>
    </row>
    <row r="11" spans="1:18" s="648" customFormat="1" x14ac:dyDescent="0.3">
      <c r="A11" s="593">
        <v>2</v>
      </c>
      <c r="B11" s="644" t="s">
        <v>416</v>
      </c>
      <c r="C11" s="645">
        <f>'F2.2'!$E$157</f>
        <v>4.4204204227771369</v>
      </c>
      <c r="D11" s="646">
        <f>'F2.2'!F157</f>
        <v>4.8227130712860315</v>
      </c>
      <c r="E11" s="646">
        <f>'F2.2'!G157</f>
        <v>5.3006797927139555</v>
      </c>
      <c r="F11" s="647">
        <f>'F2.2'!$I$157</f>
        <v>5.1003959218498256</v>
      </c>
      <c r="G11" s="646">
        <f>'F2.2'!J157</f>
        <v>5.4462113463371464</v>
      </c>
      <c r="H11" s="646">
        <f>'F2.2'!K157</f>
        <v>5.4932473581381558</v>
      </c>
      <c r="I11" s="647">
        <f>'F2.2'!$M$157</f>
        <v>5.0960049654743802</v>
      </c>
      <c r="J11" s="646">
        <f>'F2.2'!N157</f>
        <v>5.4668041152074132</v>
      </c>
      <c r="K11" s="646">
        <f>'F2.2'!Q157</f>
        <v>5.5874469174946659</v>
      </c>
      <c r="L11" s="646">
        <f>'F2.2'!S157</f>
        <v>5.813024260201356</v>
      </c>
      <c r="M11" s="646">
        <f>'F2.2'!T157</f>
        <v>6.103674644363136</v>
      </c>
      <c r="N11" s="646">
        <f>'F2.2'!U157</f>
        <v>6.4088583765812954</v>
      </c>
      <c r="O11" s="646">
        <f>'F2.2'!V157</f>
        <v>6.7293003816684935</v>
      </c>
      <c r="P11" s="646">
        <f>'F2.2'!W157</f>
        <v>7.0657673196763762</v>
      </c>
      <c r="Q11" s="594"/>
    </row>
    <row r="12" spans="1:18" s="641" customFormat="1" x14ac:dyDescent="0.3">
      <c r="A12" s="642"/>
      <c r="B12" s="119"/>
      <c r="C12" s="119"/>
      <c r="D12" s="643"/>
      <c r="E12" s="643"/>
      <c r="F12" s="643"/>
      <c r="G12" s="592"/>
      <c r="H12" s="592"/>
      <c r="I12" s="592"/>
      <c r="J12" s="592"/>
      <c r="K12" s="592"/>
      <c r="L12" s="592"/>
      <c r="M12" s="592"/>
      <c r="N12" s="592"/>
      <c r="O12" s="592"/>
      <c r="P12" s="592"/>
      <c r="Q12" s="640"/>
    </row>
    <row r="13" spans="1:18" s="649" customFormat="1" ht="17.25" customHeight="1" x14ac:dyDescent="0.3">
      <c r="A13" s="593">
        <v>3</v>
      </c>
      <c r="B13" s="644" t="s">
        <v>417</v>
      </c>
      <c r="C13" s="644"/>
      <c r="D13" s="592"/>
      <c r="E13" s="593"/>
      <c r="F13" s="593"/>
      <c r="G13" s="593"/>
      <c r="H13" s="592"/>
      <c r="I13" s="592"/>
      <c r="J13" s="592"/>
      <c r="K13" s="592"/>
      <c r="L13" s="592"/>
      <c r="M13" s="592"/>
      <c r="N13" s="592"/>
      <c r="O13" s="592"/>
      <c r="P13" s="592"/>
      <c r="Q13" s="594"/>
    </row>
    <row r="14" spans="1:18" s="223" customFormat="1" ht="17.75" customHeight="1" x14ac:dyDescent="0.25">
      <c r="A14" s="1773"/>
      <c r="B14" s="1774"/>
      <c r="C14" s="1774"/>
      <c r="D14" s="1774"/>
      <c r="E14" s="1774"/>
      <c r="F14" s="1774"/>
      <c r="G14" s="1774"/>
      <c r="H14" s="296"/>
      <c r="I14" s="524"/>
      <c r="K14" s="294"/>
      <c r="L14" s="524"/>
      <c r="M14" s="524"/>
      <c r="N14" s="524"/>
      <c r="O14" s="524"/>
      <c r="P14" s="524"/>
    </row>
    <row r="15" spans="1:18" s="223" customFormat="1" ht="17.75" customHeight="1" x14ac:dyDescent="0.25">
      <c r="A15" s="1780" t="s">
        <v>143</v>
      </c>
      <c r="B15" s="1781"/>
      <c r="C15" s="1781"/>
      <c r="D15" s="1781"/>
      <c r="E15" s="524"/>
      <c r="F15" s="524"/>
      <c r="G15" s="524"/>
      <c r="H15" s="524"/>
      <c r="I15" s="524"/>
      <c r="K15" s="294"/>
      <c r="L15" s="524"/>
      <c r="M15" s="524"/>
      <c r="N15" s="524"/>
      <c r="O15" s="524"/>
      <c r="P15" s="524"/>
    </row>
    <row r="16" spans="1:18" s="223" customFormat="1" ht="17.25" customHeight="1" x14ac:dyDescent="0.25">
      <c r="A16" s="1767" t="s">
        <v>1566</v>
      </c>
      <c r="B16" s="1782"/>
      <c r="C16" s="1782"/>
      <c r="D16" s="1782"/>
      <c r="E16" s="524"/>
      <c r="F16" s="524"/>
      <c r="G16" s="524"/>
      <c r="H16" s="524"/>
      <c r="I16" s="524"/>
      <c r="K16" s="294"/>
      <c r="L16" s="524"/>
      <c r="M16" s="524"/>
      <c r="N16" s="524"/>
      <c r="O16" s="524"/>
      <c r="P16" s="524"/>
    </row>
    <row r="17" spans="1:16" s="223" customFormat="1" ht="17.75" customHeight="1" x14ac:dyDescent="0.25">
      <c r="A17" s="1767" t="s">
        <v>1567</v>
      </c>
      <c r="B17" s="1783"/>
      <c r="C17" s="1783"/>
      <c r="D17" s="1783"/>
      <c r="E17" s="524"/>
      <c r="F17" s="524"/>
      <c r="G17" s="524"/>
      <c r="H17" s="524"/>
      <c r="I17" s="524"/>
      <c r="K17" s="294"/>
      <c r="L17" s="524"/>
      <c r="M17" s="524"/>
      <c r="N17" s="524"/>
      <c r="O17" s="524"/>
      <c r="P17" s="524"/>
    </row>
    <row r="18" spans="1:16" s="223" customFormat="1" ht="17.75" customHeight="1" x14ac:dyDescent="0.25">
      <c r="A18" s="1767"/>
      <c r="B18" s="1768"/>
      <c r="C18" s="1768"/>
      <c r="D18" s="1768"/>
      <c r="E18" s="1768"/>
      <c r="F18" s="1768"/>
      <c r="G18" s="1768"/>
      <c r="H18" s="293"/>
      <c r="I18" s="524"/>
      <c r="K18" s="294"/>
      <c r="L18" s="524"/>
      <c r="M18" s="524"/>
      <c r="N18" s="524"/>
      <c r="O18" s="524"/>
      <c r="P18" s="524"/>
    </row>
    <row r="19" spans="1:16" x14ac:dyDescent="0.3">
      <c r="A19" s="171"/>
      <c r="B19" s="169"/>
      <c r="C19" s="169"/>
      <c r="D19" s="169"/>
      <c r="E19" s="169"/>
      <c r="F19" s="169"/>
      <c r="G19" s="172" t="s">
        <v>367</v>
      </c>
      <c r="H19" s="172"/>
    </row>
    <row r="20" spans="1:16" x14ac:dyDescent="0.3">
      <c r="A20" s="169"/>
      <c r="B20" s="169"/>
      <c r="C20" s="169"/>
      <c r="D20" s="169"/>
      <c r="E20" s="169"/>
      <c r="F20" s="169"/>
      <c r="G20" s="169"/>
      <c r="H20" s="169"/>
    </row>
  </sheetData>
  <mergeCells count="18">
    <mergeCell ref="A18:G18"/>
    <mergeCell ref="Q6:Q7"/>
    <mergeCell ref="B6:B7"/>
    <mergeCell ref="A14:G14"/>
    <mergeCell ref="A6:A7"/>
    <mergeCell ref="C6:E6"/>
    <mergeCell ref="I6:K6"/>
    <mergeCell ref="F6:H6"/>
    <mergeCell ref="L6:P6"/>
    <mergeCell ref="A15:D15"/>
    <mergeCell ref="A16:D16"/>
    <mergeCell ref="A17:D17"/>
    <mergeCell ref="A2:H2"/>
    <mergeCell ref="A3:H3"/>
    <mergeCell ref="A4:H4"/>
    <mergeCell ref="J2:Q2"/>
    <mergeCell ref="J3:Q3"/>
    <mergeCell ref="J4:Q4"/>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E3" sqref="E3"/>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t="str">
        <f>Index!B2</f>
        <v xml:space="preserve">      Maharashtra State Power Generation Company Ltd.</v>
      </c>
      <c r="F2" s="22"/>
      <c r="G2" s="844"/>
      <c r="H2" s="22"/>
      <c r="I2" s="22"/>
      <c r="J2" s="22"/>
      <c r="K2" s="22"/>
      <c r="L2" s="22"/>
      <c r="M2" s="22"/>
      <c r="N2" s="22"/>
      <c r="O2" s="22"/>
      <c r="P2" s="22"/>
      <c r="Q2" s="22"/>
      <c r="R2" s="22"/>
    </row>
    <row r="3" spans="2:18" x14ac:dyDescent="0.3">
      <c r="B3" s="281"/>
      <c r="C3" s="281"/>
      <c r="D3" s="281"/>
      <c r="E3" s="281"/>
      <c r="F3" s="281"/>
      <c r="G3" s="863" t="s">
        <v>1087</v>
      </c>
      <c r="H3" s="281"/>
      <c r="I3" s="281"/>
      <c r="J3" s="281"/>
      <c r="K3" s="281"/>
      <c r="L3" s="281"/>
      <c r="M3" s="281"/>
      <c r="N3" s="281"/>
      <c r="O3" s="281"/>
      <c r="P3" s="281"/>
      <c r="Q3" s="281"/>
      <c r="R3" s="281"/>
    </row>
    <row r="4" spans="2:18" x14ac:dyDescent="0.3">
      <c r="B4" s="22"/>
      <c r="C4" s="22"/>
      <c r="D4" s="22"/>
      <c r="E4" s="22"/>
      <c r="F4" s="22"/>
      <c r="G4" s="922" t="s">
        <v>1336</v>
      </c>
      <c r="H4" s="22"/>
      <c r="I4" s="22"/>
      <c r="J4" s="22"/>
      <c r="K4" s="22"/>
      <c r="L4" s="22"/>
      <c r="M4" s="22"/>
      <c r="N4" s="22"/>
      <c r="O4" s="22"/>
      <c r="P4" s="22"/>
      <c r="Q4" s="22"/>
      <c r="R4" s="22"/>
    </row>
    <row r="6" spans="2:18" x14ac:dyDescent="0.3">
      <c r="B6" s="44" t="s">
        <v>1337</v>
      </c>
      <c r="C6" s="44"/>
      <c r="D6" s="44"/>
      <c r="E6" s="44"/>
      <c r="F6" s="44"/>
      <c r="G6" s="44"/>
      <c r="H6" s="44"/>
      <c r="I6" s="44"/>
      <c r="J6" s="44"/>
      <c r="K6" s="44"/>
      <c r="L6" s="44"/>
      <c r="M6" s="44"/>
      <c r="N6" s="44"/>
      <c r="O6" s="44"/>
      <c r="P6" s="44"/>
      <c r="Q6" s="44"/>
    </row>
    <row r="7" spans="2:18" x14ac:dyDescent="0.3">
      <c r="B7" s="44" t="s">
        <v>1338</v>
      </c>
      <c r="C7" s="44"/>
      <c r="D7" s="44"/>
      <c r="E7" s="44"/>
      <c r="F7" s="44"/>
      <c r="G7" s="44"/>
      <c r="H7" s="44"/>
      <c r="I7" s="44"/>
      <c r="J7" s="44"/>
      <c r="K7" s="44"/>
      <c r="L7" s="44"/>
      <c r="M7" s="44"/>
      <c r="N7" s="44"/>
      <c r="O7" s="44"/>
      <c r="P7" s="44"/>
      <c r="Q7" s="44"/>
    </row>
    <row r="9" spans="2:18" ht="32.4" customHeight="1" x14ac:dyDescent="0.3">
      <c r="B9" s="181"/>
      <c r="C9" s="1995" t="s">
        <v>1339</v>
      </c>
      <c r="D9" s="1996"/>
      <c r="E9" s="1997"/>
      <c r="F9" s="1995" t="s">
        <v>1340</v>
      </c>
      <c r="G9" s="1996"/>
      <c r="H9" s="1997"/>
      <c r="I9" s="1995" t="s">
        <v>1341</v>
      </c>
      <c r="J9" s="1996"/>
      <c r="K9" s="1997"/>
      <c r="L9" s="1995" t="s">
        <v>1342</v>
      </c>
      <c r="M9" s="1996"/>
      <c r="N9" s="1997"/>
      <c r="O9" s="1995" t="s">
        <v>1343</v>
      </c>
      <c r="P9" s="1996"/>
      <c r="Q9" s="1997"/>
    </row>
    <row r="10" spans="2:18" ht="70" x14ac:dyDescent="0.3">
      <c r="B10" s="935"/>
      <c r="C10" s="848" t="s">
        <v>1344</v>
      </c>
      <c r="D10" s="848" t="s">
        <v>1345</v>
      </c>
      <c r="E10" s="848" t="s">
        <v>1346</v>
      </c>
      <c r="F10" s="848" t="s">
        <v>1347</v>
      </c>
      <c r="G10" s="848" t="s">
        <v>1345</v>
      </c>
      <c r="H10" s="848" t="s">
        <v>1346</v>
      </c>
      <c r="I10" s="848" t="s">
        <v>1347</v>
      </c>
      <c r="J10" s="848" t="s">
        <v>1345</v>
      </c>
      <c r="K10" s="848" t="s">
        <v>1346</v>
      </c>
      <c r="L10" s="848" t="s">
        <v>1347</v>
      </c>
      <c r="M10" s="848" t="s">
        <v>1345</v>
      </c>
      <c r="N10" s="848" t="s">
        <v>1346</v>
      </c>
      <c r="O10" s="848" t="s">
        <v>1347</v>
      </c>
      <c r="P10" s="848" t="s">
        <v>1345</v>
      </c>
      <c r="Q10" s="848" t="s">
        <v>1346</v>
      </c>
    </row>
    <row r="11" spans="2:18" x14ac:dyDescent="0.3">
      <c r="B11" s="936" t="s">
        <v>1348</v>
      </c>
      <c r="C11" s="937"/>
      <c r="D11" s="937"/>
      <c r="E11" s="937"/>
      <c r="F11" s="937"/>
      <c r="G11" s="937"/>
      <c r="H11" s="937"/>
      <c r="I11" s="937"/>
      <c r="J11" s="937"/>
      <c r="K11" s="937"/>
      <c r="L11" s="937"/>
      <c r="M11" s="937"/>
      <c r="N11" s="937"/>
      <c r="O11" s="937"/>
      <c r="P11" s="937"/>
      <c r="Q11" s="937"/>
      <c r="R11" s="938"/>
    </row>
    <row r="12" spans="2:18" x14ac:dyDescent="0.3">
      <c r="B12" s="9" t="s">
        <v>1101</v>
      </c>
      <c r="C12" s="937"/>
      <c r="D12" s="937"/>
      <c r="E12" s="937"/>
      <c r="F12" s="937"/>
      <c r="G12" s="937"/>
      <c r="H12" s="937"/>
      <c r="I12" s="937"/>
      <c r="J12" s="937"/>
      <c r="K12" s="937"/>
      <c r="L12" s="937"/>
      <c r="M12" s="937"/>
      <c r="N12" s="937"/>
      <c r="O12" s="937"/>
      <c r="P12" s="937"/>
      <c r="Q12" s="937"/>
      <c r="R12" s="939"/>
    </row>
    <row r="13" spans="2:18" x14ac:dyDescent="0.3">
      <c r="B13" s="9" t="s">
        <v>1101</v>
      </c>
      <c r="C13" s="937"/>
      <c r="D13" s="937"/>
      <c r="E13" s="937"/>
      <c r="F13" s="937"/>
      <c r="G13" s="937"/>
      <c r="H13" s="937"/>
      <c r="I13" s="937"/>
      <c r="J13" s="937"/>
      <c r="K13" s="937"/>
      <c r="L13" s="937"/>
      <c r="M13" s="937"/>
      <c r="N13" s="937"/>
      <c r="O13" s="937"/>
      <c r="P13" s="937"/>
      <c r="Q13" s="937"/>
    </row>
    <row r="14" spans="2:18" x14ac:dyDescent="0.3">
      <c r="B14" s="40" t="s">
        <v>1349</v>
      </c>
      <c r="C14" s="937"/>
      <c r="D14" s="937"/>
      <c r="E14" s="937"/>
      <c r="F14" s="937"/>
      <c r="G14" s="937"/>
      <c r="H14" s="937"/>
      <c r="I14" s="937"/>
      <c r="J14" s="937"/>
      <c r="K14" s="937"/>
      <c r="L14" s="937"/>
      <c r="M14" s="937"/>
      <c r="N14" s="937"/>
      <c r="O14" s="937"/>
      <c r="P14" s="937"/>
      <c r="Q14" s="937"/>
      <c r="R14" s="940"/>
    </row>
    <row r="15" spans="2:18" x14ac:dyDescent="0.3">
      <c r="B15" s="9" t="s">
        <v>1350</v>
      </c>
      <c r="C15" s="937"/>
      <c r="D15" s="937"/>
      <c r="E15" s="937"/>
      <c r="F15" s="937"/>
      <c r="G15" s="937"/>
      <c r="H15" s="937"/>
      <c r="I15" s="937"/>
      <c r="J15" s="937"/>
      <c r="K15" s="937"/>
      <c r="L15" s="937"/>
      <c r="M15" s="937"/>
      <c r="N15" s="937"/>
      <c r="O15" s="937"/>
      <c r="P15" s="937"/>
      <c r="Q15" s="937"/>
    </row>
    <row r="16" spans="2:18" x14ac:dyDescent="0.3">
      <c r="B16" s="941" t="s">
        <v>1351</v>
      </c>
      <c r="C16" s="937"/>
      <c r="D16" s="937"/>
      <c r="E16" s="937"/>
      <c r="F16" s="937"/>
      <c r="G16" s="937"/>
      <c r="H16" s="937"/>
      <c r="I16" s="937"/>
      <c r="J16" s="937"/>
      <c r="K16" s="937"/>
      <c r="L16" s="937"/>
      <c r="M16" s="937"/>
      <c r="N16" s="937"/>
      <c r="O16" s="937"/>
      <c r="P16" s="937"/>
      <c r="Q16" s="937"/>
      <c r="R16" s="940"/>
    </row>
    <row r="17" spans="2:20" x14ac:dyDescent="0.3">
      <c r="B17" s="942" t="s">
        <v>1352</v>
      </c>
      <c r="C17" s="937"/>
      <c r="D17" s="937"/>
      <c r="E17" s="937"/>
      <c r="F17" s="937"/>
      <c r="G17" s="937"/>
      <c r="H17" s="937"/>
      <c r="I17" s="937"/>
      <c r="J17" s="937"/>
      <c r="K17" s="937"/>
      <c r="L17" s="937"/>
      <c r="M17" s="937"/>
      <c r="N17" s="937"/>
      <c r="O17" s="937"/>
      <c r="P17" s="937"/>
      <c r="Q17" s="937"/>
      <c r="R17" s="943"/>
    </row>
    <row r="18" spans="2:20" x14ac:dyDescent="0.3">
      <c r="B18" s="941" t="s">
        <v>1353</v>
      </c>
      <c r="C18" s="937"/>
      <c r="D18" s="937"/>
      <c r="E18" s="937"/>
      <c r="F18" s="937"/>
      <c r="G18" s="937"/>
      <c r="H18" s="937"/>
      <c r="I18" s="937"/>
      <c r="J18" s="937"/>
      <c r="K18" s="937"/>
      <c r="L18" s="937"/>
      <c r="M18" s="937"/>
      <c r="N18" s="937"/>
      <c r="O18" s="937"/>
      <c r="P18" s="937"/>
      <c r="Q18" s="937"/>
      <c r="R18" s="938"/>
      <c r="T18" s="938"/>
    </row>
    <row r="19" spans="2:20" x14ac:dyDescent="0.3">
      <c r="B19" s="40" t="s">
        <v>1354</v>
      </c>
      <c r="C19" s="937"/>
      <c r="D19" s="937"/>
      <c r="E19" s="937"/>
      <c r="F19" s="937"/>
      <c r="G19" s="937"/>
      <c r="H19" s="937"/>
      <c r="I19" s="937"/>
      <c r="J19" s="937"/>
      <c r="K19" s="937"/>
      <c r="L19" s="937"/>
      <c r="M19" s="937"/>
      <c r="N19" s="937"/>
      <c r="O19" s="937"/>
      <c r="P19" s="937"/>
      <c r="Q19" s="937"/>
      <c r="R19" s="944"/>
      <c r="T19" s="938"/>
    </row>
    <row r="20" spans="2:20" s="44" customFormat="1" x14ac:dyDescent="0.3">
      <c r="B20" s="40" t="s">
        <v>1355</v>
      </c>
      <c r="C20" s="937"/>
      <c r="D20" s="937"/>
      <c r="E20" s="937"/>
      <c r="F20" s="937"/>
      <c r="G20" s="937"/>
      <c r="H20" s="937"/>
      <c r="I20" s="937"/>
      <c r="J20" s="937"/>
      <c r="K20" s="937"/>
      <c r="L20" s="937"/>
      <c r="M20" s="937"/>
      <c r="N20" s="937"/>
      <c r="O20" s="937"/>
      <c r="P20" s="937"/>
      <c r="Q20" s="937"/>
      <c r="R20" s="945"/>
      <c r="S20" s="945"/>
    </row>
    <row r="21" spans="2:20" ht="60.75" customHeight="1" x14ac:dyDescent="0.3">
      <c r="B21" s="946" t="s">
        <v>1356</v>
      </c>
      <c r="C21" s="937"/>
      <c r="D21" s="937"/>
      <c r="E21" s="937"/>
      <c r="F21" s="937"/>
      <c r="G21" s="937"/>
      <c r="H21" s="937"/>
      <c r="I21" s="937"/>
      <c r="J21" s="937"/>
      <c r="K21" s="937"/>
      <c r="L21" s="937"/>
      <c r="M21" s="937"/>
      <c r="N21" s="937"/>
      <c r="O21" s="937"/>
      <c r="P21" s="937"/>
      <c r="Q21" s="937"/>
      <c r="R21" s="940"/>
    </row>
    <row r="22" spans="2:20" x14ac:dyDescent="0.3">
      <c r="B22" s="947"/>
      <c r="C22" s="948"/>
      <c r="D22" s="130"/>
      <c r="E22" s="949"/>
      <c r="F22" s="950"/>
      <c r="G22" s="938"/>
      <c r="H22" s="951"/>
      <c r="I22" s="952"/>
      <c r="J22" s="940"/>
      <c r="K22" s="953"/>
      <c r="L22" s="953"/>
      <c r="M22" s="953"/>
      <c r="N22" s="953"/>
      <c r="O22" s="950"/>
      <c r="P22" s="938"/>
      <c r="Q22" s="953"/>
    </row>
    <row r="23" spans="2:20" x14ac:dyDescent="0.3">
      <c r="B23" s="1" t="s">
        <v>1357</v>
      </c>
      <c r="G23" s="938"/>
      <c r="H23" s="954"/>
      <c r="I23" s="954"/>
      <c r="J23" s="940"/>
      <c r="K23" s="954"/>
      <c r="L23" s="954"/>
      <c r="M23" s="954"/>
      <c r="N23" s="954"/>
      <c r="P23" s="938"/>
      <c r="Q23" s="954"/>
      <c r="R23" s="940"/>
    </row>
    <row r="24" spans="2:20" x14ac:dyDescent="0.3">
      <c r="H24" s="955"/>
      <c r="K24" s="955"/>
      <c r="L24" s="955"/>
      <c r="M24" s="955"/>
      <c r="N24" s="955"/>
      <c r="Q24" s="955"/>
    </row>
    <row r="25" spans="2:20" x14ac:dyDescent="0.3">
      <c r="C25" s="938"/>
      <c r="D25" s="938"/>
      <c r="E25" s="938"/>
      <c r="F25" s="938"/>
      <c r="G25" s="938"/>
      <c r="H25" s="938"/>
      <c r="I25" s="938"/>
      <c r="J25" s="938"/>
      <c r="K25" s="938"/>
      <c r="L25" s="938"/>
      <c r="M25" s="938"/>
      <c r="N25" s="938"/>
      <c r="O25" s="938"/>
      <c r="P25" s="938"/>
      <c r="Q25" s="938"/>
    </row>
    <row r="26" spans="2:20" x14ac:dyDescent="0.3">
      <c r="H26" s="938"/>
      <c r="K26" s="938"/>
      <c r="L26" s="938"/>
      <c r="M26" s="938"/>
      <c r="N26" s="938"/>
      <c r="Q26" s="938"/>
      <c r="S26" s="938"/>
    </row>
    <row r="27" spans="2:20" x14ac:dyDescent="0.3">
      <c r="C27" s="938"/>
      <c r="D27" s="938"/>
      <c r="F27" s="938"/>
      <c r="G27" s="938"/>
      <c r="H27" s="938"/>
      <c r="I27" s="938"/>
      <c r="J27" s="938"/>
      <c r="K27" s="938"/>
      <c r="L27" s="938"/>
      <c r="M27" s="938"/>
      <c r="N27" s="938"/>
      <c r="O27" s="938"/>
      <c r="P27" s="938"/>
      <c r="Q27" s="938"/>
    </row>
    <row r="29" spans="2:20" ht="29.4" customHeight="1" x14ac:dyDescent="0.3">
      <c r="C29" s="494"/>
      <c r="E29" s="938"/>
    </row>
  </sheetData>
  <mergeCells count="5">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E37"/>
  <sheetViews>
    <sheetView showGridLines="0" view="pageBreakPreview" zoomScale="70" zoomScaleNormal="75" zoomScaleSheetLayoutView="70" workbookViewId="0">
      <selection activeCell="E3" sqref="E3"/>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5" x14ac:dyDescent="0.3">
      <c r="C1" s="552"/>
    </row>
    <row r="2" spans="2:5" x14ac:dyDescent="0.3">
      <c r="B2" s="1758"/>
      <c r="C2" s="1758"/>
      <c r="E2" s="1" t="str">
        <f>Index!B2</f>
        <v xml:space="preserve">      Maharashtra State Power Generation Company Ltd.</v>
      </c>
    </row>
    <row r="3" spans="2:5" ht="16.5" customHeight="1" x14ac:dyDescent="0.3">
      <c r="B3" s="1999" t="s">
        <v>1087</v>
      </c>
      <c r="C3" s="1999"/>
    </row>
    <row r="4" spans="2:5" ht="14" customHeight="1" x14ac:dyDescent="0.3">
      <c r="B4" s="2000" t="s">
        <v>1358</v>
      </c>
      <c r="C4" s="2000"/>
    </row>
    <row r="7" spans="2:5" x14ac:dyDescent="0.3">
      <c r="B7" s="847" t="s">
        <v>36</v>
      </c>
      <c r="C7" s="847" t="s">
        <v>1359</v>
      </c>
    </row>
    <row r="8" spans="2:5" x14ac:dyDescent="0.3">
      <c r="B8" s="957"/>
      <c r="C8" s="958"/>
    </row>
    <row r="9" spans="2:5" x14ac:dyDescent="0.3">
      <c r="B9" s="179" t="s">
        <v>1360</v>
      </c>
      <c r="C9" s="958"/>
    </row>
    <row r="10" spans="2:5" x14ac:dyDescent="0.3">
      <c r="B10" s="9" t="s">
        <v>1347</v>
      </c>
      <c r="C10" s="958"/>
    </row>
    <row r="11" spans="2:5" x14ac:dyDescent="0.3">
      <c r="B11" s="9" t="s">
        <v>1361</v>
      </c>
      <c r="C11" s="958"/>
    </row>
    <row r="12" spans="2:5" x14ac:dyDescent="0.3">
      <c r="B12" s="959" t="s">
        <v>1362</v>
      </c>
      <c r="C12" s="958"/>
    </row>
    <row r="13" spans="2:5" x14ac:dyDescent="0.3">
      <c r="B13" s="9" t="s">
        <v>1363</v>
      </c>
      <c r="C13" s="958"/>
    </row>
    <row r="14" spans="2:5" x14ac:dyDescent="0.3">
      <c r="B14" s="160" t="s">
        <v>1364</v>
      </c>
      <c r="C14" s="958"/>
    </row>
    <row r="15" spans="2:5" x14ac:dyDescent="0.3">
      <c r="B15" s="9" t="s">
        <v>1365</v>
      </c>
      <c r="C15" s="958"/>
    </row>
    <row r="16" spans="2:5" x14ac:dyDescent="0.3">
      <c r="B16" s="9" t="s">
        <v>1366</v>
      </c>
      <c r="C16" s="958"/>
    </row>
    <row r="17" spans="2:3" x14ac:dyDescent="0.3">
      <c r="B17" s="9" t="s">
        <v>1367</v>
      </c>
      <c r="C17" s="958"/>
    </row>
    <row r="18" spans="2:3" x14ac:dyDescent="0.3">
      <c r="B18" s="9" t="s">
        <v>1368</v>
      </c>
      <c r="C18" s="958"/>
    </row>
    <row r="19" spans="2:3" x14ac:dyDescent="0.3">
      <c r="B19" s="9" t="s">
        <v>1369</v>
      </c>
      <c r="C19" s="958"/>
    </row>
    <row r="20" spans="2:3" x14ac:dyDescent="0.3">
      <c r="B20" s="9" t="s">
        <v>1370</v>
      </c>
      <c r="C20" s="958"/>
    </row>
    <row r="21" spans="2:3" x14ac:dyDescent="0.3">
      <c r="B21" s="9" t="s">
        <v>1371</v>
      </c>
      <c r="C21" s="958"/>
    </row>
    <row r="22" spans="2:3" x14ac:dyDescent="0.3">
      <c r="B22" s="9" t="s">
        <v>1372</v>
      </c>
      <c r="C22" s="958"/>
    </row>
    <row r="23" spans="2:3" x14ac:dyDescent="0.3">
      <c r="B23" s="9" t="s">
        <v>1373</v>
      </c>
      <c r="C23" s="958"/>
    </row>
    <row r="24" spans="2:3" x14ac:dyDescent="0.3">
      <c r="B24" s="9" t="s">
        <v>1374</v>
      </c>
      <c r="C24" s="958"/>
    </row>
    <row r="25" spans="2:3" x14ac:dyDescent="0.3">
      <c r="B25" s="9" t="s">
        <v>1375</v>
      </c>
      <c r="C25" s="958"/>
    </row>
    <row r="27" spans="2:3" x14ac:dyDescent="0.3">
      <c r="B27" s="1998" t="s">
        <v>1376</v>
      </c>
      <c r="C27" s="1998"/>
    </row>
    <row r="28" spans="2:3" x14ac:dyDescent="0.3">
      <c r="B28" s="1998" t="s">
        <v>1377</v>
      </c>
      <c r="C28" s="1998"/>
    </row>
    <row r="29" spans="2:3" ht="29.4" customHeight="1" x14ac:dyDescent="0.3">
      <c r="B29" s="960" t="s">
        <v>1378</v>
      </c>
      <c r="C29" s="494"/>
    </row>
    <row r="30" spans="2:3" x14ac:dyDescent="0.3">
      <c r="B30" s="1998" t="s">
        <v>1379</v>
      </c>
      <c r="C30" s="1998"/>
    </row>
    <row r="31" spans="2:3" x14ac:dyDescent="0.3">
      <c r="B31" s="1998" t="s">
        <v>1380</v>
      </c>
      <c r="C31" s="1998"/>
    </row>
    <row r="32" spans="2:3" x14ac:dyDescent="0.3">
      <c r="B32" s="1998" t="s">
        <v>1381</v>
      </c>
      <c r="C32" s="1998"/>
    </row>
    <row r="33" spans="2:3" x14ac:dyDescent="0.3">
      <c r="B33" s="1998" t="s">
        <v>1382</v>
      </c>
      <c r="C33" s="1998"/>
    </row>
    <row r="34" spans="2:3" x14ac:dyDescent="0.3">
      <c r="B34" s="1998" t="s">
        <v>1383</v>
      </c>
      <c r="C34" s="1998"/>
    </row>
    <row r="35" spans="2:3" x14ac:dyDescent="0.3">
      <c r="B35" s="1998" t="s">
        <v>1384</v>
      </c>
      <c r="C35" s="1998"/>
    </row>
    <row r="36" spans="2:3" x14ac:dyDescent="0.3">
      <c r="B36" s="1998" t="s">
        <v>1385</v>
      </c>
      <c r="C36" s="1998"/>
    </row>
    <row r="37" spans="2:3" x14ac:dyDescent="0.3">
      <c r="B37" s="1998" t="s">
        <v>1386</v>
      </c>
      <c r="C37" s="1998"/>
    </row>
  </sheetData>
  <mergeCells count="13">
    <mergeCell ref="B30:C30"/>
    <mergeCell ref="B2:C2"/>
    <mergeCell ref="B3:C3"/>
    <mergeCell ref="B4:C4"/>
    <mergeCell ref="B27:C27"/>
    <mergeCell ref="B28:C28"/>
    <mergeCell ref="B37:C37"/>
    <mergeCell ref="B31:C31"/>
    <mergeCell ref="B32:C32"/>
    <mergeCell ref="B33:C33"/>
    <mergeCell ref="B34:C34"/>
    <mergeCell ref="B35:C35"/>
    <mergeCell ref="B36:C36"/>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C1" zoomScale="90" zoomScaleSheetLayoutView="90" workbookViewId="0">
      <selection activeCell="E3" sqref="E3"/>
    </sheetView>
  </sheetViews>
  <sheetFormatPr defaultColWidth="9.08984375" defaultRowHeight="14" x14ac:dyDescent="0.3"/>
  <cols>
    <col min="1" max="1" width="9.08984375" style="885"/>
    <col min="2" max="2" width="4.6328125" style="885" customWidth="1"/>
    <col min="3" max="3" width="17.453125" style="885" customWidth="1"/>
    <col min="4" max="4" width="18.08984375" style="885" customWidth="1"/>
    <col min="5" max="5" width="20.36328125" style="972" customWidth="1"/>
    <col min="6" max="6" width="16.08984375" style="887" customWidth="1"/>
    <col min="7" max="7" width="19.6328125" style="972" customWidth="1"/>
    <col min="8" max="10" width="20" style="887" customWidth="1"/>
    <col min="11" max="11" width="20.6328125" style="972" customWidth="1"/>
    <col min="12" max="12" width="14.36328125" style="887" customWidth="1"/>
    <col min="13" max="13" width="19.6328125" style="885" customWidth="1"/>
    <col min="14" max="14" width="20.453125" style="885" customWidth="1"/>
    <col min="15" max="259" width="9.08984375" style="885"/>
    <col min="260" max="260" width="4.6328125" style="885" customWidth="1"/>
    <col min="261" max="261" width="11.08984375" style="885" customWidth="1"/>
    <col min="262" max="262" width="23.453125" style="885" customWidth="1"/>
    <col min="263" max="263" width="16.6328125" style="885" customWidth="1"/>
    <col min="264" max="264" width="16.08984375" style="885" customWidth="1"/>
    <col min="265" max="265" width="15.08984375" style="885" customWidth="1"/>
    <col min="266" max="266" width="20" style="885" customWidth="1"/>
    <col min="267" max="267" width="16.6328125" style="885" customWidth="1"/>
    <col min="268" max="268" width="12.08984375" style="885" customWidth="1"/>
    <col min="269" max="515" width="9.08984375" style="885"/>
    <col min="516" max="516" width="4.6328125" style="885" customWidth="1"/>
    <col min="517" max="517" width="11.08984375" style="885" customWidth="1"/>
    <col min="518" max="518" width="23.453125" style="885" customWidth="1"/>
    <col min="519" max="519" width="16.6328125" style="885" customWidth="1"/>
    <col min="520" max="520" width="16.08984375" style="885" customWidth="1"/>
    <col min="521" max="521" width="15.08984375" style="885" customWidth="1"/>
    <col min="522" max="522" width="20" style="885" customWidth="1"/>
    <col min="523" max="523" width="16.6328125" style="885" customWidth="1"/>
    <col min="524" max="524" width="12.08984375" style="885" customWidth="1"/>
    <col min="525" max="771" width="9.08984375" style="885"/>
    <col min="772" max="772" width="4.6328125" style="885" customWidth="1"/>
    <col min="773" max="773" width="11.08984375" style="885" customWidth="1"/>
    <col min="774" max="774" width="23.453125" style="885" customWidth="1"/>
    <col min="775" max="775" width="16.6328125" style="885" customWidth="1"/>
    <col min="776" max="776" width="16.08984375" style="885" customWidth="1"/>
    <col min="777" max="777" width="15.08984375" style="885" customWidth="1"/>
    <col min="778" max="778" width="20" style="885" customWidth="1"/>
    <col min="779" max="779" width="16.6328125" style="885" customWidth="1"/>
    <col min="780" max="780" width="12.08984375" style="885" customWidth="1"/>
    <col min="781" max="1027" width="9.08984375" style="885"/>
    <col min="1028" max="1028" width="4.6328125" style="885" customWidth="1"/>
    <col min="1029" max="1029" width="11.08984375" style="885" customWidth="1"/>
    <col min="1030" max="1030" width="23.453125" style="885" customWidth="1"/>
    <col min="1031" max="1031" width="16.6328125" style="885" customWidth="1"/>
    <col min="1032" max="1032" width="16.08984375" style="885" customWidth="1"/>
    <col min="1033" max="1033" width="15.08984375" style="885" customWidth="1"/>
    <col min="1034" max="1034" width="20" style="885" customWidth="1"/>
    <col min="1035" max="1035" width="16.6328125" style="885" customWidth="1"/>
    <col min="1036" max="1036" width="12.08984375" style="885" customWidth="1"/>
    <col min="1037" max="1283" width="9.08984375" style="885"/>
    <col min="1284" max="1284" width="4.6328125" style="885" customWidth="1"/>
    <col min="1285" max="1285" width="11.08984375" style="885" customWidth="1"/>
    <col min="1286" max="1286" width="23.453125" style="885" customWidth="1"/>
    <col min="1287" max="1287" width="16.6328125" style="885" customWidth="1"/>
    <col min="1288" max="1288" width="16.08984375" style="885" customWidth="1"/>
    <col min="1289" max="1289" width="15.08984375" style="885" customWidth="1"/>
    <col min="1290" max="1290" width="20" style="885" customWidth="1"/>
    <col min="1291" max="1291" width="16.6328125" style="885" customWidth="1"/>
    <col min="1292" max="1292" width="12.08984375" style="885" customWidth="1"/>
    <col min="1293" max="1539" width="9.08984375" style="885"/>
    <col min="1540" max="1540" width="4.6328125" style="885" customWidth="1"/>
    <col min="1541" max="1541" width="11.08984375" style="885" customWidth="1"/>
    <col min="1542" max="1542" width="23.453125" style="885" customWidth="1"/>
    <col min="1543" max="1543" width="16.6328125" style="885" customWidth="1"/>
    <col min="1544" max="1544" width="16.08984375" style="885" customWidth="1"/>
    <col min="1545" max="1545" width="15.08984375" style="885" customWidth="1"/>
    <col min="1546" max="1546" width="20" style="885" customWidth="1"/>
    <col min="1547" max="1547" width="16.6328125" style="885" customWidth="1"/>
    <col min="1548" max="1548" width="12.08984375" style="885" customWidth="1"/>
    <col min="1549" max="1795" width="9.08984375" style="885"/>
    <col min="1796" max="1796" width="4.6328125" style="885" customWidth="1"/>
    <col min="1797" max="1797" width="11.08984375" style="885" customWidth="1"/>
    <col min="1798" max="1798" width="23.453125" style="885" customWidth="1"/>
    <col min="1799" max="1799" width="16.6328125" style="885" customWidth="1"/>
    <col min="1800" max="1800" width="16.08984375" style="885" customWidth="1"/>
    <col min="1801" max="1801" width="15.08984375" style="885" customWidth="1"/>
    <col min="1802" max="1802" width="20" style="885" customWidth="1"/>
    <col min="1803" max="1803" width="16.6328125" style="885" customWidth="1"/>
    <col min="1804" max="1804" width="12.08984375" style="885" customWidth="1"/>
    <col min="1805" max="2051" width="9.08984375" style="885"/>
    <col min="2052" max="2052" width="4.6328125" style="885" customWidth="1"/>
    <col min="2053" max="2053" width="11.08984375" style="885" customWidth="1"/>
    <col min="2054" max="2054" width="23.453125" style="885" customWidth="1"/>
    <col min="2055" max="2055" width="16.6328125" style="885" customWidth="1"/>
    <col min="2056" max="2056" width="16.08984375" style="885" customWidth="1"/>
    <col min="2057" max="2057" width="15.08984375" style="885" customWidth="1"/>
    <col min="2058" max="2058" width="20" style="885" customWidth="1"/>
    <col min="2059" max="2059" width="16.6328125" style="885" customWidth="1"/>
    <col min="2060" max="2060" width="12.08984375" style="885" customWidth="1"/>
    <col min="2061" max="2307" width="9.08984375" style="885"/>
    <col min="2308" max="2308" width="4.6328125" style="885" customWidth="1"/>
    <col min="2309" max="2309" width="11.08984375" style="885" customWidth="1"/>
    <col min="2310" max="2310" width="23.453125" style="885" customWidth="1"/>
    <col min="2311" max="2311" width="16.6328125" style="885" customWidth="1"/>
    <col min="2312" max="2312" width="16.08984375" style="885" customWidth="1"/>
    <col min="2313" max="2313" width="15.08984375" style="885" customWidth="1"/>
    <col min="2314" max="2314" width="20" style="885" customWidth="1"/>
    <col min="2315" max="2315" width="16.6328125" style="885" customWidth="1"/>
    <col min="2316" max="2316" width="12.08984375" style="885" customWidth="1"/>
    <col min="2317" max="2563" width="9.08984375" style="885"/>
    <col min="2564" max="2564" width="4.6328125" style="885" customWidth="1"/>
    <col min="2565" max="2565" width="11.08984375" style="885" customWidth="1"/>
    <col min="2566" max="2566" width="23.453125" style="885" customWidth="1"/>
    <col min="2567" max="2567" width="16.6328125" style="885" customWidth="1"/>
    <col min="2568" max="2568" width="16.08984375" style="885" customWidth="1"/>
    <col min="2569" max="2569" width="15.08984375" style="885" customWidth="1"/>
    <col min="2570" max="2570" width="20" style="885" customWidth="1"/>
    <col min="2571" max="2571" width="16.6328125" style="885" customWidth="1"/>
    <col min="2572" max="2572" width="12.08984375" style="885" customWidth="1"/>
    <col min="2573" max="2819" width="9.08984375" style="885"/>
    <col min="2820" max="2820" width="4.6328125" style="885" customWidth="1"/>
    <col min="2821" max="2821" width="11.08984375" style="885" customWidth="1"/>
    <col min="2822" max="2822" width="23.453125" style="885" customWidth="1"/>
    <col min="2823" max="2823" width="16.6328125" style="885" customWidth="1"/>
    <col min="2824" max="2824" width="16.08984375" style="885" customWidth="1"/>
    <col min="2825" max="2825" width="15.08984375" style="885" customWidth="1"/>
    <col min="2826" max="2826" width="20" style="885" customWidth="1"/>
    <col min="2827" max="2827" width="16.6328125" style="885" customWidth="1"/>
    <col min="2828" max="2828" width="12.08984375" style="885" customWidth="1"/>
    <col min="2829" max="3075" width="9.08984375" style="885"/>
    <col min="3076" max="3076" width="4.6328125" style="885" customWidth="1"/>
    <col min="3077" max="3077" width="11.08984375" style="885" customWidth="1"/>
    <col min="3078" max="3078" width="23.453125" style="885" customWidth="1"/>
    <col min="3079" max="3079" width="16.6328125" style="885" customWidth="1"/>
    <col min="3080" max="3080" width="16.08984375" style="885" customWidth="1"/>
    <col min="3081" max="3081" width="15.08984375" style="885" customWidth="1"/>
    <col min="3082" max="3082" width="20" style="885" customWidth="1"/>
    <col min="3083" max="3083" width="16.6328125" style="885" customWidth="1"/>
    <col min="3084" max="3084" width="12.08984375" style="885" customWidth="1"/>
    <col min="3085" max="3331" width="9.08984375" style="885"/>
    <col min="3332" max="3332" width="4.6328125" style="885" customWidth="1"/>
    <col min="3333" max="3333" width="11.08984375" style="885" customWidth="1"/>
    <col min="3334" max="3334" width="23.453125" style="885" customWidth="1"/>
    <col min="3335" max="3335" width="16.6328125" style="885" customWidth="1"/>
    <col min="3336" max="3336" width="16.08984375" style="885" customWidth="1"/>
    <col min="3337" max="3337" width="15.08984375" style="885" customWidth="1"/>
    <col min="3338" max="3338" width="20" style="885" customWidth="1"/>
    <col min="3339" max="3339" width="16.6328125" style="885" customWidth="1"/>
    <col min="3340" max="3340" width="12.08984375" style="885" customWidth="1"/>
    <col min="3341" max="3587" width="9.08984375" style="885"/>
    <col min="3588" max="3588" width="4.6328125" style="885" customWidth="1"/>
    <col min="3589" max="3589" width="11.08984375" style="885" customWidth="1"/>
    <col min="3590" max="3590" width="23.453125" style="885" customWidth="1"/>
    <col min="3591" max="3591" width="16.6328125" style="885" customWidth="1"/>
    <col min="3592" max="3592" width="16.08984375" style="885" customWidth="1"/>
    <col min="3593" max="3593" width="15.08984375" style="885" customWidth="1"/>
    <col min="3594" max="3594" width="20" style="885" customWidth="1"/>
    <col min="3595" max="3595" width="16.6328125" style="885" customWidth="1"/>
    <col min="3596" max="3596" width="12.08984375" style="885" customWidth="1"/>
    <col min="3597" max="3843" width="9.08984375" style="885"/>
    <col min="3844" max="3844" width="4.6328125" style="885" customWidth="1"/>
    <col min="3845" max="3845" width="11.08984375" style="885" customWidth="1"/>
    <col min="3846" max="3846" width="23.453125" style="885" customWidth="1"/>
    <col min="3847" max="3847" width="16.6328125" style="885" customWidth="1"/>
    <col min="3848" max="3848" width="16.08984375" style="885" customWidth="1"/>
    <col min="3849" max="3849" width="15.08984375" style="885" customWidth="1"/>
    <col min="3850" max="3850" width="20" style="885" customWidth="1"/>
    <col min="3851" max="3851" width="16.6328125" style="885" customWidth="1"/>
    <col min="3852" max="3852" width="12.08984375" style="885" customWidth="1"/>
    <col min="3853" max="4099" width="9.08984375" style="885"/>
    <col min="4100" max="4100" width="4.6328125" style="885" customWidth="1"/>
    <col min="4101" max="4101" width="11.08984375" style="885" customWidth="1"/>
    <col min="4102" max="4102" width="23.453125" style="885" customWidth="1"/>
    <col min="4103" max="4103" width="16.6328125" style="885" customWidth="1"/>
    <col min="4104" max="4104" width="16.08984375" style="885" customWidth="1"/>
    <col min="4105" max="4105" width="15.08984375" style="885" customWidth="1"/>
    <col min="4106" max="4106" width="20" style="885" customWidth="1"/>
    <col min="4107" max="4107" width="16.6328125" style="885" customWidth="1"/>
    <col min="4108" max="4108" width="12.08984375" style="885" customWidth="1"/>
    <col min="4109" max="4355" width="9.08984375" style="885"/>
    <col min="4356" max="4356" width="4.6328125" style="885" customWidth="1"/>
    <col min="4357" max="4357" width="11.08984375" style="885" customWidth="1"/>
    <col min="4358" max="4358" width="23.453125" style="885" customWidth="1"/>
    <col min="4359" max="4359" width="16.6328125" style="885" customWidth="1"/>
    <col min="4360" max="4360" width="16.08984375" style="885" customWidth="1"/>
    <col min="4361" max="4361" width="15.08984375" style="885" customWidth="1"/>
    <col min="4362" max="4362" width="20" style="885" customWidth="1"/>
    <col min="4363" max="4363" width="16.6328125" style="885" customWidth="1"/>
    <col min="4364" max="4364" width="12.08984375" style="885" customWidth="1"/>
    <col min="4365" max="4611" width="9.08984375" style="885"/>
    <col min="4612" max="4612" width="4.6328125" style="885" customWidth="1"/>
    <col min="4613" max="4613" width="11.08984375" style="885" customWidth="1"/>
    <col min="4614" max="4614" width="23.453125" style="885" customWidth="1"/>
    <col min="4615" max="4615" width="16.6328125" style="885" customWidth="1"/>
    <col min="4616" max="4616" width="16.08984375" style="885" customWidth="1"/>
    <col min="4617" max="4617" width="15.08984375" style="885" customWidth="1"/>
    <col min="4618" max="4618" width="20" style="885" customWidth="1"/>
    <col min="4619" max="4619" width="16.6328125" style="885" customWidth="1"/>
    <col min="4620" max="4620" width="12.08984375" style="885" customWidth="1"/>
    <col min="4621" max="4867" width="9.08984375" style="885"/>
    <col min="4868" max="4868" width="4.6328125" style="885" customWidth="1"/>
    <col min="4869" max="4869" width="11.08984375" style="885" customWidth="1"/>
    <col min="4870" max="4870" width="23.453125" style="885" customWidth="1"/>
    <col min="4871" max="4871" width="16.6328125" style="885" customWidth="1"/>
    <col min="4872" max="4872" width="16.08984375" style="885" customWidth="1"/>
    <col min="4873" max="4873" width="15.08984375" style="885" customWidth="1"/>
    <col min="4874" max="4874" width="20" style="885" customWidth="1"/>
    <col min="4875" max="4875" width="16.6328125" style="885" customWidth="1"/>
    <col min="4876" max="4876" width="12.08984375" style="885" customWidth="1"/>
    <col min="4877" max="5123" width="9.08984375" style="885"/>
    <col min="5124" max="5124" width="4.6328125" style="885" customWidth="1"/>
    <col min="5125" max="5125" width="11.08984375" style="885" customWidth="1"/>
    <col min="5126" max="5126" width="23.453125" style="885" customWidth="1"/>
    <col min="5127" max="5127" width="16.6328125" style="885" customWidth="1"/>
    <col min="5128" max="5128" width="16.08984375" style="885" customWidth="1"/>
    <col min="5129" max="5129" width="15.08984375" style="885" customWidth="1"/>
    <col min="5130" max="5130" width="20" style="885" customWidth="1"/>
    <col min="5131" max="5131" width="16.6328125" style="885" customWidth="1"/>
    <col min="5132" max="5132" width="12.08984375" style="885" customWidth="1"/>
    <col min="5133" max="5379" width="9.08984375" style="885"/>
    <col min="5380" max="5380" width="4.6328125" style="885" customWidth="1"/>
    <col min="5381" max="5381" width="11.08984375" style="885" customWidth="1"/>
    <col min="5382" max="5382" width="23.453125" style="885" customWidth="1"/>
    <col min="5383" max="5383" width="16.6328125" style="885" customWidth="1"/>
    <col min="5384" max="5384" width="16.08984375" style="885" customWidth="1"/>
    <col min="5385" max="5385" width="15.08984375" style="885" customWidth="1"/>
    <col min="5386" max="5386" width="20" style="885" customWidth="1"/>
    <col min="5387" max="5387" width="16.6328125" style="885" customWidth="1"/>
    <col min="5388" max="5388" width="12.08984375" style="885" customWidth="1"/>
    <col min="5389" max="5635" width="9.08984375" style="885"/>
    <col min="5636" max="5636" width="4.6328125" style="885" customWidth="1"/>
    <col min="5637" max="5637" width="11.08984375" style="885" customWidth="1"/>
    <col min="5638" max="5638" width="23.453125" style="885" customWidth="1"/>
    <col min="5639" max="5639" width="16.6328125" style="885" customWidth="1"/>
    <col min="5640" max="5640" width="16.08984375" style="885" customWidth="1"/>
    <col min="5641" max="5641" width="15.08984375" style="885" customWidth="1"/>
    <col min="5642" max="5642" width="20" style="885" customWidth="1"/>
    <col min="5643" max="5643" width="16.6328125" style="885" customWidth="1"/>
    <col min="5644" max="5644" width="12.08984375" style="885" customWidth="1"/>
    <col min="5645" max="5891" width="9.08984375" style="885"/>
    <col min="5892" max="5892" width="4.6328125" style="885" customWidth="1"/>
    <col min="5893" max="5893" width="11.08984375" style="885" customWidth="1"/>
    <col min="5894" max="5894" width="23.453125" style="885" customWidth="1"/>
    <col min="5895" max="5895" width="16.6328125" style="885" customWidth="1"/>
    <col min="5896" max="5896" width="16.08984375" style="885" customWidth="1"/>
    <col min="5897" max="5897" width="15.08984375" style="885" customWidth="1"/>
    <col min="5898" max="5898" width="20" style="885" customWidth="1"/>
    <col min="5899" max="5899" width="16.6328125" style="885" customWidth="1"/>
    <col min="5900" max="5900" width="12.08984375" style="885" customWidth="1"/>
    <col min="5901" max="6147" width="9.08984375" style="885"/>
    <col min="6148" max="6148" width="4.6328125" style="885" customWidth="1"/>
    <col min="6149" max="6149" width="11.08984375" style="885" customWidth="1"/>
    <col min="6150" max="6150" width="23.453125" style="885" customWidth="1"/>
    <col min="6151" max="6151" width="16.6328125" style="885" customWidth="1"/>
    <col min="6152" max="6152" width="16.08984375" style="885" customWidth="1"/>
    <col min="6153" max="6153" width="15.08984375" style="885" customWidth="1"/>
    <col min="6154" max="6154" width="20" style="885" customWidth="1"/>
    <col min="6155" max="6155" width="16.6328125" style="885" customWidth="1"/>
    <col min="6156" max="6156" width="12.08984375" style="885" customWidth="1"/>
    <col min="6157" max="6403" width="9.08984375" style="885"/>
    <col min="6404" max="6404" width="4.6328125" style="885" customWidth="1"/>
    <col min="6405" max="6405" width="11.08984375" style="885" customWidth="1"/>
    <col min="6406" max="6406" width="23.453125" style="885" customWidth="1"/>
    <col min="6407" max="6407" width="16.6328125" style="885" customWidth="1"/>
    <col min="6408" max="6408" width="16.08984375" style="885" customWidth="1"/>
    <col min="6409" max="6409" width="15.08984375" style="885" customWidth="1"/>
    <col min="6410" max="6410" width="20" style="885" customWidth="1"/>
    <col min="6411" max="6411" width="16.6328125" style="885" customWidth="1"/>
    <col min="6412" max="6412" width="12.08984375" style="885" customWidth="1"/>
    <col min="6413" max="6659" width="9.08984375" style="885"/>
    <col min="6660" max="6660" width="4.6328125" style="885" customWidth="1"/>
    <col min="6661" max="6661" width="11.08984375" style="885" customWidth="1"/>
    <col min="6662" max="6662" width="23.453125" style="885" customWidth="1"/>
    <col min="6663" max="6663" width="16.6328125" style="885" customWidth="1"/>
    <col min="6664" max="6664" width="16.08984375" style="885" customWidth="1"/>
    <col min="6665" max="6665" width="15.08984375" style="885" customWidth="1"/>
    <col min="6666" max="6666" width="20" style="885" customWidth="1"/>
    <col min="6667" max="6667" width="16.6328125" style="885" customWidth="1"/>
    <col min="6668" max="6668" width="12.08984375" style="885" customWidth="1"/>
    <col min="6669" max="6915" width="9.08984375" style="885"/>
    <col min="6916" max="6916" width="4.6328125" style="885" customWidth="1"/>
    <col min="6917" max="6917" width="11.08984375" style="885" customWidth="1"/>
    <col min="6918" max="6918" width="23.453125" style="885" customWidth="1"/>
    <col min="6919" max="6919" width="16.6328125" style="885" customWidth="1"/>
    <col min="6920" max="6920" width="16.08984375" style="885" customWidth="1"/>
    <col min="6921" max="6921" width="15.08984375" style="885" customWidth="1"/>
    <col min="6922" max="6922" width="20" style="885" customWidth="1"/>
    <col min="6923" max="6923" width="16.6328125" style="885" customWidth="1"/>
    <col min="6924" max="6924" width="12.08984375" style="885" customWidth="1"/>
    <col min="6925" max="7171" width="9.08984375" style="885"/>
    <col min="7172" max="7172" width="4.6328125" style="885" customWidth="1"/>
    <col min="7173" max="7173" width="11.08984375" style="885" customWidth="1"/>
    <col min="7174" max="7174" width="23.453125" style="885" customWidth="1"/>
    <col min="7175" max="7175" width="16.6328125" style="885" customWidth="1"/>
    <col min="7176" max="7176" width="16.08984375" style="885" customWidth="1"/>
    <col min="7177" max="7177" width="15.08984375" style="885" customWidth="1"/>
    <col min="7178" max="7178" width="20" style="885" customWidth="1"/>
    <col min="7179" max="7179" width="16.6328125" style="885" customWidth="1"/>
    <col min="7180" max="7180" width="12.08984375" style="885" customWidth="1"/>
    <col min="7181" max="7427" width="9.08984375" style="885"/>
    <col min="7428" max="7428" width="4.6328125" style="885" customWidth="1"/>
    <col min="7429" max="7429" width="11.08984375" style="885" customWidth="1"/>
    <col min="7430" max="7430" width="23.453125" style="885" customWidth="1"/>
    <col min="7431" max="7431" width="16.6328125" style="885" customWidth="1"/>
    <col min="7432" max="7432" width="16.08984375" style="885" customWidth="1"/>
    <col min="7433" max="7433" width="15.08984375" style="885" customWidth="1"/>
    <col min="7434" max="7434" width="20" style="885" customWidth="1"/>
    <col min="7435" max="7435" width="16.6328125" style="885" customWidth="1"/>
    <col min="7436" max="7436" width="12.08984375" style="885" customWidth="1"/>
    <col min="7437" max="7683" width="9.08984375" style="885"/>
    <col min="7684" max="7684" width="4.6328125" style="885" customWidth="1"/>
    <col min="7685" max="7685" width="11.08984375" style="885" customWidth="1"/>
    <col min="7686" max="7686" width="23.453125" style="885" customWidth="1"/>
    <col min="7687" max="7687" width="16.6328125" style="885" customWidth="1"/>
    <col min="7688" max="7688" width="16.08984375" style="885" customWidth="1"/>
    <col min="7689" max="7689" width="15.08984375" style="885" customWidth="1"/>
    <col min="7690" max="7690" width="20" style="885" customWidth="1"/>
    <col min="7691" max="7691" width="16.6328125" style="885" customWidth="1"/>
    <col min="7692" max="7692" width="12.08984375" style="885" customWidth="1"/>
    <col min="7693" max="7939" width="9.08984375" style="885"/>
    <col min="7940" max="7940" width="4.6328125" style="885" customWidth="1"/>
    <col min="7941" max="7941" width="11.08984375" style="885" customWidth="1"/>
    <col min="7942" max="7942" width="23.453125" style="885" customWidth="1"/>
    <col min="7943" max="7943" width="16.6328125" style="885" customWidth="1"/>
    <col min="7944" max="7944" width="16.08984375" style="885" customWidth="1"/>
    <col min="7945" max="7945" width="15.08984375" style="885" customWidth="1"/>
    <col min="7946" max="7946" width="20" style="885" customWidth="1"/>
    <col min="7947" max="7947" width="16.6328125" style="885" customWidth="1"/>
    <col min="7948" max="7948" width="12.08984375" style="885" customWidth="1"/>
    <col min="7949" max="8195" width="9.08984375" style="885"/>
    <col min="8196" max="8196" width="4.6328125" style="885" customWidth="1"/>
    <col min="8197" max="8197" width="11.08984375" style="885" customWidth="1"/>
    <col min="8198" max="8198" width="23.453125" style="885" customWidth="1"/>
    <col min="8199" max="8199" width="16.6328125" style="885" customWidth="1"/>
    <col min="8200" max="8200" width="16.08984375" style="885" customWidth="1"/>
    <col min="8201" max="8201" width="15.08984375" style="885" customWidth="1"/>
    <col min="8202" max="8202" width="20" style="885" customWidth="1"/>
    <col min="8203" max="8203" width="16.6328125" style="885" customWidth="1"/>
    <col min="8204" max="8204" width="12.08984375" style="885" customWidth="1"/>
    <col min="8205" max="8451" width="9.08984375" style="885"/>
    <col min="8452" max="8452" width="4.6328125" style="885" customWidth="1"/>
    <col min="8453" max="8453" width="11.08984375" style="885" customWidth="1"/>
    <col min="8454" max="8454" width="23.453125" style="885" customWidth="1"/>
    <col min="8455" max="8455" width="16.6328125" style="885" customWidth="1"/>
    <col min="8456" max="8456" width="16.08984375" style="885" customWidth="1"/>
    <col min="8457" max="8457" width="15.08984375" style="885" customWidth="1"/>
    <col min="8458" max="8458" width="20" style="885" customWidth="1"/>
    <col min="8459" max="8459" width="16.6328125" style="885" customWidth="1"/>
    <col min="8460" max="8460" width="12.08984375" style="885" customWidth="1"/>
    <col min="8461" max="8707" width="9.08984375" style="885"/>
    <col min="8708" max="8708" width="4.6328125" style="885" customWidth="1"/>
    <col min="8709" max="8709" width="11.08984375" style="885" customWidth="1"/>
    <col min="8710" max="8710" width="23.453125" style="885" customWidth="1"/>
    <col min="8711" max="8711" width="16.6328125" style="885" customWidth="1"/>
    <col min="8712" max="8712" width="16.08984375" style="885" customWidth="1"/>
    <col min="8713" max="8713" width="15.08984375" style="885" customWidth="1"/>
    <col min="8714" max="8714" width="20" style="885" customWidth="1"/>
    <col min="8715" max="8715" width="16.6328125" style="885" customWidth="1"/>
    <col min="8716" max="8716" width="12.08984375" style="885" customWidth="1"/>
    <col min="8717" max="8963" width="9.08984375" style="885"/>
    <col min="8964" max="8964" width="4.6328125" style="885" customWidth="1"/>
    <col min="8965" max="8965" width="11.08984375" style="885" customWidth="1"/>
    <col min="8966" max="8966" width="23.453125" style="885" customWidth="1"/>
    <col min="8967" max="8967" width="16.6328125" style="885" customWidth="1"/>
    <col min="8968" max="8968" width="16.08984375" style="885" customWidth="1"/>
    <col min="8969" max="8969" width="15.08984375" style="885" customWidth="1"/>
    <col min="8970" max="8970" width="20" style="885" customWidth="1"/>
    <col min="8971" max="8971" width="16.6328125" style="885" customWidth="1"/>
    <col min="8972" max="8972" width="12.08984375" style="885" customWidth="1"/>
    <col min="8973" max="9219" width="9.08984375" style="885"/>
    <col min="9220" max="9220" width="4.6328125" style="885" customWidth="1"/>
    <col min="9221" max="9221" width="11.08984375" style="885" customWidth="1"/>
    <col min="9222" max="9222" width="23.453125" style="885" customWidth="1"/>
    <col min="9223" max="9223" width="16.6328125" style="885" customWidth="1"/>
    <col min="9224" max="9224" width="16.08984375" style="885" customWidth="1"/>
    <col min="9225" max="9225" width="15.08984375" style="885" customWidth="1"/>
    <col min="9226" max="9226" width="20" style="885" customWidth="1"/>
    <col min="9227" max="9227" width="16.6328125" style="885" customWidth="1"/>
    <col min="9228" max="9228" width="12.08984375" style="885" customWidth="1"/>
    <col min="9229" max="9475" width="9.08984375" style="885"/>
    <col min="9476" max="9476" width="4.6328125" style="885" customWidth="1"/>
    <col min="9477" max="9477" width="11.08984375" style="885" customWidth="1"/>
    <col min="9478" max="9478" width="23.453125" style="885" customWidth="1"/>
    <col min="9479" max="9479" width="16.6328125" style="885" customWidth="1"/>
    <col min="9480" max="9480" width="16.08984375" style="885" customWidth="1"/>
    <col min="9481" max="9481" width="15.08984375" style="885" customWidth="1"/>
    <col min="9482" max="9482" width="20" style="885" customWidth="1"/>
    <col min="9483" max="9483" width="16.6328125" style="885" customWidth="1"/>
    <col min="9484" max="9484" width="12.08984375" style="885" customWidth="1"/>
    <col min="9485" max="9731" width="9.08984375" style="885"/>
    <col min="9732" max="9732" width="4.6328125" style="885" customWidth="1"/>
    <col min="9733" max="9733" width="11.08984375" style="885" customWidth="1"/>
    <col min="9734" max="9734" width="23.453125" style="885" customWidth="1"/>
    <col min="9735" max="9735" width="16.6328125" style="885" customWidth="1"/>
    <col min="9736" max="9736" width="16.08984375" style="885" customWidth="1"/>
    <col min="9737" max="9737" width="15.08984375" style="885" customWidth="1"/>
    <col min="9738" max="9738" width="20" style="885" customWidth="1"/>
    <col min="9739" max="9739" width="16.6328125" style="885" customWidth="1"/>
    <col min="9740" max="9740" width="12.08984375" style="885" customWidth="1"/>
    <col min="9741" max="9987" width="9.08984375" style="885"/>
    <col min="9988" max="9988" width="4.6328125" style="885" customWidth="1"/>
    <col min="9989" max="9989" width="11.08984375" style="885" customWidth="1"/>
    <col min="9990" max="9990" width="23.453125" style="885" customWidth="1"/>
    <col min="9991" max="9991" width="16.6328125" style="885" customWidth="1"/>
    <col min="9992" max="9992" width="16.08984375" style="885" customWidth="1"/>
    <col min="9993" max="9993" width="15.08984375" style="885" customWidth="1"/>
    <col min="9994" max="9994" width="20" style="885" customWidth="1"/>
    <col min="9995" max="9995" width="16.6328125" style="885" customWidth="1"/>
    <col min="9996" max="9996" width="12.08984375" style="885" customWidth="1"/>
    <col min="9997" max="10243" width="9.08984375" style="885"/>
    <col min="10244" max="10244" width="4.6328125" style="885" customWidth="1"/>
    <col min="10245" max="10245" width="11.08984375" style="885" customWidth="1"/>
    <col min="10246" max="10246" width="23.453125" style="885" customWidth="1"/>
    <col min="10247" max="10247" width="16.6328125" style="885" customWidth="1"/>
    <col min="10248" max="10248" width="16.08984375" style="885" customWidth="1"/>
    <col min="10249" max="10249" width="15.08984375" style="885" customWidth="1"/>
    <col min="10250" max="10250" width="20" style="885" customWidth="1"/>
    <col min="10251" max="10251" width="16.6328125" style="885" customWidth="1"/>
    <col min="10252" max="10252" width="12.08984375" style="885" customWidth="1"/>
    <col min="10253" max="10499" width="9.08984375" style="885"/>
    <col min="10500" max="10500" width="4.6328125" style="885" customWidth="1"/>
    <col min="10501" max="10501" width="11.08984375" style="885" customWidth="1"/>
    <col min="10502" max="10502" width="23.453125" style="885" customWidth="1"/>
    <col min="10503" max="10503" width="16.6328125" style="885" customWidth="1"/>
    <col min="10504" max="10504" width="16.08984375" style="885" customWidth="1"/>
    <col min="10505" max="10505" width="15.08984375" style="885" customWidth="1"/>
    <col min="10506" max="10506" width="20" style="885" customWidth="1"/>
    <col min="10507" max="10507" width="16.6328125" style="885" customWidth="1"/>
    <col min="10508" max="10508" width="12.08984375" style="885" customWidth="1"/>
    <col min="10509" max="10755" width="9.08984375" style="885"/>
    <col min="10756" max="10756" width="4.6328125" style="885" customWidth="1"/>
    <col min="10757" max="10757" width="11.08984375" style="885" customWidth="1"/>
    <col min="10758" max="10758" width="23.453125" style="885" customWidth="1"/>
    <col min="10759" max="10759" width="16.6328125" style="885" customWidth="1"/>
    <col min="10760" max="10760" width="16.08984375" style="885" customWidth="1"/>
    <col min="10761" max="10761" width="15.08984375" style="885" customWidth="1"/>
    <col min="10762" max="10762" width="20" style="885" customWidth="1"/>
    <col min="10763" max="10763" width="16.6328125" style="885" customWidth="1"/>
    <col min="10764" max="10764" width="12.08984375" style="885" customWidth="1"/>
    <col min="10765" max="11011" width="9.08984375" style="885"/>
    <col min="11012" max="11012" width="4.6328125" style="885" customWidth="1"/>
    <col min="11013" max="11013" width="11.08984375" style="885" customWidth="1"/>
    <col min="11014" max="11014" width="23.453125" style="885" customWidth="1"/>
    <col min="11015" max="11015" width="16.6328125" style="885" customWidth="1"/>
    <col min="11016" max="11016" width="16.08984375" style="885" customWidth="1"/>
    <col min="11017" max="11017" width="15.08984375" style="885" customWidth="1"/>
    <col min="11018" max="11018" width="20" style="885" customWidth="1"/>
    <col min="11019" max="11019" width="16.6328125" style="885" customWidth="1"/>
    <col min="11020" max="11020" width="12.08984375" style="885" customWidth="1"/>
    <col min="11021" max="11267" width="9.08984375" style="885"/>
    <col min="11268" max="11268" width="4.6328125" style="885" customWidth="1"/>
    <col min="11269" max="11269" width="11.08984375" style="885" customWidth="1"/>
    <col min="11270" max="11270" width="23.453125" style="885" customWidth="1"/>
    <col min="11271" max="11271" width="16.6328125" style="885" customWidth="1"/>
    <col min="11272" max="11272" width="16.08984375" style="885" customWidth="1"/>
    <col min="11273" max="11273" width="15.08984375" style="885" customWidth="1"/>
    <col min="11274" max="11274" width="20" style="885" customWidth="1"/>
    <col min="11275" max="11275" width="16.6328125" style="885" customWidth="1"/>
    <col min="11276" max="11276" width="12.08984375" style="885" customWidth="1"/>
    <col min="11277" max="11523" width="9.08984375" style="885"/>
    <col min="11524" max="11524" width="4.6328125" style="885" customWidth="1"/>
    <col min="11525" max="11525" width="11.08984375" style="885" customWidth="1"/>
    <col min="11526" max="11526" width="23.453125" style="885" customWidth="1"/>
    <col min="11527" max="11527" width="16.6328125" style="885" customWidth="1"/>
    <col min="11528" max="11528" width="16.08984375" style="885" customWidth="1"/>
    <col min="11529" max="11529" width="15.08984375" style="885" customWidth="1"/>
    <col min="11530" max="11530" width="20" style="885" customWidth="1"/>
    <col min="11531" max="11531" width="16.6328125" style="885" customWidth="1"/>
    <col min="11532" max="11532" width="12.08984375" style="885" customWidth="1"/>
    <col min="11533" max="11779" width="9.08984375" style="885"/>
    <col min="11780" max="11780" width="4.6328125" style="885" customWidth="1"/>
    <col min="11781" max="11781" width="11.08984375" style="885" customWidth="1"/>
    <col min="11782" max="11782" width="23.453125" style="885" customWidth="1"/>
    <col min="11783" max="11783" width="16.6328125" style="885" customWidth="1"/>
    <col min="11784" max="11784" width="16.08984375" style="885" customWidth="1"/>
    <col min="11785" max="11785" width="15.08984375" style="885" customWidth="1"/>
    <col min="11786" max="11786" width="20" style="885" customWidth="1"/>
    <col min="11787" max="11787" width="16.6328125" style="885" customWidth="1"/>
    <col min="11788" max="11788" width="12.08984375" style="885" customWidth="1"/>
    <col min="11789" max="12035" width="9.08984375" style="885"/>
    <col min="12036" max="12036" width="4.6328125" style="885" customWidth="1"/>
    <col min="12037" max="12037" width="11.08984375" style="885" customWidth="1"/>
    <col min="12038" max="12038" width="23.453125" style="885" customWidth="1"/>
    <col min="12039" max="12039" width="16.6328125" style="885" customWidth="1"/>
    <col min="12040" max="12040" width="16.08984375" style="885" customWidth="1"/>
    <col min="12041" max="12041" width="15.08984375" style="885" customWidth="1"/>
    <col min="12042" max="12042" width="20" style="885" customWidth="1"/>
    <col min="12043" max="12043" width="16.6328125" style="885" customWidth="1"/>
    <col min="12044" max="12044" width="12.08984375" style="885" customWidth="1"/>
    <col min="12045" max="12291" width="9.08984375" style="885"/>
    <col min="12292" max="12292" width="4.6328125" style="885" customWidth="1"/>
    <col min="12293" max="12293" width="11.08984375" style="885" customWidth="1"/>
    <col min="12294" max="12294" width="23.453125" style="885" customWidth="1"/>
    <col min="12295" max="12295" width="16.6328125" style="885" customWidth="1"/>
    <col min="12296" max="12296" width="16.08984375" style="885" customWidth="1"/>
    <col min="12297" max="12297" width="15.08984375" style="885" customWidth="1"/>
    <col min="12298" max="12298" width="20" style="885" customWidth="1"/>
    <col min="12299" max="12299" width="16.6328125" style="885" customWidth="1"/>
    <col min="12300" max="12300" width="12.08984375" style="885" customWidth="1"/>
    <col min="12301" max="12547" width="9.08984375" style="885"/>
    <col min="12548" max="12548" width="4.6328125" style="885" customWidth="1"/>
    <col min="12549" max="12549" width="11.08984375" style="885" customWidth="1"/>
    <col min="12550" max="12550" width="23.453125" style="885" customWidth="1"/>
    <col min="12551" max="12551" width="16.6328125" style="885" customWidth="1"/>
    <col min="12552" max="12552" width="16.08984375" style="885" customWidth="1"/>
    <col min="12553" max="12553" width="15.08984375" style="885" customWidth="1"/>
    <col min="12554" max="12554" width="20" style="885" customWidth="1"/>
    <col min="12555" max="12555" width="16.6328125" style="885" customWidth="1"/>
    <col min="12556" max="12556" width="12.08984375" style="885" customWidth="1"/>
    <col min="12557" max="12803" width="9.08984375" style="885"/>
    <col min="12804" max="12804" width="4.6328125" style="885" customWidth="1"/>
    <col min="12805" max="12805" width="11.08984375" style="885" customWidth="1"/>
    <col min="12806" max="12806" width="23.453125" style="885" customWidth="1"/>
    <col min="12807" max="12807" width="16.6328125" style="885" customWidth="1"/>
    <col min="12808" max="12808" width="16.08984375" style="885" customWidth="1"/>
    <col min="12809" max="12809" width="15.08984375" style="885" customWidth="1"/>
    <col min="12810" max="12810" width="20" style="885" customWidth="1"/>
    <col min="12811" max="12811" width="16.6328125" style="885" customWidth="1"/>
    <col min="12812" max="12812" width="12.08984375" style="885" customWidth="1"/>
    <col min="12813" max="13059" width="9.08984375" style="885"/>
    <col min="13060" max="13060" width="4.6328125" style="885" customWidth="1"/>
    <col min="13061" max="13061" width="11.08984375" style="885" customWidth="1"/>
    <col min="13062" max="13062" width="23.453125" style="885" customWidth="1"/>
    <col min="13063" max="13063" width="16.6328125" style="885" customWidth="1"/>
    <col min="13064" max="13064" width="16.08984375" style="885" customWidth="1"/>
    <col min="13065" max="13065" width="15.08984375" style="885" customWidth="1"/>
    <col min="13066" max="13066" width="20" style="885" customWidth="1"/>
    <col min="13067" max="13067" width="16.6328125" style="885" customWidth="1"/>
    <col min="13068" max="13068" width="12.08984375" style="885" customWidth="1"/>
    <col min="13069" max="13315" width="9.08984375" style="885"/>
    <col min="13316" max="13316" width="4.6328125" style="885" customWidth="1"/>
    <col min="13317" max="13317" width="11.08984375" style="885" customWidth="1"/>
    <col min="13318" max="13318" width="23.453125" style="885" customWidth="1"/>
    <col min="13319" max="13319" width="16.6328125" style="885" customWidth="1"/>
    <col min="13320" max="13320" width="16.08984375" style="885" customWidth="1"/>
    <col min="13321" max="13321" width="15.08984375" style="885" customWidth="1"/>
    <col min="13322" max="13322" width="20" style="885" customWidth="1"/>
    <col min="13323" max="13323" width="16.6328125" style="885" customWidth="1"/>
    <col min="13324" max="13324" width="12.08984375" style="885" customWidth="1"/>
    <col min="13325" max="13571" width="9.08984375" style="885"/>
    <col min="13572" max="13572" width="4.6328125" style="885" customWidth="1"/>
    <col min="13573" max="13573" width="11.08984375" style="885" customWidth="1"/>
    <col min="13574" max="13574" width="23.453125" style="885" customWidth="1"/>
    <col min="13575" max="13575" width="16.6328125" style="885" customWidth="1"/>
    <col min="13576" max="13576" width="16.08984375" style="885" customWidth="1"/>
    <col min="13577" max="13577" width="15.08984375" style="885" customWidth="1"/>
    <col min="13578" max="13578" width="20" style="885" customWidth="1"/>
    <col min="13579" max="13579" width="16.6328125" style="885" customWidth="1"/>
    <col min="13580" max="13580" width="12.08984375" style="885" customWidth="1"/>
    <col min="13581" max="13827" width="9.08984375" style="885"/>
    <col min="13828" max="13828" width="4.6328125" style="885" customWidth="1"/>
    <col min="13829" max="13829" width="11.08984375" style="885" customWidth="1"/>
    <col min="13830" max="13830" width="23.453125" style="885" customWidth="1"/>
    <col min="13831" max="13831" width="16.6328125" style="885" customWidth="1"/>
    <col min="13832" max="13832" width="16.08984375" style="885" customWidth="1"/>
    <col min="13833" max="13833" width="15.08984375" style="885" customWidth="1"/>
    <col min="13834" max="13834" width="20" style="885" customWidth="1"/>
    <col min="13835" max="13835" width="16.6328125" style="885" customWidth="1"/>
    <col min="13836" max="13836" width="12.08984375" style="885" customWidth="1"/>
    <col min="13837" max="14083" width="9.08984375" style="885"/>
    <col min="14084" max="14084" width="4.6328125" style="885" customWidth="1"/>
    <col min="14085" max="14085" width="11.08984375" style="885" customWidth="1"/>
    <col min="14086" max="14086" width="23.453125" style="885" customWidth="1"/>
    <col min="14087" max="14087" width="16.6328125" style="885" customWidth="1"/>
    <col min="14088" max="14088" width="16.08984375" style="885" customWidth="1"/>
    <col min="14089" max="14089" width="15.08984375" style="885" customWidth="1"/>
    <col min="14090" max="14090" width="20" style="885" customWidth="1"/>
    <col min="14091" max="14091" width="16.6328125" style="885" customWidth="1"/>
    <col min="14092" max="14092" width="12.08984375" style="885" customWidth="1"/>
    <col min="14093" max="14339" width="9.08984375" style="885"/>
    <col min="14340" max="14340" width="4.6328125" style="885" customWidth="1"/>
    <col min="14341" max="14341" width="11.08984375" style="885" customWidth="1"/>
    <col min="14342" max="14342" width="23.453125" style="885" customWidth="1"/>
    <col min="14343" max="14343" width="16.6328125" style="885" customWidth="1"/>
    <col min="14344" max="14344" width="16.08984375" style="885" customWidth="1"/>
    <col min="14345" max="14345" width="15.08984375" style="885" customWidth="1"/>
    <col min="14346" max="14346" width="20" style="885" customWidth="1"/>
    <col min="14347" max="14347" width="16.6328125" style="885" customWidth="1"/>
    <col min="14348" max="14348" width="12.08984375" style="885" customWidth="1"/>
    <col min="14349" max="14595" width="9.08984375" style="885"/>
    <col min="14596" max="14596" width="4.6328125" style="885" customWidth="1"/>
    <col min="14597" max="14597" width="11.08984375" style="885" customWidth="1"/>
    <col min="14598" max="14598" width="23.453125" style="885" customWidth="1"/>
    <col min="14599" max="14599" width="16.6328125" style="885" customWidth="1"/>
    <col min="14600" max="14600" width="16.08984375" style="885" customWidth="1"/>
    <col min="14601" max="14601" width="15.08984375" style="885" customWidth="1"/>
    <col min="14602" max="14602" width="20" style="885" customWidth="1"/>
    <col min="14603" max="14603" width="16.6328125" style="885" customWidth="1"/>
    <col min="14604" max="14604" width="12.08984375" style="885" customWidth="1"/>
    <col min="14605" max="14851" width="9.08984375" style="885"/>
    <col min="14852" max="14852" width="4.6328125" style="885" customWidth="1"/>
    <col min="14853" max="14853" width="11.08984375" style="885" customWidth="1"/>
    <col min="14854" max="14854" width="23.453125" style="885" customWidth="1"/>
    <col min="14855" max="14855" width="16.6328125" style="885" customWidth="1"/>
    <col min="14856" max="14856" width="16.08984375" style="885" customWidth="1"/>
    <col min="14857" max="14857" width="15.08984375" style="885" customWidth="1"/>
    <col min="14858" max="14858" width="20" style="885" customWidth="1"/>
    <col min="14859" max="14859" width="16.6328125" style="885" customWidth="1"/>
    <col min="14860" max="14860" width="12.08984375" style="885" customWidth="1"/>
    <col min="14861" max="15107" width="9.08984375" style="885"/>
    <col min="15108" max="15108" width="4.6328125" style="885" customWidth="1"/>
    <col min="15109" max="15109" width="11.08984375" style="885" customWidth="1"/>
    <col min="15110" max="15110" width="23.453125" style="885" customWidth="1"/>
    <col min="15111" max="15111" width="16.6328125" style="885" customWidth="1"/>
    <col min="15112" max="15112" width="16.08984375" style="885" customWidth="1"/>
    <col min="15113" max="15113" width="15.08984375" style="885" customWidth="1"/>
    <col min="15114" max="15114" width="20" style="885" customWidth="1"/>
    <col min="15115" max="15115" width="16.6328125" style="885" customWidth="1"/>
    <col min="15116" max="15116" width="12.08984375" style="885" customWidth="1"/>
    <col min="15117" max="15363" width="9.08984375" style="885"/>
    <col min="15364" max="15364" width="4.6328125" style="885" customWidth="1"/>
    <col min="15365" max="15365" width="11.08984375" style="885" customWidth="1"/>
    <col min="15366" max="15366" width="23.453125" style="885" customWidth="1"/>
    <col min="15367" max="15367" width="16.6328125" style="885" customWidth="1"/>
    <col min="15368" max="15368" width="16.08984375" style="885" customWidth="1"/>
    <col min="15369" max="15369" width="15.08984375" style="885" customWidth="1"/>
    <col min="15370" max="15370" width="20" style="885" customWidth="1"/>
    <col min="15371" max="15371" width="16.6328125" style="885" customWidth="1"/>
    <col min="15372" max="15372" width="12.08984375" style="885" customWidth="1"/>
    <col min="15373" max="15619" width="9.08984375" style="885"/>
    <col min="15620" max="15620" width="4.6328125" style="885" customWidth="1"/>
    <col min="15621" max="15621" width="11.08984375" style="885" customWidth="1"/>
    <col min="15622" max="15622" width="23.453125" style="885" customWidth="1"/>
    <col min="15623" max="15623" width="16.6328125" style="885" customWidth="1"/>
    <col min="15624" max="15624" width="16.08984375" style="885" customWidth="1"/>
    <col min="15625" max="15625" width="15.08984375" style="885" customWidth="1"/>
    <col min="15626" max="15626" width="20" style="885" customWidth="1"/>
    <col min="15627" max="15627" width="16.6328125" style="885" customWidth="1"/>
    <col min="15628" max="15628" width="12.08984375" style="885" customWidth="1"/>
    <col min="15629" max="15875" width="9.08984375" style="885"/>
    <col min="15876" max="15876" width="4.6328125" style="885" customWidth="1"/>
    <col min="15877" max="15877" width="11.08984375" style="885" customWidth="1"/>
    <col min="15878" max="15878" width="23.453125" style="885" customWidth="1"/>
    <col min="15879" max="15879" width="16.6328125" style="885" customWidth="1"/>
    <col min="15880" max="15880" width="16.08984375" style="885" customWidth="1"/>
    <col min="15881" max="15881" width="15.08984375" style="885" customWidth="1"/>
    <col min="15882" max="15882" width="20" style="885" customWidth="1"/>
    <col min="15883" max="15883" width="16.6328125" style="885" customWidth="1"/>
    <col min="15884" max="15884" width="12.08984375" style="885" customWidth="1"/>
    <col min="15885" max="16131" width="9.08984375" style="885"/>
    <col min="16132" max="16132" width="4.6328125" style="885" customWidth="1"/>
    <col min="16133" max="16133" width="11.08984375" style="885" customWidth="1"/>
    <col min="16134" max="16134" width="23.453125" style="885" customWidth="1"/>
    <col min="16135" max="16135" width="16.6328125" style="885" customWidth="1"/>
    <col min="16136" max="16136" width="16.08984375" style="885" customWidth="1"/>
    <col min="16137" max="16137" width="15.08984375" style="885" customWidth="1"/>
    <col min="16138" max="16138" width="20" style="885" customWidth="1"/>
    <col min="16139" max="16139" width="16.6328125" style="885" customWidth="1"/>
    <col min="16140" max="16140" width="12.08984375" style="885" customWidth="1"/>
    <col min="16141" max="16384" width="9.08984375" style="885"/>
  </cols>
  <sheetData>
    <row r="1" spans="2:14" x14ac:dyDescent="0.3">
      <c r="B1" s="884"/>
      <c r="C1" s="884"/>
      <c r="E1" s="885"/>
      <c r="F1" s="885"/>
      <c r="G1" s="885"/>
      <c r="H1" s="885"/>
      <c r="I1" s="885"/>
      <c r="J1" s="885"/>
      <c r="K1" s="885"/>
      <c r="L1" s="885"/>
    </row>
    <row r="2" spans="2:14" x14ac:dyDescent="0.3">
      <c r="B2" s="22"/>
      <c r="C2" s="22"/>
      <c r="D2" s="22"/>
      <c r="E2" s="22" t="str">
        <f>Index!B2</f>
        <v xml:space="preserve">      Maharashtra State Power Generation Company Ltd.</v>
      </c>
      <c r="F2" s="1077"/>
      <c r="G2" s="22"/>
      <c r="H2" s="22"/>
      <c r="I2" s="22"/>
      <c r="J2" s="22"/>
      <c r="K2" s="22"/>
      <c r="L2" s="22"/>
    </row>
    <row r="3" spans="2:14" x14ac:dyDescent="0.3">
      <c r="C3" s="961"/>
      <c r="D3" s="961"/>
      <c r="E3" s="961"/>
      <c r="F3" s="863" t="s">
        <v>1087</v>
      </c>
      <c r="G3" s="961"/>
      <c r="H3" s="961"/>
      <c r="I3" s="961"/>
      <c r="J3" s="961"/>
      <c r="K3" s="961"/>
      <c r="L3" s="961"/>
    </row>
    <row r="4" spans="2:14" x14ac:dyDescent="0.3">
      <c r="B4" s="22"/>
      <c r="C4" s="22"/>
      <c r="D4" s="22"/>
      <c r="E4" s="22"/>
      <c r="F4" s="962" t="s">
        <v>1387</v>
      </c>
      <c r="G4" s="22"/>
      <c r="H4" s="22"/>
      <c r="I4" s="22"/>
      <c r="J4" s="22"/>
      <c r="K4" s="22"/>
      <c r="L4" s="22"/>
    </row>
    <row r="5" spans="2:14" x14ac:dyDescent="0.3">
      <c r="E5" s="885"/>
      <c r="F5" s="885"/>
      <c r="G5" s="885"/>
      <c r="H5" s="885"/>
      <c r="I5" s="885"/>
      <c r="J5" s="885"/>
      <c r="K5" s="885"/>
      <c r="L5" s="885"/>
    </row>
    <row r="6" spans="2:14" x14ac:dyDescent="0.3">
      <c r="E6" s="885"/>
      <c r="F6" s="885"/>
      <c r="G6" s="885"/>
      <c r="H6" s="885"/>
      <c r="I6" s="885"/>
      <c r="J6" s="885"/>
      <c r="K6" s="885"/>
      <c r="L6" s="885"/>
    </row>
    <row r="7" spans="2:14" s="892" customFormat="1" x14ac:dyDescent="0.3">
      <c r="B7" s="1991" t="s">
        <v>339</v>
      </c>
      <c r="C7" s="1991" t="s">
        <v>412</v>
      </c>
      <c r="D7" s="1991" t="s">
        <v>1388</v>
      </c>
      <c r="E7" s="2001" t="s">
        <v>968</v>
      </c>
      <c r="F7" s="2002"/>
      <c r="G7" s="2001" t="s">
        <v>969</v>
      </c>
      <c r="H7" s="2002"/>
      <c r="I7" s="2001" t="s">
        <v>970</v>
      </c>
      <c r="J7" s="2002"/>
      <c r="K7" s="2001" t="s">
        <v>971</v>
      </c>
      <c r="L7" s="2002"/>
      <c r="M7" s="2001" t="s">
        <v>972</v>
      </c>
      <c r="N7" s="2002"/>
    </row>
    <row r="8" spans="2:14" ht="42" x14ac:dyDescent="0.3">
      <c r="B8" s="1993"/>
      <c r="C8" s="1993"/>
      <c r="D8" s="1993"/>
      <c r="E8" s="963" t="s">
        <v>1389</v>
      </c>
      <c r="F8" s="963" t="s">
        <v>1390</v>
      </c>
      <c r="G8" s="963" t="s">
        <v>1389</v>
      </c>
      <c r="H8" s="963" t="s">
        <v>1390</v>
      </c>
      <c r="I8" s="963" t="s">
        <v>1389</v>
      </c>
      <c r="J8" s="963" t="s">
        <v>1390</v>
      </c>
      <c r="K8" s="963" t="s">
        <v>1389</v>
      </c>
      <c r="L8" s="963" t="s">
        <v>1390</v>
      </c>
      <c r="M8" s="963" t="s">
        <v>1389</v>
      </c>
      <c r="N8" s="963" t="s">
        <v>1390</v>
      </c>
    </row>
    <row r="9" spans="2:14" x14ac:dyDescent="0.3">
      <c r="B9" s="964"/>
      <c r="C9" s="964"/>
      <c r="D9" s="965"/>
      <c r="E9" s="965"/>
      <c r="F9" s="965"/>
      <c r="G9" s="965"/>
      <c r="H9" s="965"/>
      <c r="I9" s="965"/>
      <c r="J9" s="965"/>
      <c r="K9" s="965"/>
      <c r="L9" s="965"/>
      <c r="M9" s="965"/>
      <c r="N9" s="965"/>
    </row>
    <row r="10" spans="2:14" x14ac:dyDescent="0.3">
      <c r="B10" s="966" t="s">
        <v>1391</v>
      </c>
      <c r="C10" s="967" t="s">
        <v>1392</v>
      </c>
      <c r="D10" s="965"/>
      <c r="E10" s="965"/>
      <c r="F10" s="965"/>
      <c r="G10" s="965"/>
      <c r="H10" s="965"/>
      <c r="I10" s="965"/>
      <c r="J10" s="965"/>
      <c r="K10" s="965"/>
      <c r="L10" s="965"/>
      <c r="M10" s="965"/>
      <c r="N10" s="965"/>
    </row>
    <row r="11" spans="2:14" x14ac:dyDescent="0.3">
      <c r="B11" s="968"/>
      <c r="C11" s="969"/>
      <c r="D11" s="965"/>
      <c r="E11" s="965"/>
      <c r="F11" s="965"/>
      <c r="G11" s="965"/>
      <c r="H11" s="965"/>
      <c r="I11" s="965"/>
      <c r="J11" s="965"/>
      <c r="K11" s="965"/>
      <c r="L11" s="965"/>
      <c r="M11" s="965"/>
      <c r="N11" s="965"/>
    </row>
    <row r="12" spans="2:14" x14ac:dyDescent="0.3">
      <c r="B12" s="968"/>
      <c r="C12" s="969"/>
      <c r="D12" s="965"/>
      <c r="E12" s="965"/>
      <c r="F12" s="965"/>
      <c r="G12" s="965"/>
      <c r="H12" s="965"/>
      <c r="I12" s="965"/>
      <c r="J12" s="965"/>
      <c r="K12" s="965"/>
      <c r="L12" s="965"/>
      <c r="M12" s="965"/>
      <c r="N12" s="965"/>
    </row>
    <row r="13" spans="2:14" x14ac:dyDescent="0.3">
      <c r="B13" s="968"/>
      <c r="C13" s="969"/>
      <c r="D13" s="965"/>
      <c r="E13" s="965"/>
      <c r="F13" s="965"/>
      <c r="G13" s="965"/>
      <c r="H13" s="965"/>
      <c r="I13" s="965"/>
      <c r="J13" s="965"/>
      <c r="K13" s="965"/>
      <c r="L13" s="965"/>
      <c r="M13" s="965"/>
      <c r="N13" s="965"/>
    </row>
    <row r="14" spans="2:14" x14ac:dyDescent="0.3">
      <c r="B14" s="968" t="s">
        <v>184</v>
      </c>
      <c r="C14" s="969" t="s">
        <v>1393</v>
      </c>
      <c r="D14" s="965"/>
      <c r="E14" s="965"/>
      <c r="F14" s="965"/>
      <c r="G14" s="965"/>
      <c r="H14" s="965"/>
      <c r="I14" s="965"/>
      <c r="J14" s="965"/>
      <c r="K14" s="965"/>
      <c r="L14" s="965"/>
      <c r="M14" s="965"/>
      <c r="N14" s="965"/>
    </row>
    <row r="15" spans="2:14" x14ac:dyDescent="0.3">
      <c r="B15" s="968"/>
      <c r="C15" s="969"/>
      <c r="D15" s="965"/>
      <c r="E15" s="965"/>
      <c r="F15" s="965"/>
      <c r="G15" s="965"/>
      <c r="H15" s="965"/>
      <c r="I15" s="965"/>
      <c r="J15" s="965"/>
      <c r="K15" s="965"/>
      <c r="L15" s="965"/>
      <c r="M15" s="965"/>
      <c r="N15" s="965"/>
    </row>
    <row r="16" spans="2:14" x14ac:dyDescent="0.3">
      <c r="B16" s="968"/>
      <c r="C16" s="969"/>
      <c r="D16" s="965"/>
      <c r="E16" s="965"/>
      <c r="F16" s="965"/>
      <c r="G16" s="965"/>
      <c r="H16" s="965"/>
      <c r="I16" s="965"/>
      <c r="J16" s="965"/>
      <c r="K16" s="965"/>
      <c r="L16" s="965"/>
      <c r="M16" s="965"/>
      <c r="N16" s="965"/>
    </row>
    <row r="17" spans="2:14" s="900" customFormat="1" ht="14.5" thickBot="1" x14ac:dyDescent="0.35">
      <c r="B17" s="970"/>
      <c r="C17" s="971" t="s">
        <v>270</v>
      </c>
      <c r="D17" s="965"/>
      <c r="E17" s="965"/>
      <c r="F17" s="965"/>
      <c r="G17" s="965"/>
      <c r="H17" s="965"/>
      <c r="I17" s="965"/>
      <c r="J17" s="965"/>
      <c r="K17" s="965"/>
      <c r="L17" s="965"/>
      <c r="M17" s="965"/>
      <c r="N17" s="965"/>
    </row>
    <row r="19" spans="2:14" x14ac:dyDescent="0.3">
      <c r="C19" s="885" t="s">
        <v>1394</v>
      </c>
    </row>
    <row r="20" spans="2:14" x14ac:dyDescent="0.3">
      <c r="C20" s="885" t="s">
        <v>1395</v>
      </c>
    </row>
    <row r="21" spans="2:14" x14ac:dyDescent="0.3">
      <c r="C21" s="885" t="s">
        <v>1396</v>
      </c>
    </row>
    <row r="29" spans="2:14" ht="29.4" customHeight="1" x14ac:dyDescent="0.3">
      <c r="C29" s="890"/>
    </row>
  </sheetData>
  <mergeCells count="8">
    <mergeCell ref="K7:L7"/>
    <mergeCell ref="M7:N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E3" sqref="E3"/>
    </sheetView>
  </sheetViews>
  <sheetFormatPr defaultColWidth="9.08984375" defaultRowHeight="14" x14ac:dyDescent="0.3"/>
  <cols>
    <col min="1" max="1" width="9.08984375" style="861"/>
    <col min="2" max="2" width="39" style="861" customWidth="1"/>
    <col min="3" max="3" width="19.08984375" style="861" customWidth="1"/>
    <col min="4" max="7" width="15.6328125" style="861" customWidth="1"/>
    <col min="8" max="259" width="9.08984375" style="861"/>
    <col min="260" max="260" width="82.6328125" style="861" bestFit="1" customWidth="1"/>
    <col min="261" max="263" width="28.6328125" style="861" customWidth="1"/>
    <col min="264" max="515" width="9.08984375" style="861"/>
    <col min="516" max="516" width="82.6328125" style="861" bestFit="1" customWidth="1"/>
    <col min="517" max="519" width="28.6328125" style="861" customWidth="1"/>
    <col min="520" max="771" width="9.08984375" style="861"/>
    <col min="772" max="772" width="82.6328125" style="861" bestFit="1" customWidth="1"/>
    <col min="773" max="775" width="28.6328125" style="861" customWidth="1"/>
    <col min="776" max="1027" width="9.08984375" style="861"/>
    <col min="1028" max="1028" width="82.6328125" style="861" bestFit="1" customWidth="1"/>
    <col min="1029" max="1031" width="28.6328125" style="861" customWidth="1"/>
    <col min="1032" max="1283" width="9.08984375" style="861"/>
    <col min="1284" max="1284" width="82.6328125" style="861" bestFit="1" customWidth="1"/>
    <col min="1285" max="1287" width="28.6328125" style="861" customWidth="1"/>
    <col min="1288" max="1539" width="9.08984375" style="861"/>
    <col min="1540" max="1540" width="82.6328125" style="861" bestFit="1" customWidth="1"/>
    <col min="1541" max="1543" width="28.6328125" style="861" customWidth="1"/>
    <col min="1544" max="1795" width="9.08984375" style="861"/>
    <col min="1796" max="1796" width="82.6328125" style="861" bestFit="1" customWidth="1"/>
    <col min="1797" max="1799" width="28.6328125" style="861" customWidth="1"/>
    <col min="1800" max="2051" width="9.08984375" style="861"/>
    <col min="2052" max="2052" width="82.6328125" style="861" bestFit="1" customWidth="1"/>
    <col min="2053" max="2055" width="28.6328125" style="861" customWidth="1"/>
    <col min="2056" max="2307" width="9.08984375" style="861"/>
    <col min="2308" max="2308" width="82.6328125" style="861" bestFit="1" customWidth="1"/>
    <col min="2309" max="2311" width="28.6328125" style="861" customWidth="1"/>
    <col min="2312" max="2563" width="9.08984375" style="861"/>
    <col min="2564" max="2564" width="82.6328125" style="861" bestFit="1" customWidth="1"/>
    <col min="2565" max="2567" width="28.6328125" style="861" customWidth="1"/>
    <col min="2568" max="2819" width="9.08984375" style="861"/>
    <col min="2820" max="2820" width="82.6328125" style="861" bestFit="1" customWidth="1"/>
    <col min="2821" max="2823" width="28.6328125" style="861" customWidth="1"/>
    <col min="2824" max="3075" width="9.08984375" style="861"/>
    <col min="3076" max="3076" width="82.6328125" style="861" bestFit="1" customWidth="1"/>
    <col min="3077" max="3079" width="28.6328125" style="861" customWidth="1"/>
    <col min="3080" max="3331" width="9.08984375" style="861"/>
    <col min="3332" max="3332" width="82.6328125" style="861" bestFit="1" customWidth="1"/>
    <col min="3333" max="3335" width="28.6328125" style="861" customWidth="1"/>
    <col min="3336" max="3587" width="9.08984375" style="861"/>
    <col min="3588" max="3588" width="82.6328125" style="861" bestFit="1" customWidth="1"/>
    <col min="3589" max="3591" width="28.6328125" style="861" customWidth="1"/>
    <col min="3592" max="3843" width="9.08984375" style="861"/>
    <col min="3844" max="3844" width="82.6328125" style="861" bestFit="1" customWidth="1"/>
    <col min="3845" max="3847" width="28.6328125" style="861" customWidth="1"/>
    <col min="3848" max="4099" width="9.08984375" style="861"/>
    <col min="4100" max="4100" width="82.6328125" style="861" bestFit="1" customWidth="1"/>
    <col min="4101" max="4103" width="28.6328125" style="861" customWidth="1"/>
    <col min="4104" max="4355" width="9.08984375" style="861"/>
    <col min="4356" max="4356" width="82.6328125" style="861" bestFit="1" customWidth="1"/>
    <col min="4357" max="4359" width="28.6328125" style="861" customWidth="1"/>
    <col min="4360" max="4611" width="9.08984375" style="861"/>
    <col min="4612" max="4612" width="82.6328125" style="861" bestFit="1" customWidth="1"/>
    <col min="4613" max="4615" width="28.6328125" style="861" customWidth="1"/>
    <col min="4616" max="4867" width="9.08984375" style="861"/>
    <col min="4868" max="4868" width="82.6328125" style="861" bestFit="1" customWidth="1"/>
    <col min="4869" max="4871" width="28.6328125" style="861" customWidth="1"/>
    <col min="4872" max="5123" width="9.08984375" style="861"/>
    <col min="5124" max="5124" width="82.6328125" style="861" bestFit="1" customWidth="1"/>
    <col min="5125" max="5127" width="28.6328125" style="861" customWidth="1"/>
    <col min="5128" max="5379" width="9.08984375" style="861"/>
    <col min="5380" max="5380" width="82.6328125" style="861" bestFit="1" customWidth="1"/>
    <col min="5381" max="5383" width="28.6328125" style="861" customWidth="1"/>
    <col min="5384" max="5635" width="9.08984375" style="861"/>
    <col min="5636" max="5636" width="82.6328125" style="861" bestFit="1" customWidth="1"/>
    <col min="5637" max="5639" width="28.6328125" style="861" customWidth="1"/>
    <col min="5640" max="5891" width="9.08984375" style="861"/>
    <col min="5892" max="5892" width="82.6328125" style="861" bestFit="1" customWidth="1"/>
    <col min="5893" max="5895" width="28.6328125" style="861" customWidth="1"/>
    <col min="5896" max="6147" width="9.08984375" style="861"/>
    <col min="6148" max="6148" width="82.6328125" style="861" bestFit="1" customWidth="1"/>
    <col min="6149" max="6151" width="28.6328125" style="861" customWidth="1"/>
    <col min="6152" max="6403" width="9.08984375" style="861"/>
    <col min="6404" max="6404" width="82.6328125" style="861" bestFit="1" customWidth="1"/>
    <col min="6405" max="6407" width="28.6328125" style="861" customWidth="1"/>
    <col min="6408" max="6659" width="9.08984375" style="861"/>
    <col min="6660" max="6660" width="82.6328125" style="861" bestFit="1" customWidth="1"/>
    <col min="6661" max="6663" width="28.6328125" style="861" customWidth="1"/>
    <col min="6664" max="6915" width="9.08984375" style="861"/>
    <col min="6916" max="6916" width="82.6328125" style="861" bestFit="1" customWidth="1"/>
    <col min="6917" max="6919" width="28.6328125" style="861" customWidth="1"/>
    <col min="6920" max="7171" width="9.08984375" style="861"/>
    <col min="7172" max="7172" width="82.6328125" style="861" bestFit="1" customWidth="1"/>
    <col min="7173" max="7175" width="28.6328125" style="861" customWidth="1"/>
    <col min="7176" max="7427" width="9.08984375" style="861"/>
    <col min="7428" max="7428" width="82.6328125" style="861" bestFit="1" customWidth="1"/>
    <col min="7429" max="7431" width="28.6328125" style="861" customWidth="1"/>
    <col min="7432" max="7683" width="9.08984375" style="861"/>
    <col min="7684" max="7684" width="82.6328125" style="861" bestFit="1" customWidth="1"/>
    <col min="7685" max="7687" width="28.6328125" style="861" customWidth="1"/>
    <col min="7688" max="7939" width="9.08984375" style="861"/>
    <col min="7940" max="7940" width="82.6328125" style="861" bestFit="1" customWidth="1"/>
    <col min="7941" max="7943" width="28.6328125" style="861" customWidth="1"/>
    <col min="7944" max="8195" width="9.08984375" style="861"/>
    <col min="8196" max="8196" width="82.6328125" style="861" bestFit="1" customWidth="1"/>
    <col min="8197" max="8199" width="28.6328125" style="861" customWidth="1"/>
    <col min="8200" max="8451" width="9.08984375" style="861"/>
    <col min="8452" max="8452" width="82.6328125" style="861" bestFit="1" customWidth="1"/>
    <col min="8453" max="8455" width="28.6328125" style="861" customWidth="1"/>
    <col min="8456" max="8707" width="9.08984375" style="861"/>
    <col min="8708" max="8708" width="82.6328125" style="861" bestFit="1" customWidth="1"/>
    <col min="8709" max="8711" width="28.6328125" style="861" customWidth="1"/>
    <col min="8712" max="8963" width="9.08984375" style="861"/>
    <col min="8964" max="8964" width="82.6328125" style="861" bestFit="1" customWidth="1"/>
    <col min="8965" max="8967" width="28.6328125" style="861" customWidth="1"/>
    <col min="8968" max="9219" width="9.08984375" style="861"/>
    <col min="9220" max="9220" width="82.6328125" style="861" bestFit="1" customWidth="1"/>
    <col min="9221" max="9223" width="28.6328125" style="861" customWidth="1"/>
    <col min="9224" max="9475" width="9.08984375" style="861"/>
    <col min="9476" max="9476" width="82.6328125" style="861" bestFit="1" customWidth="1"/>
    <col min="9477" max="9479" width="28.6328125" style="861" customWidth="1"/>
    <col min="9480" max="9731" width="9.08984375" style="861"/>
    <col min="9732" max="9732" width="82.6328125" style="861" bestFit="1" customWidth="1"/>
    <col min="9733" max="9735" width="28.6328125" style="861" customWidth="1"/>
    <col min="9736" max="9987" width="9.08984375" style="861"/>
    <col min="9988" max="9988" width="82.6328125" style="861" bestFit="1" customWidth="1"/>
    <col min="9989" max="9991" width="28.6328125" style="861" customWidth="1"/>
    <col min="9992" max="10243" width="9.08984375" style="861"/>
    <col min="10244" max="10244" width="82.6328125" style="861" bestFit="1" customWidth="1"/>
    <col min="10245" max="10247" width="28.6328125" style="861" customWidth="1"/>
    <col min="10248" max="10499" width="9.08984375" style="861"/>
    <col min="10500" max="10500" width="82.6328125" style="861" bestFit="1" customWidth="1"/>
    <col min="10501" max="10503" width="28.6328125" style="861" customWidth="1"/>
    <col min="10504" max="10755" width="9.08984375" style="861"/>
    <col min="10756" max="10756" width="82.6328125" style="861" bestFit="1" customWidth="1"/>
    <col min="10757" max="10759" width="28.6328125" style="861" customWidth="1"/>
    <col min="10760" max="11011" width="9.08984375" style="861"/>
    <col min="11012" max="11012" width="82.6328125" style="861" bestFit="1" customWidth="1"/>
    <col min="11013" max="11015" width="28.6328125" style="861" customWidth="1"/>
    <col min="11016" max="11267" width="9.08984375" style="861"/>
    <col min="11268" max="11268" width="82.6328125" style="861" bestFit="1" customWidth="1"/>
    <col min="11269" max="11271" width="28.6328125" style="861" customWidth="1"/>
    <col min="11272" max="11523" width="9.08984375" style="861"/>
    <col min="11524" max="11524" width="82.6328125" style="861" bestFit="1" customWidth="1"/>
    <col min="11525" max="11527" width="28.6328125" style="861" customWidth="1"/>
    <col min="11528" max="11779" width="9.08984375" style="861"/>
    <col min="11780" max="11780" width="82.6328125" style="861" bestFit="1" customWidth="1"/>
    <col min="11781" max="11783" width="28.6328125" style="861" customWidth="1"/>
    <col min="11784" max="12035" width="9.08984375" style="861"/>
    <col min="12036" max="12036" width="82.6328125" style="861" bestFit="1" customWidth="1"/>
    <col min="12037" max="12039" width="28.6328125" style="861" customWidth="1"/>
    <col min="12040" max="12291" width="9.08984375" style="861"/>
    <col min="12292" max="12292" width="82.6328125" style="861" bestFit="1" customWidth="1"/>
    <col min="12293" max="12295" width="28.6328125" style="861" customWidth="1"/>
    <col min="12296" max="12547" width="9.08984375" style="861"/>
    <col min="12548" max="12548" width="82.6328125" style="861" bestFit="1" customWidth="1"/>
    <col min="12549" max="12551" width="28.6328125" style="861" customWidth="1"/>
    <col min="12552" max="12803" width="9.08984375" style="861"/>
    <col min="12804" max="12804" width="82.6328125" style="861" bestFit="1" customWidth="1"/>
    <col min="12805" max="12807" width="28.6328125" style="861" customWidth="1"/>
    <col min="12808" max="13059" width="9.08984375" style="861"/>
    <col min="13060" max="13060" width="82.6328125" style="861" bestFit="1" customWidth="1"/>
    <col min="13061" max="13063" width="28.6328125" style="861" customWidth="1"/>
    <col min="13064" max="13315" width="9.08984375" style="861"/>
    <col min="13316" max="13316" width="82.6328125" style="861" bestFit="1" customWidth="1"/>
    <col min="13317" max="13319" width="28.6328125" style="861" customWidth="1"/>
    <col min="13320" max="13571" width="9.08984375" style="861"/>
    <col min="13572" max="13572" width="82.6328125" style="861" bestFit="1" customWidth="1"/>
    <col min="13573" max="13575" width="28.6328125" style="861" customWidth="1"/>
    <col min="13576" max="13827" width="9.08984375" style="861"/>
    <col min="13828" max="13828" width="82.6328125" style="861" bestFit="1" customWidth="1"/>
    <col min="13829" max="13831" width="28.6328125" style="861" customWidth="1"/>
    <col min="13832" max="14083" width="9.08984375" style="861"/>
    <col min="14084" max="14084" width="82.6328125" style="861" bestFit="1" customWidth="1"/>
    <col min="14085" max="14087" width="28.6328125" style="861" customWidth="1"/>
    <col min="14088" max="14339" width="9.08984375" style="861"/>
    <col min="14340" max="14340" width="82.6328125" style="861" bestFit="1" customWidth="1"/>
    <col min="14341" max="14343" width="28.6328125" style="861" customWidth="1"/>
    <col min="14344" max="14595" width="9.08984375" style="861"/>
    <col min="14596" max="14596" width="82.6328125" style="861" bestFit="1" customWidth="1"/>
    <col min="14597" max="14599" width="28.6328125" style="861" customWidth="1"/>
    <col min="14600" max="14851" width="9.08984375" style="861"/>
    <col min="14852" max="14852" width="82.6328125" style="861" bestFit="1" customWidth="1"/>
    <col min="14853" max="14855" width="28.6328125" style="861" customWidth="1"/>
    <col min="14856" max="15107" width="9.08984375" style="861"/>
    <col min="15108" max="15108" width="82.6328125" style="861" bestFit="1" customWidth="1"/>
    <col min="15109" max="15111" width="28.6328125" style="861" customWidth="1"/>
    <col min="15112" max="15363" width="9.08984375" style="861"/>
    <col min="15364" max="15364" width="82.6328125" style="861" bestFit="1" customWidth="1"/>
    <col min="15365" max="15367" width="28.6328125" style="861" customWidth="1"/>
    <col min="15368" max="15619" width="9.08984375" style="861"/>
    <col min="15620" max="15620" width="82.6328125" style="861" bestFit="1" customWidth="1"/>
    <col min="15621" max="15623" width="28.6328125" style="861" customWidth="1"/>
    <col min="15624" max="15875" width="9.08984375" style="861"/>
    <col min="15876" max="15876" width="82.6328125" style="861" bestFit="1" customWidth="1"/>
    <col min="15877" max="15879" width="28.6328125" style="861" customWidth="1"/>
    <col min="15880" max="16131" width="9.08984375" style="861"/>
    <col min="16132" max="16132" width="82.6328125" style="861" bestFit="1" customWidth="1"/>
    <col min="16133" max="16135" width="28.6328125" style="861" customWidth="1"/>
    <col min="16136" max="16384" width="9.08984375" style="861"/>
  </cols>
  <sheetData>
    <row r="1" spans="2:10" x14ac:dyDescent="0.3">
      <c r="B1" s="862"/>
    </row>
    <row r="2" spans="2:10" x14ac:dyDescent="0.3">
      <c r="B2" s="22"/>
      <c r="C2" s="844"/>
      <c r="D2" s="844"/>
      <c r="E2" s="844" t="str">
        <f>Index!B2</f>
        <v xml:space="preserve">      Maharashtra State Power Generation Company Ltd.</v>
      </c>
      <c r="F2" s="22"/>
      <c r="G2" s="22"/>
    </row>
    <row r="3" spans="2:10" x14ac:dyDescent="0.3">
      <c r="B3" s="874"/>
      <c r="C3" s="863" t="s">
        <v>1087</v>
      </c>
      <c r="D3" s="863"/>
      <c r="E3" s="863"/>
      <c r="F3" s="874"/>
      <c r="G3" s="874"/>
    </row>
    <row r="4" spans="2:10" x14ac:dyDescent="0.3">
      <c r="B4" s="22"/>
      <c r="C4" s="962" t="s">
        <v>1397</v>
      </c>
      <c r="D4" s="962"/>
      <c r="E4" s="962"/>
      <c r="F4" s="22"/>
      <c r="G4" s="22"/>
      <c r="J4" s="844"/>
    </row>
    <row r="5" spans="2:10" x14ac:dyDescent="0.3">
      <c r="G5" s="973" t="s">
        <v>10</v>
      </c>
      <c r="J5" s="863"/>
    </row>
    <row r="6" spans="2:10" s="974" customFormat="1" x14ac:dyDescent="0.3">
      <c r="B6" s="865" t="s">
        <v>1398</v>
      </c>
      <c r="C6" s="865" t="s">
        <v>968</v>
      </c>
      <c r="D6" s="865" t="s">
        <v>969</v>
      </c>
      <c r="E6" s="865" t="s">
        <v>970</v>
      </c>
      <c r="F6" s="865" t="s">
        <v>971</v>
      </c>
      <c r="G6" s="865" t="s">
        <v>972</v>
      </c>
      <c r="J6" s="962"/>
    </row>
    <row r="7" spans="2:10" x14ac:dyDescent="0.3">
      <c r="B7" s="975"/>
      <c r="C7" s="880" t="s">
        <v>1399</v>
      </c>
      <c r="D7" s="880"/>
      <c r="E7" s="880"/>
      <c r="F7" s="880"/>
      <c r="G7" s="880"/>
    </row>
    <row r="8" spans="2:10" x14ac:dyDescent="0.3">
      <c r="B8" s="976" t="s">
        <v>1400</v>
      </c>
      <c r="C8" s="880"/>
      <c r="D8" s="880"/>
      <c r="E8" s="880"/>
      <c r="F8" s="880"/>
      <c r="G8" s="880"/>
    </row>
    <row r="9" spans="2:10" x14ac:dyDescent="0.3">
      <c r="B9" s="977"/>
      <c r="C9" s="880"/>
      <c r="D9" s="880"/>
      <c r="E9" s="880"/>
      <c r="F9" s="880"/>
      <c r="G9" s="880"/>
    </row>
    <row r="10" spans="2:10" x14ac:dyDescent="0.3">
      <c r="B10" s="977" t="s">
        <v>1401</v>
      </c>
      <c r="C10" s="880"/>
      <c r="D10" s="880"/>
      <c r="E10" s="880"/>
      <c r="F10" s="880"/>
      <c r="G10" s="880"/>
    </row>
    <row r="11" spans="2:10" x14ac:dyDescent="0.3">
      <c r="B11" s="976" t="s">
        <v>1101</v>
      </c>
      <c r="C11" s="880"/>
      <c r="D11" s="880"/>
      <c r="E11" s="880"/>
      <c r="F11" s="880"/>
      <c r="G11" s="880"/>
    </row>
    <row r="12" spans="2:10" x14ac:dyDescent="0.3">
      <c r="B12" s="976" t="s">
        <v>1102</v>
      </c>
      <c r="C12" s="880"/>
      <c r="D12" s="880"/>
      <c r="E12" s="880"/>
      <c r="F12" s="880"/>
      <c r="G12" s="880"/>
    </row>
    <row r="13" spans="2:10" x14ac:dyDescent="0.3">
      <c r="B13" s="976" t="s">
        <v>1098</v>
      </c>
      <c r="C13" s="880"/>
      <c r="D13" s="880"/>
      <c r="E13" s="880"/>
      <c r="F13" s="880"/>
      <c r="G13" s="880"/>
    </row>
    <row r="14" spans="2:10" x14ac:dyDescent="0.3">
      <c r="B14" s="978" t="s">
        <v>1349</v>
      </c>
      <c r="C14" s="880"/>
      <c r="D14" s="880"/>
      <c r="E14" s="880"/>
      <c r="F14" s="880"/>
      <c r="G14" s="880"/>
    </row>
    <row r="15" spans="2:10" x14ac:dyDescent="0.3">
      <c r="B15" s="975"/>
      <c r="C15" s="880"/>
      <c r="D15" s="880"/>
      <c r="E15" s="880"/>
      <c r="F15" s="880"/>
      <c r="G15" s="880"/>
    </row>
    <row r="16" spans="2:10" x14ac:dyDescent="0.3">
      <c r="B16" s="979" t="s">
        <v>1402</v>
      </c>
      <c r="C16" s="880"/>
      <c r="D16" s="880"/>
      <c r="E16" s="880"/>
      <c r="F16" s="880"/>
      <c r="G16" s="880"/>
    </row>
    <row r="17" spans="2:7" x14ac:dyDescent="0.3">
      <c r="B17" s="978" t="s">
        <v>1403</v>
      </c>
      <c r="C17" s="880"/>
      <c r="D17" s="880"/>
      <c r="E17" s="880"/>
      <c r="F17" s="880"/>
      <c r="G17" s="880"/>
    </row>
    <row r="18" spans="2:7" x14ac:dyDescent="0.3">
      <c r="B18" s="978" t="s">
        <v>1404</v>
      </c>
      <c r="C18" s="880"/>
      <c r="D18" s="880"/>
      <c r="E18" s="880"/>
      <c r="F18" s="880"/>
      <c r="G18" s="880"/>
    </row>
    <row r="19" spans="2:7" x14ac:dyDescent="0.3">
      <c r="B19" s="975"/>
      <c r="C19" s="880"/>
      <c r="D19" s="880"/>
      <c r="E19" s="880"/>
      <c r="F19" s="880"/>
      <c r="G19" s="880"/>
    </row>
    <row r="20" spans="2:7" x14ac:dyDescent="0.3">
      <c r="B20" s="978" t="s">
        <v>270</v>
      </c>
      <c r="C20" s="880"/>
      <c r="D20" s="880"/>
      <c r="E20" s="880"/>
      <c r="F20" s="880"/>
      <c r="G20" s="880"/>
    </row>
    <row r="21" spans="2:7" x14ac:dyDescent="0.3">
      <c r="C21" s="871"/>
      <c r="D21" s="871"/>
      <c r="E21" s="871"/>
      <c r="F21" s="980"/>
      <c r="G21" s="940"/>
    </row>
    <row r="29" spans="2:7" ht="29.4" customHeight="1" x14ac:dyDescent="0.3">
      <c r="C29" s="873"/>
    </row>
  </sheetData>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E3" sqref="E3"/>
      <selection pane="bottomLeft" activeCell="E3" sqref="E3"/>
    </sheetView>
  </sheetViews>
  <sheetFormatPr defaultColWidth="9.08984375" defaultRowHeight="14" x14ac:dyDescent="0.3"/>
  <cols>
    <col min="1" max="1" width="2.90625" style="982" customWidth="1"/>
    <col min="2" max="2" width="9.6328125" style="982" customWidth="1"/>
    <col min="3" max="3" width="36.36328125" style="982" customWidth="1"/>
    <col min="4" max="20" width="9.08984375" style="982" customWidth="1"/>
    <col min="21" max="23" width="9.08984375" style="982"/>
    <col min="24" max="24" width="11.36328125" style="982" customWidth="1"/>
    <col min="25" max="25" width="10.36328125" style="982" customWidth="1"/>
    <col min="26" max="233" width="9.08984375" style="982"/>
    <col min="234" max="234" width="2.90625" style="982" customWidth="1"/>
    <col min="235" max="235" width="13.08984375" style="982" customWidth="1"/>
    <col min="236" max="236" width="60.36328125" style="982" customWidth="1"/>
    <col min="237" max="241" width="10.90625" style="982" bestFit="1" customWidth="1"/>
    <col min="242" max="242" width="11.90625" style="982" bestFit="1" customWidth="1"/>
    <col min="243" max="243" width="14.36328125" style="982" bestFit="1" customWidth="1"/>
    <col min="244" max="244" width="17.453125" style="982" bestFit="1" customWidth="1"/>
    <col min="245" max="247" width="17.54296875" style="982" bestFit="1" customWidth="1"/>
    <col min="248" max="254" width="21" style="982" bestFit="1" customWidth="1"/>
    <col min="255" max="262" width="21.08984375" style="982" bestFit="1" customWidth="1"/>
    <col min="263" max="263" width="22.6328125" style="982" customWidth="1"/>
    <col min="264" max="264" width="22" style="982" customWidth="1"/>
    <col min="265" max="265" width="22.6328125" style="982" customWidth="1"/>
    <col min="266" max="271" width="21.08984375" style="982" bestFit="1" customWidth="1"/>
    <col min="272" max="272" width="19.54296875" style="982" customWidth="1"/>
    <col min="273" max="273" width="21.08984375" style="982" bestFit="1" customWidth="1"/>
    <col min="274" max="274" width="22.6328125" style="982" customWidth="1"/>
    <col min="275" max="275" width="22" style="982" customWidth="1"/>
    <col min="276" max="276" width="23.453125" style="982" bestFit="1" customWidth="1"/>
    <col min="277" max="279" width="9.08984375" style="982"/>
    <col min="280" max="280" width="11.36328125" style="982" customWidth="1"/>
    <col min="281" max="281" width="10.36328125" style="982" customWidth="1"/>
    <col min="282" max="489" width="9.08984375" style="982"/>
    <col min="490" max="490" width="2.90625" style="982" customWidth="1"/>
    <col min="491" max="491" width="13.08984375" style="982" customWidth="1"/>
    <col min="492" max="492" width="60.36328125" style="982" customWidth="1"/>
    <col min="493" max="497" width="10.90625" style="982" bestFit="1" customWidth="1"/>
    <col min="498" max="498" width="11.90625" style="982" bestFit="1" customWidth="1"/>
    <col min="499" max="499" width="14.36328125" style="982" bestFit="1" customWidth="1"/>
    <col min="500" max="500" width="17.453125" style="982" bestFit="1" customWidth="1"/>
    <col min="501" max="503" width="17.54296875" style="982" bestFit="1" customWidth="1"/>
    <col min="504" max="510" width="21" style="982" bestFit="1" customWidth="1"/>
    <col min="511" max="518" width="21.08984375" style="982" bestFit="1" customWidth="1"/>
    <col min="519" max="519" width="22.6328125" style="982" customWidth="1"/>
    <col min="520" max="520" width="22" style="982" customWidth="1"/>
    <col min="521" max="521" width="22.6328125" style="982" customWidth="1"/>
    <col min="522" max="527" width="21.08984375" style="982" bestFit="1" customWidth="1"/>
    <col min="528" max="528" width="19.54296875" style="982" customWidth="1"/>
    <col min="529" max="529" width="21.08984375" style="982" bestFit="1" customWidth="1"/>
    <col min="530" max="530" width="22.6328125" style="982" customWidth="1"/>
    <col min="531" max="531" width="22" style="982" customWidth="1"/>
    <col min="532" max="532" width="23.453125" style="982" bestFit="1" customWidth="1"/>
    <col min="533" max="535" width="9.08984375" style="982"/>
    <col min="536" max="536" width="11.36328125" style="982" customWidth="1"/>
    <col min="537" max="537" width="10.36328125" style="982" customWidth="1"/>
    <col min="538" max="745" width="9.08984375" style="982"/>
    <col min="746" max="746" width="2.90625" style="982" customWidth="1"/>
    <col min="747" max="747" width="13.08984375" style="982" customWidth="1"/>
    <col min="748" max="748" width="60.36328125" style="982" customWidth="1"/>
    <col min="749" max="753" width="10.90625" style="982" bestFit="1" customWidth="1"/>
    <col min="754" max="754" width="11.90625" style="982" bestFit="1" customWidth="1"/>
    <col min="755" max="755" width="14.36328125" style="982" bestFit="1" customWidth="1"/>
    <col min="756" max="756" width="17.453125" style="982" bestFit="1" customWidth="1"/>
    <col min="757" max="759" width="17.54296875" style="982" bestFit="1" customWidth="1"/>
    <col min="760" max="766" width="21" style="982" bestFit="1" customWidth="1"/>
    <col min="767" max="774" width="21.08984375" style="982" bestFit="1" customWidth="1"/>
    <col min="775" max="775" width="22.6328125" style="982" customWidth="1"/>
    <col min="776" max="776" width="22" style="982" customWidth="1"/>
    <col min="777" max="777" width="22.6328125" style="982" customWidth="1"/>
    <col min="778" max="783" width="21.08984375" style="982" bestFit="1" customWidth="1"/>
    <col min="784" max="784" width="19.54296875" style="982" customWidth="1"/>
    <col min="785" max="785" width="21.08984375" style="982" bestFit="1" customWidth="1"/>
    <col min="786" max="786" width="22.6328125" style="982" customWidth="1"/>
    <col min="787" max="787" width="22" style="982" customWidth="1"/>
    <col min="788" max="788" width="23.453125" style="982" bestFit="1" customWidth="1"/>
    <col min="789" max="791" width="9.08984375" style="982"/>
    <col min="792" max="792" width="11.36328125" style="982" customWidth="1"/>
    <col min="793" max="793" width="10.36328125" style="982" customWidth="1"/>
    <col min="794" max="1001" width="9.08984375" style="982"/>
    <col min="1002" max="1002" width="2.90625" style="982" customWidth="1"/>
    <col min="1003" max="1003" width="13.08984375" style="982" customWidth="1"/>
    <col min="1004" max="1004" width="60.36328125" style="982" customWidth="1"/>
    <col min="1005" max="1009" width="10.90625" style="982" bestFit="1" customWidth="1"/>
    <col min="1010" max="1010" width="11.90625" style="982" bestFit="1" customWidth="1"/>
    <col min="1011" max="1011" width="14.36328125" style="982" bestFit="1" customWidth="1"/>
    <col min="1012" max="1012" width="17.453125" style="982" bestFit="1" customWidth="1"/>
    <col min="1013" max="1015" width="17.54296875" style="982" bestFit="1" customWidth="1"/>
    <col min="1016" max="1022" width="21" style="982" bestFit="1" customWidth="1"/>
    <col min="1023" max="1030" width="21.08984375" style="982" bestFit="1" customWidth="1"/>
    <col min="1031" max="1031" width="22.6328125" style="982" customWidth="1"/>
    <col min="1032" max="1032" width="22" style="982" customWidth="1"/>
    <col min="1033" max="1033" width="22.6328125" style="982" customWidth="1"/>
    <col min="1034" max="1039" width="21.08984375" style="982" bestFit="1" customWidth="1"/>
    <col min="1040" max="1040" width="19.54296875" style="982" customWidth="1"/>
    <col min="1041" max="1041" width="21.08984375" style="982" bestFit="1" customWidth="1"/>
    <col min="1042" max="1042" width="22.6328125" style="982" customWidth="1"/>
    <col min="1043" max="1043" width="22" style="982" customWidth="1"/>
    <col min="1044" max="1044" width="23.453125" style="982" bestFit="1" customWidth="1"/>
    <col min="1045" max="1047" width="9.08984375" style="982"/>
    <col min="1048" max="1048" width="11.36328125" style="982" customWidth="1"/>
    <col min="1049" max="1049" width="10.36328125" style="982" customWidth="1"/>
    <col min="1050" max="1257" width="9.08984375" style="982"/>
    <col min="1258" max="1258" width="2.90625" style="982" customWidth="1"/>
    <col min="1259" max="1259" width="13.08984375" style="982" customWidth="1"/>
    <col min="1260" max="1260" width="60.36328125" style="982" customWidth="1"/>
    <col min="1261" max="1265" width="10.90625" style="982" bestFit="1" customWidth="1"/>
    <col min="1266" max="1266" width="11.90625" style="982" bestFit="1" customWidth="1"/>
    <col min="1267" max="1267" width="14.36328125" style="982" bestFit="1" customWidth="1"/>
    <col min="1268" max="1268" width="17.453125" style="982" bestFit="1" customWidth="1"/>
    <col min="1269" max="1271" width="17.54296875" style="982" bestFit="1" customWidth="1"/>
    <col min="1272" max="1278" width="21" style="982" bestFit="1" customWidth="1"/>
    <col min="1279" max="1286" width="21.08984375" style="982" bestFit="1" customWidth="1"/>
    <col min="1287" max="1287" width="22.6328125" style="982" customWidth="1"/>
    <col min="1288" max="1288" width="22" style="982" customWidth="1"/>
    <col min="1289" max="1289" width="22.6328125" style="982" customWidth="1"/>
    <col min="1290" max="1295" width="21.08984375" style="982" bestFit="1" customWidth="1"/>
    <col min="1296" max="1296" width="19.54296875" style="982" customWidth="1"/>
    <col min="1297" max="1297" width="21.08984375" style="982" bestFit="1" customWidth="1"/>
    <col min="1298" max="1298" width="22.6328125" style="982" customWidth="1"/>
    <col min="1299" max="1299" width="22" style="982" customWidth="1"/>
    <col min="1300" max="1300" width="23.453125" style="982" bestFit="1" customWidth="1"/>
    <col min="1301" max="1303" width="9.08984375" style="982"/>
    <col min="1304" max="1304" width="11.36328125" style="982" customWidth="1"/>
    <col min="1305" max="1305" width="10.36328125" style="982" customWidth="1"/>
    <col min="1306" max="1513" width="9.08984375" style="982"/>
    <col min="1514" max="1514" width="2.90625" style="982" customWidth="1"/>
    <col min="1515" max="1515" width="13.08984375" style="982" customWidth="1"/>
    <col min="1516" max="1516" width="60.36328125" style="982" customWidth="1"/>
    <col min="1517" max="1521" width="10.90625" style="982" bestFit="1" customWidth="1"/>
    <col min="1522" max="1522" width="11.90625" style="982" bestFit="1" customWidth="1"/>
    <col min="1523" max="1523" width="14.36328125" style="982" bestFit="1" customWidth="1"/>
    <col min="1524" max="1524" width="17.453125" style="982" bestFit="1" customWidth="1"/>
    <col min="1525" max="1527" width="17.54296875" style="982" bestFit="1" customWidth="1"/>
    <col min="1528" max="1534" width="21" style="982" bestFit="1" customWidth="1"/>
    <col min="1535" max="1542" width="21.08984375" style="982" bestFit="1" customWidth="1"/>
    <col min="1543" max="1543" width="22.6328125" style="982" customWidth="1"/>
    <col min="1544" max="1544" width="22" style="982" customWidth="1"/>
    <col min="1545" max="1545" width="22.6328125" style="982" customWidth="1"/>
    <col min="1546" max="1551" width="21.08984375" style="982" bestFit="1" customWidth="1"/>
    <col min="1552" max="1552" width="19.54296875" style="982" customWidth="1"/>
    <col min="1553" max="1553" width="21.08984375" style="982" bestFit="1" customWidth="1"/>
    <col min="1554" max="1554" width="22.6328125" style="982" customWidth="1"/>
    <col min="1555" max="1555" width="22" style="982" customWidth="1"/>
    <col min="1556" max="1556" width="23.453125" style="982" bestFit="1" customWidth="1"/>
    <col min="1557" max="1559" width="9.08984375" style="982"/>
    <col min="1560" max="1560" width="11.36328125" style="982" customWidth="1"/>
    <col min="1561" max="1561" width="10.36328125" style="982" customWidth="1"/>
    <col min="1562" max="1769" width="9.08984375" style="982"/>
    <col min="1770" max="1770" width="2.90625" style="982" customWidth="1"/>
    <col min="1771" max="1771" width="13.08984375" style="982" customWidth="1"/>
    <col min="1772" max="1772" width="60.36328125" style="982" customWidth="1"/>
    <col min="1773" max="1777" width="10.90625" style="982" bestFit="1" customWidth="1"/>
    <col min="1778" max="1778" width="11.90625" style="982" bestFit="1" customWidth="1"/>
    <col min="1779" max="1779" width="14.36328125" style="982" bestFit="1" customWidth="1"/>
    <col min="1780" max="1780" width="17.453125" style="982" bestFit="1" customWidth="1"/>
    <col min="1781" max="1783" width="17.54296875" style="982" bestFit="1" customWidth="1"/>
    <col min="1784" max="1790" width="21" style="982" bestFit="1" customWidth="1"/>
    <col min="1791" max="1798" width="21.08984375" style="982" bestFit="1" customWidth="1"/>
    <col min="1799" max="1799" width="22.6328125" style="982" customWidth="1"/>
    <col min="1800" max="1800" width="22" style="982" customWidth="1"/>
    <col min="1801" max="1801" width="22.6328125" style="982" customWidth="1"/>
    <col min="1802" max="1807" width="21.08984375" style="982" bestFit="1" customWidth="1"/>
    <col min="1808" max="1808" width="19.54296875" style="982" customWidth="1"/>
    <col min="1809" max="1809" width="21.08984375" style="982" bestFit="1" customWidth="1"/>
    <col min="1810" max="1810" width="22.6328125" style="982" customWidth="1"/>
    <col min="1811" max="1811" width="22" style="982" customWidth="1"/>
    <col min="1812" max="1812" width="23.453125" style="982" bestFit="1" customWidth="1"/>
    <col min="1813" max="1815" width="9.08984375" style="982"/>
    <col min="1816" max="1816" width="11.36328125" style="982" customWidth="1"/>
    <col min="1817" max="1817" width="10.36328125" style="982" customWidth="1"/>
    <col min="1818" max="2025" width="9.08984375" style="982"/>
    <col min="2026" max="2026" width="2.90625" style="982" customWidth="1"/>
    <col min="2027" max="2027" width="13.08984375" style="982" customWidth="1"/>
    <col min="2028" max="2028" width="60.36328125" style="982" customWidth="1"/>
    <col min="2029" max="2033" width="10.90625" style="982" bestFit="1" customWidth="1"/>
    <col min="2034" max="2034" width="11.90625" style="982" bestFit="1" customWidth="1"/>
    <col min="2035" max="2035" width="14.36328125" style="982" bestFit="1" customWidth="1"/>
    <col min="2036" max="2036" width="17.453125" style="982" bestFit="1" customWidth="1"/>
    <col min="2037" max="2039" width="17.54296875" style="982" bestFit="1" customWidth="1"/>
    <col min="2040" max="2046" width="21" style="982" bestFit="1" customWidth="1"/>
    <col min="2047" max="2054" width="21.08984375" style="982" bestFit="1" customWidth="1"/>
    <col min="2055" max="2055" width="22.6328125" style="982" customWidth="1"/>
    <col min="2056" max="2056" width="22" style="982" customWidth="1"/>
    <col min="2057" max="2057" width="22.6328125" style="982" customWidth="1"/>
    <col min="2058" max="2063" width="21.08984375" style="982" bestFit="1" customWidth="1"/>
    <col min="2064" max="2064" width="19.54296875" style="982" customWidth="1"/>
    <col min="2065" max="2065" width="21.08984375" style="982" bestFit="1" customWidth="1"/>
    <col min="2066" max="2066" width="22.6328125" style="982" customWidth="1"/>
    <col min="2067" max="2067" width="22" style="982" customWidth="1"/>
    <col min="2068" max="2068" width="23.453125" style="982" bestFit="1" customWidth="1"/>
    <col min="2069" max="2071" width="9.08984375" style="982"/>
    <col min="2072" max="2072" width="11.36328125" style="982" customWidth="1"/>
    <col min="2073" max="2073" width="10.36328125" style="982" customWidth="1"/>
    <col min="2074" max="2281" width="9.08984375" style="982"/>
    <col min="2282" max="2282" width="2.90625" style="982" customWidth="1"/>
    <col min="2283" max="2283" width="13.08984375" style="982" customWidth="1"/>
    <col min="2284" max="2284" width="60.36328125" style="982" customWidth="1"/>
    <col min="2285" max="2289" width="10.90625" style="982" bestFit="1" customWidth="1"/>
    <col min="2290" max="2290" width="11.90625" style="982" bestFit="1" customWidth="1"/>
    <col min="2291" max="2291" width="14.36328125" style="982" bestFit="1" customWidth="1"/>
    <col min="2292" max="2292" width="17.453125" style="982" bestFit="1" customWidth="1"/>
    <col min="2293" max="2295" width="17.54296875" style="982" bestFit="1" customWidth="1"/>
    <col min="2296" max="2302" width="21" style="982" bestFit="1" customWidth="1"/>
    <col min="2303" max="2310" width="21.08984375" style="982" bestFit="1" customWidth="1"/>
    <col min="2311" max="2311" width="22.6328125" style="982" customWidth="1"/>
    <col min="2312" max="2312" width="22" style="982" customWidth="1"/>
    <col min="2313" max="2313" width="22.6328125" style="982" customWidth="1"/>
    <col min="2314" max="2319" width="21.08984375" style="982" bestFit="1" customWidth="1"/>
    <col min="2320" max="2320" width="19.54296875" style="982" customWidth="1"/>
    <col min="2321" max="2321" width="21.08984375" style="982" bestFit="1" customWidth="1"/>
    <col min="2322" max="2322" width="22.6328125" style="982" customWidth="1"/>
    <col min="2323" max="2323" width="22" style="982" customWidth="1"/>
    <col min="2324" max="2324" width="23.453125" style="982" bestFit="1" customWidth="1"/>
    <col min="2325" max="2327" width="9.08984375" style="982"/>
    <col min="2328" max="2328" width="11.36328125" style="982" customWidth="1"/>
    <col min="2329" max="2329" width="10.36328125" style="982" customWidth="1"/>
    <col min="2330" max="2537" width="9.08984375" style="982"/>
    <col min="2538" max="2538" width="2.90625" style="982" customWidth="1"/>
    <col min="2539" max="2539" width="13.08984375" style="982" customWidth="1"/>
    <col min="2540" max="2540" width="60.36328125" style="982" customWidth="1"/>
    <col min="2541" max="2545" width="10.90625" style="982" bestFit="1" customWidth="1"/>
    <col min="2546" max="2546" width="11.90625" style="982" bestFit="1" customWidth="1"/>
    <col min="2547" max="2547" width="14.36328125" style="982" bestFit="1" customWidth="1"/>
    <col min="2548" max="2548" width="17.453125" style="982" bestFit="1" customWidth="1"/>
    <col min="2549" max="2551" width="17.54296875" style="982" bestFit="1" customWidth="1"/>
    <col min="2552" max="2558" width="21" style="982" bestFit="1" customWidth="1"/>
    <col min="2559" max="2566" width="21.08984375" style="982" bestFit="1" customWidth="1"/>
    <col min="2567" max="2567" width="22.6328125" style="982" customWidth="1"/>
    <col min="2568" max="2568" width="22" style="982" customWidth="1"/>
    <col min="2569" max="2569" width="22.6328125" style="982" customWidth="1"/>
    <col min="2570" max="2575" width="21.08984375" style="982" bestFit="1" customWidth="1"/>
    <col min="2576" max="2576" width="19.54296875" style="982" customWidth="1"/>
    <col min="2577" max="2577" width="21.08984375" style="982" bestFit="1" customWidth="1"/>
    <col min="2578" max="2578" width="22.6328125" style="982" customWidth="1"/>
    <col min="2579" max="2579" width="22" style="982" customWidth="1"/>
    <col min="2580" max="2580" width="23.453125" style="982" bestFit="1" customWidth="1"/>
    <col min="2581" max="2583" width="9.08984375" style="982"/>
    <col min="2584" max="2584" width="11.36328125" style="982" customWidth="1"/>
    <col min="2585" max="2585" width="10.36328125" style="982" customWidth="1"/>
    <col min="2586" max="2793" width="9.08984375" style="982"/>
    <col min="2794" max="2794" width="2.90625" style="982" customWidth="1"/>
    <col min="2795" max="2795" width="13.08984375" style="982" customWidth="1"/>
    <col min="2796" max="2796" width="60.36328125" style="982" customWidth="1"/>
    <col min="2797" max="2801" width="10.90625" style="982" bestFit="1" customWidth="1"/>
    <col min="2802" max="2802" width="11.90625" style="982" bestFit="1" customWidth="1"/>
    <col min="2803" max="2803" width="14.36328125" style="982" bestFit="1" customWidth="1"/>
    <col min="2804" max="2804" width="17.453125" style="982" bestFit="1" customWidth="1"/>
    <col min="2805" max="2807" width="17.54296875" style="982" bestFit="1" customWidth="1"/>
    <col min="2808" max="2814" width="21" style="982" bestFit="1" customWidth="1"/>
    <col min="2815" max="2822" width="21.08984375" style="982" bestFit="1" customWidth="1"/>
    <col min="2823" max="2823" width="22.6328125" style="982" customWidth="1"/>
    <col min="2824" max="2824" width="22" style="982" customWidth="1"/>
    <col min="2825" max="2825" width="22.6328125" style="982" customWidth="1"/>
    <col min="2826" max="2831" width="21.08984375" style="982" bestFit="1" customWidth="1"/>
    <col min="2832" max="2832" width="19.54296875" style="982" customWidth="1"/>
    <col min="2833" max="2833" width="21.08984375" style="982" bestFit="1" customWidth="1"/>
    <col min="2834" max="2834" width="22.6328125" style="982" customWidth="1"/>
    <col min="2835" max="2835" width="22" style="982" customWidth="1"/>
    <col min="2836" max="2836" width="23.453125" style="982" bestFit="1" customWidth="1"/>
    <col min="2837" max="2839" width="9.08984375" style="982"/>
    <col min="2840" max="2840" width="11.36328125" style="982" customWidth="1"/>
    <col min="2841" max="2841" width="10.36328125" style="982" customWidth="1"/>
    <col min="2842" max="3049" width="9.08984375" style="982"/>
    <col min="3050" max="3050" width="2.90625" style="982" customWidth="1"/>
    <col min="3051" max="3051" width="13.08984375" style="982" customWidth="1"/>
    <col min="3052" max="3052" width="60.36328125" style="982" customWidth="1"/>
    <col min="3053" max="3057" width="10.90625" style="982" bestFit="1" customWidth="1"/>
    <col min="3058" max="3058" width="11.90625" style="982" bestFit="1" customWidth="1"/>
    <col min="3059" max="3059" width="14.36328125" style="982" bestFit="1" customWidth="1"/>
    <col min="3060" max="3060" width="17.453125" style="982" bestFit="1" customWidth="1"/>
    <col min="3061" max="3063" width="17.54296875" style="982" bestFit="1" customWidth="1"/>
    <col min="3064" max="3070" width="21" style="982" bestFit="1" customWidth="1"/>
    <col min="3071" max="3078" width="21.08984375" style="982" bestFit="1" customWidth="1"/>
    <col min="3079" max="3079" width="22.6328125" style="982" customWidth="1"/>
    <col min="3080" max="3080" width="22" style="982" customWidth="1"/>
    <col min="3081" max="3081" width="22.6328125" style="982" customWidth="1"/>
    <col min="3082" max="3087" width="21.08984375" style="982" bestFit="1" customWidth="1"/>
    <col min="3088" max="3088" width="19.54296875" style="982" customWidth="1"/>
    <col min="3089" max="3089" width="21.08984375" style="982" bestFit="1" customWidth="1"/>
    <col min="3090" max="3090" width="22.6328125" style="982" customWidth="1"/>
    <col min="3091" max="3091" width="22" style="982" customWidth="1"/>
    <col min="3092" max="3092" width="23.453125" style="982" bestFit="1" customWidth="1"/>
    <col min="3093" max="3095" width="9.08984375" style="982"/>
    <col min="3096" max="3096" width="11.36328125" style="982" customWidth="1"/>
    <col min="3097" max="3097" width="10.36328125" style="982" customWidth="1"/>
    <col min="3098" max="3305" width="9.08984375" style="982"/>
    <col min="3306" max="3306" width="2.90625" style="982" customWidth="1"/>
    <col min="3307" max="3307" width="13.08984375" style="982" customWidth="1"/>
    <col min="3308" max="3308" width="60.36328125" style="982" customWidth="1"/>
    <col min="3309" max="3313" width="10.90625" style="982" bestFit="1" customWidth="1"/>
    <col min="3314" max="3314" width="11.90625" style="982" bestFit="1" customWidth="1"/>
    <col min="3315" max="3315" width="14.36328125" style="982" bestFit="1" customWidth="1"/>
    <col min="3316" max="3316" width="17.453125" style="982" bestFit="1" customWidth="1"/>
    <col min="3317" max="3319" width="17.54296875" style="982" bestFit="1" customWidth="1"/>
    <col min="3320" max="3326" width="21" style="982" bestFit="1" customWidth="1"/>
    <col min="3327" max="3334" width="21.08984375" style="982" bestFit="1" customWidth="1"/>
    <col min="3335" max="3335" width="22.6328125" style="982" customWidth="1"/>
    <col min="3336" max="3336" width="22" style="982" customWidth="1"/>
    <col min="3337" max="3337" width="22.6328125" style="982" customWidth="1"/>
    <col min="3338" max="3343" width="21.08984375" style="982" bestFit="1" customWidth="1"/>
    <col min="3344" max="3344" width="19.54296875" style="982" customWidth="1"/>
    <col min="3345" max="3345" width="21.08984375" style="982" bestFit="1" customWidth="1"/>
    <col min="3346" max="3346" width="22.6328125" style="982" customWidth="1"/>
    <col min="3347" max="3347" width="22" style="982" customWidth="1"/>
    <col min="3348" max="3348" width="23.453125" style="982" bestFit="1" customWidth="1"/>
    <col min="3349" max="3351" width="9.08984375" style="982"/>
    <col min="3352" max="3352" width="11.36328125" style="982" customWidth="1"/>
    <col min="3353" max="3353" width="10.36328125" style="982" customWidth="1"/>
    <col min="3354" max="3561" width="9.08984375" style="982"/>
    <col min="3562" max="3562" width="2.90625" style="982" customWidth="1"/>
    <col min="3563" max="3563" width="13.08984375" style="982" customWidth="1"/>
    <col min="3564" max="3564" width="60.36328125" style="982" customWidth="1"/>
    <col min="3565" max="3569" width="10.90625" style="982" bestFit="1" customWidth="1"/>
    <col min="3570" max="3570" width="11.90625" style="982" bestFit="1" customWidth="1"/>
    <col min="3571" max="3571" width="14.36328125" style="982" bestFit="1" customWidth="1"/>
    <col min="3572" max="3572" width="17.453125" style="982" bestFit="1" customWidth="1"/>
    <col min="3573" max="3575" width="17.54296875" style="982" bestFit="1" customWidth="1"/>
    <col min="3576" max="3582" width="21" style="982" bestFit="1" customWidth="1"/>
    <col min="3583" max="3590" width="21.08984375" style="982" bestFit="1" customWidth="1"/>
    <col min="3591" max="3591" width="22.6328125" style="982" customWidth="1"/>
    <col min="3592" max="3592" width="22" style="982" customWidth="1"/>
    <col min="3593" max="3593" width="22.6328125" style="982" customWidth="1"/>
    <col min="3594" max="3599" width="21.08984375" style="982" bestFit="1" customWidth="1"/>
    <col min="3600" max="3600" width="19.54296875" style="982" customWidth="1"/>
    <col min="3601" max="3601" width="21.08984375" style="982" bestFit="1" customWidth="1"/>
    <col min="3602" max="3602" width="22.6328125" style="982" customWidth="1"/>
    <col min="3603" max="3603" width="22" style="982" customWidth="1"/>
    <col min="3604" max="3604" width="23.453125" style="982" bestFit="1" customWidth="1"/>
    <col min="3605" max="3607" width="9.08984375" style="982"/>
    <col min="3608" max="3608" width="11.36328125" style="982" customWidth="1"/>
    <col min="3609" max="3609" width="10.36328125" style="982" customWidth="1"/>
    <col min="3610" max="3817" width="9.08984375" style="982"/>
    <col min="3818" max="3818" width="2.90625" style="982" customWidth="1"/>
    <col min="3819" max="3819" width="13.08984375" style="982" customWidth="1"/>
    <col min="3820" max="3820" width="60.36328125" style="982" customWidth="1"/>
    <col min="3821" max="3825" width="10.90625" style="982" bestFit="1" customWidth="1"/>
    <col min="3826" max="3826" width="11.90625" style="982" bestFit="1" customWidth="1"/>
    <col min="3827" max="3827" width="14.36328125" style="982" bestFit="1" customWidth="1"/>
    <col min="3828" max="3828" width="17.453125" style="982" bestFit="1" customWidth="1"/>
    <col min="3829" max="3831" width="17.54296875" style="982" bestFit="1" customWidth="1"/>
    <col min="3832" max="3838" width="21" style="982" bestFit="1" customWidth="1"/>
    <col min="3839" max="3846" width="21.08984375" style="982" bestFit="1" customWidth="1"/>
    <col min="3847" max="3847" width="22.6328125" style="982" customWidth="1"/>
    <col min="3848" max="3848" width="22" style="982" customWidth="1"/>
    <col min="3849" max="3849" width="22.6328125" style="982" customWidth="1"/>
    <col min="3850" max="3855" width="21.08984375" style="982" bestFit="1" customWidth="1"/>
    <col min="3856" max="3856" width="19.54296875" style="982" customWidth="1"/>
    <col min="3857" max="3857" width="21.08984375" style="982" bestFit="1" customWidth="1"/>
    <col min="3858" max="3858" width="22.6328125" style="982" customWidth="1"/>
    <col min="3859" max="3859" width="22" style="982" customWidth="1"/>
    <col min="3860" max="3860" width="23.453125" style="982" bestFit="1" customWidth="1"/>
    <col min="3861" max="3863" width="9.08984375" style="982"/>
    <col min="3864" max="3864" width="11.36328125" style="982" customWidth="1"/>
    <col min="3865" max="3865" width="10.36328125" style="982" customWidth="1"/>
    <col min="3866" max="4073" width="9.08984375" style="982"/>
    <col min="4074" max="4074" width="2.90625" style="982" customWidth="1"/>
    <col min="4075" max="4075" width="13.08984375" style="982" customWidth="1"/>
    <col min="4076" max="4076" width="60.36328125" style="982" customWidth="1"/>
    <col min="4077" max="4081" width="10.90625" style="982" bestFit="1" customWidth="1"/>
    <col min="4082" max="4082" width="11.90625" style="982" bestFit="1" customWidth="1"/>
    <col min="4083" max="4083" width="14.36328125" style="982" bestFit="1" customWidth="1"/>
    <col min="4084" max="4084" width="17.453125" style="982" bestFit="1" customWidth="1"/>
    <col min="4085" max="4087" width="17.54296875" style="982" bestFit="1" customWidth="1"/>
    <col min="4088" max="4094" width="21" style="982" bestFit="1" customWidth="1"/>
    <col min="4095" max="4102" width="21.08984375" style="982" bestFit="1" customWidth="1"/>
    <col min="4103" max="4103" width="22.6328125" style="982" customWidth="1"/>
    <col min="4104" max="4104" width="22" style="982" customWidth="1"/>
    <col min="4105" max="4105" width="22.6328125" style="982" customWidth="1"/>
    <col min="4106" max="4111" width="21.08984375" style="982" bestFit="1" customWidth="1"/>
    <col min="4112" max="4112" width="19.54296875" style="982" customWidth="1"/>
    <col min="4113" max="4113" width="21.08984375" style="982" bestFit="1" customWidth="1"/>
    <col min="4114" max="4114" width="22.6328125" style="982" customWidth="1"/>
    <col min="4115" max="4115" width="22" style="982" customWidth="1"/>
    <col min="4116" max="4116" width="23.453125" style="982" bestFit="1" customWidth="1"/>
    <col min="4117" max="4119" width="9.08984375" style="982"/>
    <col min="4120" max="4120" width="11.36328125" style="982" customWidth="1"/>
    <col min="4121" max="4121" width="10.36328125" style="982" customWidth="1"/>
    <col min="4122" max="4329" width="9.08984375" style="982"/>
    <col min="4330" max="4330" width="2.90625" style="982" customWidth="1"/>
    <col min="4331" max="4331" width="13.08984375" style="982" customWidth="1"/>
    <col min="4332" max="4332" width="60.36328125" style="982" customWidth="1"/>
    <col min="4333" max="4337" width="10.90625" style="982" bestFit="1" customWidth="1"/>
    <col min="4338" max="4338" width="11.90625" style="982" bestFit="1" customWidth="1"/>
    <col min="4339" max="4339" width="14.36328125" style="982" bestFit="1" customWidth="1"/>
    <col min="4340" max="4340" width="17.453125" style="982" bestFit="1" customWidth="1"/>
    <col min="4341" max="4343" width="17.54296875" style="982" bestFit="1" customWidth="1"/>
    <col min="4344" max="4350" width="21" style="982" bestFit="1" customWidth="1"/>
    <col min="4351" max="4358" width="21.08984375" style="982" bestFit="1" customWidth="1"/>
    <col min="4359" max="4359" width="22.6328125" style="982" customWidth="1"/>
    <col min="4360" max="4360" width="22" style="982" customWidth="1"/>
    <col min="4361" max="4361" width="22.6328125" style="982" customWidth="1"/>
    <col min="4362" max="4367" width="21.08984375" style="982" bestFit="1" customWidth="1"/>
    <col min="4368" max="4368" width="19.54296875" style="982" customWidth="1"/>
    <col min="4369" max="4369" width="21.08984375" style="982" bestFit="1" customWidth="1"/>
    <col min="4370" max="4370" width="22.6328125" style="982" customWidth="1"/>
    <col min="4371" max="4371" width="22" style="982" customWidth="1"/>
    <col min="4372" max="4372" width="23.453125" style="982" bestFit="1" customWidth="1"/>
    <col min="4373" max="4375" width="9.08984375" style="982"/>
    <col min="4376" max="4376" width="11.36328125" style="982" customWidth="1"/>
    <col min="4377" max="4377" width="10.36328125" style="982" customWidth="1"/>
    <col min="4378" max="4585" width="9.08984375" style="982"/>
    <col min="4586" max="4586" width="2.90625" style="982" customWidth="1"/>
    <col min="4587" max="4587" width="13.08984375" style="982" customWidth="1"/>
    <col min="4588" max="4588" width="60.36328125" style="982" customWidth="1"/>
    <col min="4589" max="4593" width="10.90625" style="982" bestFit="1" customWidth="1"/>
    <col min="4594" max="4594" width="11.90625" style="982" bestFit="1" customWidth="1"/>
    <col min="4595" max="4595" width="14.36328125" style="982" bestFit="1" customWidth="1"/>
    <col min="4596" max="4596" width="17.453125" style="982" bestFit="1" customWidth="1"/>
    <col min="4597" max="4599" width="17.54296875" style="982" bestFit="1" customWidth="1"/>
    <col min="4600" max="4606" width="21" style="982" bestFit="1" customWidth="1"/>
    <col min="4607" max="4614" width="21.08984375" style="982" bestFit="1" customWidth="1"/>
    <col min="4615" max="4615" width="22.6328125" style="982" customWidth="1"/>
    <col min="4616" max="4616" width="22" style="982" customWidth="1"/>
    <col min="4617" max="4617" width="22.6328125" style="982" customWidth="1"/>
    <col min="4618" max="4623" width="21.08984375" style="982" bestFit="1" customWidth="1"/>
    <col min="4624" max="4624" width="19.54296875" style="982" customWidth="1"/>
    <col min="4625" max="4625" width="21.08984375" style="982" bestFit="1" customWidth="1"/>
    <col min="4626" max="4626" width="22.6328125" style="982" customWidth="1"/>
    <col min="4627" max="4627" width="22" style="982" customWidth="1"/>
    <col min="4628" max="4628" width="23.453125" style="982" bestFit="1" customWidth="1"/>
    <col min="4629" max="4631" width="9.08984375" style="982"/>
    <col min="4632" max="4632" width="11.36328125" style="982" customWidth="1"/>
    <col min="4633" max="4633" width="10.36328125" style="982" customWidth="1"/>
    <col min="4634" max="4841" width="9.08984375" style="982"/>
    <col min="4842" max="4842" width="2.90625" style="982" customWidth="1"/>
    <col min="4843" max="4843" width="13.08984375" style="982" customWidth="1"/>
    <col min="4844" max="4844" width="60.36328125" style="982" customWidth="1"/>
    <col min="4845" max="4849" width="10.90625" style="982" bestFit="1" customWidth="1"/>
    <col min="4850" max="4850" width="11.90625" style="982" bestFit="1" customWidth="1"/>
    <col min="4851" max="4851" width="14.36328125" style="982" bestFit="1" customWidth="1"/>
    <col min="4852" max="4852" width="17.453125" style="982" bestFit="1" customWidth="1"/>
    <col min="4853" max="4855" width="17.54296875" style="982" bestFit="1" customWidth="1"/>
    <col min="4856" max="4862" width="21" style="982" bestFit="1" customWidth="1"/>
    <col min="4863" max="4870" width="21.08984375" style="982" bestFit="1" customWidth="1"/>
    <col min="4871" max="4871" width="22.6328125" style="982" customWidth="1"/>
    <col min="4872" max="4872" width="22" style="982" customWidth="1"/>
    <col min="4873" max="4873" width="22.6328125" style="982" customWidth="1"/>
    <col min="4874" max="4879" width="21.08984375" style="982" bestFit="1" customWidth="1"/>
    <col min="4880" max="4880" width="19.54296875" style="982" customWidth="1"/>
    <col min="4881" max="4881" width="21.08984375" style="982" bestFit="1" customWidth="1"/>
    <col min="4882" max="4882" width="22.6328125" style="982" customWidth="1"/>
    <col min="4883" max="4883" width="22" style="982" customWidth="1"/>
    <col min="4884" max="4884" width="23.453125" style="982" bestFit="1" customWidth="1"/>
    <col min="4885" max="4887" width="9.08984375" style="982"/>
    <col min="4888" max="4888" width="11.36328125" style="982" customWidth="1"/>
    <col min="4889" max="4889" width="10.36328125" style="982" customWidth="1"/>
    <col min="4890" max="5097" width="9.08984375" style="982"/>
    <col min="5098" max="5098" width="2.90625" style="982" customWidth="1"/>
    <col min="5099" max="5099" width="13.08984375" style="982" customWidth="1"/>
    <col min="5100" max="5100" width="60.36328125" style="982" customWidth="1"/>
    <col min="5101" max="5105" width="10.90625" style="982" bestFit="1" customWidth="1"/>
    <col min="5106" max="5106" width="11.90625" style="982" bestFit="1" customWidth="1"/>
    <col min="5107" max="5107" width="14.36328125" style="982" bestFit="1" customWidth="1"/>
    <col min="5108" max="5108" width="17.453125" style="982" bestFit="1" customWidth="1"/>
    <col min="5109" max="5111" width="17.54296875" style="982" bestFit="1" customWidth="1"/>
    <col min="5112" max="5118" width="21" style="982" bestFit="1" customWidth="1"/>
    <col min="5119" max="5126" width="21.08984375" style="982" bestFit="1" customWidth="1"/>
    <col min="5127" max="5127" width="22.6328125" style="982" customWidth="1"/>
    <col min="5128" max="5128" width="22" style="982" customWidth="1"/>
    <col min="5129" max="5129" width="22.6328125" style="982" customWidth="1"/>
    <col min="5130" max="5135" width="21.08984375" style="982" bestFit="1" customWidth="1"/>
    <col min="5136" max="5136" width="19.54296875" style="982" customWidth="1"/>
    <col min="5137" max="5137" width="21.08984375" style="982" bestFit="1" customWidth="1"/>
    <col min="5138" max="5138" width="22.6328125" style="982" customWidth="1"/>
    <col min="5139" max="5139" width="22" style="982" customWidth="1"/>
    <col min="5140" max="5140" width="23.453125" style="982" bestFit="1" customWidth="1"/>
    <col min="5141" max="5143" width="9.08984375" style="982"/>
    <col min="5144" max="5144" width="11.36328125" style="982" customWidth="1"/>
    <col min="5145" max="5145" width="10.36328125" style="982" customWidth="1"/>
    <col min="5146" max="5353" width="9.08984375" style="982"/>
    <col min="5354" max="5354" width="2.90625" style="982" customWidth="1"/>
    <col min="5355" max="5355" width="13.08984375" style="982" customWidth="1"/>
    <col min="5356" max="5356" width="60.36328125" style="982" customWidth="1"/>
    <col min="5357" max="5361" width="10.90625" style="982" bestFit="1" customWidth="1"/>
    <col min="5362" max="5362" width="11.90625" style="982" bestFit="1" customWidth="1"/>
    <col min="5363" max="5363" width="14.36328125" style="982" bestFit="1" customWidth="1"/>
    <col min="5364" max="5364" width="17.453125" style="982" bestFit="1" customWidth="1"/>
    <col min="5365" max="5367" width="17.54296875" style="982" bestFit="1" customWidth="1"/>
    <col min="5368" max="5374" width="21" style="982" bestFit="1" customWidth="1"/>
    <col min="5375" max="5382" width="21.08984375" style="982" bestFit="1" customWidth="1"/>
    <col min="5383" max="5383" width="22.6328125" style="982" customWidth="1"/>
    <col min="5384" max="5384" width="22" style="982" customWidth="1"/>
    <col min="5385" max="5385" width="22.6328125" style="982" customWidth="1"/>
    <col min="5386" max="5391" width="21.08984375" style="982" bestFit="1" customWidth="1"/>
    <col min="5392" max="5392" width="19.54296875" style="982" customWidth="1"/>
    <col min="5393" max="5393" width="21.08984375" style="982" bestFit="1" customWidth="1"/>
    <col min="5394" max="5394" width="22.6328125" style="982" customWidth="1"/>
    <col min="5395" max="5395" width="22" style="982" customWidth="1"/>
    <col min="5396" max="5396" width="23.453125" style="982" bestFit="1" customWidth="1"/>
    <col min="5397" max="5399" width="9.08984375" style="982"/>
    <col min="5400" max="5400" width="11.36328125" style="982" customWidth="1"/>
    <col min="5401" max="5401" width="10.36328125" style="982" customWidth="1"/>
    <col min="5402" max="5609" width="9.08984375" style="982"/>
    <col min="5610" max="5610" width="2.90625" style="982" customWidth="1"/>
    <col min="5611" max="5611" width="13.08984375" style="982" customWidth="1"/>
    <col min="5612" max="5612" width="60.36328125" style="982" customWidth="1"/>
    <col min="5613" max="5617" width="10.90625" style="982" bestFit="1" customWidth="1"/>
    <col min="5618" max="5618" width="11.90625" style="982" bestFit="1" customWidth="1"/>
    <col min="5619" max="5619" width="14.36328125" style="982" bestFit="1" customWidth="1"/>
    <col min="5620" max="5620" width="17.453125" style="982" bestFit="1" customWidth="1"/>
    <col min="5621" max="5623" width="17.54296875" style="982" bestFit="1" customWidth="1"/>
    <col min="5624" max="5630" width="21" style="982" bestFit="1" customWidth="1"/>
    <col min="5631" max="5638" width="21.08984375" style="982" bestFit="1" customWidth="1"/>
    <col min="5639" max="5639" width="22.6328125" style="982" customWidth="1"/>
    <col min="5640" max="5640" width="22" style="982" customWidth="1"/>
    <col min="5641" max="5641" width="22.6328125" style="982" customWidth="1"/>
    <col min="5642" max="5647" width="21.08984375" style="982" bestFit="1" customWidth="1"/>
    <col min="5648" max="5648" width="19.54296875" style="982" customWidth="1"/>
    <col min="5649" max="5649" width="21.08984375" style="982" bestFit="1" customWidth="1"/>
    <col min="5650" max="5650" width="22.6328125" style="982" customWidth="1"/>
    <col min="5651" max="5651" width="22" style="982" customWidth="1"/>
    <col min="5652" max="5652" width="23.453125" style="982" bestFit="1" customWidth="1"/>
    <col min="5653" max="5655" width="9.08984375" style="982"/>
    <col min="5656" max="5656" width="11.36328125" style="982" customWidth="1"/>
    <col min="5657" max="5657" width="10.36328125" style="982" customWidth="1"/>
    <col min="5658" max="5865" width="9.08984375" style="982"/>
    <col min="5866" max="5866" width="2.90625" style="982" customWidth="1"/>
    <col min="5867" max="5867" width="13.08984375" style="982" customWidth="1"/>
    <col min="5868" max="5868" width="60.36328125" style="982" customWidth="1"/>
    <col min="5869" max="5873" width="10.90625" style="982" bestFit="1" customWidth="1"/>
    <col min="5874" max="5874" width="11.90625" style="982" bestFit="1" customWidth="1"/>
    <col min="5875" max="5875" width="14.36328125" style="982" bestFit="1" customWidth="1"/>
    <col min="5876" max="5876" width="17.453125" style="982" bestFit="1" customWidth="1"/>
    <col min="5877" max="5879" width="17.54296875" style="982" bestFit="1" customWidth="1"/>
    <col min="5880" max="5886" width="21" style="982" bestFit="1" customWidth="1"/>
    <col min="5887" max="5894" width="21.08984375" style="982" bestFit="1" customWidth="1"/>
    <col min="5895" max="5895" width="22.6328125" style="982" customWidth="1"/>
    <col min="5896" max="5896" width="22" style="982" customWidth="1"/>
    <col min="5897" max="5897" width="22.6328125" style="982" customWidth="1"/>
    <col min="5898" max="5903" width="21.08984375" style="982" bestFit="1" customWidth="1"/>
    <col min="5904" max="5904" width="19.54296875" style="982" customWidth="1"/>
    <col min="5905" max="5905" width="21.08984375" style="982" bestFit="1" customWidth="1"/>
    <col min="5906" max="5906" width="22.6328125" style="982" customWidth="1"/>
    <col min="5907" max="5907" width="22" style="982" customWidth="1"/>
    <col min="5908" max="5908" width="23.453125" style="982" bestFit="1" customWidth="1"/>
    <col min="5909" max="5911" width="9.08984375" style="982"/>
    <col min="5912" max="5912" width="11.36328125" style="982" customWidth="1"/>
    <col min="5913" max="5913" width="10.36328125" style="982" customWidth="1"/>
    <col min="5914" max="6121" width="9.08984375" style="982"/>
    <col min="6122" max="6122" width="2.90625" style="982" customWidth="1"/>
    <col min="6123" max="6123" width="13.08984375" style="982" customWidth="1"/>
    <col min="6124" max="6124" width="60.36328125" style="982" customWidth="1"/>
    <col min="6125" max="6129" width="10.90625" style="982" bestFit="1" customWidth="1"/>
    <col min="6130" max="6130" width="11.90625" style="982" bestFit="1" customWidth="1"/>
    <col min="6131" max="6131" width="14.36328125" style="982" bestFit="1" customWidth="1"/>
    <col min="6132" max="6132" width="17.453125" style="982" bestFit="1" customWidth="1"/>
    <col min="6133" max="6135" width="17.54296875" style="982" bestFit="1" customWidth="1"/>
    <col min="6136" max="6142" width="21" style="982" bestFit="1" customWidth="1"/>
    <col min="6143" max="6150" width="21.08984375" style="982" bestFit="1" customWidth="1"/>
    <col min="6151" max="6151" width="22.6328125" style="982" customWidth="1"/>
    <col min="6152" max="6152" width="22" style="982" customWidth="1"/>
    <col min="6153" max="6153" width="22.6328125" style="982" customWidth="1"/>
    <col min="6154" max="6159" width="21.08984375" style="982" bestFit="1" customWidth="1"/>
    <col min="6160" max="6160" width="19.54296875" style="982" customWidth="1"/>
    <col min="6161" max="6161" width="21.08984375" style="982" bestFit="1" customWidth="1"/>
    <col min="6162" max="6162" width="22.6328125" style="982" customWidth="1"/>
    <col min="6163" max="6163" width="22" style="982" customWidth="1"/>
    <col min="6164" max="6164" width="23.453125" style="982" bestFit="1" customWidth="1"/>
    <col min="6165" max="6167" width="9.08984375" style="982"/>
    <col min="6168" max="6168" width="11.36328125" style="982" customWidth="1"/>
    <col min="6169" max="6169" width="10.36328125" style="982" customWidth="1"/>
    <col min="6170" max="6377" width="9.08984375" style="982"/>
    <col min="6378" max="6378" width="2.90625" style="982" customWidth="1"/>
    <col min="6379" max="6379" width="13.08984375" style="982" customWidth="1"/>
    <col min="6380" max="6380" width="60.36328125" style="982" customWidth="1"/>
    <col min="6381" max="6385" width="10.90625" style="982" bestFit="1" customWidth="1"/>
    <col min="6386" max="6386" width="11.90625" style="982" bestFit="1" customWidth="1"/>
    <col min="6387" max="6387" width="14.36328125" style="982" bestFit="1" customWidth="1"/>
    <col min="6388" max="6388" width="17.453125" style="982" bestFit="1" customWidth="1"/>
    <col min="6389" max="6391" width="17.54296875" style="982" bestFit="1" customWidth="1"/>
    <col min="6392" max="6398" width="21" style="982" bestFit="1" customWidth="1"/>
    <col min="6399" max="6406" width="21.08984375" style="982" bestFit="1" customWidth="1"/>
    <col min="6407" max="6407" width="22.6328125" style="982" customWidth="1"/>
    <col min="6408" max="6408" width="22" style="982" customWidth="1"/>
    <col min="6409" max="6409" width="22.6328125" style="982" customWidth="1"/>
    <col min="6410" max="6415" width="21.08984375" style="982" bestFit="1" customWidth="1"/>
    <col min="6416" max="6416" width="19.54296875" style="982" customWidth="1"/>
    <col min="6417" max="6417" width="21.08984375" style="982" bestFit="1" customWidth="1"/>
    <col min="6418" max="6418" width="22.6328125" style="982" customWidth="1"/>
    <col min="6419" max="6419" width="22" style="982" customWidth="1"/>
    <col min="6420" max="6420" width="23.453125" style="982" bestFit="1" customWidth="1"/>
    <col min="6421" max="6423" width="9.08984375" style="982"/>
    <col min="6424" max="6424" width="11.36328125" style="982" customWidth="1"/>
    <col min="6425" max="6425" width="10.36328125" style="982" customWidth="1"/>
    <col min="6426" max="6633" width="9.08984375" style="982"/>
    <col min="6634" max="6634" width="2.90625" style="982" customWidth="1"/>
    <col min="6635" max="6635" width="13.08984375" style="982" customWidth="1"/>
    <col min="6636" max="6636" width="60.36328125" style="982" customWidth="1"/>
    <col min="6637" max="6641" width="10.90625" style="982" bestFit="1" customWidth="1"/>
    <col min="6642" max="6642" width="11.90625" style="982" bestFit="1" customWidth="1"/>
    <col min="6643" max="6643" width="14.36328125" style="982" bestFit="1" customWidth="1"/>
    <col min="6644" max="6644" width="17.453125" style="982" bestFit="1" customWidth="1"/>
    <col min="6645" max="6647" width="17.54296875" style="982" bestFit="1" customWidth="1"/>
    <col min="6648" max="6654" width="21" style="982" bestFit="1" customWidth="1"/>
    <col min="6655" max="6662" width="21.08984375" style="982" bestFit="1" customWidth="1"/>
    <col min="6663" max="6663" width="22.6328125" style="982" customWidth="1"/>
    <col min="6664" max="6664" width="22" style="982" customWidth="1"/>
    <col min="6665" max="6665" width="22.6328125" style="982" customWidth="1"/>
    <col min="6666" max="6671" width="21.08984375" style="982" bestFit="1" customWidth="1"/>
    <col min="6672" max="6672" width="19.54296875" style="982" customWidth="1"/>
    <col min="6673" max="6673" width="21.08984375" style="982" bestFit="1" customWidth="1"/>
    <col min="6674" max="6674" width="22.6328125" style="982" customWidth="1"/>
    <col min="6675" max="6675" width="22" style="982" customWidth="1"/>
    <col min="6676" max="6676" width="23.453125" style="982" bestFit="1" customWidth="1"/>
    <col min="6677" max="6679" width="9.08984375" style="982"/>
    <col min="6680" max="6680" width="11.36328125" style="982" customWidth="1"/>
    <col min="6681" max="6681" width="10.36328125" style="982" customWidth="1"/>
    <col min="6682" max="6889" width="9.08984375" style="982"/>
    <col min="6890" max="6890" width="2.90625" style="982" customWidth="1"/>
    <col min="6891" max="6891" width="13.08984375" style="982" customWidth="1"/>
    <col min="6892" max="6892" width="60.36328125" style="982" customWidth="1"/>
    <col min="6893" max="6897" width="10.90625" style="982" bestFit="1" customWidth="1"/>
    <col min="6898" max="6898" width="11.90625" style="982" bestFit="1" customWidth="1"/>
    <col min="6899" max="6899" width="14.36328125" style="982" bestFit="1" customWidth="1"/>
    <col min="6900" max="6900" width="17.453125" style="982" bestFit="1" customWidth="1"/>
    <col min="6901" max="6903" width="17.54296875" style="982" bestFit="1" customWidth="1"/>
    <col min="6904" max="6910" width="21" style="982" bestFit="1" customWidth="1"/>
    <col min="6911" max="6918" width="21.08984375" style="982" bestFit="1" customWidth="1"/>
    <col min="6919" max="6919" width="22.6328125" style="982" customWidth="1"/>
    <col min="6920" max="6920" width="22" style="982" customWidth="1"/>
    <col min="6921" max="6921" width="22.6328125" style="982" customWidth="1"/>
    <col min="6922" max="6927" width="21.08984375" style="982" bestFit="1" customWidth="1"/>
    <col min="6928" max="6928" width="19.54296875" style="982" customWidth="1"/>
    <col min="6929" max="6929" width="21.08984375" style="982" bestFit="1" customWidth="1"/>
    <col min="6930" max="6930" width="22.6328125" style="982" customWidth="1"/>
    <col min="6931" max="6931" width="22" style="982" customWidth="1"/>
    <col min="6932" max="6932" width="23.453125" style="982" bestFit="1" customWidth="1"/>
    <col min="6933" max="6935" width="9.08984375" style="982"/>
    <col min="6936" max="6936" width="11.36328125" style="982" customWidth="1"/>
    <col min="6937" max="6937" width="10.36328125" style="982" customWidth="1"/>
    <col min="6938" max="7145" width="9.08984375" style="982"/>
    <col min="7146" max="7146" width="2.90625" style="982" customWidth="1"/>
    <col min="7147" max="7147" width="13.08984375" style="982" customWidth="1"/>
    <col min="7148" max="7148" width="60.36328125" style="982" customWidth="1"/>
    <col min="7149" max="7153" width="10.90625" style="982" bestFit="1" customWidth="1"/>
    <col min="7154" max="7154" width="11.90625" style="982" bestFit="1" customWidth="1"/>
    <col min="7155" max="7155" width="14.36328125" style="982" bestFit="1" customWidth="1"/>
    <col min="7156" max="7156" width="17.453125" style="982" bestFit="1" customWidth="1"/>
    <col min="7157" max="7159" width="17.54296875" style="982" bestFit="1" customWidth="1"/>
    <col min="7160" max="7166" width="21" style="982" bestFit="1" customWidth="1"/>
    <col min="7167" max="7174" width="21.08984375" style="982" bestFit="1" customWidth="1"/>
    <col min="7175" max="7175" width="22.6328125" style="982" customWidth="1"/>
    <col min="7176" max="7176" width="22" style="982" customWidth="1"/>
    <col min="7177" max="7177" width="22.6328125" style="982" customWidth="1"/>
    <col min="7178" max="7183" width="21.08984375" style="982" bestFit="1" customWidth="1"/>
    <col min="7184" max="7184" width="19.54296875" style="982" customWidth="1"/>
    <col min="7185" max="7185" width="21.08984375" style="982" bestFit="1" customWidth="1"/>
    <col min="7186" max="7186" width="22.6328125" style="982" customWidth="1"/>
    <col min="7187" max="7187" width="22" style="982" customWidth="1"/>
    <col min="7188" max="7188" width="23.453125" style="982" bestFit="1" customWidth="1"/>
    <col min="7189" max="7191" width="9.08984375" style="982"/>
    <col min="7192" max="7192" width="11.36328125" style="982" customWidth="1"/>
    <col min="7193" max="7193" width="10.36328125" style="982" customWidth="1"/>
    <col min="7194" max="7401" width="9.08984375" style="982"/>
    <col min="7402" max="7402" width="2.90625" style="982" customWidth="1"/>
    <col min="7403" max="7403" width="13.08984375" style="982" customWidth="1"/>
    <col min="7404" max="7404" width="60.36328125" style="982" customWidth="1"/>
    <col min="7405" max="7409" width="10.90625" style="982" bestFit="1" customWidth="1"/>
    <col min="7410" max="7410" width="11.90625" style="982" bestFit="1" customWidth="1"/>
    <col min="7411" max="7411" width="14.36328125" style="982" bestFit="1" customWidth="1"/>
    <col min="7412" max="7412" width="17.453125" style="982" bestFit="1" customWidth="1"/>
    <col min="7413" max="7415" width="17.54296875" style="982" bestFit="1" customWidth="1"/>
    <col min="7416" max="7422" width="21" style="982" bestFit="1" customWidth="1"/>
    <col min="7423" max="7430" width="21.08984375" style="982" bestFit="1" customWidth="1"/>
    <col min="7431" max="7431" width="22.6328125" style="982" customWidth="1"/>
    <col min="7432" max="7432" width="22" style="982" customWidth="1"/>
    <col min="7433" max="7433" width="22.6328125" style="982" customWidth="1"/>
    <col min="7434" max="7439" width="21.08984375" style="982" bestFit="1" customWidth="1"/>
    <col min="7440" max="7440" width="19.54296875" style="982" customWidth="1"/>
    <col min="7441" max="7441" width="21.08984375" style="982" bestFit="1" customWidth="1"/>
    <col min="7442" max="7442" width="22.6328125" style="982" customWidth="1"/>
    <col min="7443" max="7443" width="22" style="982" customWidth="1"/>
    <col min="7444" max="7444" width="23.453125" style="982" bestFit="1" customWidth="1"/>
    <col min="7445" max="7447" width="9.08984375" style="982"/>
    <col min="7448" max="7448" width="11.36328125" style="982" customWidth="1"/>
    <col min="7449" max="7449" width="10.36328125" style="982" customWidth="1"/>
    <col min="7450" max="7657" width="9.08984375" style="982"/>
    <col min="7658" max="7658" width="2.90625" style="982" customWidth="1"/>
    <col min="7659" max="7659" width="13.08984375" style="982" customWidth="1"/>
    <col min="7660" max="7660" width="60.36328125" style="982" customWidth="1"/>
    <col min="7661" max="7665" width="10.90625" style="982" bestFit="1" customWidth="1"/>
    <col min="7666" max="7666" width="11.90625" style="982" bestFit="1" customWidth="1"/>
    <col min="7667" max="7667" width="14.36328125" style="982" bestFit="1" customWidth="1"/>
    <col min="7668" max="7668" width="17.453125" style="982" bestFit="1" customWidth="1"/>
    <col min="7669" max="7671" width="17.54296875" style="982" bestFit="1" customWidth="1"/>
    <col min="7672" max="7678" width="21" style="982" bestFit="1" customWidth="1"/>
    <col min="7679" max="7686" width="21.08984375" style="982" bestFit="1" customWidth="1"/>
    <col min="7687" max="7687" width="22.6328125" style="982" customWidth="1"/>
    <col min="7688" max="7688" width="22" style="982" customWidth="1"/>
    <col min="7689" max="7689" width="22.6328125" style="982" customWidth="1"/>
    <col min="7690" max="7695" width="21.08984375" style="982" bestFit="1" customWidth="1"/>
    <col min="7696" max="7696" width="19.54296875" style="982" customWidth="1"/>
    <col min="7697" max="7697" width="21.08984375" style="982" bestFit="1" customWidth="1"/>
    <col min="7698" max="7698" width="22.6328125" style="982" customWidth="1"/>
    <col min="7699" max="7699" width="22" style="982" customWidth="1"/>
    <col min="7700" max="7700" width="23.453125" style="982" bestFit="1" customWidth="1"/>
    <col min="7701" max="7703" width="9.08984375" style="982"/>
    <col min="7704" max="7704" width="11.36328125" style="982" customWidth="1"/>
    <col min="7705" max="7705" width="10.36328125" style="982" customWidth="1"/>
    <col min="7706" max="7913" width="9.08984375" style="982"/>
    <col min="7914" max="7914" width="2.90625" style="982" customWidth="1"/>
    <col min="7915" max="7915" width="13.08984375" style="982" customWidth="1"/>
    <col min="7916" max="7916" width="60.36328125" style="982" customWidth="1"/>
    <col min="7917" max="7921" width="10.90625" style="982" bestFit="1" customWidth="1"/>
    <col min="7922" max="7922" width="11.90625" style="982" bestFit="1" customWidth="1"/>
    <col min="7923" max="7923" width="14.36328125" style="982" bestFit="1" customWidth="1"/>
    <col min="7924" max="7924" width="17.453125" style="982" bestFit="1" customWidth="1"/>
    <col min="7925" max="7927" width="17.54296875" style="982" bestFit="1" customWidth="1"/>
    <col min="7928" max="7934" width="21" style="982" bestFit="1" customWidth="1"/>
    <col min="7935" max="7942" width="21.08984375" style="982" bestFit="1" customWidth="1"/>
    <col min="7943" max="7943" width="22.6328125" style="982" customWidth="1"/>
    <col min="7944" max="7944" width="22" style="982" customWidth="1"/>
    <col min="7945" max="7945" width="22.6328125" style="982" customWidth="1"/>
    <col min="7946" max="7951" width="21.08984375" style="982" bestFit="1" customWidth="1"/>
    <col min="7952" max="7952" width="19.54296875" style="982" customWidth="1"/>
    <col min="7953" max="7953" width="21.08984375" style="982" bestFit="1" customWidth="1"/>
    <col min="7954" max="7954" width="22.6328125" style="982" customWidth="1"/>
    <col min="7955" max="7955" width="22" style="982" customWidth="1"/>
    <col min="7956" max="7956" width="23.453125" style="982" bestFit="1" customWidth="1"/>
    <col min="7957" max="7959" width="9.08984375" style="982"/>
    <col min="7960" max="7960" width="11.36328125" style="982" customWidth="1"/>
    <col min="7961" max="7961" width="10.36328125" style="982" customWidth="1"/>
    <col min="7962" max="8169" width="9.08984375" style="982"/>
    <col min="8170" max="8170" width="2.90625" style="982" customWidth="1"/>
    <col min="8171" max="8171" width="13.08984375" style="982" customWidth="1"/>
    <col min="8172" max="8172" width="60.36328125" style="982" customWidth="1"/>
    <col min="8173" max="8177" width="10.90625" style="982" bestFit="1" customWidth="1"/>
    <col min="8178" max="8178" width="11.90625" style="982" bestFit="1" customWidth="1"/>
    <col min="8179" max="8179" width="14.36328125" style="982" bestFit="1" customWidth="1"/>
    <col min="8180" max="8180" width="17.453125" style="982" bestFit="1" customWidth="1"/>
    <col min="8181" max="8183" width="17.54296875" style="982" bestFit="1" customWidth="1"/>
    <col min="8184" max="8190" width="21" style="982" bestFit="1" customWidth="1"/>
    <col min="8191" max="8198" width="21.08984375" style="982" bestFit="1" customWidth="1"/>
    <col min="8199" max="8199" width="22.6328125" style="982" customWidth="1"/>
    <col min="8200" max="8200" width="22" style="982" customWidth="1"/>
    <col min="8201" max="8201" width="22.6328125" style="982" customWidth="1"/>
    <col min="8202" max="8207" width="21.08984375" style="982" bestFit="1" customWidth="1"/>
    <col min="8208" max="8208" width="19.54296875" style="982" customWidth="1"/>
    <col min="8209" max="8209" width="21.08984375" style="982" bestFit="1" customWidth="1"/>
    <col min="8210" max="8210" width="22.6328125" style="982" customWidth="1"/>
    <col min="8211" max="8211" width="22" style="982" customWidth="1"/>
    <col min="8212" max="8212" width="23.453125" style="982" bestFit="1" customWidth="1"/>
    <col min="8213" max="8215" width="9.08984375" style="982"/>
    <col min="8216" max="8216" width="11.36328125" style="982" customWidth="1"/>
    <col min="8217" max="8217" width="10.36328125" style="982" customWidth="1"/>
    <col min="8218" max="8425" width="9.08984375" style="982"/>
    <col min="8426" max="8426" width="2.90625" style="982" customWidth="1"/>
    <col min="8427" max="8427" width="13.08984375" style="982" customWidth="1"/>
    <col min="8428" max="8428" width="60.36328125" style="982" customWidth="1"/>
    <col min="8429" max="8433" width="10.90625" style="982" bestFit="1" customWidth="1"/>
    <col min="8434" max="8434" width="11.90625" style="982" bestFit="1" customWidth="1"/>
    <col min="8435" max="8435" width="14.36328125" style="982" bestFit="1" customWidth="1"/>
    <col min="8436" max="8436" width="17.453125" style="982" bestFit="1" customWidth="1"/>
    <col min="8437" max="8439" width="17.54296875" style="982" bestFit="1" customWidth="1"/>
    <col min="8440" max="8446" width="21" style="982" bestFit="1" customWidth="1"/>
    <col min="8447" max="8454" width="21.08984375" style="982" bestFit="1" customWidth="1"/>
    <col min="8455" max="8455" width="22.6328125" style="982" customWidth="1"/>
    <col min="8456" max="8456" width="22" style="982" customWidth="1"/>
    <col min="8457" max="8457" width="22.6328125" style="982" customWidth="1"/>
    <col min="8458" max="8463" width="21.08984375" style="982" bestFit="1" customWidth="1"/>
    <col min="8464" max="8464" width="19.54296875" style="982" customWidth="1"/>
    <col min="8465" max="8465" width="21.08984375" style="982" bestFit="1" customWidth="1"/>
    <col min="8466" max="8466" width="22.6328125" style="982" customWidth="1"/>
    <col min="8467" max="8467" width="22" style="982" customWidth="1"/>
    <col min="8468" max="8468" width="23.453125" style="982" bestFit="1" customWidth="1"/>
    <col min="8469" max="8471" width="9.08984375" style="982"/>
    <col min="8472" max="8472" width="11.36328125" style="982" customWidth="1"/>
    <col min="8473" max="8473" width="10.36328125" style="982" customWidth="1"/>
    <col min="8474" max="8681" width="9.08984375" style="982"/>
    <col min="8682" max="8682" width="2.90625" style="982" customWidth="1"/>
    <col min="8683" max="8683" width="13.08984375" style="982" customWidth="1"/>
    <col min="8684" max="8684" width="60.36328125" style="982" customWidth="1"/>
    <col min="8685" max="8689" width="10.90625" style="982" bestFit="1" customWidth="1"/>
    <col min="8690" max="8690" width="11.90625" style="982" bestFit="1" customWidth="1"/>
    <col min="8691" max="8691" width="14.36328125" style="982" bestFit="1" customWidth="1"/>
    <col min="8692" max="8692" width="17.453125" style="982" bestFit="1" customWidth="1"/>
    <col min="8693" max="8695" width="17.54296875" style="982" bestFit="1" customWidth="1"/>
    <col min="8696" max="8702" width="21" style="982" bestFit="1" customWidth="1"/>
    <col min="8703" max="8710" width="21.08984375" style="982" bestFit="1" customWidth="1"/>
    <col min="8711" max="8711" width="22.6328125" style="982" customWidth="1"/>
    <col min="8712" max="8712" width="22" style="982" customWidth="1"/>
    <col min="8713" max="8713" width="22.6328125" style="982" customWidth="1"/>
    <col min="8714" max="8719" width="21.08984375" style="982" bestFit="1" customWidth="1"/>
    <col min="8720" max="8720" width="19.54296875" style="982" customWidth="1"/>
    <col min="8721" max="8721" width="21.08984375" style="982" bestFit="1" customWidth="1"/>
    <col min="8722" max="8722" width="22.6328125" style="982" customWidth="1"/>
    <col min="8723" max="8723" width="22" style="982" customWidth="1"/>
    <col min="8724" max="8724" width="23.453125" style="982" bestFit="1" customWidth="1"/>
    <col min="8725" max="8727" width="9.08984375" style="982"/>
    <col min="8728" max="8728" width="11.36328125" style="982" customWidth="1"/>
    <col min="8729" max="8729" width="10.36328125" style="982" customWidth="1"/>
    <col min="8730" max="8937" width="9.08984375" style="982"/>
    <col min="8938" max="8938" width="2.90625" style="982" customWidth="1"/>
    <col min="8939" max="8939" width="13.08984375" style="982" customWidth="1"/>
    <col min="8940" max="8940" width="60.36328125" style="982" customWidth="1"/>
    <col min="8941" max="8945" width="10.90625" style="982" bestFit="1" customWidth="1"/>
    <col min="8946" max="8946" width="11.90625" style="982" bestFit="1" customWidth="1"/>
    <col min="8947" max="8947" width="14.36328125" style="982" bestFit="1" customWidth="1"/>
    <col min="8948" max="8948" width="17.453125" style="982" bestFit="1" customWidth="1"/>
    <col min="8949" max="8951" width="17.54296875" style="982" bestFit="1" customWidth="1"/>
    <col min="8952" max="8958" width="21" style="982" bestFit="1" customWidth="1"/>
    <col min="8959" max="8966" width="21.08984375" style="982" bestFit="1" customWidth="1"/>
    <col min="8967" max="8967" width="22.6328125" style="982" customWidth="1"/>
    <col min="8968" max="8968" width="22" style="982" customWidth="1"/>
    <col min="8969" max="8969" width="22.6328125" style="982" customWidth="1"/>
    <col min="8970" max="8975" width="21.08984375" style="982" bestFit="1" customWidth="1"/>
    <col min="8976" max="8976" width="19.54296875" style="982" customWidth="1"/>
    <col min="8977" max="8977" width="21.08984375" style="982" bestFit="1" customWidth="1"/>
    <col min="8978" max="8978" width="22.6328125" style="982" customWidth="1"/>
    <col min="8979" max="8979" width="22" style="982" customWidth="1"/>
    <col min="8980" max="8980" width="23.453125" style="982" bestFit="1" customWidth="1"/>
    <col min="8981" max="8983" width="9.08984375" style="982"/>
    <col min="8984" max="8984" width="11.36328125" style="982" customWidth="1"/>
    <col min="8985" max="8985" width="10.36328125" style="982" customWidth="1"/>
    <col min="8986" max="9193" width="9.08984375" style="982"/>
    <col min="9194" max="9194" width="2.90625" style="982" customWidth="1"/>
    <col min="9195" max="9195" width="13.08984375" style="982" customWidth="1"/>
    <col min="9196" max="9196" width="60.36328125" style="982" customWidth="1"/>
    <col min="9197" max="9201" width="10.90625" style="982" bestFit="1" customWidth="1"/>
    <col min="9202" max="9202" width="11.90625" style="982" bestFit="1" customWidth="1"/>
    <col min="9203" max="9203" width="14.36328125" style="982" bestFit="1" customWidth="1"/>
    <col min="9204" max="9204" width="17.453125" style="982" bestFit="1" customWidth="1"/>
    <col min="9205" max="9207" width="17.54296875" style="982" bestFit="1" customWidth="1"/>
    <col min="9208" max="9214" width="21" style="982" bestFit="1" customWidth="1"/>
    <col min="9215" max="9222" width="21.08984375" style="982" bestFit="1" customWidth="1"/>
    <col min="9223" max="9223" width="22.6328125" style="982" customWidth="1"/>
    <col min="9224" max="9224" width="22" style="982" customWidth="1"/>
    <col min="9225" max="9225" width="22.6328125" style="982" customWidth="1"/>
    <col min="9226" max="9231" width="21.08984375" style="982" bestFit="1" customWidth="1"/>
    <col min="9232" max="9232" width="19.54296875" style="982" customWidth="1"/>
    <col min="9233" max="9233" width="21.08984375" style="982" bestFit="1" customWidth="1"/>
    <col min="9234" max="9234" width="22.6328125" style="982" customWidth="1"/>
    <col min="9235" max="9235" width="22" style="982" customWidth="1"/>
    <col min="9236" max="9236" width="23.453125" style="982" bestFit="1" customWidth="1"/>
    <col min="9237" max="9239" width="9.08984375" style="982"/>
    <col min="9240" max="9240" width="11.36328125" style="982" customWidth="1"/>
    <col min="9241" max="9241" width="10.36328125" style="982" customWidth="1"/>
    <col min="9242" max="9449" width="9.08984375" style="982"/>
    <col min="9450" max="9450" width="2.90625" style="982" customWidth="1"/>
    <col min="9451" max="9451" width="13.08984375" style="982" customWidth="1"/>
    <col min="9452" max="9452" width="60.36328125" style="982" customWidth="1"/>
    <col min="9453" max="9457" width="10.90625" style="982" bestFit="1" customWidth="1"/>
    <col min="9458" max="9458" width="11.90625" style="982" bestFit="1" customWidth="1"/>
    <col min="9459" max="9459" width="14.36328125" style="982" bestFit="1" customWidth="1"/>
    <col min="9460" max="9460" width="17.453125" style="982" bestFit="1" customWidth="1"/>
    <col min="9461" max="9463" width="17.54296875" style="982" bestFit="1" customWidth="1"/>
    <col min="9464" max="9470" width="21" style="982" bestFit="1" customWidth="1"/>
    <col min="9471" max="9478" width="21.08984375" style="982" bestFit="1" customWidth="1"/>
    <col min="9479" max="9479" width="22.6328125" style="982" customWidth="1"/>
    <col min="9480" max="9480" width="22" style="982" customWidth="1"/>
    <col min="9481" max="9481" width="22.6328125" style="982" customWidth="1"/>
    <col min="9482" max="9487" width="21.08984375" style="982" bestFit="1" customWidth="1"/>
    <col min="9488" max="9488" width="19.54296875" style="982" customWidth="1"/>
    <col min="9489" max="9489" width="21.08984375" style="982" bestFit="1" customWidth="1"/>
    <col min="9490" max="9490" width="22.6328125" style="982" customWidth="1"/>
    <col min="9491" max="9491" width="22" style="982" customWidth="1"/>
    <col min="9492" max="9492" width="23.453125" style="982" bestFit="1" customWidth="1"/>
    <col min="9493" max="9495" width="9.08984375" style="982"/>
    <col min="9496" max="9496" width="11.36328125" style="982" customWidth="1"/>
    <col min="9497" max="9497" width="10.36328125" style="982" customWidth="1"/>
    <col min="9498" max="9705" width="9.08984375" style="982"/>
    <col min="9706" max="9706" width="2.90625" style="982" customWidth="1"/>
    <col min="9707" max="9707" width="13.08984375" style="982" customWidth="1"/>
    <col min="9708" max="9708" width="60.36328125" style="982" customWidth="1"/>
    <col min="9709" max="9713" width="10.90625" style="982" bestFit="1" customWidth="1"/>
    <col min="9714" max="9714" width="11.90625" style="982" bestFit="1" customWidth="1"/>
    <col min="9715" max="9715" width="14.36328125" style="982" bestFit="1" customWidth="1"/>
    <col min="9716" max="9716" width="17.453125" style="982" bestFit="1" customWidth="1"/>
    <col min="9717" max="9719" width="17.54296875" style="982" bestFit="1" customWidth="1"/>
    <col min="9720" max="9726" width="21" style="982" bestFit="1" customWidth="1"/>
    <col min="9727" max="9734" width="21.08984375" style="982" bestFit="1" customWidth="1"/>
    <col min="9735" max="9735" width="22.6328125" style="982" customWidth="1"/>
    <col min="9736" max="9736" width="22" style="982" customWidth="1"/>
    <col min="9737" max="9737" width="22.6328125" style="982" customWidth="1"/>
    <col min="9738" max="9743" width="21.08984375" style="982" bestFit="1" customWidth="1"/>
    <col min="9744" max="9744" width="19.54296875" style="982" customWidth="1"/>
    <col min="9745" max="9745" width="21.08984375" style="982" bestFit="1" customWidth="1"/>
    <col min="9746" max="9746" width="22.6328125" style="982" customWidth="1"/>
    <col min="9747" max="9747" width="22" style="982" customWidth="1"/>
    <col min="9748" max="9748" width="23.453125" style="982" bestFit="1" customWidth="1"/>
    <col min="9749" max="9751" width="9.08984375" style="982"/>
    <col min="9752" max="9752" width="11.36328125" style="982" customWidth="1"/>
    <col min="9753" max="9753" width="10.36328125" style="982" customWidth="1"/>
    <col min="9754" max="9961" width="9.08984375" style="982"/>
    <col min="9962" max="9962" width="2.90625" style="982" customWidth="1"/>
    <col min="9963" max="9963" width="13.08984375" style="982" customWidth="1"/>
    <col min="9964" max="9964" width="60.36328125" style="982" customWidth="1"/>
    <col min="9965" max="9969" width="10.90625" style="982" bestFit="1" customWidth="1"/>
    <col min="9970" max="9970" width="11.90625" style="982" bestFit="1" customWidth="1"/>
    <col min="9971" max="9971" width="14.36328125" style="982" bestFit="1" customWidth="1"/>
    <col min="9972" max="9972" width="17.453125" style="982" bestFit="1" customWidth="1"/>
    <col min="9973" max="9975" width="17.54296875" style="982" bestFit="1" customWidth="1"/>
    <col min="9976" max="9982" width="21" style="982" bestFit="1" customWidth="1"/>
    <col min="9983" max="9990" width="21.08984375" style="982" bestFit="1" customWidth="1"/>
    <col min="9991" max="9991" width="22.6328125" style="982" customWidth="1"/>
    <col min="9992" max="9992" width="22" style="982" customWidth="1"/>
    <col min="9993" max="9993" width="22.6328125" style="982" customWidth="1"/>
    <col min="9994" max="9999" width="21.08984375" style="982" bestFit="1" customWidth="1"/>
    <col min="10000" max="10000" width="19.54296875" style="982" customWidth="1"/>
    <col min="10001" max="10001" width="21.08984375" style="982" bestFit="1" customWidth="1"/>
    <col min="10002" max="10002" width="22.6328125" style="982" customWidth="1"/>
    <col min="10003" max="10003" width="22" style="982" customWidth="1"/>
    <col min="10004" max="10004" width="23.453125" style="982" bestFit="1" customWidth="1"/>
    <col min="10005" max="10007" width="9.08984375" style="982"/>
    <col min="10008" max="10008" width="11.36328125" style="982" customWidth="1"/>
    <col min="10009" max="10009" width="10.36328125" style="982" customWidth="1"/>
    <col min="10010" max="10217" width="9.08984375" style="982"/>
    <col min="10218" max="10218" width="2.90625" style="982" customWidth="1"/>
    <col min="10219" max="10219" width="13.08984375" style="982" customWidth="1"/>
    <col min="10220" max="10220" width="60.36328125" style="982" customWidth="1"/>
    <col min="10221" max="10225" width="10.90625" style="982" bestFit="1" customWidth="1"/>
    <col min="10226" max="10226" width="11.90625" style="982" bestFit="1" customWidth="1"/>
    <col min="10227" max="10227" width="14.36328125" style="982" bestFit="1" customWidth="1"/>
    <col min="10228" max="10228" width="17.453125" style="982" bestFit="1" customWidth="1"/>
    <col min="10229" max="10231" width="17.54296875" style="982" bestFit="1" customWidth="1"/>
    <col min="10232" max="10238" width="21" style="982" bestFit="1" customWidth="1"/>
    <col min="10239" max="10246" width="21.08984375" style="982" bestFit="1" customWidth="1"/>
    <col min="10247" max="10247" width="22.6328125" style="982" customWidth="1"/>
    <col min="10248" max="10248" width="22" style="982" customWidth="1"/>
    <col min="10249" max="10249" width="22.6328125" style="982" customWidth="1"/>
    <col min="10250" max="10255" width="21.08984375" style="982" bestFit="1" customWidth="1"/>
    <col min="10256" max="10256" width="19.54296875" style="982" customWidth="1"/>
    <col min="10257" max="10257" width="21.08984375" style="982" bestFit="1" customWidth="1"/>
    <col min="10258" max="10258" width="22.6328125" style="982" customWidth="1"/>
    <col min="10259" max="10259" width="22" style="982" customWidth="1"/>
    <col min="10260" max="10260" width="23.453125" style="982" bestFit="1" customWidth="1"/>
    <col min="10261" max="10263" width="9.08984375" style="982"/>
    <col min="10264" max="10264" width="11.36328125" style="982" customWidth="1"/>
    <col min="10265" max="10265" width="10.36328125" style="982" customWidth="1"/>
    <col min="10266" max="10473" width="9.08984375" style="982"/>
    <col min="10474" max="10474" width="2.90625" style="982" customWidth="1"/>
    <col min="10475" max="10475" width="13.08984375" style="982" customWidth="1"/>
    <col min="10476" max="10476" width="60.36328125" style="982" customWidth="1"/>
    <col min="10477" max="10481" width="10.90625" style="982" bestFit="1" customWidth="1"/>
    <col min="10482" max="10482" width="11.90625" style="982" bestFit="1" customWidth="1"/>
    <col min="10483" max="10483" width="14.36328125" style="982" bestFit="1" customWidth="1"/>
    <col min="10484" max="10484" width="17.453125" style="982" bestFit="1" customWidth="1"/>
    <col min="10485" max="10487" width="17.54296875" style="982" bestFit="1" customWidth="1"/>
    <col min="10488" max="10494" width="21" style="982" bestFit="1" customWidth="1"/>
    <col min="10495" max="10502" width="21.08984375" style="982" bestFit="1" customWidth="1"/>
    <col min="10503" max="10503" width="22.6328125" style="982" customWidth="1"/>
    <col min="10504" max="10504" width="22" style="982" customWidth="1"/>
    <col min="10505" max="10505" width="22.6328125" style="982" customWidth="1"/>
    <col min="10506" max="10511" width="21.08984375" style="982" bestFit="1" customWidth="1"/>
    <col min="10512" max="10512" width="19.54296875" style="982" customWidth="1"/>
    <col min="10513" max="10513" width="21.08984375" style="982" bestFit="1" customWidth="1"/>
    <col min="10514" max="10514" width="22.6328125" style="982" customWidth="1"/>
    <col min="10515" max="10515" width="22" style="982" customWidth="1"/>
    <col min="10516" max="10516" width="23.453125" style="982" bestFit="1" customWidth="1"/>
    <col min="10517" max="10519" width="9.08984375" style="982"/>
    <col min="10520" max="10520" width="11.36328125" style="982" customWidth="1"/>
    <col min="10521" max="10521" width="10.36328125" style="982" customWidth="1"/>
    <col min="10522" max="10729" width="9.08984375" style="982"/>
    <col min="10730" max="10730" width="2.90625" style="982" customWidth="1"/>
    <col min="10731" max="10731" width="13.08984375" style="982" customWidth="1"/>
    <col min="10732" max="10732" width="60.36328125" style="982" customWidth="1"/>
    <col min="10733" max="10737" width="10.90625" style="982" bestFit="1" customWidth="1"/>
    <col min="10738" max="10738" width="11.90625" style="982" bestFit="1" customWidth="1"/>
    <col min="10739" max="10739" width="14.36328125" style="982" bestFit="1" customWidth="1"/>
    <col min="10740" max="10740" width="17.453125" style="982" bestFit="1" customWidth="1"/>
    <col min="10741" max="10743" width="17.54296875" style="982" bestFit="1" customWidth="1"/>
    <col min="10744" max="10750" width="21" style="982" bestFit="1" customWidth="1"/>
    <col min="10751" max="10758" width="21.08984375" style="982" bestFit="1" customWidth="1"/>
    <col min="10759" max="10759" width="22.6328125" style="982" customWidth="1"/>
    <col min="10760" max="10760" width="22" style="982" customWidth="1"/>
    <col min="10761" max="10761" width="22.6328125" style="982" customWidth="1"/>
    <col min="10762" max="10767" width="21.08984375" style="982" bestFit="1" customWidth="1"/>
    <col min="10768" max="10768" width="19.54296875" style="982" customWidth="1"/>
    <col min="10769" max="10769" width="21.08984375" style="982" bestFit="1" customWidth="1"/>
    <col min="10770" max="10770" width="22.6328125" style="982" customWidth="1"/>
    <col min="10771" max="10771" width="22" style="982" customWidth="1"/>
    <col min="10772" max="10772" width="23.453125" style="982" bestFit="1" customWidth="1"/>
    <col min="10773" max="10775" width="9.08984375" style="982"/>
    <col min="10776" max="10776" width="11.36328125" style="982" customWidth="1"/>
    <col min="10777" max="10777" width="10.36328125" style="982" customWidth="1"/>
    <col min="10778" max="10985" width="9.08984375" style="982"/>
    <col min="10986" max="10986" width="2.90625" style="982" customWidth="1"/>
    <col min="10987" max="10987" width="13.08984375" style="982" customWidth="1"/>
    <col min="10988" max="10988" width="60.36328125" style="982" customWidth="1"/>
    <col min="10989" max="10993" width="10.90625" style="982" bestFit="1" customWidth="1"/>
    <col min="10994" max="10994" width="11.90625" style="982" bestFit="1" customWidth="1"/>
    <col min="10995" max="10995" width="14.36328125" style="982" bestFit="1" customWidth="1"/>
    <col min="10996" max="10996" width="17.453125" style="982" bestFit="1" customWidth="1"/>
    <col min="10997" max="10999" width="17.54296875" style="982" bestFit="1" customWidth="1"/>
    <col min="11000" max="11006" width="21" style="982" bestFit="1" customWidth="1"/>
    <col min="11007" max="11014" width="21.08984375" style="982" bestFit="1" customWidth="1"/>
    <col min="11015" max="11015" width="22.6328125" style="982" customWidth="1"/>
    <col min="11016" max="11016" width="22" style="982" customWidth="1"/>
    <col min="11017" max="11017" width="22.6328125" style="982" customWidth="1"/>
    <col min="11018" max="11023" width="21.08984375" style="982" bestFit="1" customWidth="1"/>
    <col min="11024" max="11024" width="19.54296875" style="982" customWidth="1"/>
    <col min="11025" max="11025" width="21.08984375" style="982" bestFit="1" customWidth="1"/>
    <col min="11026" max="11026" width="22.6328125" style="982" customWidth="1"/>
    <col min="11027" max="11027" width="22" style="982" customWidth="1"/>
    <col min="11028" max="11028" width="23.453125" style="982" bestFit="1" customWidth="1"/>
    <col min="11029" max="11031" width="9.08984375" style="982"/>
    <col min="11032" max="11032" width="11.36328125" style="982" customWidth="1"/>
    <col min="11033" max="11033" width="10.36328125" style="982" customWidth="1"/>
    <col min="11034" max="11241" width="9.08984375" style="982"/>
    <col min="11242" max="11242" width="2.90625" style="982" customWidth="1"/>
    <col min="11243" max="11243" width="13.08984375" style="982" customWidth="1"/>
    <col min="11244" max="11244" width="60.36328125" style="982" customWidth="1"/>
    <col min="11245" max="11249" width="10.90625" style="982" bestFit="1" customWidth="1"/>
    <col min="11250" max="11250" width="11.90625" style="982" bestFit="1" customWidth="1"/>
    <col min="11251" max="11251" width="14.36328125" style="982" bestFit="1" customWidth="1"/>
    <col min="11252" max="11252" width="17.453125" style="982" bestFit="1" customWidth="1"/>
    <col min="11253" max="11255" width="17.54296875" style="982" bestFit="1" customWidth="1"/>
    <col min="11256" max="11262" width="21" style="982" bestFit="1" customWidth="1"/>
    <col min="11263" max="11270" width="21.08984375" style="982" bestFit="1" customWidth="1"/>
    <col min="11271" max="11271" width="22.6328125" style="982" customWidth="1"/>
    <col min="11272" max="11272" width="22" style="982" customWidth="1"/>
    <col min="11273" max="11273" width="22.6328125" style="982" customWidth="1"/>
    <col min="11274" max="11279" width="21.08984375" style="982" bestFit="1" customWidth="1"/>
    <col min="11280" max="11280" width="19.54296875" style="982" customWidth="1"/>
    <col min="11281" max="11281" width="21.08984375" style="982" bestFit="1" customWidth="1"/>
    <col min="11282" max="11282" width="22.6328125" style="982" customWidth="1"/>
    <col min="11283" max="11283" width="22" style="982" customWidth="1"/>
    <col min="11284" max="11284" width="23.453125" style="982" bestFit="1" customWidth="1"/>
    <col min="11285" max="11287" width="9.08984375" style="982"/>
    <col min="11288" max="11288" width="11.36328125" style="982" customWidth="1"/>
    <col min="11289" max="11289" width="10.36328125" style="982" customWidth="1"/>
    <col min="11290" max="11497" width="9.08984375" style="982"/>
    <col min="11498" max="11498" width="2.90625" style="982" customWidth="1"/>
    <col min="11499" max="11499" width="13.08984375" style="982" customWidth="1"/>
    <col min="11500" max="11500" width="60.36328125" style="982" customWidth="1"/>
    <col min="11501" max="11505" width="10.90625" style="982" bestFit="1" customWidth="1"/>
    <col min="11506" max="11506" width="11.90625" style="982" bestFit="1" customWidth="1"/>
    <col min="11507" max="11507" width="14.36328125" style="982" bestFit="1" customWidth="1"/>
    <col min="11508" max="11508" width="17.453125" style="982" bestFit="1" customWidth="1"/>
    <col min="11509" max="11511" width="17.54296875" style="982" bestFit="1" customWidth="1"/>
    <col min="11512" max="11518" width="21" style="982" bestFit="1" customWidth="1"/>
    <col min="11519" max="11526" width="21.08984375" style="982" bestFit="1" customWidth="1"/>
    <col min="11527" max="11527" width="22.6328125" style="982" customWidth="1"/>
    <col min="11528" max="11528" width="22" style="982" customWidth="1"/>
    <col min="11529" max="11529" width="22.6328125" style="982" customWidth="1"/>
    <col min="11530" max="11535" width="21.08984375" style="982" bestFit="1" customWidth="1"/>
    <col min="11536" max="11536" width="19.54296875" style="982" customWidth="1"/>
    <col min="11537" max="11537" width="21.08984375" style="982" bestFit="1" customWidth="1"/>
    <col min="11538" max="11538" width="22.6328125" style="982" customWidth="1"/>
    <col min="11539" max="11539" width="22" style="982" customWidth="1"/>
    <col min="11540" max="11540" width="23.453125" style="982" bestFit="1" customWidth="1"/>
    <col min="11541" max="11543" width="9.08984375" style="982"/>
    <col min="11544" max="11544" width="11.36328125" style="982" customWidth="1"/>
    <col min="11545" max="11545" width="10.36328125" style="982" customWidth="1"/>
    <col min="11546" max="11753" width="9.08984375" style="982"/>
    <col min="11754" max="11754" width="2.90625" style="982" customWidth="1"/>
    <col min="11755" max="11755" width="13.08984375" style="982" customWidth="1"/>
    <col min="11756" max="11756" width="60.36328125" style="982" customWidth="1"/>
    <col min="11757" max="11761" width="10.90625" style="982" bestFit="1" customWidth="1"/>
    <col min="11762" max="11762" width="11.90625" style="982" bestFit="1" customWidth="1"/>
    <col min="11763" max="11763" width="14.36328125" style="982" bestFit="1" customWidth="1"/>
    <col min="11764" max="11764" width="17.453125" style="982" bestFit="1" customWidth="1"/>
    <col min="11765" max="11767" width="17.54296875" style="982" bestFit="1" customWidth="1"/>
    <col min="11768" max="11774" width="21" style="982" bestFit="1" customWidth="1"/>
    <col min="11775" max="11782" width="21.08984375" style="982" bestFit="1" customWidth="1"/>
    <col min="11783" max="11783" width="22.6328125" style="982" customWidth="1"/>
    <col min="11784" max="11784" width="22" style="982" customWidth="1"/>
    <col min="11785" max="11785" width="22.6328125" style="982" customWidth="1"/>
    <col min="11786" max="11791" width="21.08984375" style="982" bestFit="1" customWidth="1"/>
    <col min="11792" max="11792" width="19.54296875" style="982" customWidth="1"/>
    <col min="11793" max="11793" width="21.08984375" style="982" bestFit="1" customWidth="1"/>
    <col min="11794" max="11794" width="22.6328125" style="982" customWidth="1"/>
    <col min="11795" max="11795" width="22" style="982" customWidth="1"/>
    <col min="11796" max="11796" width="23.453125" style="982" bestFit="1" customWidth="1"/>
    <col min="11797" max="11799" width="9.08984375" style="982"/>
    <col min="11800" max="11800" width="11.36328125" style="982" customWidth="1"/>
    <col min="11801" max="11801" width="10.36328125" style="982" customWidth="1"/>
    <col min="11802" max="12009" width="9.08984375" style="982"/>
    <col min="12010" max="12010" width="2.90625" style="982" customWidth="1"/>
    <col min="12011" max="12011" width="13.08984375" style="982" customWidth="1"/>
    <col min="12012" max="12012" width="60.36328125" style="982" customWidth="1"/>
    <col min="12013" max="12017" width="10.90625" style="982" bestFit="1" customWidth="1"/>
    <col min="12018" max="12018" width="11.90625" style="982" bestFit="1" customWidth="1"/>
    <col min="12019" max="12019" width="14.36328125" style="982" bestFit="1" customWidth="1"/>
    <col min="12020" max="12020" width="17.453125" style="982" bestFit="1" customWidth="1"/>
    <col min="12021" max="12023" width="17.54296875" style="982" bestFit="1" customWidth="1"/>
    <col min="12024" max="12030" width="21" style="982" bestFit="1" customWidth="1"/>
    <col min="12031" max="12038" width="21.08984375" style="982" bestFit="1" customWidth="1"/>
    <col min="12039" max="12039" width="22.6328125" style="982" customWidth="1"/>
    <col min="12040" max="12040" width="22" style="982" customWidth="1"/>
    <col min="12041" max="12041" width="22.6328125" style="982" customWidth="1"/>
    <col min="12042" max="12047" width="21.08984375" style="982" bestFit="1" customWidth="1"/>
    <col min="12048" max="12048" width="19.54296875" style="982" customWidth="1"/>
    <col min="12049" max="12049" width="21.08984375" style="982" bestFit="1" customWidth="1"/>
    <col min="12050" max="12050" width="22.6328125" style="982" customWidth="1"/>
    <col min="12051" max="12051" width="22" style="982" customWidth="1"/>
    <col min="12052" max="12052" width="23.453125" style="982" bestFit="1" customWidth="1"/>
    <col min="12053" max="12055" width="9.08984375" style="982"/>
    <col min="12056" max="12056" width="11.36328125" style="982" customWidth="1"/>
    <col min="12057" max="12057" width="10.36328125" style="982" customWidth="1"/>
    <col min="12058" max="12265" width="9.08984375" style="982"/>
    <col min="12266" max="12266" width="2.90625" style="982" customWidth="1"/>
    <col min="12267" max="12267" width="13.08984375" style="982" customWidth="1"/>
    <col min="12268" max="12268" width="60.36328125" style="982" customWidth="1"/>
    <col min="12269" max="12273" width="10.90625" style="982" bestFit="1" customWidth="1"/>
    <col min="12274" max="12274" width="11.90625" style="982" bestFit="1" customWidth="1"/>
    <col min="12275" max="12275" width="14.36328125" style="982" bestFit="1" customWidth="1"/>
    <col min="12276" max="12276" width="17.453125" style="982" bestFit="1" customWidth="1"/>
    <col min="12277" max="12279" width="17.54296875" style="982" bestFit="1" customWidth="1"/>
    <col min="12280" max="12286" width="21" style="982" bestFit="1" customWidth="1"/>
    <col min="12287" max="12294" width="21.08984375" style="982" bestFit="1" customWidth="1"/>
    <col min="12295" max="12295" width="22.6328125" style="982" customWidth="1"/>
    <col min="12296" max="12296" width="22" style="982" customWidth="1"/>
    <col min="12297" max="12297" width="22.6328125" style="982" customWidth="1"/>
    <col min="12298" max="12303" width="21.08984375" style="982" bestFit="1" customWidth="1"/>
    <col min="12304" max="12304" width="19.54296875" style="982" customWidth="1"/>
    <col min="12305" max="12305" width="21.08984375" style="982" bestFit="1" customWidth="1"/>
    <col min="12306" max="12306" width="22.6328125" style="982" customWidth="1"/>
    <col min="12307" max="12307" width="22" style="982" customWidth="1"/>
    <col min="12308" max="12308" width="23.453125" style="982" bestFit="1" customWidth="1"/>
    <col min="12309" max="12311" width="9.08984375" style="982"/>
    <col min="12312" max="12312" width="11.36328125" style="982" customWidth="1"/>
    <col min="12313" max="12313" width="10.36328125" style="982" customWidth="1"/>
    <col min="12314" max="12521" width="9.08984375" style="982"/>
    <col min="12522" max="12522" width="2.90625" style="982" customWidth="1"/>
    <col min="12523" max="12523" width="13.08984375" style="982" customWidth="1"/>
    <col min="12524" max="12524" width="60.36328125" style="982" customWidth="1"/>
    <col min="12525" max="12529" width="10.90625" style="982" bestFit="1" customWidth="1"/>
    <col min="12530" max="12530" width="11.90625" style="982" bestFit="1" customWidth="1"/>
    <col min="12531" max="12531" width="14.36328125" style="982" bestFit="1" customWidth="1"/>
    <col min="12532" max="12532" width="17.453125" style="982" bestFit="1" customWidth="1"/>
    <col min="12533" max="12535" width="17.54296875" style="982" bestFit="1" customWidth="1"/>
    <col min="12536" max="12542" width="21" style="982" bestFit="1" customWidth="1"/>
    <col min="12543" max="12550" width="21.08984375" style="982" bestFit="1" customWidth="1"/>
    <col min="12551" max="12551" width="22.6328125" style="982" customWidth="1"/>
    <col min="12552" max="12552" width="22" style="982" customWidth="1"/>
    <col min="12553" max="12553" width="22.6328125" style="982" customWidth="1"/>
    <col min="12554" max="12559" width="21.08984375" style="982" bestFit="1" customWidth="1"/>
    <col min="12560" max="12560" width="19.54296875" style="982" customWidth="1"/>
    <col min="12561" max="12561" width="21.08984375" style="982" bestFit="1" customWidth="1"/>
    <col min="12562" max="12562" width="22.6328125" style="982" customWidth="1"/>
    <col min="12563" max="12563" width="22" style="982" customWidth="1"/>
    <col min="12564" max="12564" width="23.453125" style="982" bestFit="1" customWidth="1"/>
    <col min="12565" max="12567" width="9.08984375" style="982"/>
    <col min="12568" max="12568" width="11.36328125" style="982" customWidth="1"/>
    <col min="12569" max="12569" width="10.36328125" style="982" customWidth="1"/>
    <col min="12570" max="12777" width="9.08984375" style="982"/>
    <col min="12778" max="12778" width="2.90625" style="982" customWidth="1"/>
    <col min="12779" max="12779" width="13.08984375" style="982" customWidth="1"/>
    <col min="12780" max="12780" width="60.36328125" style="982" customWidth="1"/>
    <col min="12781" max="12785" width="10.90625" style="982" bestFit="1" customWidth="1"/>
    <col min="12786" max="12786" width="11.90625" style="982" bestFit="1" customWidth="1"/>
    <col min="12787" max="12787" width="14.36328125" style="982" bestFit="1" customWidth="1"/>
    <col min="12788" max="12788" width="17.453125" style="982" bestFit="1" customWidth="1"/>
    <col min="12789" max="12791" width="17.54296875" style="982" bestFit="1" customWidth="1"/>
    <col min="12792" max="12798" width="21" style="982" bestFit="1" customWidth="1"/>
    <col min="12799" max="12806" width="21.08984375" style="982" bestFit="1" customWidth="1"/>
    <col min="12807" max="12807" width="22.6328125" style="982" customWidth="1"/>
    <col min="12808" max="12808" width="22" style="982" customWidth="1"/>
    <col min="12809" max="12809" width="22.6328125" style="982" customWidth="1"/>
    <col min="12810" max="12815" width="21.08984375" style="982" bestFit="1" customWidth="1"/>
    <col min="12816" max="12816" width="19.54296875" style="982" customWidth="1"/>
    <col min="12817" max="12817" width="21.08984375" style="982" bestFit="1" customWidth="1"/>
    <col min="12818" max="12818" width="22.6328125" style="982" customWidth="1"/>
    <col min="12819" max="12819" width="22" style="982" customWidth="1"/>
    <col min="12820" max="12820" width="23.453125" style="982" bestFit="1" customWidth="1"/>
    <col min="12821" max="12823" width="9.08984375" style="982"/>
    <col min="12824" max="12824" width="11.36328125" style="982" customWidth="1"/>
    <col min="12825" max="12825" width="10.36328125" style="982" customWidth="1"/>
    <col min="12826" max="13033" width="9.08984375" style="982"/>
    <col min="13034" max="13034" width="2.90625" style="982" customWidth="1"/>
    <col min="13035" max="13035" width="13.08984375" style="982" customWidth="1"/>
    <col min="13036" max="13036" width="60.36328125" style="982" customWidth="1"/>
    <col min="13037" max="13041" width="10.90625" style="982" bestFit="1" customWidth="1"/>
    <col min="13042" max="13042" width="11.90625" style="982" bestFit="1" customWidth="1"/>
    <col min="13043" max="13043" width="14.36328125" style="982" bestFit="1" customWidth="1"/>
    <col min="13044" max="13044" width="17.453125" style="982" bestFit="1" customWidth="1"/>
    <col min="13045" max="13047" width="17.54296875" style="982" bestFit="1" customWidth="1"/>
    <col min="13048" max="13054" width="21" style="982" bestFit="1" customWidth="1"/>
    <col min="13055" max="13062" width="21.08984375" style="982" bestFit="1" customWidth="1"/>
    <col min="13063" max="13063" width="22.6328125" style="982" customWidth="1"/>
    <col min="13064" max="13064" width="22" style="982" customWidth="1"/>
    <col min="13065" max="13065" width="22.6328125" style="982" customWidth="1"/>
    <col min="13066" max="13071" width="21.08984375" style="982" bestFit="1" customWidth="1"/>
    <col min="13072" max="13072" width="19.54296875" style="982" customWidth="1"/>
    <col min="13073" max="13073" width="21.08984375" style="982" bestFit="1" customWidth="1"/>
    <col min="13074" max="13074" width="22.6328125" style="982" customWidth="1"/>
    <col min="13075" max="13075" width="22" style="982" customWidth="1"/>
    <col min="13076" max="13076" width="23.453125" style="982" bestFit="1" customWidth="1"/>
    <col min="13077" max="13079" width="9.08984375" style="982"/>
    <col min="13080" max="13080" width="11.36328125" style="982" customWidth="1"/>
    <col min="13081" max="13081" width="10.36328125" style="982" customWidth="1"/>
    <col min="13082" max="13289" width="9.08984375" style="982"/>
    <col min="13290" max="13290" width="2.90625" style="982" customWidth="1"/>
    <col min="13291" max="13291" width="13.08984375" style="982" customWidth="1"/>
    <col min="13292" max="13292" width="60.36328125" style="982" customWidth="1"/>
    <col min="13293" max="13297" width="10.90625" style="982" bestFit="1" customWidth="1"/>
    <col min="13298" max="13298" width="11.90625" style="982" bestFit="1" customWidth="1"/>
    <col min="13299" max="13299" width="14.36328125" style="982" bestFit="1" customWidth="1"/>
    <col min="13300" max="13300" width="17.453125" style="982" bestFit="1" customWidth="1"/>
    <col min="13301" max="13303" width="17.54296875" style="982" bestFit="1" customWidth="1"/>
    <col min="13304" max="13310" width="21" style="982" bestFit="1" customWidth="1"/>
    <col min="13311" max="13318" width="21.08984375" style="982" bestFit="1" customWidth="1"/>
    <col min="13319" max="13319" width="22.6328125" style="982" customWidth="1"/>
    <col min="13320" max="13320" width="22" style="982" customWidth="1"/>
    <col min="13321" max="13321" width="22.6328125" style="982" customWidth="1"/>
    <col min="13322" max="13327" width="21.08984375" style="982" bestFit="1" customWidth="1"/>
    <col min="13328" max="13328" width="19.54296875" style="982" customWidth="1"/>
    <col min="13329" max="13329" width="21.08984375" style="982" bestFit="1" customWidth="1"/>
    <col min="13330" max="13330" width="22.6328125" style="982" customWidth="1"/>
    <col min="13331" max="13331" width="22" style="982" customWidth="1"/>
    <col min="13332" max="13332" width="23.453125" style="982" bestFit="1" customWidth="1"/>
    <col min="13333" max="13335" width="9.08984375" style="982"/>
    <col min="13336" max="13336" width="11.36328125" style="982" customWidth="1"/>
    <col min="13337" max="13337" width="10.36328125" style="982" customWidth="1"/>
    <col min="13338" max="13545" width="9.08984375" style="982"/>
    <col min="13546" max="13546" width="2.90625" style="982" customWidth="1"/>
    <col min="13547" max="13547" width="13.08984375" style="982" customWidth="1"/>
    <col min="13548" max="13548" width="60.36328125" style="982" customWidth="1"/>
    <col min="13549" max="13553" width="10.90625" style="982" bestFit="1" customWidth="1"/>
    <col min="13554" max="13554" width="11.90625" style="982" bestFit="1" customWidth="1"/>
    <col min="13555" max="13555" width="14.36328125" style="982" bestFit="1" customWidth="1"/>
    <col min="13556" max="13556" width="17.453125" style="982" bestFit="1" customWidth="1"/>
    <col min="13557" max="13559" width="17.54296875" style="982" bestFit="1" customWidth="1"/>
    <col min="13560" max="13566" width="21" style="982" bestFit="1" customWidth="1"/>
    <col min="13567" max="13574" width="21.08984375" style="982" bestFit="1" customWidth="1"/>
    <col min="13575" max="13575" width="22.6328125" style="982" customWidth="1"/>
    <col min="13576" max="13576" width="22" style="982" customWidth="1"/>
    <col min="13577" max="13577" width="22.6328125" style="982" customWidth="1"/>
    <col min="13578" max="13583" width="21.08984375" style="982" bestFit="1" customWidth="1"/>
    <col min="13584" max="13584" width="19.54296875" style="982" customWidth="1"/>
    <col min="13585" max="13585" width="21.08984375" style="982" bestFit="1" customWidth="1"/>
    <col min="13586" max="13586" width="22.6328125" style="982" customWidth="1"/>
    <col min="13587" max="13587" width="22" style="982" customWidth="1"/>
    <col min="13588" max="13588" width="23.453125" style="982" bestFit="1" customWidth="1"/>
    <col min="13589" max="13591" width="9.08984375" style="982"/>
    <col min="13592" max="13592" width="11.36328125" style="982" customWidth="1"/>
    <col min="13593" max="13593" width="10.36328125" style="982" customWidth="1"/>
    <col min="13594" max="13801" width="9.08984375" style="982"/>
    <col min="13802" max="13802" width="2.90625" style="982" customWidth="1"/>
    <col min="13803" max="13803" width="13.08984375" style="982" customWidth="1"/>
    <col min="13804" max="13804" width="60.36328125" style="982" customWidth="1"/>
    <col min="13805" max="13809" width="10.90625" style="982" bestFit="1" customWidth="1"/>
    <col min="13810" max="13810" width="11.90625" style="982" bestFit="1" customWidth="1"/>
    <col min="13811" max="13811" width="14.36328125" style="982" bestFit="1" customWidth="1"/>
    <col min="13812" max="13812" width="17.453125" style="982" bestFit="1" customWidth="1"/>
    <col min="13813" max="13815" width="17.54296875" style="982" bestFit="1" customWidth="1"/>
    <col min="13816" max="13822" width="21" style="982" bestFit="1" customWidth="1"/>
    <col min="13823" max="13830" width="21.08984375" style="982" bestFit="1" customWidth="1"/>
    <col min="13831" max="13831" width="22.6328125" style="982" customWidth="1"/>
    <col min="13832" max="13832" width="22" style="982" customWidth="1"/>
    <col min="13833" max="13833" width="22.6328125" style="982" customWidth="1"/>
    <col min="13834" max="13839" width="21.08984375" style="982" bestFit="1" customWidth="1"/>
    <col min="13840" max="13840" width="19.54296875" style="982" customWidth="1"/>
    <col min="13841" max="13841" width="21.08984375" style="982" bestFit="1" customWidth="1"/>
    <col min="13842" max="13842" width="22.6328125" style="982" customWidth="1"/>
    <col min="13843" max="13843" width="22" style="982" customWidth="1"/>
    <col min="13844" max="13844" width="23.453125" style="982" bestFit="1" customWidth="1"/>
    <col min="13845" max="13847" width="9.08984375" style="982"/>
    <col min="13848" max="13848" width="11.36328125" style="982" customWidth="1"/>
    <col min="13849" max="13849" width="10.36328125" style="982" customWidth="1"/>
    <col min="13850" max="14057" width="9.08984375" style="982"/>
    <col min="14058" max="14058" width="2.90625" style="982" customWidth="1"/>
    <col min="14059" max="14059" width="13.08984375" style="982" customWidth="1"/>
    <col min="14060" max="14060" width="60.36328125" style="982" customWidth="1"/>
    <col min="14061" max="14065" width="10.90625" style="982" bestFit="1" customWidth="1"/>
    <col min="14066" max="14066" width="11.90625" style="982" bestFit="1" customWidth="1"/>
    <col min="14067" max="14067" width="14.36328125" style="982" bestFit="1" customWidth="1"/>
    <col min="14068" max="14068" width="17.453125" style="982" bestFit="1" customWidth="1"/>
    <col min="14069" max="14071" width="17.54296875" style="982" bestFit="1" customWidth="1"/>
    <col min="14072" max="14078" width="21" style="982" bestFit="1" customWidth="1"/>
    <col min="14079" max="14086" width="21.08984375" style="982" bestFit="1" customWidth="1"/>
    <col min="14087" max="14087" width="22.6328125" style="982" customWidth="1"/>
    <col min="14088" max="14088" width="22" style="982" customWidth="1"/>
    <col min="14089" max="14089" width="22.6328125" style="982" customWidth="1"/>
    <col min="14090" max="14095" width="21.08984375" style="982" bestFit="1" customWidth="1"/>
    <col min="14096" max="14096" width="19.54296875" style="982" customWidth="1"/>
    <col min="14097" max="14097" width="21.08984375" style="982" bestFit="1" customWidth="1"/>
    <col min="14098" max="14098" width="22.6328125" style="982" customWidth="1"/>
    <col min="14099" max="14099" width="22" style="982" customWidth="1"/>
    <col min="14100" max="14100" width="23.453125" style="982" bestFit="1" customWidth="1"/>
    <col min="14101" max="14103" width="9.08984375" style="982"/>
    <col min="14104" max="14104" width="11.36328125" style="982" customWidth="1"/>
    <col min="14105" max="14105" width="10.36328125" style="982" customWidth="1"/>
    <col min="14106" max="14313" width="9.08984375" style="982"/>
    <col min="14314" max="14314" width="2.90625" style="982" customWidth="1"/>
    <col min="14315" max="14315" width="13.08984375" style="982" customWidth="1"/>
    <col min="14316" max="14316" width="60.36328125" style="982" customWidth="1"/>
    <col min="14317" max="14321" width="10.90625" style="982" bestFit="1" customWidth="1"/>
    <col min="14322" max="14322" width="11.90625" style="982" bestFit="1" customWidth="1"/>
    <col min="14323" max="14323" width="14.36328125" style="982" bestFit="1" customWidth="1"/>
    <col min="14324" max="14324" width="17.453125" style="982" bestFit="1" customWidth="1"/>
    <col min="14325" max="14327" width="17.54296875" style="982" bestFit="1" customWidth="1"/>
    <col min="14328" max="14334" width="21" style="982" bestFit="1" customWidth="1"/>
    <col min="14335" max="14342" width="21.08984375" style="982" bestFit="1" customWidth="1"/>
    <col min="14343" max="14343" width="22.6328125" style="982" customWidth="1"/>
    <col min="14344" max="14344" width="22" style="982" customWidth="1"/>
    <col min="14345" max="14345" width="22.6328125" style="982" customWidth="1"/>
    <col min="14346" max="14351" width="21.08984375" style="982" bestFit="1" customWidth="1"/>
    <col min="14352" max="14352" width="19.54296875" style="982" customWidth="1"/>
    <col min="14353" max="14353" width="21.08984375" style="982" bestFit="1" customWidth="1"/>
    <col min="14354" max="14354" width="22.6328125" style="982" customWidth="1"/>
    <col min="14355" max="14355" width="22" style="982" customWidth="1"/>
    <col min="14356" max="14356" width="23.453125" style="982" bestFit="1" customWidth="1"/>
    <col min="14357" max="14359" width="9.08984375" style="982"/>
    <col min="14360" max="14360" width="11.36328125" style="982" customWidth="1"/>
    <col min="14361" max="14361" width="10.36328125" style="982" customWidth="1"/>
    <col min="14362" max="14569" width="9.08984375" style="982"/>
    <col min="14570" max="14570" width="2.90625" style="982" customWidth="1"/>
    <col min="14571" max="14571" width="13.08984375" style="982" customWidth="1"/>
    <col min="14572" max="14572" width="60.36328125" style="982" customWidth="1"/>
    <col min="14573" max="14577" width="10.90625" style="982" bestFit="1" customWidth="1"/>
    <col min="14578" max="14578" width="11.90625" style="982" bestFit="1" customWidth="1"/>
    <col min="14579" max="14579" width="14.36328125" style="982" bestFit="1" customWidth="1"/>
    <col min="14580" max="14580" width="17.453125" style="982" bestFit="1" customWidth="1"/>
    <col min="14581" max="14583" width="17.54296875" style="982" bestFit="1" customWidth="1"/>
    <col min="14584" max="14590" width="21" style="982" bestFit="1" customWidth="1"/>
    <col min="14591" max="14598" width="21.08984375" style="982" bestFit="1" customWidth="1"/>
    <col min="14599" max="14599" width="22.6328125" style="982" customWidth="1"/>
    <col min="14600" max="14600" width="22" style="982" customWidth="1"/>
    <col min="14601" max="14601" width="22.6328125" style="982" customWidth="1"/>
    <col min="14602" max="14607" width="21.08984375" style="982" bestFit="1" customWidth="1"/>
    <col min="14608" max="14608" width="19.54296875" style="982" customWidth="1"/>
    <col min="14609" max="14609" width="21.08984375" style="982" bestFit="1" customWidth="1"/>
    <col min="14610" max="14610" width="22.6328125" style="982" customWidth="1"/>
    <col min="14611" max="14611" width="22" style="982" customWidth="1"/>
    <col min="14612" max="14612" width="23.453125" style="982" bestFit="1" customWidth="1"/>
    <col min="14613" max="14615" width="9.08984375" style="982"/>
    <col min="14616" max="14616" width="11.36328125" style="982" customWidth="1"/>
    <col min="14617" max="14617" width="10.36328125" style="982" customWidth="1"/>
    <col min="14618" max="14825" width="9.08984375" style="982"/>
    <col min="14826" max="14826" width="2.90625" style="982" customWidth="1"/>
    <col min="14827" max="14827" width="13.08984375" style="982" customWidth="1"/>
    <col min="14828" max="14828" width="60.36328125" style="982" customWidth="1"/>
    <col min="14829" max="14833" width="10.90625" style="982" bestFit="1" customWidth="1"/>
    <col min="14834" max="14834" width="11.90625" style="982" bestFit="1" customWidth="1"/>
    <col min="14835" max="14835" width="14.36328125" style="982" bestFit="1" customWidth="1"/>
    <col min="14836" max="14836" width="17.453125" style="982" bestFit="1" customWidth="1"/>
    <col min="14837" max="14839" width="17.54296875" style="982" bestFit="1" customWidth="1"/>
    <col min="14840" max="14846" width="21" style="982" bestFit="1" customWidth="1"/>
    <col min="14847" max="14854" width="21.08984375" style="982" bestFit="1" customWidth="1"/>
    <col min="14855" max="14855" width="22.6328125" style="982" customWidth="1"/>
    <col min="14856" max="14856" width="22" style="982" customWidth="1"/>
    <col min="14857" max="14857" width="22.6328125" style="982" customWidth="1"/>
    <col min="14858" max="14863" width="21.08984375" style="982" bestFit="1" customWidth="1"/>
    <col min="14864" max="14864" width="19.54296875" style="982" customWidth="1"/>
    <col min="14865" max="14865" width="21.08984375" style="982" bestFit="1" customWidth="1"/>
    <col min="14866" max="14866" width="22.6328125" style="982" customWidth="1"/>
    <col min="14867" max="14867" width="22" style="982" customWidth="1"/>
    <col min="14868" max="14868" width="23.453125" style="982" bestFit="1" customWidth="1"/>
    <col min="14869" max="14871" width="9.08984375" style="982"/>
    <col min="14872" max="14872" width="11.36328125" style="982" customWidth="1"/>
    <col min="14873" max="14873" width="10.36328125" style="982" customWidth="1"/>
    <col min="14874" max="15081" width="9.08984375" style="982"/>
    <col min="15082" max="15082" width="2.90625" style="982" customWidth="1"/>
    <col min="15083" max="15083" width="13.08984375" style="982" customWidth="1"/>
    <col min="15084" max="15084" width="60.36328125" style="982" customWidth="1"/>
    <col min="15085" max="15089" width="10.90625" style="982" bestFit="1" customWidth="1"/>
    <col min="15090" max="15090" width="11.90625" style="982" bestFit="1" customWidth="1"/>
    <col min="15091" max="15091" width="14.36328125" style="982" bestFit="1" customWidth="1"/>
    <col min="15092" max="15092" width="17.453125" style="982" bestFit="1" customWidth="1"/>
    <col min="15093" max="15095" width="17.54296875" style="982" bestFit="1" customWidth="1"/>
    <col min="15096" max="15102" width="21" style="982" bestFit="1" customWidth="1"/>
    <col min="15103" max="15110" width="21.08984375" style="982" bestFit="1" customWidth="1"/>
    <col min="15111" max="15111" width="22.6328125" style="982" customWidth="1"/>
    <col min="15112" max="15112" width="22" style="982" customWidth="1"/>
    <col min="15113" max="15113" width="22.6328125" style="982" customWidth="1"/>
    <col min="15114" max="15119" width="21.08984375" style="982" bestFit="1" customWidth="1"/>
    <col min="15120" max="15120" width="19.54296875" style="982" customWidth="1"/>
    <col min="15121" max="15121" width="21.08984375" style="982" bestFit="1" customWidth="1"/>
    <col min="15122" max="15122" width="22.6328125" style="982" customWidth="1"/>
    <col min="15123" max="15123" width="22" style="982" customWidth="1"/>
    <col min="15124" max="15124" width="23.453125" style="982" bestFit="1" customWidth="1"/>
    <col min="15125" max="15127" width="9.08984375" style="982"/>
    <col min="15128" max="15128" width="11.36328125" style="982" customWidth="1"/>
    <col min="15129" max="15129" width="10.36328125" style="982" customWidth="1"/>
    <col min="15130" max="15337" width="9.08984375" style="982"/>
    <col min="15338" max="15338" width="2.90625" style="982" customWidth="1"/>
    <col min="15339" max="15339" width="13.08984375" style="982" customWidth="1"/>
    <col min="15340" max="15340" width="60.36328125" style="982" customWidth="1"/>
    <col min="15341" max="15345" width="10.90625" style="982" bestFit="1" customWidth="1"/>
    <col min="15346" max="15346" width="11.90625" style="982" bestFit="1" customWidth="1"/>
    <col min="15347" max="15347" width="14.36328125" style="982" bestFit="1" customWidth="1"/>
    <col min="15348" max="15348" width="17.453125" style="982" bestFit="1" customWidth="1"/>
    <col min="15349" max="15351" width="17.54296875" style="982" bestFit="1" customWidth="1"/>
    <col min="15352" max="15358" width="21" style="982" bestFit="1" customWidth="1"/>
    <col min="15359" max="15366" width="21.08984375" style="982" bestFit="1" customWidth="1"/>
    <col min="15367" max="15367" width="22.6328125" style="982" customWidth="1"/>
    <col min="15368" max="15368" width="22" style="982" customWidth="1"/>
    <col min="15369" max="15369" width="22.6328125" style="982" customWidth="1"/>
    <col min="15370" max="15375" width="21.08984375" style="982" bestFit="1" customWidth="1"/>
    <col min="15376" max="15376" width="19.54296875" style="982" customWidth="1"/>
    <col min="15377" max="15377" width="21.08984375" style="982" bestFit="1" customWidth="1"/>
    <col min="15378" max="15378" width="22.6328125" style="982" customWidth="1"/>
    <col min="15379" max="15379" width="22" style="982" customWidth="1"/>
    <col min="15380" max="15380" width="23.453125" style="982" bestFit="1" customWidth="1"/>
    <col min="15381" max="15383" width="9.08984375" style="982"/>
    <col min="15384" max="15384" width="11.36328125" style="982" customWidth="1"/>
    <col min="15385" max="15385" width="10.36328125" style="982" customWidth="1"/>
    <col min="15386" max="15593" width="9.08984375" style="982"/>
    <col min="15594" max="15594" width="2.90625" style="982" customWidth="1"/>
    <col min="15595" max="15595" width="13.08984375" style="982" customWidth="1"/>
    <col min="15596" max="15596" width="60.36328125" style="982" customWidth="1"/>
    <col min="15597" max="15601" width="10.90625" style="982" bestFit="1" customWidth="1"/>
    <col min="15602" max="15602" width="11.90625" style="982" bestFit="1" customWidth="1"/>
    <col min="15603" max="15603" width="14.36328125" style="982" bestFit="1" customWidth="1"/>
    <col min="15604" max="15604" width="17.453125" style="982" bestFit="1" customWidth="1"/>
    <col min="15605" max="15607" width="17.54296875" style="982" bestFit="1" customWidth="1"/>
    <col min="15608" max="15614" width="21" style="982" bestFit="1" customWidth="1"/>
    <col min="15615" max="15622" width="21.08984375" style="982" bestFit="1" customWidth="1"/>
    <col min="15623" max="15623" width="22.6328125" style="982" customWidth="1"/>
    <col min="15624" max="15624" width="22" style="982" customWidth="1"/>
    <col min="15625" max="15625" width="22.6328125" style="982" customWidth="1"/>
    <col min="15626" max="15631" width="21.08984375" style="982" bestFit="1" customWidth="1"/>
    <col min="15632" max="15632" width="19.54296875" style="982" customWidth="1"/>
    <col min="15633" max="15633" width="21.08984375" style="982" bestFit="1" customWidth="1"/>
    <col min="15634" max="15634" width="22.6328125" style="982" customWidth="1"/>
    <col min="15635" max="15635" width="22" style="982" customWidth="1"/>
    <col min="15636" max="15636" width="23.453125" style="982" bestFit="1" customWidth="1"/>
    <col min="15637" max="15639" width="9.08984375" style="982"/>
    <col min="15640" max="15640" width="11.36328125" style="982" customWidth="1"/>
    <col min="15641" max="15641" width="10.36328125" style="982" customWidth="1"/>
    <col min="15642" max="15849" width="9.08984375" style="982"/>
    <col min="15850" max="15850" width="2.90625" style="982" customWidth="1"/>
    <col min="15851" max="15851" width="13.08984375" style="982" customWidth="1"/>
    <col min="15852" max="15852" width="60.36328125" style="982" customWidth="1"/>
    <col min="15853" max="15857" width="10.90625" style="982" bestFit="1" customWidth="1"/>
    <col min="15858" max="15858" width="11.90625" style="982" bestFit="1" customWidth="1"/>
    <col min="15859" max="15859" width="14.36328125" style="982" bestFit="1" customWidth="1"/>
    <col min="15860" max="15860" width="17.453125" style="982" bestFit="1" customWidth="1"/>
    <col min="15861" max="15863" width="17.54296875" style="982" bestFit="1" customWidth="1"/>
    <col min="15864" max="15870" width="21" style="982" bestFit="1" customWidth="1"/>
    <col min="15871" max="15878" width="21.08984375" style="982" bestFit="1" customWidth="1"/>
    <col min="15879" max="15879" width="22.6328125" style="982" customWidth="1"/>
    <col min="15880" max="15880" width="22" style="982" customWidth="1"/>
    <col min="15881" max="15881" width="22.6328125" style="982" customWidth="1"/>
    <col min="15882" max="15887" width="21.08984375" style="982" bestFit="1" customWidth="1"/>
    <col min="15888" max="15888" width="19.54296875" style="982" customWidth="1"/>
    <col min="15889" max="15889" width="21.08984375" style="982" bestFit="1" customWidth="1"/>
    <col min="15890" max="15890" width="22.6328125" style="982" customWidth="1"/>
    <col min="15891" max="15891" width="22" style="982" customWidth="1"/>
    <col min="15892" max="15892" width="23.453125" style="982" bestFit="1" customWidth="1"/>
    <col min="15893" max="15895" width="9.08984375" style="982"/>
    <col min="15896" max="15896" width="11.36328125" style="982" customWidth="1"/>
    <col min="15897" max="15897" width="10.36328125" style="982" customWidth="1"/>
    <col min="15898" max="16105" width="9.08984375" style="982"/>
    <col min="16106" max="16106" width="2.90625" style="982" customWidth="1"/>
    <col min="16107" max="16107" width="13.08984375" style="982" customWidth="1"/>
    <col min="16108" max="16108" width="60.36328125" style="982" customWidth="1"/>
    <col min="16109" max="16113" width="10.90625" style="982" bestFit="1" customWidth="1"/>
    <col min="16114" max="16114" width="11.90625" style="982" bestFit="1" customWidth="1"/>
    <col min="16115" max="16115" width="14.36328125" style="982" bestFit="1" customWidth="1"/>
    <col min="16116" max="16116" width="17.453125" style="982" bestFit="1" customWidth="1"/>
    <col min="16117" max="16119" width="17.54296875" style="982" bestFit="1" customWidth="1"/>
    <col min="16120" max="16126" width="21" style="982" bestFit="1" customWidth="1"/>
    <col min="16127" max="16134" width="21.08984375" style="982" bestFit="1" customWidth="1"/>
    <col min="16135" max="16135" width="22.6328125" style="982" customWidth="1"/>
    <col min="16136" max="16136" width="22" style="982" customWidth="1"/>
    <col min="16137" max="16137" width="22.6328125" style="982" customWidth="1"/>
    <col min="16138" max="16143" width="21.08984375" style="982" bestFit="1" customWidth="1"/>
    <col min="16144" max="16144" width="19.54296875" style="982" customWidth="1"/>
    <col min="16145" max="16145" width="21.08984375" style="982" bestFit="1" customWidth="1"/>
    <col min="16146" max="16146" width="22.6328125" style="982" customWidth="1"/>
    <col min="16147" max="16147" width="22" style="982" customWidth="1"/>
    <col min="16148" max="16148" width="23.453125" style="982" bestFit="1" customWidth="1"/>
    <col min="16149" max="16151" width="9.08984375" style="982"/>
    <col min="16152" max="16152" width="11.36328125" style="982" customWidth="1"/>
    <col min="16153" max="16153" width="10.36328125" style="982" customWidth="1"/>
    <col min="16154" max="16384" width="9.08984375" style="982"/>
  </cols>
  <sheetData>
    <row r="1" spans="2:26" x14ac:dyDescent="0.3">
      <c r="B1" s="981"/>
    </row>
    <row r="2" spans="2:26" x14ac:dyDescent="0.3">
      <c r="B2" s="983"/>
      <c r="C2" s="983"/>
      <c r="D2" s="983"/>
      <c r="E2" s="984" t="str">
        <f>Index!B2</f>
        <v xml:space="preserve">      Maharashtra State Power Generation Company Ltd.</v>
      </c>
      <c r="F2" s="984"/>
      <c r="G2" s="984"/>
      <c r="H2" s="984"/>
      <c r="I2" s="984"/>
      <c r="J2" s="984"/>
      <c r="K2" s="984"/>
      <c r="L2" s="844"/>
      <c r="M2" s="984"/>
      <c r="N2" s="984"/>
      <c r="O2" s="984"/>
      <c r="P2" s="983"/>
      <c r="Q2" s="984"/>
      <c r="R2" s="984"/>
      <c r="S2" s="984"/>
      <c r="T2" s="984"/>
      <c r="U2" s="984"/>
      <c r="V2" s="984"/>
      <c r="W2" s="984"/>
      <c r="X2" s="984"/>
      <c r="Y2" s="984"/>
      <c r="Z2" s="984"/>
    </row>
    <row r="3" spans="2:26" x14ac:dyDescent="0.3">
      <c r="B3" s="985"/>
      <c r="C3" s="986"/>
      <c r="E3" s="985"/>
      <c r="F3" s="985"/>
      <c r="G3" s="985"/>
      <c r="H3" s="985"/>
      <c r="I3" s="985"/>
      <c r="J3" s="985"/>
      <c r="K3" s="985"/>
      <c r="L3" s="987" t="s">
        <v>1087</v>
      </c>
      <c r="M3" s="985"/>
      <c r="N3" s="985"/>
      <c r="O3" s="985"/>
      <c r="P3" s="985"/>
      <c r="Q3" s="985"/>
      <c r="R3" s="985"/>
      <c r="S3" s="985"/>
      <c r="T3" s="985"/>
      <c r="U3" s="985"/>
      <c r="V3" s="985"/>
      <c r="W3" s="985"/>
      <c r="X3" s="986"/>
      <c r="Y3" s="986"/>
      <c r="Z3" s="986"/>
    </row>
    <row r="4" spans="2:26" x14ac:dyDescent="0.3">
      <c r="B4" s="983"/>
      <c r="C4" s="983"/>
      <c r="D4" s="983"/>
      <c r="L4" s="988" t="s">
        <v>1405</v>
      </c>
      <c r="P4" s="983"/>
    </row>
    <row r="5" spans="2:26" x14ac:dyDescent="0.3">
      <c r="B5" s="989"/>
      <c r="C5" s="989"/>
      <c r="D5" s="989"/>
    </row>
    <row r="6" spans="2:26" x14ac:dyDescent="0.3">
      <c r="B6" s="2003" t="s">
        <v>1406</v>
      </c>
      <c r="C6" s="990" t="s">
        <v>1407</v>
      </c>
      <c r="D6" s="2006" t="s">
        <v>1408</v>
      </c>
      <c r="E6" s="2006"/>
      <c r="F6" s="2006"/>
      <c r="G6" s="2006"/>
      <c r="H6" s="2006" t="s">
        <v>1408</v>
      </c>
      <c r="I6" s="2006"/>
      <c r="J6" s="2006"/>
      <c r="K6" s="2006"/>
      <c r="L6" s="2006" t="s">
        <v>419</v>
      </c>
      <c r="M6" s="2006"/>
      <c r="N6" s="2006"/>
      <c r="O6" s="2006"/>
      <c r="P6" s="2006" t="s">
        <v>1409</v>
      </c>
      <c r="Q6" s="2006"/>
      <c r="R6" s="2006"/>
      <c r="S6" s="2006"/>
      <c r="T6" s="991"/>
    </row>
    <row r="7" spans="2:26" x14ac:dyDescent="0.3">
      <c r="B7" s="2004"/>
      <c r="C7" s="992" t="s">
        <v>1410</v>
      </c>
      <c r="D7" s="993" t="s">
        <v>1411</v>
      </c>
      <c r="E7" s="993" t="s">
        <v>1412</v>
      </c>
      <c r="F7" s="993" t="s">
        <v>1413</v>
      </c>
      <c r="G7" s="993" t="s">
        <v>1414</v>
      </c>
      <c r="H7" s="993" t="s">
        <v>1411</v>
      </c>
      <c r="I7" s="993" t="s">
        <v>1412</v>
      </c>
      <c r="J7" s="993" t="s">
        <v>1413</v>
      </c>
      <c r="K7" s="993" t="s">
        <v>1414</v>
      </c>
      <c r="L7" s="993" t="s">
        <v>1411</v>
      </c>
      <c r="M7" s="993" t="s">
        <v>1412</v>
      </c>
      <c r="N7" s="993" t="s">
        <v>1413</v>
      </c>
      <c r="O7" s="993" t="s">
        <v>1414</v>
      </c>
      <c r="P7" s="993" t="s">
        <v>1411</v>
      </c>
      <c r="Q7" s="993" t="s">
        <v>1412</v>
      </c>
      <c r="R7" s="993" t="s">
        <v>1413</v>
      </c>
      <c r="S7" s="993" t="s">
        <v>1414</v>
      </c>
      <c r="T7" s="993" t="s">
        <v>270</v>
      </c>
    </row>
    <row r="8" spans="2:26" x14ac:dyDescent="0.3">
      <c r="B8" s="2005"/>
      <c r="C8" s="990" t="s">
        <v>1415</v>
      </c>
      <c r="D8" s="991"/>
      <c r="E8" s="991"/>
      <c r="F8" s="991"/>
      <c r="G8" s="991"/>
      <c r="H8" s="991"/>
      <c r="I8" s="991"/>
      <c r="J8" s="991"/>
      <c r="K8" s="991"/>
      <c r="L8" s="991"/>
      <c r="M8" s="991"/>
      <c r="N8" s="991"/>
      <c r="O8" s="991"/>
      <c r="P8" s="991"/>
      <c r="Q8" s="991"/>
      <c r="R8" s="991"/>
      <c r="S8" s="991"/>
      <c r="T8" s="991"/>
    </row>
    <row r="9" spans="2:26" x14ac:dyDescent="0.3">
      <c r="B9" s="994"/>
      <c r="C9" s="994"/>
      <c r="D9" s="994"/>
      <c r="E9" s="994"/>
      <c r="F9" s="994"/>
      <c r="G9" s="994"/>
      <c r="H9" s="994"/>
      <c r="I9" s="994"/>
      <c r="J9" s="994"/>
      <c r="K9" s="994"/>
      <c r="L9" s="994"/>
      <c r="M9" s="994"/>
      <c r="N9" s="994"/>
      <c r="O9" s="994"/>
      <c r="P9" s="994"/>
      <c r="Q9" s="994"/>
      <c r="R9" s="994"/>
      <c r="S9" s="994"/>
      <c r="T9" s="994"/>
    </row>
    <row r="10" spans="2:26" x14ac:dyDescent="0.3">
      <c r="B10" s="995">
        <v>1.1000000000000001</v>
      </c>
      <c r="C10" s="996" t="s">
        <v>421</v>
      </c>
      <c r="D10" s="994"/>
      <c r="E10" s="994"/>
      <c r="F10" s="994"/>
      <c r="G10" s="994"/>
      <c r="H10" s="994"/>
      <c r="I10" s="994"/>
      <c r="J10" s="994"/>
      <c r="K10" s="994"/>
      <c r="L10" s="994"/>
      <c r="M10" s="994"/>
      <c r="N10" s="994"/>
      <c r="O10" s="994"/>
      <c r="P10" s="994"/>
      <c r="Q10" s="994"/>
      <c r="R10" s="994"/>
      <c r="S10" s="994"/>
      <c r="T10" s="994"/>
    </row>
    <row r="11" spans="2:26" x14ac:dyDescent="0.3">
      <c r="B11" s="994"/>
      <c r="C11" s="994" t="s">
        <v>1416</v>
      </c>
      <c r="D11" s="997"/>
      <c r="E11" s="997"/>
      <c r="F11" s="997"/>
      <c r="G11" s="997"/>
      <c r="H11" s="997"/>
      <c r="I11" s="997"/>
      <c r="J11" s="997"/>
      <c r="K11" s="997"/>
      <c r="L11" s="997"/>
      <c r="M11" s="997"/>
      <c r="N11" s="997"/>
      <c r="O11" s="997"/>
      <c r="P11" s="997"/>
      <c r="Q11" s="997"/>
      <c r="R11" s="997"/>
      <c r="S11" s="997"/>
      <c r="T11" s="998"/>
    </row>
    <row r="12" spans="2:26" x14ac:dyDescent="0.3">
      <c r="B12" s="994"/>
      <c r="C12" s="994" t="s">
        <v>1417</v>
      </c>
      <c r="D12" s="999"/>
      <c r="E12" s="999"/>
      <c r="F12" s="999"/>
      <c r="G12" s="999"/>
      <c r="H12" s="999"/>
      <c r="I12" s="999"/>
      <c r="J12" s="999"/>
      <c r="K12" s="999"/>
      <c r="L12" s="999"/>
      <c r="M12" s="999"/>
      <c r="N12" s="999"/>
      <c r="O12" s="999"/>
      <c r="P12" s="999"/>
      <c r="Q12" s="999"/>
      <c r="R12" s="999"/>
      <c r="S12" s="999"/>
      <c r="T12" s="998"/>
    </row>
    <row r="13" spans="2:26" x14ac:dyDescent="0.3">
      <c r="B13" s="994"/>
      <c r="C13" s="994" t="s">
        <v>413</v>
      </c>
      <c r="D13" s="997"/>
      <c r="E13" s="997"/>
      <c r="F13" s="997"/>
      <c r="G13" s="997"/>
      <c r="H13" s="997"/>
      <c r="I13" s="997"/>
      <c r="J13" s="997"/>
      <c r="K13" s="997"/>
      <c r="L13" s="997"/>
      <c r="M13" s="997"/>
      <c r="N13" s="997"/>
      <c r="O13" s="997"/>
      <c r="P13" s="997"/>
      <c r="Q13" s="997"/>
      <c r="R13" s="997"/>
      <c r="S13" s="997"/>
      <c r="T13" s="1000"/>
      <c r="U13" s="1001"/>
    </row>
    <row r="14" spans="2:26" x14ac:dyDescent="0.3">
      <c r="B14" s="994"/>
      <c r="C14" s="994" t="s">
        <v>1418</v>
      </c>
      <c r="D14" s="997"/>
      <c r="E14" s="997"/>
      <c r="F14" s="997"/>
      <c r="G14" s="997"/>
      <c r="H14" s="997"/>
      <c r="I14" s="997"/>
      <c r="J14" s="997"/>
      <c r="K14" s="997"/>
      <c r="L14" s="997"/>
      <c r="M14" s="997"/>
      <c r="N14" s="997"/>
      <c r="O14" s="997"/>
      <c r="P14" s="997"/>
      <c r="Q14" s="997"/>
      <c r="R14" s="997"/>
      <c r="S14" s="997"/>
      <c r="T14" s="998"/>
    </row>
    <row r="15" spans="2:26" x14ac:dyDescent="0.3">
      <c r="B15" s="994"/>
      <c r="C15" s="994" t="s">
        <v>1419</v>
      </c>
      <c r="D15" s="997"/>
      <c r="E15" s="997"/>
      <c r="F15" s="997"/>
      <c r="G15" s="997"/>
      <c r="H15" s="997"/>
      <c r="I15" s="997"/>
      <c r="J15" s="997"/>
      <c r="K15" s="997"/>
      <c r="L15" s="997"/>
      <c r="M15" s="997"/>
      <c r="N15" s="997"/>
      <c r="O15" s="997"/>
      <c r="P15" s="997"/>
      <c r="Q15" s="997"/>
      <c r="R15" s="997"/>
      <c r="S15" s="997"/>
      <c r="T15" s="998"/>
    </row>
    <row r="16" spans="2:26" x14ac:dyDescent="0.3">
      <c r="B16" s="994"/>
      <c r="C16" s="994"/>
      <c r="D16" s="997"/>
      <c r="E16" s="997"/>
      <c r="F16" s="997"/>
      <c r="G16" s="997"/>
      <c r="H16" s="997"/>
      <c r="I16" s="997"/>
      <c r="J16" s="997"/>
      <c r="K16" s="997"/>
      <c r="L16" s="997"/>
      <c r="M16" s="997"/>
      <c r="N16" s="997"/>
      <c r="O16" s="997"/>
      <c r="P16" s="997"/>
      <c r="Q16" s="997"/>
      <c r="R16" s="997"/>
      <c r="S16" s="997"/>
      <c r="T16" s="998"/>
    </row>
    <row r="17" spans="2:21" s="1004" customFormat="1" x14ac:dyDescent="0.3">
      <c r="B17" s="996">
        <v>1.2</v>
      </c>
      <c r="C17" s="996" t="s">
        <v>420</v>
      </c>
      <c r="D17" s="1002"/>
      <c r="E17" s="1002"/>
      <c r="F17" s="1002"/>
      <c r="G17" s="1002"/>
      <c r="H17" s="1002"/>
      <c r="I17" s="1002"/>
      <c r="J17" s="1002"/>
      <c r="K17" s="1002"/>
      <c r="L17" s="1002"/>
      <c r="M17" s="1002"/>
      <c r="N17" s="1002"/>
      <c r="O17" s="1002"/>
      <c r="P17" s="1002"/>
      <c r="Q17" s="1002"/>
      <c r="R17" s="1002"/>
      <c r="S17" s="1002"/>
      <c r="T17" s="1003"/>
    </row>
    <row r="18" spans="2:21" x14ac:dyDescent="0.3">
      <c r="B18" s="994"/>
      <c r="C18" s="994" t="s">
        <v>1416</v>
      </c>
      <c r="D18" s="998"/>
      <c r="E18" s="998"/>
      <c r="F18" s="998"/>
      <c r="G18" s="998"/>
      <c r="H18" s="998"/>
      <c r="I18" s="998"/>
      <c r="J18" s="998"/>
      <c r="K18" s="998"/>
      <c r="L18" s="998"/>
      <c r="M18" s="998"/>
      <c r="N18" s="998"/>
      <c r="O18" s="998"/>
      <c r="P18" s="998"/>
      <c r="Q18" s="998"/>
      <c r="R18" s="998"/>
      <c r="S18" s="998"/>
      <c r="T18" s="998"/>
    </row>
    <row r="19" spans="2:21" x14ac:dyDescent="0.3">
      <c r="B19" s="994"/>
      <c r="C19" s="994" t="s">
        <v>1417</v>
      </c>
      <c r="D19" s="1005"/>
      <c r="E19" s="1005"/>
      <c r="F19" s="1005"/>
      <c r="G19" s="1005"/>
      <c r="H19" s="1005"/>
      <c r="I19" s="1005"/>
      <c r="J19" s="1005"/>
      <c r="K19" s="1005"/>
      <c r="L19" s="1005"/>
      <c r="M19" s="1005"/>
      <c r="N19" s="1005"/>
      <c r="O19" s="1005"/>
      <c r="P19" s="1005"/>
      <c r="Q19" s="1005"/>
      <c r="R19" s="1005"/>
      <c r="S19" s="1005"/>
      <c r="T19" s="998"/>
    </row>
    <row r="20" spans="2:21" x14ac:dyDescent="0.3">
      <c r="B20" s="994"/>
      <c r="C20" s="994" t="s">
        <v>413</v>
      </c>
      <c r="D20" s="998"/>
      <c r="E20" s="998"/>
      <c r="F20" s="998"/>
      <c r="G20" s="998"/>
      <c r="H20" s="998"/>
      <c r="I20" s="998"/>
      <c r="J20" s="998"/>
      <c r="K20" s="998"/>
      <c r="L20" s="998"/>
      <c r="M20" s="998"/>
      <c r="N20" s="998"/>
      <c r="O20" s="998"/>
      <c r="P20" s="998"/>
      <c r="Q20" s="998"/>
      <c r="R20" s="998"/>
      <c r="S20" s="998"/>
      <c r="T20" s="1000"/>
      <c r="U20" s="1001"/>
    </row>
    <row r="21" spans="2:21" x14ac:dyDescent="0.3">
      <c r="B21" s="994"/>
      <c r="C21" s="994" t="s">
        <v>1418</v>
      </c>
      <c r="D21" s="998"/>
      <c r="E21" s="998"/>
      <c r="F21" s="998"/>
      <c r="G21" s="998"/>
      <c r="H21" s="998"/>
      <c r="I21" s="998"/>
      <c r="J21" s="998"/>
      <c r="K21" s="998"/>
      <c r="L21" s="998"/>
      <c r="M21" s="998"/>
      <c r="N21" s="998"/>
      <c r="O21" s="998"/>
      <c r="P21" s="998"/>
      <c r="Q21" s="998"/>
      <c r="R21" s="998"/>
      <c r="S21" s="998"/>
      <c r="T21" s="998"/>
    </row>
    <row r="22" spans="2:21" x14ac:dyDescent="0.3">
      <c r="B22" s="994"/>
      <c r="C22" s="994" t="s">
        <v>1419</v>
      </c>
      <c r="D22" s="998"/>
      <c r="E22" s="998"/>
      <c r="F22" s="998"/>
      <c r="G22" s="998"/>
      <c r="H22" s="998"/>
      <c r="I22" s="998"/>
      <c r="J22" s="998"/>
      <c r="K22" s="998"/>
      <c r="L22" s="998"/>
      <c r="M22" s="998"/>
      <c r="N22" s="998"/>
      <c r="O22" s="998"/>
      <c r="P22" s="998"/>
      <c r="Q22" s="998"/>
      <c r="R22" s="998"/>
      <c r="S22" s="998"/>
      <c r="T22" s="998"/>
    </row>
    <row r="23" spans="2:21" x14ac:dyDescent="0.3">
      <c r="B23" s="994"/>
      <c r="C23" s="994"/>
      <c r="D23" s="998"/>
      <c r="E23" s="998"/>
      <c r="F23" s="998"/>
      <c r="G23" s="998"/>
      <c r="H23" s="998"/>
      <c r="I23" s="998"/>
      <c r="J23" s="998"/>
      <c r="K23" s="998"/>
      <c r="L23" s="998"/>
      <c r="M23" s="998"/>
      <c r="N23" s="998"/>
      <c r="O23" s="998"/>
      <c r="P23" s="998"/>
      <c r="Q23" s="998"/>
      <c r="R23" s="998"/>
      <c r="S23" s="998"/>
      <c r="T23" s="998"/>
    </row>
    <row r="24" spans="2:21" x14ac:dyDescent="0.3">
      <c r="B24" s="996">
        <v>1.3</v>
      </c>
      <c r="C24" s="996" t="s">
        <v>1420</v>
      </c>
      <c r="D24" s="998"/>
      <c r="E24" s="998"/>
      <c r="F24" s="998"/>
      <c r="G24" s="998"/>
      <c r="H24" s="998"/>
      <c r="I24" s="998"/>
      <c r="J24" s="998"/>
      <c r="K24" s="998"/>
      <c r="L24" s="998"/>
      <c r="M24" s="998"/>
      <c r="N24" s="998"/>
      <c r="O24" s="998"/>
      <c r="P24" s="998"/>
      <c r="Q24" s="998"/>
      <c r="R24" s="998"/>
      <c r="S24" s="998"/>
      <c r="T24" s="998"/>
    </row>
    <row r="25" spans="2:21" x14ac:dyDescent="0.3">
      <c r="B25" s="994"/>
      <c r="C25" s="994" t="s">
        <v>1416</v>
      </c>
      <c r="D25" s="998"/>
      <c r="E25" s="998"/>
      <c r="F25" s="998"/>
      <c r="G25" s="998"/>
      <c r="H25" s="998"/>
      <c r="I25" s="998"/>
      <c r="J25" s="998"/>
      <c r="K25" s="998"/>
      <c r="L25" s="998"/>
      <c r="M25" s="998"/>
      <c r="N25" s="998"/>
      <c r="O25" s="998"/>
      <c r="P25" s="998"/>
      <c r="Q25" s="998"/>
      <c r="R25" s="998"/>
      <c r="S25" s="998"/>
      <c r="T25" s="998"/>
    </row>
    <row r="26" spans="2:21" x14ac:dyDescent="0.3">
      <c r="B26" s="994"/>
      <c r="C26" s="994" t="s">
        <v>1417</v>
      </c>
      <c r="D26" s="1005"/>
      <c r="E26" s="1005"/>
      <c r="F26" s="1005"/>
      <c r="G26" s="1005"/>
      <c r="H26" s="1005"/>
      <c r="I26" s="1005"/>
      <c r="J26" s="1005"/>
      <c r="K26" s="1005"/>
      <c r="L26" s="1005"/>
      <c r="M26" s="1005"/>
      <c r="N26" s="1005"/>
      <c r="O26" s="1005"/>
      <c r="P26" s="1005"/>
      <c r="Q26" s="1005"/>
      <c r="R26" s="1005"/>
      <c r="S26" s="1005"/>
      <c r="T26" s="1000"/>
    </row>
    <row r="27" spans="2:21" x14ac:dyDescent="0.3">
      <c r="B27" s="994"/>
      <c r="C27" s="994" t="s">
        <v>413</v>
      </c>
      <c r="D27" s="998"/>
      <c r="E27" s="998"/>
      <c r="F27" s="998"/>
      <c r="G27" s="998"/>
      <c r="H27" s="998"/>
      <c r="I27" s="998"/>
      <c r="J27" s="998"/>
      <c r="K27" s="998"/>
      <c r="L27" s="998"/>
      <c r="M27" s="998"/>
      <c r="N27" s="998"/>
      <c r="O27" s="998"/>
      <c r="P27" s="998"/>
      <c r="Q27" s="998"/>
      <c r="R27" s="998"/>
      <c r="S27" s="998"/>
      <c r="T27" s="1000"/>
      <c r="U27" s="1001"/>
    </row>
    <row r="28" spans="2:21" x14ac:dyDescent="0.3">
      <c r="B28" s="994"/>
      <c r="C28" s="994" t="s">
        <v>1418</v>
      </c>
      <c r="D28" s="998"/>
      <c r="E28" s="998"/>
      <c r="F28" s="998"/>
      <c r="G28" s="998"/>
      <c r="H28" s="998"/>
      <c r="I28" s="998"/>
      <c r="J28" s="998"/>
      <c r="K28" s="998"/>
      <c r="L28" s="998"/>
      <c r="M28" s="998"/>
      <c r="N28" s="998"/>
      <c r="O28" s="998"/>
      <c r="P28" s="998"/>
      <c r="Q28" s="998"/>
      <c r="R28" s="998"/>
      <c r="S28" s="998"/>
      <c r="T28" s="998"/>
    </row>
    <row r="29" spans="2:21" ht="29.4" customHeight="1" x14ac:dyDescent="0.3">
      <c r="B29" s="994"/>
      <c r="C29" s="1006" t="s">
        <v>1419</v>
      </c>
      <c r="D29" s="998"/>
      <c r="E29" s="998"/>
      <c r="F29" s="998"/>
      <c r="G29" s="998"/>
      <c r="H29" s="998"/>
      <c r="I29" s="998"/>
      <c r="J29" s="998"/>
      <c r="K29" s="998"/>
      <c r="L29" s="998"/>
      <c r="M29" s="998"/>
      <c r="N29" s="998"/>
      <c r="O29" s="998"/>
      <c r="P29" s="998"/>
      <c r="Q29" s="998"/>
      <c r="R29" s="998"/>
      <c r="S29" s="998"/>
      <c r="T29" s="998"/>
    </row>
    <row r="30" spans="2:21" x14ac:dyDescent="0.3">
      <c r="B30" s="994"/>
      <c r="C30" s="994"/>
      <c r="D30" s="998"/>
      <c r="E30" s="998"/>
      <c r="F30" s="998"/>
      <c r="G30" s="998"/>
      <c r="H30" s="998"/>
      <c r="I30" s="998"/>
      <c r="J30" s="998"/>
      <c r="K30" s="998"/>
      <c r="L30" s="998"/>
      <c r="M30" s="998"/>
      <c r="N30" s="998"/>
      <c r="O30" s="998"/>
      <c r="P30" s="998"/>
      <c r="Q30" s="998"/>
      <c r="R30" s="998"/>
      <c r="S30" s="998"/>
      <c r="T30" s="998"/>
    </row>
    <row r="31" spans="2:21" x14ac:dyDescent="0.3">
      <c r="B31" s="994"/>
      <c r="C31" s="994"/>
      <c r="D31" s="998"/>
      <c r="E31" s="998"/>
      <c r="F31" s="998"/>
      <c r="G31" s="998"/>
      <c r="H31" s="998"/>
      <c r="I31" s="998"/>
      <c r="J31" s="998"/>
      <c r="K31" s="998"/>
      <c r="L31" s="998"/>
      <c r="M31" s="998"/>
      <c r="N31" s="998"/>
      <c r="O31" s="998"/>
      <c r="P31" s="998"/>
      <c r="Q31" s="998"/>
      <c r="R31" s="998"/>
      <c r="S31" s="998"/>
      <c r="T31" s="998"/>
    </row>
    <row r="32" spans="2:21" x14ac:dyDescent="0.3">
      <c r="B32" s="995">
        <v>1.4</v>
      </c>
      <c r="C32" s="996" t="s">
        <v>1421</v>
      </c>
      <c r="D32" s="998"/>
      <c r="E32" s="998"/>
      <c r="F32" s="998"/>
      <c r="G32" s="998"/>
      <c r="H32" s="998"/>
      <c r="I32" s="998"/>
      <c r="J32" s="998"/>
      <c r="K32" s="998"/>
      <c r="L32" s="998"/>
      <c r="M32" s="998"/>
      <c r="N32" s="998"/>
      <c r="O32" s="998"/>
      <c r="P32" s="998"/>
      <c r="Q32" s="998"/>
      <c r="R32" s="998"/>
      <c r="S32" s="998"/>
      <c r="T32" s="998"/>
    </row>
    <row r="33" spans="2:21" x14ac:dyDescent="0.3">
      <c r="B33" s="994"/>
      <c r="C33" s="994" t="s">
        <v>1416</v>
      </c>
      <c r="D33" s="1005"/>
      <c r="E33" s="1005"/>
      <c r="F33" s="1005"/>
      <c r="G33" s="1005"/>
      <c r="H33" s="1005"/>
      <c r="I33" s="1005"/>
      <c r="J33" s="1005"/>
      <c r="K33" s="1005"/>
      <c r="L33" s="1005"/>
      <c r="M33" s="1005"/>
      <c r="N33" s="1005"/>
      <c r="O33" s="1005"/>
      <c r="P33" s="1005"/>
      <c r="Q33" s="1005"/>
      <c r="R33" s="1005"/>
      <c r="S33" s="1005"/>
      <c r="T33" s="998"/>
    </row>
    <row r="34" spans="2:21" x14ac:dyDescent="0.3">
      <c r="B34" s="994"/>
      <c r="C34" s="994" t="s">
        <v>1417</v>
      </c>
      <c r="D34" s="1005"/>
      <c r="E34" s="1005"/>
      <c r="F34" s="1005"/>
      <c r="G34" s="1005"/>
      <c r="H34" s="1005"/>
      <c r="I34" s="1005"/>
      <c r="J34" s="1005"/>
      <c r="K34" s="1005"/>
      <c r="L34" s="1005"/>
      <c r="M34" s="1005"/>
      <c r="N34" s="1005"/>
      <c r="O34" s="1005"/>
      <c r="P34" s="1005"/>
      <c r="Q34" s="1005"/>
      <c r="R34" s="1005"/>
      <c r="S34" s="1005"/>
      <c r="T34" s="998"/>
    </row>
    <row r="35" spans="2:21" x14ac:dyDescent="0.3">
      <c r="B35" s="994"/>
      <c r="C35" s="994" t="s">
        <v>413</v>
      </c>
      <c r="D35" s="1005"/>
      <c r="E35" s="1005"/>
      <c r="F35" s="1005"/>
      <c r="G35" s="1005"/>
      <c r="H35" s="1005"/>
      <c r="I35" s="1005"/>
      <c r="J35" s="1005"/>
      <c r="K35" s="1005"/>
      <c r="L35" s="1005"/>
      <c r="M35" s="1005"/>
      <c r="N35" s="1005"/>
      <c r="O35" s="1005"/>
      <c r="P35" s="1005"/>
      <c r="Q35" s="1005"/>
      <c r="R35" s="1005"/>
      <c r="S35" s="1005"/>
      <c r="T35" s="998"/>
    </row>
    <row r="36" spans="2:21" x14ac:dyDescent="0.3">
      <c r="B36" s="994"/>
      <c r="C36" s="994" t="s">
        <v>1418</v>
      </c>
      <c r="D36" s="1005"/>
      <c r="E36" s="1005"/>
      <c r="F36" s="1005"/>
      <c r="G36" s="1005"/>
      <c r="H36" s="1005"/>
      <c r="I36" s="1005"/>
      <c r="J36" s="1005"/>
      <c r="K36" s="1005"/>
      <c r="L36" s="1005"/>
      <c r="M36" s="1005"/>
      <c r="N36" s="1005"/>
      <c r="O36" s="1005"/>
      <c r="P36" s="1005"/>
      <c r="Q36" s="1005"/>
      <c r="R36" s="1005"/>
      <c r="S36" s="1005"/>
      <c r="T36" s="998"/>
    </row>
    <row r="37" spans="2:21" x14ac:dyDescent="0.3">
      <c r="B37" s="994"/>
      <c r="C37" s="994" t="s">
        <v>1419</v>
      </c>
      <c r="D37" s="998"/>
      <c r="E37" s="998"/>
      <c r="F37" s="998"/>
      <c r="G37" s="998"/>
      <c r="H37" s="998"/>
      <c r="I37" s="998"/>
      <c r="J37" s="998"/>
      <c r="K37" s="998"/>
      <c r="L37" s="998"/>
      <c r="M37" s="998"/>
      <c r="N37" s="998"/>
      <c r="O37" s="998"/>
      <c r="P37" s="998"/>
      <c r="Q37" s="998"/>
      <c r="R37" s="998"/>
      <c r="S37" s="998"/>
      <c r="T37" s="998"/>
    </row>
    <row r="38" spans="2:21" x14ac:dyDescent="0.3">
      <c r="B38" s="994"/>
      <c r="C38" s="994"/>
      <c r="D38" s="998"/>
      <c r="E38" s="998"/>
      <c r="F38" s="998"/>
      <c r="G38" s="998"/>
      <c r="H38" s="998"/>
      <c r="I38" s="998"/>
      <c r="J38" s="998"/>
      <c r="K38" s="998"/>
      <c r="L38" s="998"/>
      <c r="M38" s="998"/>
      <c r="N38" s="998"/>
      <c r="O38" s="998"/>
      <c r="P38" s="998"/>
      <c r="Q38" s="998"/>
      <c r="R38" s="998"/>
      <c r="S38" s="998"/>
      <c r="T38" s="998"/>
    </row>
    <row r="39" spans="2:21" x14ac:dyDescent="0.3">
      <c r="B39" s="994">
        <v>2</v>
      </c>
      <c r="C39" s="996" t="s">
        <v>1422</v>
      </c>
      <c r="D39" s="998"/>
      <c r="E39" s="998"/>
      <c r="F39" s="998"/>
      <c r="G39" s="998"/>
      <c r="H39" s="998"/>
      <c r="I39" s="998"/>
      <c r="J39" s="998"/>
      <c r="K39" s="998"/>
      <c r="L39" s="998"/>
      <c r="M39" s="998"/>
      <c r="N39" s="998"/>
      <c r="O39" s="998"/>
      <c r="P39" s="998"/>
      <c r="Q39" s="998"/>
      <c r="R39" s="998"/>
      <c r="S39" s="998"/>
      <c r="T39" s="1007">
        <f>SUM(D39:S39)</f>
        <v>0</v>
      </c>
    </row>
    <row r="40" spans="2:21" x14ac:dyDescent="0.3">
      <c r="B40" s="994"/>
      <c r="C40" s="1008" t="s">
        <v>1423</v>
      </c>
      <c r="D40" s="1005"/>
      <c r="E40" s="1005"/>
      <c r="F40" s="1005"/>
      <c r="G40" s="1005"/>
      <c r="H40" s="1005"/>
      <c r="I40" s="1005"/>
      <c r="J40" s="1005"/>
      <c r="K40" s="1005"/>
      <c r="L40" s="1005"/>
      <c r="M40" s="1005"/>
      <c r="N40" s="1005"/>
      <c r="O40" s="1005"/>
      <c r="P40" s="1005"/>
      <c r="Q40" s="1005"/>
      <c r="R40" s="1005"/>
      <c r="S40" s="1005"/>
      <c r="T40" s="998"/>
    </row>
    <row r="41" spans="2:21" x14ac:dyDescent="0.3">
      <c r="B41" s="994"/>
      <c r="C41" s="1008" t="s">
        <v>1424</v>
      </c>
      <c r="D41" s="1005"/>
      <c r="E41" s="1005"/>
      <c r="F41" s="1005"/>
      <c r="G41" s="1005"/>
      <c r="H41" s="1005"/>
      <c r="I41" s="1005"/>
      <c r="J41" s="1005"/>
      <c r="K41" s="1005"/>
      <c r="L41" s="1005"/>
      <c r="M41" s="1005"/>
      <c r="N41" s="1005"/>
      <c r="O41" s="1005"/>
      <c r="P41" s="1005"/>
      <c r="Q41" s="1005"/>
      <c r="R41" s="1005"/>
      <c r="S41" s="1005"/>
      <c r="T41" s="998"/>
    </row>
    <row r="42" spans="2:21" x14ac:dyDescent="0.3">
      <c r="B42" s="994"/>
      <c r="C42" s="996" t="s">
        <v>1425</v>
      </c>
      <c r="D42" s="1005"/>
      <c r="E42" s="1005"/>
      <c r="F42" s="1005"/>
      <c r="G42" s="1005"/>
      <c r="H42" s="1005"/>
      <c r="I42" s="1005"/>
      <c r="J42" s="1005"/>
      <c r="K42" s="1005"/>
      <c r="L42" s="1005"/>
      <c r="M42" s="1005"/>
      <c r="N42" s="1005"/>
      <c r="O42" s="1005"/>
      <c r="P42" s="1005"/>
      <c r="Q42" s="1005"/>
      <c r="R42" s="1005"/>
      <c r="S42" s="1005"/>
      <c r="T42" s="998"/>
      <c r="U42" s="1001"/>
    </row>
    <row r="51" spans="9:11" x14ac:dyDescent="0.3">
      <c r="I51" s="1001"/>
      <c r="K51" s="1001"/>
    </row>
    <row r="52" spans="9:11" x14ac:dyDescent="0.3">
      <c r="I52" s="1001"/>
      <c r="K52" s="1001"/>
    </row>
    <row r="53" spans="9:11" x14ac:dyDescent="0.3">
      <c r="I53" s="1001"/>
      <c r="K53" s="1001"/>
    </row>
    <row r="54" spans="9:11" x14ac:dyDescent="0.3">
      <c r="I54" s="1001"/>
      <c r="K54" s="1001"/>
    </row>
    <row r="55" spans="9:11" x14ac:dyDescent="0.3">
      <c r="K55" s="1001"/>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topLeftCell="E1" workbookViewId="0">
      <selection activeCell="D19" sqref="D19"/>
    </sheetView>
  </sheetViews>
  <sheetFormatPr defaultColWidth="8.6328125" defaultRowHeight="12.5" x14ac:dyDescent="0.25"/>
  <cols>
    <col min="1" max="1" width="14.6328125" style="1009" customWidth="1"/>
    <col min="2" max="2" width="32.6328125" style="1030" bestFit="1" customWidth="1"/>
    <col min="3" max="3" width="23.08984375" style="1009" customWidth="1"/>
    <col min="4" max="4" width="19.6328125" style="1009" customWidth="1"/>
    <col min="5" max="5" width="19" style="1009" customWidth="1"/>
    <col min="6" max="14" width="22.36328125" style="1009" customWidth="1"/>
    <col min="15" max="15" width="23.453125" style="1009" customWidth="1"/>
    <col min="16" max="33" width="22.36328125" style="1009" customWidth="1"/>
    <col min="34" max="34" width="9.36328125" style="1009" bestFit="1" customWidth="1"/>
    <col min="35" max="35" width="25.6328125" style="1009" customWidth="1"/>
    <col min="36" max="36" width="22.36328125" style="1009" customWidth="1"/>
    <col min="37" max="16384" width="8.6328125" style="1009"/>
  </cols>
  <sheetData>
    <row r="2" spans="1:33" ht="14.15" customHeight="1" x14ac:dyDescent="0.25">
      <c r="A2" s="1999" t="s">
        <v>779</v>
      </c>
      <c r="B2" s="1974"/>
      <c r="C2" s="1974"/>
      <c r="D2" s="1974"/>
      <c r="E2" s="1974"/>
      <c r="F2" s="1974"/>
      <c r="G2" s="1974"/>
      <c r="H2" s="1974"/>
      <c r="I2" s="1974"/>
      <c r="J2" s="1974"/>
      <c r="K2" s="1974"/>
      <c r="L2" s="1974"/>
      <c r="M2" s="1974"/>
      <c r="N2" s="1974"/>
      <c r="O2" s="1974"/>
      <c r="P2" s="1974"/>
      <c r="Q2" s="1974"/>
      <c r="R2" s="1974"/>
      <c r="S2" s="1974"/>
      <c r="T2" s="1974"/>
    </row>
    <row r="3" spans="1:33" ht="14.15" customHeight="1" x14ac:dyDescent="0.25">
      <c r="A3" s="1999" t="s">
        <v>1426</v>
      </c>
      <c r="B3" s="1974"/>
      <c r="C3" s="1974"/>
      <c r="D3" s="1974"/>
      <c r="E3" s="1974"/>
      <c r="F3" s="1974"/>
      <c r="G3" s="1974"/>
      <c r="H3" s="1974"/>
      <c r="I3" s="1974"/>
      <c r="J3" s="1974"/>
      <c r="K3" s="1974"/>
      <c r="L3" s="1974"/>
      <c r="M3" s="1974"/>
      <c r="N3" s="1974"/>
      <c r="O3" s="1974"/>
      <c r="P3" s="1974"/>
      <c r="Q3" s="1974"/>
      <c r="R3" s="1974"/>
      <c r="S3" s="1974"/>
      <c r="T3" s="1974"/>
    </row>
    <row r="4" spans="1:33" ht="14.15" customHeight="1" x14ac:dyDescent="0.25">
      <c r="A4" s="2012" t="s">
        <v>1427</v>
      </c>
      <c r="B4" s="1975"/>
      <c r="C4" s="1975"/>
      <c r="D4" s="1975"/>
      <c r="E4" s="1975"/>
      <c r="F4" s="1975"/>
      <c r="G4" s="1975"/>
      <c r="H4" s="1975"/>
      <c r="I4" s="1975"/>
      <c r="J4" s="1975"/>
      <c r="K4" s="1975"/>
      <c r="L4" s="1975"/>
      <c r="M4" s="1975"/>
      <c r="N4" s="1975"/>
      <c r="O4" s="1975"/>
      <c r="P4" s="1975"/>
      <c r="Q4" s="1975"/>
      <c r="R4" s="1975"/>
      <c r="S4" s="1975"/>
      <c r="T4" s="1975"/>
    </row>
    <row r="5" spans="1:33" ht="13" x14ac:dyDescent="0.3">
      <c r="B5" s="1010" t="s">
        <v>512</v>
      </c>
      <c r="F5" s="1011" t="s">
        <v>10</v>
      </c>
    </row>
    <row r="6" spans="1:33" ht="26.15" customHeight="1" x14ac:dyDescent="0.35">
      <c r="A6" s="1012"/>
      <c r="B6" s="2013" t="s">
        <v>412</v>
      </c>
      <c r="C6" s="2007" t="s">
        <v>742</v>
      </c>
      <c r="D6" s="2007" t="s">
        <v>514</v>
      </c>
      <c r="E6" s="2007" t="s">
        <v>584</v>
      </c>
      <c r="F6" s="2009" t="s">
        <v>585</v>
      </c>
      <c r="G6" s="2010"/>
      <c r="H6" s="2010"/>
      <c r="I6" s="2010"/>
      <c r="J6" s="2010"/>
      <c r="K6" s="2010"/>
      <c r="L6" s="2010"/>
      <c r="M6" s="2010"/>
      <c r="N6" s="2010"/>
      <c r="O6" s="2010"/>
      <c r="P6" s="2010"/>
      <c r="Q6" s="2010"/>
      <c r="R6" s="2010"/>
      <c r="S6" s="2010"/>
      <c r="T6" s="2010"/>
      <c r="U6" s="2010"/>
      <c r="V6" s="2010"/>
      <c r="W6" s="2010"/>
      <c r="X6" s="2010"/>
      <c r="Y6" s="2010"/>
      <c r="Z6" s="2010"/>
      <c r="AA6" s="2010"/>
      <c r="AB6" s="2010"/>
      <c r="AC6" s="2010"/>
      <c r="AD6" s="2011"/>
      <c r="AE6" s="1013" t="s">
        <v>536</v>
      </c>
      <c r="AF6" s="1013" t="s">
        <v>529</v>
      </c>
      <c r="AG6" s="1013" t="s">
        <v>537</v>
      </c>
    </row>
    <row r="7" spans="1:33" ht="12.9" customHeight="1" x14ac:dyDescent="0.25">
      <c r="A7" s="1012"/>
      <c r="B7" s="2014"/>
      <c r="C7" s="2008"/>
      <c r="D7" s="2008"/>
      <c r="E7" s="2008"/>
      <c r="F7" s="1014" t="s">
        <v>515</v>
      </c>
      <c r="G7" s="1014" t="s">
        <v>516</v>
      </c>
      <c r="H7" s="1014" t="s">
        <v>517</v>
      </c>
      <c r="I7" s="1014" t="s">
        <v>518</v>
      </c>
      <c r="J7" s="1014" t="s">
        <v>519</v>
      </c>
      <c r="K7" s="1014" t="s">
        <v>520</v>
      </c>
      <c r="L7" s="1014" t="s">
        <v>521</v>
      </c>
      <c r="M7" s="1014" t="s">
        <v>522</v>
      </c>
      <c r="N7" s="1014" t="s">
        <v>523</v>
      </c>
      <c r="O7" s="1014" t="s">
        <v>524</v>
      </c>
      <c r="P7" s="1014" t="s">
        <v>525</v>
      </c>
      <c r="Q7" s="1014" t="s">
        <v>526</v>
      </c>
      <c r="R7" s="1014" t="s">
        <v>527</v>
      </c>
      <c r="S7" s="1014" t="s">
        <v>528</v>
      </c>
      <c r="T7" s="1014" t="s">
        <v>324</v>
      </c>
      <c r="U7" s="1014" t="s">
        <v>504</v>
      </c>
      <c r="V7" s="1014" t="s">
        <v>505</v>
      </c>
      <c r="W7" s="1014" t="s">
        <v>506</v>
      </c>
      <c r="X7" s="1014" t="s">
        <v>507</v>
      </c>
      <c r="Y7" s="1014" t="s">
        <v>508</v>
      </c>
      <c r="Z7" s="1014" t="s">
        <v>968</v>
      </c>
      <c r="AA7" s="1014" t="s">
        <v>969</v>
      </c>
      <c r="AB7" s="1014" t="s">
        <v>970</v>
      </c>
      <c r="AC7" s="1014" t="s">
        <v>971</v>
      </c>
      <c r="AD7" s="1014" t="s">
        <v>972</v>
      </c>
      <c r="AE7" s="1013"/>
      <c r="AF7" s="1013"/>
      <c r="AG7" s="1013"/>
    </row>
    <row r="8" spans="1:33" x14ac:dyDescent="0.25">
      <c r="A8" s="1015" t="s">
        <v>530</v>
      </c>
      <c r="B8" s="1016">
        <v>2005</v>
      </c>
      <c r="C8" s="1017"/>
      <c r="D8" s="244"/>
      <c r="E8" s="244"/>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44"/>
      <c r="AF8" s="244"/>
      <c r="AG8" s="244"/>
    </row>
    <row r="9" spans="1:33" x14ac:dyDescent="0.25">
      <c r="A9" s="1015" t="s">
        <v>531</v>
      </c>
      <c r="B9" s="1016" t="s">
        <v>515</v>
      </c>
      <c r="C9" s="1015"/>
      <c r="D9" s="244"/>
      <c r="E9" s="244"/>
      <c r="F9" s="246"/>
      <c r="G9" s="255"/>
      <c r="H9" s="255"/>
      <c r="I9" s="255"/>
      <c r="J9" s="255"/>
      <c r="K9" s="255"/>
      <c r="L9" s="255"/>
      <c r="M9" s="255"/>
      <c r="N9" s="255"/>
      <c r="O9" s="255"/>
      <c r="P9" s="255"/>
      <c r="Q9" s="255"/>
      <c r="R9" s="255"/>
      <c r="S9" s="255"/>
      <c r="T9" s="255"/>
      <c r="U9" s="255"/>
      <c r="V9" s="255"/>
      <c r="W9" s="255"/>
      <c r="X9" s="255"/>
      <c r="Y9" s="255"/>
      <c r="Z9" s="255"/>
      <c r="AA9" s="255"/>
      <c r="AB9" s="255"/>
      <c r="AC9" s="255"/>
      <c r="AD9" s="255"/>
      <c r="AE9" s="244"/>
      <c r="AF9" s="244"/>
      <c r="AG9" s="244"/>
    </row>
    <row r="10" spans="1:33" x14ac:dyDescent="0.25">
      <c r="A10" s="1015" t="s">
        <v>531</v>
      </c>
      <c r="B10" s="1016" t="s">
        <v>516</v>
      </c>
      <c r="C10" s="1015"/>
      <c r="D10" s="244"/>
      <c r="E10" s="244"/>
      <c r="F10" s="256"/>
      <c r="G10" s="246"/>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44"/>
      <c r="AF10" s="244"/>
      <c r="AG10" s="244"/>
    </row>
    <row r="11" spans="1:33" x14ac:dyDescent="0.25">
      <c r="A11" s="1015" t="s">
        <v>531</v>
      </c>
      <c r="B11" s="1016" t="s">
        <v>517</v>
      </c>
      <c r="C11" s="1015"/>
      <c r="D11" s="244"/>
      <c r="E11" s="244"/>
      <c r="F11" s="256"/>
      <c r="G11" s="256"/>
      <c r="H11" s="246"/>
      <c r="I11" s="255"/>
      <c r="J11" s="255"/>
      <c r="K11" s="255"/>
      <c r="L11" s="255"/>
      <c r="M11" s="255"/>
      <c r="N11" s="255"/>
      <c r="O11" s="255"/>
      <c r="P11" s="255"/>
      <c r="Q11" s="255"/>
      <c r="R11" s="255"/>
      <c r="S11" s="255"/>
      <c r="T11" s="255"/>
      <c r="U11" s="255"/>
      <c r="V11" s="255"/>
      <c r="W11" s="255"/>
      <c r="X11" s="255"/>
      <c r="Y11" s="255"/>
      <c r="Z11" s="255"/>
      <c r="AA11" s="255"/>
      <c r="AB11" s="255"/>
      <c r="AC11" s="255"/>
      <c r="AD11" s="255"/>
      <c r="AE11" s="244"/>
      <c r="AF11" s="244"/>
      <c r="AG11" s="244"/>
    </row>
    <row r="12" spans="1:33" x14ac:dyDescent="0.25">
      <c r="A12" s="1015" t="s">
        <v>531</v>
      </c>
      <c r="B12" s="1016" t="s">
        <v>518</v>
      </c>
      <c r="C12" s="1015"/>
      <c r="D12" s="244"/>
      <c r="E12" s="244"/>
      <c r="F12" s="256"/>
      <c r="G12" s="256"/>
      <c r="H12" s="256"/>
      <c r="I12" s="246"/>
      <c r="J12" s="255"/>
      <c r="K12" s="255"/>
      <c r="L12" s="255"/>
      <c r="M12" s="255"/>
      <c r="N12" s="255"/>
      <c r="O12" s="255"/>
      <c r="P12" s="255"/>
      <c r="Q12" s="255"/>
      <c r="R12" s="255"/>
      <c r="S12" s="255"/>
      <c r="T12" s="255"/>
      <c r="U12" s="255"/>
      <c r="V12" s="255"/>
      <c r="W12" s="255"/>
      <c r="X12" s="255"/>
      <c r="Y12" s="255"/>
      <c r="Z12" s="255"/>
      <c r="AA12" s="255"/>
      <c r="AB12" s="255"/>
      <c r="AC12" s="255"/>
      <c r="AD12" s="255"/>
      <c r="AE12" s="244"/>
      <c r="AF12" s="244"/>
      <c r="AG12" s="244"/>
    </row>
    <row r="13" spans="1:33" x14ac:dyDescent="0.25">
      <c r="A13" s="1015" t="s">
        <v>531</v>
      </c>
      <c r="B13" s="1016" t="s">
        <v>519</v>
      </c>
      <c r="C13" s="1015"/>
      <c r="D13" s="244"/>
      <c r="E13" s="244"/>
      <c r="F13" s="256"/>
      <c r="G13" s="256"/>
      <c r="H13" s="256"/>
      <c r="I13" s="256"/>
      <c r="J13" s="246"/>
      <c r="K13" s="255"/>
      <c r="L13" s="255"/>
      <c r="M13" s="255"/>
      <c r="N13" s="255"/>
      <c r="O13" s="255"/>
      <c r="P13" s="255"/>
      <c r="Q13" s="255"/>
      <c r="R13" s="255"/>
      <c r="S13" s="255"/>
      <c r="T13" s="255"/>
      <c r="U13" s="255"/>
      <c r="V13" s="255"/>
      <c r="W13" s="255"/>
      <c r="X13" s="255"/>
      <c r="Y13" s="255"/>
      <c r="Z13" s="255"/>
      <c r="AA13" s="255"/>
      <c r="AB13" s="255"/>
      <c r="AC13" s="255"/>
      <c r="AD13" s="255"/>
      <c r="AE13" s="244"/>
      <c r="AF13" s="244"/>
      <c r="AG13" s="244"/>
    </row>
    <row r="14" spans="1:33" x14ac:dyDescent="0.25">
      <c r="A14" s="1015" t="s">
        <v>531</v>
      </c>
      <c r="B14" s="1016" t="s">
        <v>520</v>
      </c>
      <c r="C14" s="1015"/>
      <c r="D14" s="244"/>
      <c r="E14" s="244"/>
      <c r="F14" s="256"/>
      <c r="G14" s="256"/>
      <c r="H14" s="256"/>
      <c r="I14" s="256"/>
      <c r="J14" s="256"/>
      <c r="K14" s="246"/>
      <c r="L14" s="255"/>
      <c r="M14" s="255"/>
      <c r="N14" s="255"/>
      <c r="O14" s="255"/>
      <c r="P14" s="255"/>
      <c r="Q14" s="255"/>
      <c r="R14" s="255"/>
      <c r="S14" s="255"/>
      <c r="T14" s="255"/>
      <c r="U14" s="255"/>
      <c r="V14" s="255"/>
      <c r="W14" s="255"/>
      <c r="X14" s="255"/>
      <c r="Y14" s="255"/>
      <c r="Z14" s="255"/>
      <c r="AA14" s="255"/>
      <c r="AB14" s="255"/>
      <c r="AC14" s="255"/>
      <c r="AD14" s="255"/>
      <c r="AE14" s="244"/>
      <c r="AF14" s="244"/>
      <c r="AG14" s="244"/>
    </row>
    <row r="15" spans="1:33" x14ac:dyDescent="0.25">
      <c r="A15" s="1015" t="s">
        <v>531</v>
      </c>
      <c r="B15" s="1016" t="s">
        <v>521</v>
      </c>
      <c r="C15" s="1015"/>
      <c r="D15" s="244"/>
      <c r="E15" s="244"/>
      <c r="F15" s="256"/>
      <c r="G15" s="256"/>
      <c r="H15" s="256"/>
      <c r="I15" s="256"/>
      <c r="J15" s="256"/>
      <c r="K15" s="256"/>
      <c r="L15" s="246"/>
      <c r="M15" s="255"/>
      <c r="N15" s="255"/>
      <c r="O15" s="255"/>
      <c r="P15" s="255"/>
      <c r="Q15" s="255"/>
      <c r="R15" s="255"/>
      <c r="S15" s="255"/>
      <c r="T15" s="255"/>
      <c r="U15" s="255"/>
      <c r="V15" s="255"/>
      <c r="W15" s="255"/>
      <c r="X15" s="255"/>
      <c r="Y15" s="255"/>
      <c r="Z15" s="255"/>
      <c r="AA15" s="255"/>
      <c r="AB15" s="255"/>
      <c r="AC15" s="255"/>
      <c r="AD15" s="255"/>
      <c r="AE15" s="244"/>
      <c r="AF15" s="244"/>
      <c r="AG15" s="244"/>
    </row>
    <row r="16" spans="1:33" x14ac:dyDescent="0.25">
      <c r="A16" s="1015" t="s">
        <v>531</v>
      </c>
      <c r="B16" s="1016" t="s">
        <v>522</v>
      </c>
      <c r="C16" s="1015"/>
      <c r="D16" s="244"/>
      <c r="E16" s="244"/>
      <c r="F16" s="256"/>
      <c r="G16" s="256"/>
      <c r="H16" s="256"/>
      <c r="I16" s="256"/>
      <c r="J16" s="256"/>
      <c r="K16" s="256"/>
      <c r="L16" s="256"/>
      <c r="M16" s="246"/>
      <c r="N16" s="255"/>
      <c r="O16" s="255"/>
      <c r="P16" s="255"/>
      <c r="Q16" s="255"/>
      <c r="R16" s="255"/>
      <c r="S16" s="255"/>
      <c r="T16" s="255"/>
      <c r="U16" s="255"/>
      <c r="V16" s="255"/>
      <c r="W16" s="255"/>
      <c r="X16" s="255"/>
      <c r="Y16" s="255"/>
      <c r="Z16" s="255"/>
      <c r="AA16" s="255"/>
      <c r="AB16" s="255"/>
      <c r="AC16" s="255"/>
      <c r="AD16" s="255"/>
      <c r="AE16" s="244"/>
      <c r="AF16" s="244"/>
      <c r="AG16" s="244"/>
    </row>
    <row r="17" spans="1:33" x14ac:dyDescent="0.25">
      <c r="A17" s="1015" t="s">
        <v>531</v>
      </c>
      <c r="B17" s="1016" t="s">
        <v>523</v>
      </c>
      <c r="C17" s="1015"/>
      <c r="D17" s="244"/>
      <c r="E17" s="244"/>
      <c r="F17" s="256"/>
      <c r="G17" s="256"/>
      <c r="H17" s="256"/>
      <c r="I17" s="256"/>
      <c r="J17" s="256"/>
      <c r="K17" s="256"/>
      <c r="L17" s="256"/>
      <c r="M17" s="256"/>
      <c r="N17" s="246"/>
      <c r="O17" s="255"/>
      <c r="P17" s="255"/>
      <c r="Q17" s="255"/>
      <c r="R17" s="255"/>
      <c r="S17" s="255"/>
      <c r="T17" s="255"/>
      <c r="U17" s="255"/>
      <c r="V17" s="255"/>
      <c r="W17" s="255"/>
      <c r="X17" s="255"/>
      <c r="Y17" s="255"/>
      <c r="Z17" s="255"/>
      <c r="AA17" s="255"/>
      <c r="AB17" s="255"/>
      <c r="AC17" s="255"/>
      <c r="AD17" s="255"/>
      <c r="AE17" s="244"/>
      <c r="AF17" s="244"/>
      <c r="AG17" s="244"/>
    </row>
    <row r="18" spans="1:33" x14ac:dyDescent="0.25">
      <c r="A18" s="1015" t="s">
        <v>531</v>
      </c>
      <c r="B18" s="1016" t="s">
        <v>524</v>
      </c>
      <c r="C18" s="244"/>
      <c r="D18" s="244"/>
      <c r="E18" s="244"/>
      <c r="F18" s="256"/>
      <c r="G18" s="256"/>
      <c r="H18" s="256"/>
      <c r="I18" s="256"/>
      <c r="J18" s="256"/>
      <c r="K18" s="256"/>
      <c r="L18" s="256"/>
      <c r="M18" s="256"/>
      <c r="N18" s="256"/>
      <c r="O18" s="246"/>
      <c r="P18" s="255"/>
      <c r="Q18" s="255"/>
      <c r="R18" s="255"/>
      <c r="S18" s="255"/>
      <c r="T18" s="255"/>
      <c r="U18" s="255"/>
      <c r="V18" s="255"/>
      <c r="W18" s="255"/>
      <c r="X18" s="255"/>
      <c r="Y18" s="255"/>
      <c r="Z18" s="255"/>
      <c r="AA18" s="255"/>
      <c r="AB18" s="255"/>
      <c r="AC18" s="255"/>
      <c r="AD18" s="255"/>
      <c r="AE18" s="244"/>
      <c r="AF18" s="244"/>
      <c r="AG18" s="244"/>
    </row>
    <row r="19" spans="1:33" x14ac:dyDescent="0.25">
      <c r="A19" s="1015" t="s">
        <v>531</v>
      </c>
      <c r="B19" s="1016" t="s">
        <v>525</v>
      </c>
      <c r="C19" s="244"/>
      <c r="D19" s="244"/>
      <c r="E19" s="244"/>
      <c r="F19" s="256"/>
      <c r="G19" s="256"/>
      <c r="H19" s="256"/>
      <c r="I19" s="256"/>
      <c r="J19" s="256"/>
      <c r="K19" s="256"/>
      <c r="L19" s="256"/>
      <c r="M19" s="256"/>
      <c r="N19" s="256"/>
      <c r="O19" s="256"/>
      <c r="P19" s="246"/>
      <c r="Q19" s="255"/>
      <c r="R19" s="255"/>
      <c r="S19" s="255"/>
      <c r="T19" s="255"/>
      <c r="U19" s="255"/>
      <c r="V19" s="255"/>
      <c r="W19" s="255"/>
      <c r="X19" s="255"/>
      <c r="Y19" s="255"/>
      <c r="Z19" s="255"/>
      <c r="AA19" s="255"/>
      <c r="AB19" s="255"/>
      <c r="AC19" s="255"/>
      <c r="AD19" s="255"/>
      <c r="AE19" s="244"/>
      <c r="AF19" s="244"/>
      <c r="AG19" s="244"/>
    </row>
    <row r="20" spans="1:33" x14ac:dyDescent="0.25">
      <c r="A20" s="1015" t="s">
        <v>531</v>
      </c>
      <c r="B20" s="1016" t="s">
        <v>526</v>
      </c>
      <c r="C20" s="244"/>
      <c r="D20" s="244"/>
      <c r="E20" s="244"/>
      <c r="F20" s="256"/>
      <c r="G20" s="256"/>
      <c r="H20" s="256"/>
      <c r="I20" s="256"/>
      <c r="J20" s="256"/>
      <c r="K20" s="256"/>
      <c r="L20" s="256"/>
      <c r="M20" s="256"/>
      <c r="N20" s="256"/>
      <c r="O20" s="256"/>
      <c r="P20" s="256"/>
      <c r="Q20" s="246"/>
      <c r="R20" s="255"/>
      <c r="S20" s="255"/>
      <c r="T20" s="255"/>
      <c r="U20" s="255"/>
      <c r="V20" s="255"/>
      <c r="W20" s="255"/>
      <c r="X20" s="255"/>
      <c r="Y20" s="255"/>
      <c r="Z20" s="255"/>
      <c r="AA20" s="255"/>
      <c r="AB20" s="255"/>
      <c r="AC20" s="255"/>
      <c r="AD20" s="255"/>
      <c r="AE20" s="244"/>
      <c r="AF20" s="244"/>
      <c r="AG20" s="244"/>
    </row>
    <row r="21" spans="1:33" x14ac:dyDescent="0.25">
      <c r="A21" s="1015" t="s">
        <v>531</v>
      </c>
      <c r="B21" s="1016" t="s">
        <v>527</v>
      </c>
      <c r="C21" s="244"/>
      <c r="D21" s="244"/>
      <c r="E21" s="244"/>
      <c r="F21" s="256"/>
      <c r="G21" s="256"/>
      <c r="H21" s="256"/>
      <c r="I21" s="256"/>
      <c r="J21" s="256"/>
      <c r="K21" s="256"/>
      <c r="L21" s="256"/>
      <c r="M21" s="256"/>
      <c r="N21" s="256"/>
      <c r="O21" s="256"/>
      <c r="P21" s="256"/>
      <c r="Q21" s="256"/>
      <c r="R21" s="246"/>
      <c r="S21" s="255"/>
      <c r="T21" s="255"/>
      <c r="U21" s="255"/>
      <c r="V21" s="255"/>
      <c r="W21" s="255"/>
      <c r="X21" s="255"/>
      <c r="Y21" s="255"/>
      <c r="Z21" s="255"/>
      <c r="AA21" s="255"/>
      <c r="AB21" s="255"/>
      <c r="AC21" s="255"/>
      <c r="AD21" s="255"/>
      <c r="AE21" s="244"/>
      <c r="AF21" s="244"/>
      <c r="AG21" s="244"/>
    </row>
    <row r="22" spans="1:33" x14ac:dyDescent="0.25">
      <c r="A22" s="1015" t="s">
        <v>531</v>
      </c>
      <c r="B22" s="1016" t="s">
        <v>528</v>
      </c>
      <c r="C22" s="244"/>
      <c r="D22" s="244"/>
      <c r="E22" s="244"/>
      <c r="F22" s="256"/>
      <c r="G22" s="256"/>
      <c r="H22" s="256"/>
      <c r="I22" s="256"/>
      <c r="J22" s="256"/>
      <c r="K22" s="256"/>
      <c r="L22" s="256"/>
      <c r="M22" s="256"/>
      <c r="N22" s="256"/>
      <c r="O22" s="256"/>
      <c r="P22" s="256"/>
      <c r="Q22" s="256"/>
      <c r="R22" s="256"/>
      <c r="S22" s="246"/>
      <c r="T22" s="255"/>
      <c r="U22" s="255"/>
      <c r="V22" s="255"/>
      <c r="W22" s="255"/>
      <c r="X22" s="255"/>
      <c r="Y22" s="255"/>
      <c r="Z22" s="255"/>
      <c r="AA22" s="255"/>
      <c r="AB22" s="255"/>
      <c r="AC22" s="255"/>
      <c r="AD22" s="255"/>
      <c r="AE22" s="244"/>
      <c r="AF22" s="244"/>
      <c r="AG22" s="244"/>
    </row>
    <row r="23" spans="1:33" x14ac:dyDescent="0.25">
      <c r="A23" s="1015" t="s">
        <v>531</v>
      </c>
      <c r="B23" s="1016" t="s">
        <v>532</v>
      </c>
      <c r="C23" s="244"/>
      <c r="D23" s="244"/>
      <c r="E23" s="244"/>
      <c r="F23" s="256"/>
      <c r="G23" s="256"/>
      <c r="H23" s="256"/>
      <c r="I23" s="256"/>
      <c r="J23" s="256"/>
      <c r="K23" s="256"/>
      <c r="L23" s="256"/>
      <c r="M23" s="256"/>
      <c r="N23" s="256"/>
      <c r="O23" s="256"/>
      <c r="P23" s="256"/>
      <c r="Q23" s="256"/>
      <c r="R23" s="256"/>
      <c r="S23" s="256"/>
      <c r="T23" s="246"/>
      <c r="U23" s="255"/>
      <c r="V23" s="255"/>
      <c r="W23" s="255"/>
      <c r="X23" s="255"/>
      <c r="Y23" s="255"/>
      <c r="Z23" s="255"/>
      <c r="AA23" s="255"/>
      <c r="AB23" s="255"/>
      <c r="AC23" s="255"/>
      <c r="AD23" s="255"/>
      <c r="AE23" s="244"/>
      <c r="AF23" s="244"/>
      <c r="AG23" s="244"/>
    </row>
    <row r="24" spans="1:33" x14ac:dyDescent="0.25">
      <c r="A24" s="1015" t="s">
        <v>531</v>
      </c>
      <c r="B24" s="1016" t="s">
        <v>533</v>
      </c>
      <c r="C24" s="244"/>
      <c r="D24" s="244"/>
      <c r="E24" s="244"/>
      <c r="F24" s="256"/>
      <c r="G24" s="256"/>
      <c r="H24" s="256"/>
      <c r="I24" s="256"/>
      <c r="J24" s="256"/>
      <c r="K24" s="256"/>
      <c r="L24" s="256"/>
      <c r="M24" s="256"/>
      <c r="N24" s="256"/>
      <c r="O24" s="256"/>
      <c r="P24" s="256"/>
      <c r="Q24" s="256"/>
      <c r="R24" s="256"/>
      <c r="S24" s="256"/>
      <c r="T24" s="256"/>
      <c r="U24" s="246"/>
      <c r="V24" s="255"/>
      <c r="W24" s="255"/>
      <c r="X24" s="255"/>
      <c r="Y24" s="255"/>
      <c r="Z24" s="255"/>
      <c r="AA24" s="255"/>
      <c r="AB24" s="255"/>
      <c r="AC24" s="255"/>
      <c r="AD24" s="255"/>
      <c r="AE24" s="244"/>
      <c r="AF24" s="244"/>
      <c r="AG24" s="244"/>
    </row>
    <row r="25" spans="1:33" x14ac:dyDescent="0.25">
      <c r="A25" s="1015" t="s">
        <v>531</v>
      </c>
      <c r="B25" s="1016" t="s">
        <v>534</v>
      </c>
      <c r="C25" s="244"/>
      <c r="D25" s="244"/>
      <c r="E25" s="244"/>
      <c r="F25" s="256"/>
      <c r="G25" s="256"/>
      <c r="H25" s="256"/>
      <c r="I25" s="256"/>
      <c r="J25" s="256"/>
      <c r="K25" s="256"/>
      <c r="L25" s="256"/>
      <c r="M25" s="256"/>
      <c r="N25" s="256"/>
      <c r="O25" s="256"/>
      <c r="P25" s="256"/>
      <c r="Q25" s="256"/>
      <c r="R25" s="256"/>
      <c r="S25" s="256"/>
      <c r="T25" s="256"/>
      <c r="U25" s="256"/>
      <c r="V25" s="246"/>
      <c r="W25" s="255"/>
      <c r="X25" s="255"/>
      <c r="Y25" s="255"/>
      <c r="Z25" s="255"/>
      <c r="AA25" s="255"/>
      <c r="AB25" s="255"/>
      <c r="AC25" s="255"/>
      <c r="AD25" s="255"/>
      <c r="AE25" s="244"/>
      <c r="AF25" s="244"/>
      <c r="AG25" s="244"/>
    </row>
    <row r="26" spans="1:33" x14ac:dyDescent="0.25">
      <c r="A26" s="1015" t="s">
        <v>531</v>
      </c>
      <c r="B26" s="1016" t="s">
        <v>544</v>
      </c>
      <c r="C26" s="244"/>
      <c r="D26" s="244"/>
      <c r="E26" s="244"/>
      <c r="F26" s="256"/>
      <c r="G26" s="256"/>
      <c r="H26" s="256"/>
      <c r="I26" s="256"/>
      <c r="J26" s="256"/>
      <c r="K26" s="256"/>
      <c r="L26" s="256"/>
      <c r="M26" s="256"/>
      <c r="N26" s="256"/>
      <c r="O26" s="256"/>
      <c r="P26" s="256"/>
      <c r="Q26" s="256"/>
      <c r="R26" s="256"/>
      <c r="S26" s="256"/>
      <c r="T26" s="256"/>
      <c r="U26" s="256"/>
      <c r="V26" s="256"/>
      <c r="W26" s="246"/>
      <c r="X26" s="255"/>
      <c r="Y26" s="255"/>
      <c r="Z26" s="255"/>
      <c r="AA26" s="255"/>
      <c r="AB26" s="255"/>
      <c r="AC26" s="255"/>
      <c r="AD26" s="255"/>
      <c r="AE26" s="244"/>
      <c r="AF26" s="244"/>
      <c r="AG26" s="244"/>
    </row>
    <row r="27" spans="1:33" x14ac:dyDescent="0.25">
      <c r="A27" s="1015" t="s">
        <v>531</v>
      </c>
      <c r="B27" s="1016" t="s">
        <v>545</v>
      </c>
      <c r="C27" s="244"/>
      <c r="D27" s="244"/>
      <c r="E27" s="244"/>
      <c r="F27" s="256"/>
      <c r="G27" s="256"/>
      <c r="H27" s="256"/>
      <c r="I27" s="256"/>
      <c r="J27" s="256"/>
      <c r="K27" s="256"/>
      <c r="L27" s="256"/>
      <c r="M27" s="256"/>
      <c r="N27" s="256"/>
      <c r="O27" s="256"/>
      <c r="P27" s="256"/>
      <c r="Q27" s="256"/>
      <c r="R27" s="256"/>
      <c r="S27" s="256"/>
      <c r="T27" s="256"/>
      <c r="U27" s="256"/>
      <c r="V27" s="256"/>
      <c r="W27" s="256"/>
      <c r="X27" s="246"/>
      <c r="Y27" s="255"/>
      <c r="Z27" s="255"/>
      <c r="AA27" s="255"/>
      <c r="AB27" s="255"/>
      <c r="AC27" s="255"/>
      <c r="AD27" s="255"/>
      <c r="AE27" s="244"/>
      <c r="AF27" s="244"/>
      <c r="AG27" s="244"/>
    </row>
    <row r="28" spans="1:33" x14ac:dyDescent="0.25">
      <c r="A28" s="1015" t="s">
        <v>531</v>
      </c>
      <c r="B28" s="1016" t="s">
        <v>546</v>
      </c>
      <c r="C28" s="244"/>
      <c r="D28" s="244"/>
      <c r="E28" s="244"/>
      <c r="F28" s="256"/>
      <c r="G28" s="256"/>
      <c r="H28" s="256"/>
      <c r="I28" s="256"/>
      <c r="J28" s="256"/>
      <c r="K28" s="256"/>
      <c r="L28" s="256"/>
      <c r="M28" s="256"/>
      <c r="N28" s="256"/>
      <c r="O28" s="256"/>
      <c r="P28" s="256"/>
      <c r="Q28" s="256"/>
      <c r="R28" s="256"/>
      <c r="S28" s="256"/>
      <c r="T28" s="256"/>
      <c r="U28" s="256"/>
      <c r="V28" s="256"/>
      <c r="W28" s="256"/>
      <c r="X28" s="256"/>
      <c r="Y28" s="246"/>
      <c r="Z28" s="255"/>
      <c r="AA28" s="255"/>
      <c r="AB28" s="255"/>
      <c r="AC28" s="255"/>
      <c r="AD28" s="255"/>
      <c r="AE28" s="244"/>
      <c r="AF28" s="244"/>
      <c r="AG28" s="244"/>
    </row>
    <row r="29" spans="1:33" ht="29.4" customHeight="1" x14ac:dyDescent="0.25">
      <c r="A29" s="1015" t="s">
        <v>531</v>
      </c>
      <c r="B29" s="1016" t="s">
        <v>1428</v>
      </c>
      <c r="C29" s="1018"/>
      <c r="D29" s="244"/>
      <c r="E29" s="244"/>
      <c r="F29" s="256"/>
      <c r="G29" s="256"/>
      <c r="H29" s="256"/>
      <c r="I29" s="256"/>
      <c r="J29" s="256"/>
      <c r="K29" s="256"/>
      <c r="L29" s="256"/>
      <c r="M29" s="256"/>
      <c r="N29" s="256"/>
      <c r="O29" s="256"/>
      <c r="P29" s="256"/>
      <c r="Q29" s="256"/>
      <c r="R29" s="256"/>
      <c r="S29" s="256"/>
      <c r="T29" s="256"/>
      <c r="U29" s="256"/>
      <c r="V29" s="256"/>
      <c r="W29" s="256"/>
      <c r="X29" s="256"/>
      <c r="Y29" s="256"/>
      <c r="Z29" s="246"/>
      <c r="AA29" s="255"/>
      <c r="AB29" s="255"/>
      <c r="AC29" s="255"/>
      <c r="AD29" s="255"/>
      <c r="AE29" s="244"/>
      <c r="AF29" s="244"/>
      <c r="AG29" s="244"/>
    </row>
    <row r="30" spans="1:33" x14ac:dyDescent="0.25">
      <c r="A30" s="1015" t="s">
        <v>531</v>
      </c>
      <c r="B30" s="1016" t="s">
        <v>1429</v>
      </c>
      <c r="C30" s="244"/>
      <c r="D30" s="244"/>
      <c r="E30" s="244"/>
      <c r="F30" s="256"/>
      <c r="G30" s="256"/>
      <c r="H30" s="256"/>
      <c r="I30" s="256"/>
      <c r="J30" s="256"/>
      <c r="K30" s="256"/>
      <c r="L30" s="256"/>
      <c r="M30" s="256"/>
      <c r="N30" s="256"/>
      <c r="O30" s="256"/>
      <c r="P30" s="256"/>
      <c r="Q30" s="256"/>
      <c r="R30" s="256"/>
      <c r="S30" s="256"/>
      <c r="T30" s="256"/>
      <c r="U30" s="256"/>
      <c r="V30" s="256"/>
      <c r="W30" s="256"/>
      <c r="X30" s="256"/>
      <c r="Y30" s="256"/>
      <c r="Z30" s="256"/>
      <c r="AA30" s="246"/>
      <c r="AB30" s="255"/>
      <c r="AC30" s="255"/>
      <c r="AD30" s="255"/>
      <c r="AE30" s="244"/>
      <c r="AF30" s="244"/>
      <c r="AG30" s="244"/>
    </row>
    <row r="31" spans="1:33" x14ac:dyDescent="0.25">
      <c r="A31" s="1015" t="s">
        <v>531</v>
      </c>
      <c r="B31" s="1016" t="s">
        <v>1430</v>
      </c>
      <c r="C31" s="244"/>
      <c r="D31" s="244"/>
      <c r="E31" s="244"/>
      <c r="F31" s="256"/>
      <c r="G31" s="256"/>
      <c r="H31" s="256"/>
      <c r="I31" s="256"/>
      <c r="J31" s="256"/>
      <c r="K31" s="256"/>
      <c r="L31" s="256"/>
      <c r="M31" s="256"/>
      <c r="N31" s="256"/>
      <c r="O31" s="256"/>
      <c r="P31" s="256"/>
      <c r="Q31" s="256"/>
      <c r="R31" s="256"/>
      <c r="S31" s="256"/>
      <c r="T31" s="256"/>
      <c r="U31" s="256"/>
      <c r="V31" s="256"/>
      <c r="W31" s="256"/>
      <c r="X31" s="256"/>
      <c r="Y31" s="256"/>
      <c r="Z31" s="256"/>
      <c r="AA31" s="256"/>
      <c r="AB31" s="246"/>
      <c r="AC31" s="255"/>
      <c r="AD31" s="255"/>
      <c r="AE31" s="244"/>
      <c r="AF31" s="244"/>
      <c r="AG31" s="244"/>
    </row>
    <row r="32" spans="1:33" x14ac:dyDescent="0.25">
      <c r="A32" s="1015" t="s">
        <v>531</v>
      </c>
      <c r="B32" s="1016" t="s">
        <v>1431</v>
      </c>
      <c r="C32" s="244"/>
      <c r="D32" s="244"/>
      <c r="E32" s="244"/>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6"/>
      <c r="AD32" s="255"/>
      <c r="AE32" s="244"/>
      <c r="AF32" s="244"/>
      <c r="AG32" s="244"/>
    </row>
    <row r="33" spans="1:36" x14ac:dyDescent="0.25">
      <c r="A33" s="1015" t="s">
        <v>531</v>
      </c>
      <c r="B33" s="1016" t="s">
        <v>1432</v>
      </c>
      <c r="C33" s="244"/>
      <c r="D33" s="244"/>
      <c r="E33" s="244"/>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46"/>
      <c r="AE33" s="244"/>
      <c r="AF33" s="244"/>
      <c r="AG33" s="244"/>
    </row>
    <row r="34" spans="1:36" ht="13" x14ac:dyDescent="0.3">
      <c r="A34" s="1019"/>
      <c r="B34" s="1020" t="s">
        <v>270</v>
      </c>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row>
    <row r="36" spans="1:36" s="1022" customFormat="1" ht="13" x14ac:dyDescent="0.3">
      <c r="A36" s="1009"/>
      <c r="B36" s="1010" t="s">
        <v>535</v>
      </c>
      <c r="C36" s="1009"/>
      <c r="D36" s="1009"/>
      <c r="E36" s="1009"/>
      <c r="F36" s="1011" t="s">
        <v>10</v>
      </c>
      <c r="G36" s="1009"/>
      <c r="H36" s="1021"/>
      <c r="I36" s="1009"/>
      <c r="J36" s="1021"/>
      <c r="K36" s="1021"/>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I36" s="1023"/>
      <c r="AJ36" s="1023"/>
    </row>
    <row r="37" spans="1:36" ht="26.15" customHeight="1" x14ac:dyDescent="0.35">
      <c r="A37" s="1024"/>
      <c r="B37" s="1025" t="s">
        <v>412</v>
      </c>
      <c r="C37" s="2007" t="s">
        <v>513</v>
      </c>
      <c r="D37" s="2007" t="s">
        <v>514</v>
      </c>
      <c r="E37" s="2007" t="s">
        <v>584</v>
      </c>
      <c r="F37" s="2009" t="s">
        <v>585</v>
      </c>
      <c r="G37" s="2010"/>
      <c r="H37" s="2010"/>
      <c r="I37" s="2010"/>
      <c r="J37" s="2010"/>
      <c r="K37" s="2010"/>
      <c r="L37" s="2010"/>
      <c r="M37" s="2010"/>
      <c r="N37" s="2010"/>
      <c r="O37" s="2010"/>
      <c r="P37" s="2010"/>
      <c r="Q37" s="2010"/>
      <c r="R37" s="2010"/>
      <c r="S37" s="2010"/>
      <c r="T37" s="2010"/>
      <c r="U37" s="2010"/>
      <c r="V37" s="2010"/>
      <c r="W37" s="2010"/>
      <c r="X37" s="2010"/>
      <c r="Y37" s="2010"/>
      <c r="Z37" s="2010"/>
      <c r="AA37" s="2010"/>
      <c r="AB37" s="2010"/>
      <c r="AC37" s="2010"/>
      <c r="AD37" s="2011"/>
      <c r="AE37" s="1013" t="s">
        <v>536</v>
      </c>
      <c r="AF37" s="1013" t="s">
        <v>529</v>
      </c>
      <c r="AG37" s="1013" t="s">
        <v>537</v>
      </c>
    </row>
    <row r="38" spans="1:36" ht="12.9" customHeight="1" x14ac:dyDescent="0.25">
      <c r="A38" s="1024"/>
      <c r="B38" s="1025"/>
      <c r="C38" s="2008"/>
      <c r="D38" s="2008"/>
      <c r="E38" s="2008"/>
      <c r="F38" s="1014" t="s">
        <v>515</v>
      </c>
      <c r="G38" s="1014" t="s">
        <v>516</v>
      </c>
      <c r="H38" s="1014" t="s">
        <v>517</v>
      </c>
      <c r="I38" s="1014" t="s">
        <v>518</v>
      </c>
      <c r="J38" s="1014" t="s">
        <v>519</v>
      </c>
      <c r="K38" s="1014" t="s">
        <v>520</v>
      </c>
      <c r="L38" s="1014" t="s">
        <v>521</v>
      </c>
      <c r="M38" s="1014" t="s">
        <v>522</v>
      </c>
      <c r="N38" s="1014" t="s">
        <v>523</v>
      </c>
      <c r="O38" s="1014" t="s">
        <v>524</v>
      </c>
      <c r="P38" s="1014" t="s">
        <v>525</v>
      </c>
      <c r="Q38" s="1014" t="s">
        <v>526</v>
      </c>
      <c r="R38" s="1014" t="s">
        <v>527</v>
      </c>
      <c r="S38" s="1014" t="s">
        <v>528</v>
      </c>
      <c r="T38" s="1014" t="s">
        <v>324</v>
      </c>
      <c r="U38" s="1014" t="s">
        <v>504</v>
      </c>
      <c r="V38" s="1014" t="s">
        <v>505</v>
      </c>
      <c r="W38" s="1014" t="s">
        <v>506</v>
      </c>
      <c r="X38" s="1014" t="s">
        <v>507</v>
      </c>
      <c r="Y38" s="1014" t="s">
        <v>508</v>
      </c>
      <c r="Z38" s="1014" t="s">
        <v>968</v>
      </c>
      <c r="AA38" s="1014" t="s">
        <v>969</v>
      </c>
      <c r="AB38" s="1014" t="s">
        <v>970</v>
      </c>
      <c r="AC38" s="1014" t="s">
        <v>971</v>
      </c>
      <c r="AD38" s="1014" t="s">
        <v>972</v>
      </c>
      <c r="AE38" s="1013"/>
      <c r="AF38" s="1013"/>
      <c r="AG38" s="1013"/>
    </row>
    <row r="39" spans="1:36" x14ac:dyDescent="0.25">
      <c r="A39" s="1015" t="s">
        <v>530</v>
      </c>
      <c r="B39" s="1016">
        <v>2005</v>
      </c>
      <c r="C39" s="1015"/>
      <c r="D39" s="1015"/>
      <c r="E39" s="1026"/>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44"/>
      <c r="AF39" s="244"/>
      <c r="AG39" s="1027"/>
      <c r="AI39" s="1021"/>
    </row>
    <row r="40" spans="1:36" x14ac:dyDescent="0.25">
      <c r="A40" s="1015" t="s">
        <v>531</v>
      </c>
      <c r="B40" s="1016" t="s">
        <v>515</v>
      </c>
      <c r="C40" s="1015"/>
      <c r="D40" s="1015"/>
      <c r="E40" s="1026"/>
      <c r="F40" s="246"/>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44"/>
      <c r="AF40" s="244"/>
      <c r="AG40" s="1027"/>
    </row>
    <row r="41" spans="1:36" x14ac:dyDescent="0.25">
      <c r="A41" s="1015" t="s">
        <v>531</v>
      </c>
      <c r="B41" s="1016" t="s">
        <v>516</v>
      </c>
      <c r="C41" s="1015"/>
      <c r="D41" s="1015"/>
      <c r="E41" s="1026"/>
      <c r="F41" s="256"/>
      <c r="G41" s="246"/>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44"/>
      <c r="AF41" s="244"/>
      <c r="AG41" s="1027"/>
    </row>
    <row r="42" spans="1:36" x14ac:dyDescent="0.25">
      <c r="A42" s="1015" t="s">
        <v>531</v>
      </c>
      <c r="B42" s="1016" t="s">
        <v>517</v>
      </c>
      <c r="C42" s="1015"/>
      <c r="D42" s="1015"/>
      <c r="E42" s="1026"/>
      <c r="F42" s="256"/>
      <c r="G42" s="256"/>
      <c r="H42" s="246"/>
      <c r="I42" s="255"/>
      <c r="J42" s="255"/>
      <c r="K42" s="255"/>
      <c r="L42" s="255"/>
      <c r="M42" s="255"/>
      <c r="N42" s="255"/>
      <c r="O42" s="255"/>
      <c r="P42" s="255"/>
      <c r="Q42" s="255"/>
      <c r="R42" s="255"/>
      <c r="S42" s="255"/>
      <c r="T42" s="255"/>
      <c r="U42" s="255"/>
      <c r="V42" s="255"/>
      <c r="W42" s="255"/>
      <c r="X42" s="255"/>
      <c r="Y42" s="255"/>
      <c r="Z42" s="255"/>
      <c r="AA42" s="255"/>
      <c r="AB42" s="255"/>
      <c r="AC42" s="255"/>
      <c r="AD42" s="255"/>
      <c r="AE42" s="244"/>
      <c r="AF42" s="244"/>
      <c r="AG42" s="1027"/>
    </row>
    <row r="43" spans="1:36" x14ac:dyDescent="0.25">
      <c r="A43" s="1015" t="s">
        <v>531</v>
      </c>
      <c r="B43" s="1016" t="s">
        <v>518</v>
      </c>
      <c r="C43" s="1015"/>
      <c r="D43" s="1015"/>
      <c r="E43" s="1026"/>
      <c r="F43" s="256"/>
      <c r="G43" s="256"/>
      <c r="H43" s="256"/>
      <c r="I43" s="246"/>
      <c r="J43" s="255"/>
      <c r="K43" s="255"/>
      <c r="L43" s="255"/>
      <c r="M43" s="255"/>
      <c r="N43" s="255"/>
      <c r="O43" s="255"/>
      <c r="P43" s="255"/>
      <c r="Q43" s="255"/>
      <c r="R43" s="255"/>
      <c r="S43" s="255"/>
      <c r="T43" s="255"/>
      <c r="U43" s="255"/>
      <c r="V43" s="255"/>
      <c r="W43" s="255"/>
      <c r="X43" s="255"/>
      <c r="Y43" s="255"/>
      <c r="Z43" s="255"/>
      <c r="AA43" s="255"/>
      <c r="AB43" s="255"/>
      <c r="AC43" s="255"/>
      <c r="AD43" s="255"/>
      <c r="AE43" s="244"/>
      <c r="AF43" s="244"/>
      <c r="AG43" s="1027"/>
    </row>
    <row r="44" spans="1:36" x14ac:dyDescent="0.25">
      <c r="A44" s="1015" t="s">
        <v>531</v>
      </c>
      <c r="B44" s="1016" t="s">
        <v>519</v>
      </c>
      <c r="C44" s="1015"/>
      <c r="D44" s="1015"/>
      <c r="E44" s="1026"/>
      <c r="F44" s="256"/>
      <c r="G44" s="256"/>
      <c r="H44" s="256"/>
      <c r="I44" s="256"/>
      <c r="J44" s="246"/>
      <c r="K44" s="255"/>
      <c r="L44" s="255"/>
      <c r="M44" s="255"/>
      <c r="N44" s="255"/>
      <c r="O44" s="255"/>
      <c r="P44" s="255"/>
      <c r="Q44" s="255"/>
      <c r="R44" s="255"/>
      <c r="S44" s="255"/>
      <c r="T44" s="255"/>
      <c r="U44" s="255"/>
      <c r="V44" s="255"/>
      <c r="W44" s="255"/>
      <c r="X44" s="255"/>
      <c r="Y44" s="255"/>
      <c r="Z44" s="255"/>
      <c r="AA44" s="255"/>
      <c r="AB44" s="255"/>
      <c r="AC44" s="255"/>
      <c r="AD44" s="255"/>
      <c r="AE44" s="244"/>
      <c r="AF44" s="244"/>
      <c r="AG44" s="1027"/>
    </row>
    <row r="45" spans="1:36" x14ac:dyDescent="0.25">
      <c r="A45" s="1015" t="s">
        <v>531</v>
      </c>
      <c r="B45" s="1016" t="s">
        <v>520</v>
      </c>
      <c r="C45" s="1015"/>
      <c r="D45" s="1015"/>
      <c r="E45" s="1026"/>
      <c r="F45" s="256"/>
      <c r="G45" s="256"/>
      <c r="H45" s="256"/>
      <c r="I45" s="256"/>
      <c r="J45" s="256"/>
      <c r="K45" s="246"/>
      <c r="L45" s="255"/>
      <c r="M45" s="255"/>
      <c r="N45" s="255"/>
      <c r="O45" s="255"/>
      <c r="P45" s="255"/>
      <c r="Q45" s="255"/>
      <c r="R45" s="255"/>
      <c r="S45" s="255"/>
      <c r="T45" s="255"/>
      <c r="U45" s="255"/>
      <c r="V45" s="255"/>
      <c r="W45" s="255"/>
      <c r="X45" s="255"/>
      <c r="Y45" s="255"/>
      <c r="Z45" s="255"/>
      <c r="AA45" s="255"/>
      <c r="AB45" s="255"/>
      <c r="AC45" s="255"/>
      <c r="AD45" s="255"/>
      <c r="AE45" s="244"/>
      <c r="AF45" s="244"/>
      <c r="AG45" s="1027"/>
    </row>
    <row r="46" spans="1:36" x14ac:dyDescent="0.25">
      <c r="A46" s="1015" t="s">
        <v>531</v>
      </c>
      <c r="B46" s="1016" t="s">
        <v>521</v>
      </c>
      <c r="C46" s="1015"/>
      <c r="D46" s="1015"/>
      <c r="E46" s="1026"/>
      <c r="F46" s="256"/>
      <c r="G46" s="256"/>
      <c r="H46" s="256"/>
      <c r="I46" s="256"/>
      <c r="J46" s="256"/>
      <c r="K46" s="256"/>
      <c r="L46" s="246"/>
      <c r="M46" s="255"/>
      <c r="N46" s="255"/>
      <c r="O46" s="255"/>
      <c r="P46" s="255"/>
      <c r="Q46" s="255"/>
      <c r="R46" s="255"/>
      <c r="S46" s="255"/>
      <c r="T46" s="255"/>
      <c r="U46" s="255"/>
      <c r="V46" s="255"/>
      <c r="W46" s="255"/>
      <c r="X46" s="255"/>
      <c r="Y46" s="255"/>
      <c r="Z46" s="255"/>
      <c r="AA46" s="255"/>
      <c r="AB46" s="255"/>
      <c r="AC46" s="255"/>
      <c r="AD46" s="255"/>
      <c r="AE46" s="244"/>
      <c r="AF46" s="244"/>
      <c r="AG46" s="1027"/>
    </row>
    <row r="47" spans="1:36" x14ac:dyDescent="0.25">
      <c r="A47" s="1015" t="s">
        <v>531</v>
      </c>
      <c r="B47" s="1016" t="s">
        <v>522</v>
      </c>
      <c r="C47" s="1015"/>
      <c r="D47" s="1015"/>
      <c r="E47" s="1026"/>
      <c r="F47" s="256"/>
      <c r="G47" s="256"/>
      <c r="H47" s="256"/>
      <c r="I47" s="256"/>
      <c r="J47" s="256"/>
      <c r="K47" s="256"/>
      <c r="L47" s="256"/>
      <c r="M47" s="246"/>
      <c r="N47" s="255"/>
      <c r="O47" s="255"/>
      <c r="P47" s="255"/>
      <c r="Q47" s="255"/>
      <c r="R47" s="255"/>
      <c r="S47" s="255"/>
      <c r="T47" s="255"/>
      <c r="U47" s="255"/>
      <c r="V47" s="255"/>
      <c r="W47" s="255"/>
      <c r="X47" s="255"/>
      <c r="Y47" s="255"/>
      <c r="Z47" s="255"/>
      <c r="AA47" s="255"/>
      <c r="AB47" s="255"/>
      <c r="AC47" s="255"/>
      <c r="AD47" s="255"/>
      <c r="AE47" s="244"/>
      <c r="AF47" s="244"/>
      <c r="AG47" s="1027"/>
    </row>
    <row r="48" spans="1:36" x14ac:dyDescent="0.25">
      <c r="A48" s="1015" t="s">
        <v>531</v>
      </c>
      <c r="B48" s="1016" t="s">
        <v>523</v>
      </c>
      <c r="C48" s="1015"/>
      <c r="D48" s="1015"/>
      <c r="E48" s="1026"/>
      <c r="F48" s="256"/>
      <c r="G48" s="256"/>
      <c r="H48" s="256"/>
      <c r="I48" s="256"/>
      <c r="J48" s="256"/>
      <c r="K48" s="256"/>
      <c r="L48" s="256"/>
      <c r="M48" s="256"/>
      <c r="N48" s="246"/>
      <c r="O48" s="255"/>
      <c r="P48" s="255"/>
      <c r="Q48" s="255"/>
      <c r="R48" s="255"/>
      <c r="S48" s="255"/>
      <c r="T48" s="255"/>
      <c r="U48" s="255"/>
      <c r="V48" s="255"/>
      <c r="W48" s="255"/>
      <c r="X48" s="255"/>
      <c r="Y48" s="255"/>
      <c r="Z48" s="255"/>
      <c r="AA48" s="255"/>
      <c r="AB48" s="255"/>
      <c r="AC48" s="255"/>
      <c r="AD48" s="255"/>
      <c r="AE48" s="244"/>
      <c r="AF48" s="244"/>
      <c r="AG48" s="1027"/>
    </row>
    <row r="49" spans="1:33" x14ac:dyDescent="0.25">
      <c r="A49" s="1015" t="s">
        <v>531</v>
      </c>
      <c r="B49" s="1016" t="s">
        <v>524</v>
      </c>
      <c r="C49" s="244"/>
      <c r="D49" s="1015"/>
      <c r="E49" s="1026"/>
      <c r="F49" s="256"/>
      <c r="G49" s="256"/>
      <c r="H49" s="256"/>
      <c r="I49" s="256"/>
      <c r="J49" s="256"/>
      <c r="K49" s="256"/>
      <c r="L49" s="256"/>
      <c r="M49" s="256"/>
      <c r="N49" s="256"/>
      <c r="O49" s="246"/>
      <c r="P49" s="255"/>
      <c r="Q49" s="255"/>
      <c r="R49" s="255"/>
      <c r="S49" s="255"/>
      <c r="T49" s="255"/>
      <c r="U49" s="255"/>
      <c r="V49" s="255"/>
      <c r="W49" s="255"/>
      <c r="X49" s="255"/>
      <c r="Y49" s="255"/>
      <c r="Z49" s="255"/>
      <c r="AA49" s="255"/>
      <c r="AB49" s="255"/>
      <c r="AC49" s="255"/>
      <c r="AD49" s="255"/>
      <c r="AE49" s="244"/>
      <c r="AF49" s="244"/>
      <c r="AG49" s="1027"/>
    </row>
    <row r="50" spans="1:33" x14ac:dyDescent="0.25">
      <c r="A50" s="1015" t="s">
        <v>531</v>
      </c>
      <c r="B50" s="1016" t="s">
        <v>525</v>
      </c>
      <c r="C50" s="244"/>
      <c r="D50" s="1015"/>
      <c r="E50" s="1026"/>
      <c r="F50" s="256"/>
      <c r="G50" s="256"/>
      <c r="H50" s="256"/>
      <c r="I50" s="256"/>
      <c r="J50" s="256"/>
      <c r="K50" s="256"/>
      <c r="L50" s="256"/>
      <c r="M50" s="256"/>
      <c r="N50" s="256"/>
      <c r="O50" s="256"/>
      <c r="P50" s="246"/>
      <c r="Q50" s="255"/>
      <c r="R50" s="255"/>
      <c r="S50" s="255"/>
      <c r="T50" s="255"/>
      <c r="U50" s="255"/>
      <c r="V50" s="255"/>
      <c r="W50" s="255"/>
      <c r="X50" s="255"/>
      <c r="Y50" s="255"/>
      <c r="Z50" s="255"/>
      <c r="AA50" s="255"/>
      <c r="AB50" s="255"/>
      <c r="AC50" s="255"/>
      <c r="AD50" s="255"/>
      <c r="AE50" s="244"/>
      <c r="AF50" s="244"/>
      <c r="AG50" s="1027"/>
    </row>
    <row r="51" spans="1:33" x14ac:dyDescent="0.25">
      <c r="A51" s="1015" t="s">
        <v>531</v>
      </c>
      <c r="B51" s="1016" t="s">
        <v>526</v>
      </c>
      <c r="C51" s="1028"/>
      <c r="D51" s="244"/>
      <c r="E51" s="1026"/>
      <c r="F51" s="256"/>
      <c r="G51" s="256"/>
      <c r="H51" s="256"/>
      <c r="I51" s="256"/>
      <c r="J51" s="256"/>
      <c r="K51" s="256"/>
      <c r="L51" s="256"/>
      <c r="M51" s="256"/>
      <c r="N51" s="256"/>
      <c r="O51" s="256"/>
      <c r="P51" s="256"/>
      <c r="Q51" s="246"/>
      <c r="R51" s="255"/>
      <c r="S51" s="255"/>
      <c r="T51" s="255"/>
      <c r="U51" s="255"/>
      <c r="V51" s="255"/>
      <c r="W51" s="255"/>
      <c r="X51" s="255"/>
      <c r="Y51" s="255"/>
      <c r="Z51" s="255"/>
      <c r="AA51" s="255"/>
      <c r="AB51" s="255"/>
      <c r="AC51" s="255"/>
      <c r="AD51" s="255"/>
      <c r="AE51" s="244"/>
      <c r="AF51" s="244"/>
      <c r="AG51" s="1027"/>
    </row>
    <row r="52" spans="1:33" x14ac:dyDescent="0.25">
      <c r="A52" s="1015" t="s">
        <v>531</v>
      </c>
      <c r="B52" s="1016" t="s">
        <v>527</v>
      </c>
      <c r="C52" s="244"/>
      <c r="D52" s="244"/>
      <c r="E52" s="1026"/>
      <c r="F52" s="256"/>
      <c r="G52" s="256"/>
      <c r="H52" s="256"/>
      <c r="I52" s="256"/>
      <c r="J52" s="256"/>
      <c r="K52" s="256"/>
      <c r="L52" s="256"/>
      <c r="M52" s="256"/>
      <c r="N52" s="256"/>
      <c r="O52" s="256"/>
      <c r="P52" s="256"/>
      <c r="Q52" s="256"/>
      <c r="R52" s="246"/>
      <c r="S52" s="255"/>
      <c r="T52" s="255"/>
      <c r="U52" s="255"/>
      <c r="V52" s="255"/>
      <c r="W52" s="255"/>
      <c r="X52" s="255"/>
      <c r="Y52" s="255"/>
      <c r="Z52" s="255"/>
      <c r="AA52" s="255"/>
      <c r="AB52" s="255"/>
      <c r="AC52" s="255"/>
      <c r="AD52" s="255"/>
      <c r="AE52" s="244"/>
      <c r="AF52" s="244"/>
      <c r="AG52" s="1027"/>
    </row>
    <row r="53" spans="1:33" x14ac:dyDescent="0.25">
      <c r="A53" s="1015" t="s">
        <v>531</v>
      </c>
      <c r="B53" s="1016" t="s">
        <v>528</v>
      </c>
      <c r="C53" s="244"/>
      <c r="D53" s="244"/>
      <c r="E53" s="1026"/>
      <c r="F53" s="256"/>
      <c r="G53" s="256"/>
      <c r="H53" s="256"/>
      <c r="I53" s="256"/>
      <c r="J53" s="256"/>
      <c r="K53" s="256"/>
      <c r="L53" s="256"/>
      <c r="M53" s="256"/>
      <c r="N53" s="256"/>
      <c r="O53" s="256"/>
      <c r="P53" s="256"/>
      <c r="Q53" s="256"/>
      <c r="R53" s="256"/>
      <c r="S53" s="246"/>
      <c r="T53" s="255"/>
      <c r="U53" s="255"/>
      <c r="V53" s="255"/>
      <c r="W53" s="255"/>
      <c r="X53" s="255"/>
      <c r="Y53" s="255"/>
      <c r="Z53" s="255"/>
      <c r="AA53" s="255"/>
      <c r="AB53" s="255"/>
      <c r="AC53" s="255"/>
      <c r="AD53" s="255"/>
      <c r="AE53" s="244"/>
      <c r="AF53" s="244"/>
      <c r="AG53" s="1027"/>
    </row>
    <row r="54" spans="1:33" x14ac:dyDescent="0.25">
      <c r="A54" s="1015" t="s">
        <v>531</v>
      </c>
      <c r="B54" s="1016" t="s">
        <v>532</v>
      </c>
      <c r="C54" s="244"/>
      <c r="D54" s="244"/>
      <c r="E54" s="1029"/>
      <c r="F54" s="256"/>
      <c r="G54" s="256"/>
      <c r="H54" s="256"/>
      <c r="I54" s="256"/>
      <c r="J54" s="256"/>
      <c r="K54" s="256"/>
      <c r="L54" s="256"/>
      <c r="M54" s="256"/>
      <c r="N54" s="256"/>
      <c r="O54" s="256"/>
      <c r="P54" s="256"/>
      <c r="Q54" s="256"/>
      <c r="R54" s="256"/>
      <c r="S54" s="256"/>
      <c r="T54" s="246"/>
      <c r="U54" s="255"/>
      <c r="V54" s="255"/>
      <c r="W54" s="255"/>
      <c r="X54" s="255"/>
      <c r="Y54" s="255"/>
      <c r="Z54" s="255"/>
      <c r="AA54" s="255"/>
      <c r="AB54" s="255"/>
      <c r="AC54" s="255"/>
      <c r="AD54" s="255"/>
      <c r="AE54" s="244"/>
      <c r="AF54" s="244"/>
      <c r="AG54" s="1027"/>
    </row>
    <row r="55" spans="1:33" x14ac:dyDescent="0.25">
      <c r="A55" s="1015" t="s">
        <v>531</v>
      </c>
      <c r="B55" s="1016" t="s">
        <v>533</v>
      </c>
      <c r="C55" s="244"/>
      <c r="D55" s="244"/>
      <c r="E55" s="1029"/>
      <c r="F55" s="256"/>
      <c r="G55" s="256"/>
      <c r="H55" s="256"/>
      <c r="I55" s="256"/>
      <c r="J55" s="256"/>
      <c r="K55" s="256"/>
      <c r="L55" s="256"/>
      <c r="M55" s="256"/>
      <c r="N55" s="256"/>
      <c r="O55" s="256"/>
      <c r="P55" s="256"/>
      <c r="Q55" s="256"/>
      <c r="R55" s="256"/>
      <c r="S55" s="256"/>
      <c r="T55" s="256"/>
      <c r="U55" s="246"/>
      <c r="V55" s="255"/>
      <c r="W55" s="255"/>
      <c r="X55" s="255"/>
      <c r="Y55" s="255"/>
      <c r="Z55" s="255"/>
      <c r="AA55" s="255"/>
      <c r="AB55" s="255"/>
      <c r="AC55" s="255"/>
      <c r="AD55" s="255"/>
      <c r="AE55" s="244"/>
      <c r="AF55" s="244"/>
      <c r="AG55" s="1027"/>
    </row>
    <row r="56" spans="1:33" x14ac:dyDescent="0.25">
      <c r="A56" s="1015" t="s">
        <v>531</v>
      </c>
      <c r="B56" s="1016" t="s">
        <v>534</v>
      </c>
      <c r="C56" s="244"/>
      <c r="D56" s="244"/>
      <c r="E56" s="1029"/>
      <c r="F56" s="256"/>
      <c r="G56" s="256"/>
      <c r="H56" s="256"/>
      <c r="I56" s="256"/>
      <c r="J56" s="256"/>
      <c r="K56" s="256"/>
      <c r="L56" s="256"/>
      <c r="M56" s="256"/>
      <c r="N56" s="256"/>
      <c r="O56" s="256"/>
      <c r="P56" s="256"/>
      <c r="Q56" s="256"/>
      <c r="R56" s="256"/>
      <c r="S56" s="256"/>
      <c r="T56" s="256"/>
      <c r="U56" s="256"/>
      <c r="V56" s="246"/>
      <c r="W56" s="255"/>
      <c r="X56" s="255"/>
      <c r="Y56" s="255"/>
      <c r="Z56" s="255"/>
      <c r="AA56" s="255"/>
      <c r="AB56" s="255"/>
      <c r="AC56" s="255"/>
      <c r="AD56" s="255"/>
      <c r="AE56" s="244"/>
      <c r="AF56" s="244"/>
      <c r="AG56" s="1027"/>
    </row>
    <row r="57" spans="1:33" x14ac:dyDescent="0.25">
      <c r="A57" s="1015" t="s">
        <v>531</v>
      </c>
      <c r="B57" s="1016" t="s">
        <v>544</v>
      </c>
      <c r="C57" s="244"/>
      <c r="D57" s="244"/>
      <c r="E57" s="1029"/>
      <c r="F57" s="256"/>
      <c r="G57" s="256"/>
      <c r="H57" s="256"/>
      <c r="I57" s="256"/>
      <c r="J57" s="256"/>
      <c r="K57" s="256"/>
      <c r="L57" s="256"/>
      <c r="M57" s="256"/>
      <c r="N57" s="256"/>
      <c r="O57" s="256"/>
      <c r="P57" s="256"/>
      <c r="Q57" s="256"/>
      <c r="R57" s="256"/>
      <c r="S57" s="256"/>
      <c r="T57" s="256"/>
      <c r="U57" s="256"/>
      <c r="V57" s="256"/>
      <c r="W57" s="246"/>
      <c r="X57" s="255"/>
      <c r="Y57" s="255"/>
      <c r="Z57" s="255"/>
      <c r="AA57" s="255"/>
      <c r="AB57" s="255"/>
      <c r="AC57" s="255"/>
      <c r="AD57" s="255"/>
      <c r="AE57" s="244"/>
      <c r="AF57" s="244"/>
      <c r="AG57" s="1027"/>
    </row>
    <row r="58" spans="1:33" x14ac:dyDescent="0.25">
      <c r="A58" s="1015" t="s">
        <v>531</v>
      </c>
      <c r="B58" s="1016" t="s">
        <v>545</v>
      </c>
      <c r="C58" s="244"/>
      <c r="D58" s="244"/>
      <c r="E58" s="1029"/>
      <c r="F58" s="256"/>
      <c r="G58" s="256"/>
      <c r="H58" s="256"/>
      <c r="I58" s="256"/>
      <c r="J58" s="256"/>
      <c r="K58" s="256"/>
      <c r="L58" s="256"/>
      <c r="M58" s="256"/>
      <c r="N58" s="256"/>
      <c r="O58" s="256"/>
      <c r="P58" s="256"/>
      <c r="Q58" s="256"/>
      <c r="R58" s="256"/>
      <c r="S58" s="256"/>
      <c r="T58" s="256"/>
      <c r="U58" s="256"/>
      <c r="V58" s="256"/>
      <c r="W58" s="256"/>
      <c r="X58" s="246"/>
      <c r="Y58" s="255"/>
      <c r="Z58" s="255"/>
      <c r="AA58" s="255"/>
      <c r="AB58" s="255"/>
      <c r="AC58" s="255"/>
      <c r="AD58" s="255"/>
      <c r="AE58" s="244"/>
      <c r="AF58" s="244"/>
      <c r="AG58" s="1027"/>
    </row>
    <row r="59" spans="1:33" x14ac:dyDescent="0.25">
      <c r="A59" s="1015" t="s">
        <v>531</v>
      </c>
      <c r="B59" s="1016" t="s">
        <v>546</v>
      </c>
      <c r="C59" s="244"/>
      <c r="D59" s="244"/>
      <c r="E59" s="1029"/>
      <c r="F59" s="256"/>
      <c r="G59" s="256"/>
      <c r="H59" s="256"/>
      <c r="I59" s="256"/>
      <c r="J59" s="256"/>
      <c r="K59" s="256"/>
      <c r="L59" s="256"/>
      <c r="M59" s="256"/>
      <c r="N59" s="256"/>
      <c r="O59" s="256"/>
      <c r="P59" s="256"/>
      <c r="Q59" s="256"/>
      <c r="R59" s="256"/>
      <c r="S59" s="256"/>
      <c r="T59" s="256"/>
      <c r="U59" s="256"/>
      <c r="V59" s="256"/>
      <c r="W59" s="256"/>
      <c r="X59" s="256"/>
      <c r="Y59" s="246"/>
      <c r="Z59" s="255"/>
      <c r="AA59" s="255"/>
      <c r="AB59" s="255"/>
      <c r="AC59" s="255"/>
      <c r="AD59" s="255"/>
      <c r="AE59" s="244"/>
      <c r="AF59" s="244"/>
      <c r="AG59" s="1027"/>
    </row>
    <row r="60" spans="1:33" x14ac:dyDescent="0.25">
      <c r="A60" s="1015" t="s">
        <v>531</v>
      </c>
      <c r="B60" s="1016" t="s">
        <v>1428</v>
      </c>
      <c r="C60" s="244"/>
      <c r="D60" s="244"/>
      <c r="E60" s="1029"/>
      <c r="F60" s="256"/>
      <c r="G60" s="256"/>
      <c r="H60" s="256"/>
      <c r="I60" s="256"/>
      <c r="J60" s="256"/>
      <c r="K60" s="256"/>
      <c r="L60" s="256"/>
      <c r="M60" s="256"/>
      <c r="N60" s="256"/>
      <c r="O60" s="256"/>
      <c r="P60" s="256"/>
      <c r="Q60" s="256"/>
      <c r="R60" s="256"/>
      <c r="S60" s="256"/>
      <c r="T60" s="256"/>
      <c r="U60" s="256"/>
      <c r="V60" s="256"/>
      <c r="W60" s="256"/>
      <c r="X60" s="256"/>
      <c r="Y60" s="256"/>
      <c r="Z60" s="246"/>
      <c r="AA60" s="255"/>
      <c r="AB60" s="255"/>
      <c r="AC60" s="255"/>
      <c r="AD60" s="255"/>
      <c r="AE60" s="244"/>
      <c r="AF60" s="244"/>
      <c r="AG60" s="1027"/>
    </row>
    <row r="61" spans="1:33" x14ac:dyDescent="0.25">
      <c r="A61" s="1015" t="s">
        <v>531</v>
      </c>
      <c r="B61" s="1016" t="s">
        <v>1429</v>
      </c>
      <c r="C61" s="244"/>
      <c r="D61" s="244"/>
      <c r="E61" s="1029"/>
      <c r="F61" s="256"/>
      <c r="G61" s="256"/>
      <c r="H61" s="256"/>
      <c r="I61" s="256"/>
      <c r="J61" s="256"/>
      <c r="K61" s="256"/>
      <c r="L61" s="256"/>
      <c r="M61" s="256"/>
      <c r="N61" s="256"/>
      <c r="O61" s="256"/>
      <c r="P61" s="256"/>
      <c r="Q61" s="256"/>
      <c r="R61" s="256"/>
      <c r="S61" s="256"/>
      <c r="T61" s="256"/>
      <c r="U61" s="256"/>
      <c r="V61" s="256"/>
      <c r="W61" s="256"/>
      <c r="X61" s="256"/>
      <c r="Y61" s="256"/>
      <c r="Z61" s="256"/>
      <c r="AA61" s="246"/>
      <c r="AB61" s="255"/>
      <c r="AC61" s="255"/>
      <c r="AD61" s="255"/>
      <c r="AE61" s="244"/>
      <c r="AF61" s="244"/>
      <c r="AG61" s="1027"/>
    </row>
    <row r="62" spans="1:33" x14ac:dyDescent="0.25">
      <c r="A62" s="1015" t="s">
        <v>531</v>
      </c>
      <c r="B62" s="1016" t="s">
        <v>1430</v>
      </c>
      <c r="C62" s="244"/>
      <c r="D62" s="244"/>
      <c r="E62" s="1029"/>
      <c r="F62" s="256"/>
      <c r="G62" s="256"/>
      <c r="H62" s="256"/>
      <c r="I62" s="256"/>
      <c r="J62" s="256"/>
      <c r="K62" s="256"/>
      <c r="L62" s="256"/>
      <c r="M62" s="256"/>
      <c r="N62" s="256"/>
      <c r="O62" s="256"/>
      <c r="P62" s="256"/>
      <c r="Q62" s="256"/>
      <c r="R62" s="256"/>
      <c r="S62" s="256"/>
      <c r="T62" s="256"/>
      <c r="U62" s="256"/>
      <c r="V62" s="256"/>
      <c r="W62" s="256"/>
      <c r="X62" s="256"/>
      <c r="Y62" s="256"/>
      <c r="Z62" s="256"/>
      <c r="AA62" s="256"/>
      <c r="AB62" s="246"/>
      <c r="AC62" s="255"/>
      <c r="AD62" s="255"/>
      <c r="AE62" s="244"/>
      <c r="AF62" s="244"/>
      <c r="AG62" s="1027"/>
    </row>
    <row r="63" spans="1:33" x14ac:dyDescent="0.25">
      <c r="A63" s="1015" t="s">
        <v>531</v>
      </c>
      <c r="B63" s="1016" t="s">
        <v>1431</v>
      </c>
      <c r="C63" s="244"/>
      <c r="D63" s="244"/>
      <c r="E63" s="1029"/>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46"/>
      <c r="AD63" s="255"/>
      <c r="AE63" s="244"/>
      <c r="AF63" s="244"/>
      <c r="AG63" s="1027"/>
    </row>
    <row r="64" spans="1:33" x14ac:dyDescent="0.25">
      <c r="A64" s="1015" t="s">
        <v>531</v>
      </c>
      <c r="B64" s="1016" t="s">
        <v>1432</v>
      </c>
      <c r="C64" s="244"/>
      <c r="D64" s="244"/>
      <c r="E64" s="1029"/>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46"/>
      <c r="AE64" s="244"/>
      <c r="AF64" s="244"/>
      <c r="AG64" s="1027"/>
    </row>
    <row r="65" spans="1:33" ht="13" x14ac:dyDescent="0.3">
      <c r="A65" s="1019"/>
      <c r="B65" s="1020" t="s">
        <v>270</v>
      </c>
      <c r="C65" s="247"/>
      <c r="D65" s="247"/>
      <c r="E65" s="247"/>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7"/>
      <c r="AF65" s="247"/>
      <c r="AG65" s="247"/>
    </row>
    <row r="66" spans="1:33" x14ac:dyDescent="0.25">
      <c r="C66" s="1031"/>
    </row>
    <row r="68" spans="1:33" s="1032" customFormat="1" x14ac:dyDescent="0.25">
      <c r="A68" s="1009"/>
      <c r="B68" s="1030"/>
      <c r="C68" s="1009"/>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row>
    <row r="69" spans="1:33" ht="13" x14ac:dyDescent="0.3">
      <c r="B69" s="1010" t="s">
        <v>538</v>
      </c>
      <c r="F69" s="1011" t="s">
        <v>10</v>
      </c>
    </row>
    <row r="70" spans="1:33" ht="26.15" customHeight="1" x14ac:dyDescent="0.35">
      <c r="A70" s="1012"/>
      <c r="B70" s="1025" t="s">
        <v>412</v>
      </c>
      <c r="C70" s="2007" t="s">
        <v>513</v>
      </c>
      <c r="D70" s="2007" t="s">
        <v>514</v>
      </c>
      <c r="E70" s="2007" t="s">
        <v>584</v>
      </c>
      <c r="F70" s="2009" t="s">
        <v>585</v>
      </c>
      <c r="G70" s="2010"/>
      <c r="H70" s="2010"/>
      <c r="I70" s="2010"/>
      <c r="J70" s="2010"/>
      <c r="K70" s="2010"/>
      <c r="L70" s="2010"/>
      <c r="M70" s="2010"/>
      <c r="N70" s="2010"/>
      <c r="O70" s="2010"/>
      <c r="P70" s="2010"/>
      <c r="Q70" s="2010"/>
      <c r="R70" s="2010"/>
      <c r="S70" s="2010"/>
      <c r="T70" s="2010"/>
      <c r="U70" s="2010"/>
      <c r="V70" s="2010"/>
      <c r="W70" s="2010"/>
      <c r="X70" s="2010"/>
      <c r="Y70" s="2010"/>
      <c r="Z70" s="2010"/>
      <c r="AA70" s="2010"/>
      <c r="AB70" s="2010"/>
      <c r="AC70" s="2010"/>
      <c r="AD70" s="2011"/>
      <c r="AE70" s="1013" t="s">
        <v>536</v>
      </c>
      <c r="AF70" s="1013" t="s">
        <v>529</v>
      </c>
      <c r="AG70" s="1013" t="s">
        <v>537</v>
      </c>
    </row>
    <row r="71" spans="1:33" ht="12.9" customHeight="1" x14ac:dyDescent="0.25">
      <c r="A71" s="1012"/>
      <c r="B71" s="1025"/>
      <c r="C71" s="2008"/>
      <c r="D71" s="2008"/>
      <c r="E71" s="2008"/>
      <c r="F71" s="1014" t="s">
        <v>515</v>
      </c>
      <c r="G71" s="1014" t="s">
        <v>516</v>
      </c>
      <c r="H71" s="1014" t="s">
        <v>517</v>
      </c>
      <c r="I71" s="1014" t="s">
        <v>518</v>
      </c>
      <c r="J71" s="1014" t="s">
        <v>519</v>
      </c>
      <c r="K71" s="1014" t="s">
        <v>520</v>
      </c>
      <c r="L71" s="1014" t="s">
        <v>521</v>
      </c>
      <c r="M71" s="1014" t="s">
        <v>522</v>
      </c>
      <c r="N71" s="1014" t="s">
        <v>523</v>
      </c>
      <c r="O71" s="1014" t="s">
        <v>524</v>
      </c>
      <c r="P71" s="1014" t="s">
        <v>525</v>
      </c>
      <c r="Q71" s="1014" t="s">
        <v>526</v>
      </c>
      <c r="R71" s="1014" t="s">
        <v>527</v>
      </c>
      <c r="S71" s="1014" t="s">
        <v>528</v>
      </c>
      <c r="T71" s="1014" t="s">
        <v>324</v>
      </c>
      <c r="U71" s="1014" t="s">
        <v>504</v>
      </c>
      <c r="V71" s="1014" t="s">
        <v>505</v>
      </c>
      <c r="W71" s="1014" t="s">
        <v>506</v>
      </c>
      <c r="X71" s="1014" t="s">
        <v>507</v>
      </c>
      <c r="Y71" s="1014" t="s">
        <v>508</v>
      </c>
      <c r="Z71" s="1014" t="s">
        <v>968</v>
      </c>
      <c r="AA71" s="1014" t="s">
        <v>969</v>
      </c>
      <c r="AB71" s="1014" t="s">
        <v>970</v>
      </c>
      <c r="AC71" s="1014" t="s">
        <v>971</v>
      </c>
      <c r="AD71" s="1014" t="s">
        <v>972</v>
      </c>
      <c r="AE71" s="1013"/>
      <c r="AF71" s="1013"/>
      <c r="AG71" s="1013"/>
    </row>
    <row r="72" spans="1:33" x14ac:dyDescent="0.25">
      <c r="A72" s="1015" t="s">
        <v>530</v>
      </c>
      <c r="B72" s="1016">
        <v>2005</v>
      </c>
      <c r="C72" s="1033"/>
      <c r="D72" s="1033"/>
      <c r="E72" s="1026"/>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1027"/>
      <c r="AF72" s="1027"/>
      <c r="AG72" s="1027"/>
    </row>
    <row r="73" spans="1:33" x14ac:dyDescent="0.25">
      <c r="A73" s="1015" t="s">
        <v>531</v>
      </c>
      <c r="B73" s="1016" t="s">
        <v>515</v>
      </c>
      <c r="C73" s="1033"/>
      <c r="D73" s="1033"/>
      <c r="E73" s="1026"/>
      <c r="F73" s="246"/>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1027"/>
      <c r="AF73" s="1027"/>
      <c r="AG73" s="1027"/>
    </row>
    <row r="74" spans="1:33" x14ac:dyDescent="0.25">
      <c r="A74" s="1015" t="s">
        <v>531</v>
      </c>
      <c r="B74" s="1016" t="s">
        <v>516</v>
      </c>
      <c r="C74" s="1033"/>
      <c r="D74" s="1033"/>
      <c r="E74" s="1026"/>
      <c r="F74" s="256"/>
      <c r="G74" s="246"/>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1027"/>
      <c r="AF74" s="1027"/>
      <c r="AG74" s="1027"/>
    </row>
    <row r="75" spans="1:33" x14ac:dyDescent="0.25">
      <c r="A75" s="1015" t="s">
        <v>531</v>
      </c>
      <c r="B75" s="1016" t="s">
        <v>517</v>
      </c>
      <c r="C75" s="1033"/>
      <c r="D75" s="1033"/>
      <c r="E75" s="1026"/>
      <c r="F75" s="256"/>
      <c r="G75" s="256"/>
      <c r="H75" s="246"/>
      <c r="I75" s="255"/>
      <c r="J75" s="255"/>
      <c r="K75" s="255"/>
      <c r="L75" s="255"/>
      <c r="M75" s="255"/>
      <c r="N75" s="255"/>
      <c r="O75" s="255"/>
      <c r="P75" s="255"/>
      <c r="Q75" s="255"/>
      <c r="R75" s="255"/>
      <c r="S75" s="255"/>
      <c r="T75" s="255"/>
      <c r="U75" s="255"/>
      <c r="V75" s="255"/>
      <c r="W75" s="255"/>
      <c r="X75" s="255"/>
      <c r="Y75" s="255"/>
      <c r="Z75" s="255"/>
      <c r="AA75" s="255"/>
      <c r="AB75" s="255"/>
      <c r="AC75" s="255"/>
      <c r="AD75" s="255"/>
      <c r="AE75" s="1027"/>
      <c r="AF75" s="1027"/>
      <c r="AG75" s="1027"/>
    </row>
    <row r="76" spans="1:33" x14ac:dyDescent="0.25">
      <c r="A76" s="1015" t="s">
        <v>531</v>
      </c>
      <c r="B76" s="1016" t="s">
        <v>518</v>
      </c>
      <c r="C76" s="1033"/>
      <c r="D76" s="1033"/>
      <c r="E76" s="1026"/>
      <c r="F76" s="256"/>
      <c r="G76" s="256"/>
      <c r="H76" s="256"/>
      <c r="I76" s="246"/>
      <c r="J76" s="255"/>
      <c r="K76" s="255"/>
      <c r="L76" s="255"/>
      <c r="M76" s="255"/>
      <c r="N76" s="255"/>
      <c r="O76" s="255"/>
      <c r="P76" s="255"/>
      <c r="Q76" s="255"/>
      <c r="R76" s="255"/>
      <c r="S76" s="255"/>
      <c r="T76" s="255"/>
      <c r="U76" s="255"/>
      <c r="V76" s="255"/>
      <c r="W76" s="255"/>
      <c r="X76" s="255"/>
      <c r="Y76" s="255"/>
      <c r="Z76" s="255"/>
      <c r="AA76" s="255"/>
      <c r="AB76" s="255"/>
      <c r="AC76" s="255"/>
      <c r="AD76" s="255"/>
      <c r="AE76" s="1027"/>
      <c r="AF76" s="1027"/>
      <c r="AG76" s="1027"/>
    </row>
    <row r="77" spans="1:33" x14ac:dyDescent="0.25">
      <c r="A77" s="1015" t="s">
        <v>531</v>
      </c>
      <c r="B77" s="1016" t="s">
        <v>519</v>
      </c>
      <c r="C77" s="1033"/>
      <c r="D77" s="1033"/>
      <c r="E77" s="1026"/>
      <c r="F77" s="256"/>
      <c r="G77" s="256"/>
      <c r="H77" s="256"/>
      <c r="I77" s="256"/>
      <c r="J77" s="246"/>
      <c r="K77" s="255"/>
      <c r="L77" s="255"/>
      <c r="M77" s="255"/>
      <c r="N77" s="255"/>
      <c r="O77" s="255"/>
      <c r="P77" s="255"/>
      <c r="Q77" s="255"/>
      <c r="R77" s="255"/>
      <c r="S77" s="255"/>
      <c r="T77" s="255"/>
      <c r="U77" s="255"/>
      <c r="V77" s="255"/>
      <c r="W77" s="255"/>
      <c r="X77" s="255"/>
      <c r="Y77" s="255"/>
      <c r="Z77" s="255"/>
      <c r="AA77" s="255"/>
      <c r="AB77" s="255"/>
      <c r="AC77" s="255"/>
      <c r="AD77" s="255"/>
      <c r="AE77" s="1027"/>
      <c r="AF77" s="1027"/>
      <c r="AG77" s="1027"/>
    </row>
    <row r="78" spans="1:33" x14ac:dyDescent="0.25">
      <c r="A78" s="1015" t="s">
        <v>531</v>
      </c>
      <c r="B78" s="1016" t="s">
        <v>520</v>
      </c>
      <c r="C78" s="1033"/>
      <c r="D78" s="1033"/>
      <c r="E78" s="1026"/>
      <c r="F78" s="256"/>
      <c r="G78" s="256"/>
      <c r="H78" s="256"/>
      <c r="I78" s="256"/>
      <c r="J78" s="256"/>
      <c r="K78" s="246"/>
      <c r="L78" s="255"/>
      <c r="M78" s="255"/>
      <c r="N78" s="255"/>
      <c r="O78" s="255"/>
      <c r="P78" s="255"/>
      <c r="Q78" s="255"/>
      <c r="R78" s="255"/>
      <c r="S78" s="255"/>
      <c r="T78" s="255"/>
      <c r="U78" s="255"/>
      <c r="V78" s="255"/>
      <c r="W78" s="255"/>
      <c r="X78" s="255"/>
      <c r="Y78" s="255"/>
      <c r="Z78" s="255"/>
      <c r="AA78" s="255"/>
      <c r="AB78" s="255"/>
      <c r="AC78" s="255"/>
      <c r="AD78" s="255"/>
      <c r="AE78" s="1027"/>
      <c r="AF78" s="1027"/>
      <c r="AG78" s="1027"/>
    </row>
    <row r="79" spans="1:33" x14ac:dyDescent="0.25">
      <c r="A79" s="1015" t="s">
        <v>531</v>
      </c>
      <c r="B79" s="1016" t="s">
        <v>521</v>
      </c>
      <c r="C79" s="1033"/>
      <c r="D79" s="1033"/>
      <c r="E79" s="1026"/>
      <c r="F79" s="256"/>
      <c r="G79" s="256"/>
      <c r="H79" s="256"/>
      <c r="I79" s="256"/>
      <c r="J79" s="256"/>
      <c r="K79" s="256"/>
      <c r="L79" s="246"/>
      <c r="M79" s="255"/>
      <c r="N79" s="255"/>
      <c r="O79" s="255"/>
      <c r="P79" s="255"/>
      <c r="Q79" s="255"/>
      <c r="R79" s="255"/>
      <c r="S79" s="255"/>
      <c r="T79" s="255"/>
      <c r="U79" s="255"/>
      <c r="V79" s="255"/>
      <c r="W79" s="255"/>
      <c r="X79" s="255"/>
      <c r="Y79" s="255"/>
      <c r="Z79" s="255"/>
      <c r="AA79" s="255"/>
      <c r="AB79" s="255"/>
      <c r="AC79" s="255"/>
      <c r="AD79" s="255"/>
      <c r="AE79" s="1027"/>
      <c r="AF79" s="1027"/>
      <c r="AG79" s="1027"/>
    </row>
    <row r="80" spans="1:33" x14ac:dyDescent="0.25">
      <c r="A80" s="1015" t="s">
        <v>531</v>
      </c>
      <c r="B80" s="1016" t="s">
        <v>522</v>
      </c>
      <c r="C80" s="1033"/>
      <c r="D80" s="1033"/>
      <c r="E80" s="1026"/>
      <c r="F80" s="256"/>
      <c r="G80" s="256"/>
      <c r="H80" s="256"/>
      <c r="I80" s="256"/>
      <c r="J80" s="256"/>
      <c r="K80" s="256"/>
      <c r="L80" s="256"/>
      <c r="M80" s="246"/>
      <c r="N80" s="255"/>
      <c r="O80" s="255"/>
      <c r="P80" s="255"/>
      <c r="Q80" s="255"/>
      <c r="R80" s="255"/>
      <c r="S80" s="255"/>
      <c r="T80" s="255"/>
      <c r="U80" s="255"/>
      <c r="V80" s="255"/>
      <c r="W80" s="255"/>
      <c r="X80" s="255"/>
      <c r="Y80" s="255"/>
      <c r="Z80" s="255"/>
      <c r="AA80" s="255"/>
      <c r="AB80" s="255"/>
      <c r="AC80" s="255"/>
      <c r="AD80" s="255"/>
      <c r="AE80" s="1027"/>
      <c r="AF80" s="1027"/>
      <c r="AG80" s="1027"/>
    </row>
    <row r="81" spans="1:33" x14ac:dyDescent="0.25">
      <c r="A81" s="1015" t="s">
        <v>531</v>
      </c>
      <c r="B81" s="1016" t="s">
        <v>523</v>
      </c>
      <c r="C81" s="1033"/>
      <c r="D81" s="1033"/>
      <c r="E81" s="1026"/>
      <c r="F81" s="256"/>
      <c r="G81" s="256"/>
      <c r="H81" s="256"/>
      <c r="I81" s="256"/>
      <c r="J81" s="256"/>
      <c r="K81" s="256"/>
      <c r="L81" s="256"/>
      <c r="M81" s="256"/>
      <c r="N81" s="246"/>
      <c r="O81" s="255"/>
      <c r="P81" s="255"/>
      <c r="Q81" s="255"/>
      <c r="R81" s="255"/>
      <c r="S81" s="255"/>
      <c r="T81" s="255"/>
      <c r="U81" s="255"/>
      <c r="V81" s="255"/>
      <c r="W81" s="255"/>
      <c r="X81" s="255"/>
      <c r="Y81" s="255"/>
      <c r="Z81" s="255"/>
      <c r="AA81" s="255"/>
      <c r="AB81" s="255"/>
      <c r="AC81" s="255"/>
      <c r="AD81" s="255"/>
      <c r="AE81" s="1027"/>
      <c r="AF81" s="1027"/>
      <c r="AG81" s="1027"/>
    </row>
    <row r="82" spans="1:33" x14ac:dyDescent="0.25">
      <c r="A82" s="1015" t="s">
        <v>531</v>
      </c>
      <c r="B82" s="1016" t="s">
        <v>524</v>
      </c>
      <c r="C82" s="244"/>
      <c r="D82" s="1015"/>
      <c r="E82" s="1026"/>
      <c r="F82" s="256"/>
      <c r="G82" s="256"/>
      <c r="H82" s="256"/>
      <c r="I82" s="256"/>
      <c r="J82" s="256"/>
      <c r="K82" s="256"/>
      <c r="L82" s="256"/>
      <c r="M82" s="256"/>
      <c r="N82" s="256"/>
      <c r="O82" s="246"/>
      <c r="P82" s="255"/>
      <c r="Q82" s="255"/>
      <c r="R82" s="255"/>
      <c r="S82" s="255"/>
      <c r="T82" s="255"/>
      <c r="U82" s="255"/>
      <c r="V82" s="255"/>
      <c r="W82" s="255"/>
      <c r="X82" s="255"/>
      <c r="Y82" s="255"/>
      <c r="Z82" s="255"/>
      <c r="AA82" s="255"/>
      <c r="AB82" s="255"/>
      <c r="AC82" s="255"/>
      <c r="AD82" s="255"/>
      <c r="AE82" s="1027"/>
      <c r="AF82" s="1027"/>
      <c r="AG82" s="1027"/>
    </row>
    <row r="83" spans="1:33" x14ac:dyDescent="0.25">
      <c r="A83" s="1015" t="s">
        <v>531</v>
      </c>
      <c r="B83" s="1016" t="s">
        <v>525</v>
      </c>
      <c r="C83" s="244"/>
      <c r="D83" s="1015"/>
      <c r="E83" s="1026"/>
      <c r="F83" s="256"/>
      <c r="G83" s="256"/>
      <c r="H83" s="256"/>
      <c r="I83" s="256"/>
      <c r="J83" s="256"/>
      <c r="K83" s="256"/>
      <c r="L83" s="256"/>
      <c r="M83" s="256"/>
      <c r="N83" s="256"/>
      <c r="O83" s="256"/>
      <c r="P83" s="246"/>
      <c r="Q83" s="255"/>
      <c r="R83" s="255"/>
      <c r="S83" s="255"/>
      <c r="T83" s="255"/>
      <c r="U83" s="255"/>
      <c r="V83" s="255"/>
      <c r="W83" s="255"/>
      <c r="X83" s="255"/>
      <c r="Y83" s="255"/>
      <c r="Z83" s="255"/>
      <c r="AA83" s="255"/>
      <c r="AB83" s="255"/>
      <c r="AC83" s="255"/>
      <c r="AD83" s="255"/>
      <c r="AE83" s="1027"/>
      <c r="AF83" s="1027"/>
      <c r="AG83" s="1027"/>
    </row>
    <row r="84" spans="1:33" x14ac:dyDescent="0.25">
      <c r="A84" s="1015" t="s">
        <v>531</v>
      </c>
      <c r="B84" s="1016" t="s">
        <v>526</v>
      </c>
      <c r="C84" s="244"/>
      <c r="D84" s="244"/>
      <c r="E84" s="1026"/>
      <c r="F84" s="256"/>
      <c r="G84" s="256"/>
      <c r="H84" s="256"/>
      <c r="I84" s="256"/>
      <c r="J84" s="256"/>
      <c r="K84" s="256"/>
      <c r="L84" s="256"/>
      <c r="M84" s="256"/>
      <c r="N84" s="256"/>
      <c r="O84" s="256"/>
      <c r="P84" s="256"/>
      <c r="Q84" s="246"/>
      <c r="R84" s="255"/>
      <c r="S84" s="255"/>
      <c r="T84" s="255"/>
      <c r="U84" s="255"/>
      <c r="V84" s="255"/>
      <c r="W84" s="255"/>
      <c r="X84" s="255"/>
      <c r="Y84" s="255"/>
      <c r="Z84" s="255"/>
      <c r="AA84" s="255"/>
      <c r="AB84" s="255"/>
      <c r="AC84" s="255"/>
      <c r="AD84" s="255"/>
      <c r="AE84" s="1027"/>
      <c r="AF84" s="1027"/>
      <c r="AG84" s="1027"/>
    </row>
    <row r="85" spans="1:33" x14ac:dyDescent="0.25">
      <c r="A85" s="1015" t="s">
        <v>531</v>
      </c>
      <c r="B85" s="1016" t="s">
        <v>527</v>
      </c>
      <c r="C85" s="244"/>
      <c r="D85" s="244"/>
      <c r="E85" s="1026"/>
      <c r="F85" s="256"/>
      <c r="G85" s="256"/>
      <c r="H85" s="256"/>
      <c r="I85" s="256"/>
      <c r="J85" s="256"/>
      <c r="K85" s="256"/>
      <c r="L85" s="256"/>
      <c r="M85" s="256"/>
      <c r="N85" s="256"/>
      <c r="O85" s="256"/>
      <c r="P85" s="256"/>
      <c r="Q85" s="256"/>
      <c r="R85" s="246"/>
      <c r="S85" s="255"/>
      <c r="T85" s="255"/>
      <c r="U85" s="255"/>
      <c r="V85" s="255"/>
      <c r="W85" s="255"/>
      <c r="X85" s="255"/>
      <c r="Y85" s="255"/>
      <c r="Z85" s="255"/>
      <c r="AA85" s="255"/>
      <c r="AB85" s="255"/>
      <c r="AC85" s="255"/>
      <c r="AD85" s="255"/>
      <c r="AE85" s="1027"/>
      <c r="AF85" s="1027"/>
      <c r="AG85" s="1027"/>
    </row>
    <row r="86" spans="1:33" x14ac:dyDescent="0.25">
      <c r="A86" s="1015" t="s">
        <v>531</v>
      </c>
      <c r="B86" s="1016" t="s">
        <v>528</v>
      </c>
      <c r="C86" s="244"/>
      <c r="D86" s="244"/>
      <c r="E86" s="1026"/>
      <c r="F86" s="256"/>
      <c r="G86" s="256"/>
      <c r="H86" s="256"/>
      <c r="I86" s="256"/>
      <c r="J86" s="256"/>
      <c r="K86" s="256"/>
      <c r="L86" s="256"/>
      <c r="M86" s="256"/>
      <c r="N86" s="256"/>
      <c r="O86" s="256"/>
      <c r="P86" s="256"/>
      <c r="Q86" s="256"/>
      <c r="R86" s="256"/>
      <c r="S86" s="246"/>
      <c r="T86" s="255"/>
      <c r="U86" s="255"/>
      <c r="V86" s="255"/>
      <c r="W86" s="255"/>
      <c r="X86" s="255"/>
      <c r="Y86" s="255"/>
      <c r="Z86" s="255"/>
      <c r="AA86" s="255"/>
      <c r="AB86" s="255"/>
      <c r="AC86" s="255"/>
      <c r="AD86" s="255"/>
      <c r="AE86" s="1027"/>
      <c r="AF86" s="1027"/>
      <c r="AG86" s="1027"/>
    </row>
    <row r="87" spans="1:33" x14ac:dyDescent="0.25">
      <c r="A87" s="1015" t="s">
        <v>531</v>
      </c>
      <c r="B87" s="1016" t="s">
        <v>532</v>
      </c>
      <c r="C87" s="244"/>
      <c r="D87" s="244"/>
      <c r="E87" s="1029"/>
      <c r="F87" s="256"/>
      <c r="G87" s="256"/>
      <c r="H87" s="256"/>
      <c r="I87" s="256"/>
      <c r="J87" s="256"/>
      <c r="K87" s="256"/>
      <c r="L87" s="256"/>
      <c r="M87" s="256"/>
      <c r="N87" s="256"/>
      <c r="O87" s="256"/>
      <c r="P87" s="256"/>
      <c r="Q87" s="256"/>
      <c r="R87" s="256"/>
      <c r="S87" s="256"/>
      <c r="T87" s="246"/>
      <c r="U87" s="255"/>
      <c r="V87" s="255"/>
      <c r="W87" s="255"/>
      <c r="X87" s="255"/>
      <c r="Y87" s="255"/>
      <c r="Z87" s="255"/>
      <c r="AA87" s="255"/>
      <c r="AB87" s="255"/>
      <c r="AC87" s="255"/>
      <c r="AD87" s="255"/>
      <c r="AE87" s="1027"/>
      <c r="AF87" s="1027"/>
      <c r="AG87" s="1027"/>
    </row>
    <row r="88" spans="1:33" x14ac:dyDescent="0.25">
      <c r="A88" s="1015" t="s">
        <v>531</v>
      </c>
      <c r="B88" s="1016" t="s">
        <v>533</v>
      </c>
      <c r="C88" s="244"/>
      <c r="D88" s="244"/>
      <c r="E88" s="1029"/>
      <c r="F88" s="256"/>
      <c r="G88" s="256"/>
      <c r="H88" s="256"/>
      <c r="I88" s="256"/>
      <c r="J88" s="256"/>
      <c r="K88" s="256"/>
      <c r="L88" s="256"/>
      <c r="M88" s="256"/>
      <c r="N88" s="256"/>
      <c r="O88" s="256"/>
      <c r="P88" s="256"/>
      <c r="Q88" s="256"/>
      <c r="R88" s="256"/>
      <c r="S88" s="256"/>
      <c r="T88" s="256"/>
      <c r="U88" s="246"/>
      <c r="V88" s="255"/>
      <c r="W88" s="255"/>
      <c r="X88" s="255"/>
      <c r="Y88" s="255"/>
      <c r="Z88" s="255"/>
      <c r="AA88" s="255"/>
      <c r="AB88" s="255"/>
      <c r="AC88" s="255"/>
      <c r="AD88" s="255"/>
      <c r="AE88" s="1027"/>
      <c r="AF88" s="1027"/>
      <c r="AG88" s="1027"/>
    </row>
    <row r="89" spans="1:33" x14ac:dyDescent="0.25">
      <c r="A89" s="1015" t="s">
        <v>531</v>
      </c>
      <c r="B89" s="1016" t="s">
        <v>534</v>
      </c>
      <c r="C89" s="244"/>
      <c r="D89" s="244"/>
      <c r="E89" s="1029"/>
      <c r="F89" s="256"/>
      <c r="G89" s="256"/>
      <c r="H89" s="256"/>
      <c r="I89" s="256"/>
      <c r="J89" s="256"/>
      <c r="K89" s="256"/>
      <c r="L89" s="256"/>
      <c r="M89" s="256"/>
      <c r="N89" s="256"/>
      <c r="O89" s="256"/>
      <c r="P89" s="256"/>
      <c r="Q89" s="256"/>
      <c r="R89" s="256"/>
      <c r="S89" s="256"/>
      <c r="T89" s="256"/>
      <c r="U89" s="256"/>
      <c r="V89" s="246"/>
      <c r="W89" s="255"/>
      <c r="X89" s="255"/>
      <c r="Y89" s="255"/>
      <c r="Z89" s="255"/>
      <c r="AA89" s="255"/>
      <c r="AB89" s="255"/>
      <c r="AC89" s="255"/>
      <c r="AD89" s="255"/>
      <c r="AE89" s="1027"/>
      <c r="AF89" s="1027"/>
      <c r="AG89" s="1027"/>
    </row>
    <row r="90" spans="1:33" x14ac:dyDescent="0.25">
      <c r="A90" s="1015" t="s">
        <v>531</v>
      </c>
      <c r="B90" s="1016" t="s">
        <v>544</v>
      </c>
      <c r="C90" s="244"/>
      <c r="D90" s="244"/>
      <c r="E90" s="1029"/>
      <c r="F90" s="256"/>
      <c r="G90" s="256"/>
      <c r="H90" s="256"/>
      <c r="I90" s="256"/>
      <c r="J90" s="256"/>
      <c r="K90" s="256"/>
      <c r="L90" s="256"/>
      <c r="M90" s="256"/>
      <c r="N90" s="256"/>
      <c r="O90" s="256"/>
      <c r="P90" s="256"/>
      <c r="Q90" s="256"/>
      <c r="R90" s="256"/>
      <c r="S90" s="256"/>
      <c r="T90" s="256"/>
      <c r="U90" s="256"/>
      <c r="V90" s="256"/>
      <c r="W90" s="246"/>
      <c r="X90" s="255"/>
      <c r="Y90" s="255"/>
      <c r="Z90" s="255"/>
      <c r="AA90" s="255"/>
      <c r="AB90" s="255"/>
      <c r="AC90" s="255"/>
      <c r="AD90" s="255"/>
      <c r="AE90" s="1027"/>
      <c r="AF90" s="1027"/>
      <c r="AG90" s="1027"/>
    </row>
    <row r="91" spans="1:33" x14ac:dyDescent="0.25">
      <c r="A91" s="1015" t="s">
        <v>531</v>
      </c>
      <c r="B91" s="1016" t="s">
        <v>545</v>
      </c>
      <c r="C91" s="244"/>
      <c r="D91" s="244"/>
      <c r="E91" s="1029"/>
      <c r="F91" s="256"/>
      <c r="G91" s="256"/>
      <c r="H91" s="256"/>
      <c r="I91" s="256"/>
      <c r="J91" s="256"/>
      <c r="K91" s="256"/>
      <c r="L91" s="256"/>
      <c r="M91" s="256"/>
      <c r="N91" s="256"/>
      <c r="O91" s="256"/>
      <c r="P91" s="256"/>
      <c r="Q91" s="256"/>
      <c r="R91" s="256"/>
      <c r="S91" s="256"/>
      <c r="T91" s="256"/>
      <c r="U91" s="256"/>
      <c r="V91" s="256"/>
      <c r="W91" s="256"/>
      <c r="X91" s="246"/>
      <c r="Y91" s="255"/>
      <c r="Z91" s="255"/>
      <c r="AA91" s="255"/>
      <c r="AB91" s="255"/>
      <c r="AC91" s="255"/>
      <c r="AD91" s="255"/>
      <c r="AE91" s="1027"/>
      <c r="AF91" s="1027"/>
      <c r="AG91" s="1027"/>
    </row>
    <row r="92" spans="1:33" x14ac:dyDescent="0.25">
      <c r="A92" s="1015" t="s">
        <v>531</v>
      </c>
      <c r="B92" s="1016" t="s">
        <v>546</v>
      </c>
      <c r="C92" s="244"/>
      <c r="D92" s="244"/>
      <c r="E92" s="1029"/>
      <c r="F92" s="256"/>
      <c r="G92" s="256"/>
      <c r="H92" s="256"/>
      <c r="I92" s="256"/>
      <c r="J92" s="256"/>
      <c r="K92" s="256"/>
      <c r="L92" s="256"/>
      <c r="M92" s="256"/>
      <c r="N92" s="256"/>
      <c r="O92" s="256"/>
      <c r="P92" s="256"/>
      <c r="Q92" s="256"/>
      <c r="R92" s="256"/>
      <c r="S92" s="256"/>
      <c r="T92" s="256"/>
      <c r="U92" s="256"/>
      <c r="V92" s="256"/>
      <c r="W92" s="256"/>
      <c r="X92" s="256"/>
      <c r="Y92" s="246"/>
      <c r="Z92" s="255"/>
      <c r="AA92" s="255"/>
      <c r="AB92" s="255"/>
      <c r="AC92" s="255"/>
      <c r="AD92" s="255"/>
      <c r="AE92" s="1027"/>
      <c r="AF92" s="1027"/>
      <c r="AG92" s="1027"/>
    </row>
    <row r="93" spans="1:33" x14ac:dyDescent="0.25">
      <c r="A93" s="1015" t="s">
        <v>531</v>
      </c>
      <c r="B93" s="1016" t="s">
        <v>1428</v>
      </c>
      <c r="C93" s="244"/>
      <c r="D93" s="244"/>
      <c r="E93" s="1029"/>
      <c r="F93" s="256"/>
      <c r="G93" s="256"/>
      <c r="H93" s="256"/>
      <c r="I93" s="256"/>
      <c r="J93" s="256"/>
      <c r="K93" s="256"/>
      <c r="L93" s="256"/>
      <c r="M93" s="256"/>
      <c r="N93" s="256"/>
      <c r="O93" s="256"/>
      <c r="P93" s="256"/>
      <c r="Q93" s="256"/>
      <c r="R93" s="256"/>
      <c r="S93" s="256"/>
      <c r="T93" s="256"/>
      <c r="U93" s="256"/>
      <c r="V93" s="256"/>
      <c r="W93" s="256"/>
      <c r="X93" s="256"/>
      <c r="Y93" s="256"/>
      <c r="Z93" s="246"/>
      <c r="AA93" s="255"/>
      <c r="AB93" s="255"/>
      <c r="AC93" s="255"/>
      <c r="AD93" s="255"/>
      <c r="AE93" s="244"/>
      <c r="AF93" s="244"/>
      <c r="AG93" s="1027"/>
    </row>
    <row r="94" spans="1:33" x14ac:dyDescent="0.25">
      <c r="A94" s="1015" t="s">
        <v>531</v>
      </c>
      <c r="B94" s="1016" t="s">
        <v>1429</v>
      </c>
      <c r="C94" s="244"/>
      <c r="D94" s="244"/>
      <c r="E94" s="1029"/>
      <c r="F94" s="256"/>
      <c r="G94" s="256"/>
      <c r="H94" s="256"/>
      <c r="I94" s="256"/>
      <c r="J94" s="256"/>
      <c r="K94" s="256"/>
      <c r="L94" s="256"/>
      <c r="M94" s="256"/>
      <c r="N94" s="256"/>
      <c r="O94" s="256"/>
      <c r="P94" s="256"/>
      <c r="Q94" s="256"/>
      <c r="R94" s="256"/>
      <c r="S94" s="256"/>
      <c r="T94" s="256"/>
      <c r="U94" s="256"/>
      <c r="V94" s="256"/>
      <c r="W94" s="256"/>
      <c r="X94" s="256"/>
      <c r="Y94" s="256"/>
      <c r="Z94" s="256"/>
      <c r="AA94" s="246"/>
      <c r="AB94" s="255"/>
      <c r="AC94" s="255"/>
      <c r="AD94" s="255"/>
      <c r="AE94" s="244"/>
      <c r="AF94" s="244"/>
      <c r="AG94" s="1027"/>
    </row>
    <row r="95" spans="1:33" x14ac:dyDescent="0.25">
      <c r="A95" s="1015" t="s">
        <v>531</v>
      </c>
      <c r="B95" s="1016" t="s">
        <v>1430</v>
      </c>
      <c r="C95" s="244"/>
      <c r="D95" s="244"/>
      <c r="E95" s="1029"/>
      <c r="F95" s="256"/>
      <c r="G95" s="256"/>
      <c r="H95" s="256"/>
      <c r="I95" s="256"/>
      <c r="J95" s="256"/>
      <c r="K95" s="256"/>
      <c r="L95" s="256"/>
      <c r="M95" s="256"/>
      <c r="N95" s="256"/>
      <c r="O95" s="256"/>
      <c r="P95" s="256"/>
      <c r="Q95" s="256"/>
      <c r="R95" s="256"/>
      <c r="S95" s="256"/>
      <c r="T95" s="256"/>
      <c r="U95" s="256"/>
      <c r="V95" s="256"/>
      <c r="W95" s="256"/>
      <c r="X95" s="256"/>
      <c r="Y95" s="256"/>
      <c r="Z95" s="256"/>
      <c r="AA95" s="256"/>
      <c r="AB95" s="246"/>
      <c r="AC95" s="255"/>
      <c r="AD95" s="255"/>
      <c r="AE95" s="244"/>
      <c r="AF95" s="244"/>
      <c r="AG95" s="1027"/>
    </row>
    <row r="96" spans="1:33" x14ac:dyDescent="0.25">
      <c r="A96" s="1015" t="s">
        <v>531</v>
      </c>
      <c r="B96" s="1016" t="s">
        <v>1431</v>
      </c>
      <c r="C96" s="244"/>
      <c r="D96" s="244"/>
      <c r="E96" s="1029"/>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46"/>
      <c r="AD96" s="255"/>
      <c r="AE96" s="244"/>
      <c r="AF96" s="244"/>
      <c r="AG96" s="1027"/>
    </row>
    <row r="97" spans="1:33" x14ac:dyDescent="0.25">
      <c r="A97" s="1015" t="s">
        <v>531</v>
      </c>
      <c r="B97" s="1016" t="s">
        <v>1432</v>
      </c>
      <c r="C97" s="244"/>
      <c r="D97" s="244"/>
      <c r="E97" s="1029"/>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46"/>
      <c r="AE97" s="244"/>
      <c r="AF97" s="244"/>
      <c r="AG97" s="1027"/>
    </row>
    <row r="98" spans="1:33" ht="13" x14ac:dyDescent="0.3">
      <c r="A98" s="1019"/>
      <c r="B98" s="1020" t="s">
        <v>270</v>
      </c>
      <c r="C98" s="245"/>
      <c r="D98" s="245"/>
      <c r="E98" s="247"/>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row>
    <row r="102" spans="1:33" ht="13" x14ac:dyDescent="0.3">
      <c r="B102" s="1010" t="s">
        <v>539</v>
      </c>
      <c r="F102" s="1011" t="s">
        <v>10</v>
      </c>
    </row>
    <row r="103" spans="1:33" ht="26.15" customHeight="1" x14ac:dyDescent="0.35">
      <c r="A103" s="1012"/>
      <c r="B103" s="1025" t="s">
        <v>412</v>
      </c>
      <c r="C103" s="2007" t="s">
        <v>513</v>
      </c>
      <c r="D103" s="2007" t="s">
        <v>514</v>
      </c>
      <c r="E103" s="2007" t="s">
        <v>584</v>
      </c>
      <c r="F103" s="2009" t="s">
        <v>585</v>
      </c>
      <c r="G103" s="2010"/>
      <c r="H103" s="2010"/>
      <c r="I103" s="2010"/>
      <c r="J103" s="2010"/>
      <c r="K103" s="2010"/>
      <c r="L103" s="2010"/>
      <c r="M103" s="2010"/>
      <c r="N103" s="2010"/>
      <c r="O103" s="2010"/>
      <c r="P103" s="2010"/>
      <c r="Q103" s="2010"/>
      <c r="R103" s="2010"/>
      <c r="S103" s="2010"/>
      <c r="T103" s="2010"/>
      <c r="U103" s="2010"/>
      <c r="V103" s="2010"/>
      <c r="W103" s="2010"/>
      <c r="X103" s="2010"/>
      <c r="Y103" s="2010"/>
      <c r="Z103" s="2010"/>
      <c r="AA103" s="2010"/>
      <c r="AB103" s="2010"/>
      <c r="AC103" s="2010"/>
      <c r="AD103" s="2011"/>
      <c r="AE103" s="1013" t="s">
        <v>536</v>
      </c>
      <c r="AF103" s="1013" t="s">
        <v>529</v>
      </c>
      <c r="AG103" s="1013" t="s">
        <v>537</v>
      </c>
    </row>
    <row r="104" spans="1:33" ht="12.9" customHeight="1" x14ac:dyDescent="0.25">
      <c r="A104" s="1012"/>
      <c r="B104" s="1025"/>
      <c r="C104" s="2008"/>
      <c r="D104" s="2008"/>
      <c r="E104" s="2008"/>
      <c r="F104" s="1014" t="s">
        <v>515</v>
      </c>
      <c r="G104" s="1014" t="s">
        <v>516</v>
      </c>
      <c r="H104" s="1014" t="s">
        <v>517</v>
      </c>
      <c r="I104" s="1014" t="s">
        <v>518</v>
      </c>
      <c r="J104" s="1014" t="s">
        <v>519</v>
      </c>
      <c r="K104" s="1014" t="s">
        <v>520</v>
      </c>
      <c r="L104" s="1014" t="s">
        <v>521</v>
      </c>
      <c r="M104" s="1014" t="s">
        <v>522</v>
      </c>
      <c r="N104" s="1014" t="s">
        <v>523</v>
      </c>
      <c r="O104" s="1014" t="s">
        <v>524</v>
      </c>
      <c r="P104" s="1014" t="s">
        <v>525</v>
      </c>
      <c r="Q104" s="1014" t="s">
        <v>526</v>
      </c>
      <c r="R104" s="1014" t="s">
        <v>527</v>
      </c>
      <c r="S104" s="1014" t="s">
        <v>528</v>
      </c>
      <c r="T104" s="1014" t="s">
        <v>324</v>
      </c>
      <c r="U104" s="1014" t="s">
        <v>504</v>
      </c>
      <c r="V104" s="1014" t="s">
        <v>505</v>
      </c>
      <c r="W104" s="1014" t="s">
        <v>506</v>
      </c>
      <c r="X104" s="1014" t="s">
        <v>507</v>
      </c>
      <c r="Y104" s="1014" t="s">
        <v>508</v>
      </c>
      <c r="Z104" s="1014" t="s">
        <v>968</v>
      </c>
      <c r="AA104" s="1014" t="s">
        <v>969</v>
      </c>
      <c r="AB104" s="1014" t="s">
        <v>970</v>
      </c>
      <c r="AC104" s="1014" t="s">
        <v>971</v>
      </c>
      <c r="AD104" s="1014" t="s">
        <v>972</v>
      </c>
      <c r="AE104" s="1013"/>
      <c r="AF104" s="1013"/>
      <c r="AG104" s="1013"/>
    </row>
    <row r="105" spans="1:33" x14ac:dyDescent="0.25">
      <c r="A105" s="1015" t="s">
        <v>530</v>
      </c>
      <c r="B105" s="1016">
        <v>2005</v>
      </c>
      <c r="C105" s="1015"/>
      <c r="D105" s="1015"/>
      <c r="E105" s="1026"/>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1027"/>
      <c r="AF105" s="1027"/>
      <c r="AG105" s="1027"/>
    </row>
    <row r="106" spans="1:33" x14ac:dyDescent="0.25">
      <c r="A106" s="1015" t="s">
        <v>531</v>
      </c>
      <c r="B106" s="1016" t="s">
        <v>515</v>
      </c>
      <c r="C106" s="1015"/>
      <c r="D106" s="1015"/>
      <c r="E106" s="1026"/>
      <c r="F106" s="246"/>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1027"/>
      <c r="AF106" s="1027"/>
      <c r="AG106" s="1027"/>
    </row>
    <row r="107" spans="1:33" x14ac:dyDescent="0.25">
      <c r="A107" s="1015" t="s">
        <v>531</v>
      </c>
      <c r="B107" s="1016" t="s">
        <v>516</v>
      </c>
      <c r="C107" s="1015"/>
      <c r="D107" s="1015"/>
      <c r="E107" s="1026"/>
      <c r="F107" s="256"/>
      <c r="G107" s="246"/>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1027"/>
      <c r="AF107" s="1027"/>
      <c r="AG107" s="1027"/>
    </row>
    <row r="108" spans="1:33" x14ac:dyDescent="0.25">
      <c r="A108" s="1015" t="s">
        <v>531</v>
      </c>
      <c r="B108" s="1016" t="s">
        <v>517</v>
      </c>
      <c r="C108" s="1015"/>
      <c r="D108" s="1015"/>
      <c r="E108" s="1026"/>
      <c r="F108" s="256"/>
      <c r="G108" s="256"/>
      <c r="H108" s="246"/>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1027"/>
      <c r="AF108" s="1027"/>
      <c r="AG108" s="1027"/>
    </row>
    <row r="109" spans="1:33" x14ac:dyDescent="0.25">
      <c r="A109" s="1015" t="s">
        <v>531</v>
      </c>
      <c r="B109" s="1016" t="s">
        <v>518</v>
      </c>
      <c r="C109" s="1015"/>
      <c r="D109" s="1015"/>
      <c r="E109" s="1026"/>
      <c r="F109" s="256"/>
      <c r="G109" s="256"/>
      <c r="H109" s="256"/>
      <c r="I109" s="246"/>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1027"/>
      <c r="AF109" s="1027"/>
      <c r="AG109" s="1027"/>
    </row>
    <row r="110" spans="1:33" x14ac:dyDescent="0.25">
      <c r="A110" s="1015" t="s">
        <v>531</v>
      </c>
      <c r="B110" s="1016" t="s">
        <v>519</v>
      </c>
      <c r="C110" s="1015"/>
      <c r="D110" s="1015"/>
      <c r="E110" s="1026"/>
      <c r="F110" s="256"/>
      <c r="G110" s="256"/>
      <c r="H110" s="256"/>
      <c r="I110" s="256"/>
      <c r="J110" s="246"/>
      <c r="K110" s="255"/>
      <c r="L110" s="255"/>
      <c r="M110" s="255"/>
      <c r="N110" s="255"/>
      <c r="O110" s="255"/>
      <c r="P110" s="255"/>
      <c r="Q110" s="255"/>
      <c r="R110" s="255"/>
      <c r="S110" s="255"/>
      <c r="T110" s="255"/>
      <c r="U110" s="255"/>
      <c r="V110" s="255"/>
      <c r="W110" s="255"/>
      <c r="X110" s="255"/>
      <c r="Y110" s="255"/>
      <c r="Z110" s="255"/>
      <c r="AA110" s="255"/>
      <c r="AB110" s="255"/>
      <c r="AC110" s="255"/>
      <c r="AD110" s="255"/>
      <c r="AE110" s="1027"/>
      <c r="AF110" s="1027"/>
      <c r="AG110" s="1027"/>
    </row>
    <row r="111" spans="1:33" x14ac:dyDescent="0.25">
      <c r="A111" s="1015" t="s">
        <v>531</v>
      </c>
      <c r="B111" s="1016" t="s">
        <v>520</v>
      </c>
      <c r="C111" s="1015"/>
      <c r="D111" s="1015"/>
      <c r="E111" s="1026"/>
      <c r="F111" s="256"/>
      <c r="G111" s="256"/>
      <c r="H111" s="256"/>
      <c r="I111" s="256"/>
      <c r="J111" s="256"/>
      <c r="K111" s="246"/>
      <c r="L111" s="255"/>
      <c r="M111" s="255"/>
      <c r="N111" s="255"/>
      <c r="O111" s="255"/>
      <c r="P111" s="255"/>
      <c r="Q111" s="255"/>
      <c r="R111" s="255"/>
      <c r="S111" s="255"/>
      <c r="T111" s="255"/>
      <c r="U111" s="255"/>
      <c r="V111" s="255"/>
      <c r="W111" s="255"/>
      <c r="X111" s="255"/>
      <c r="Y111" s="255"/>
      <c r="Z111" s="255"/>
      <c r="AA111" s="255"/>
      <c r="AB111" s="255"/>
      <c r="AC111" s="255"/>
      <c r="AD111" s="255"/>
      <c r="AE111" s="1027"/>
      <c r="AF111" s="1027"/>
      <c r="AG111" s="1027"/>
    </row>
    <row r="112" spans="1:33" x14ac:dyDescent="0.25">
      <c r="A112" s="1015" t="s">
        <v>531</v>
      </c>
      <c r="B112" s="1016" t="s">
        <v>521</v>
      </c>
      <c r="C112" s="1015"/>
      <c r="D112" s="1015"/>
      <c r="E112" s="1026"/>
      <c r="F112" s="256"/>
      <c r="G112" s="256"/>
      <c r="H112" s="256"/>
      <c r="I112" s="256"/>
      <c r="J112" s="256"/>
      <c r="K112" s="256"/>
      <c r="L112" s="246"/>
      <c r="M112" s="255"/>
      <c r="N112" s="255"/>
      <c r="O112" s="255"/>
      <c r="P112" s="255"/>
      <c r="Q112" s="255"/>
      <c r="R112" s="255"/>
      <c r="S112" s="255"/>
      <c r="T112" s="255"/>
      <c r="U112" s="255"/>
      <c r="V112" s="255"/>
      <c r="W112" s="255"/>
      <c r="X112" s="255"/>
      <c r="Y112" s="255"/>
      <c r="Z112" s="255"/>
      <c r="AA112" s="255"/>
      <c r="AB112" s="255"/>
      <c r="AC112" s="255"/>
      <c r="AD112" s="255"/>
      <c r="AE112" s="1027"/>
      <c r="AF112" s="1027"/>
      <c r="AG112" s="1027"/>
    </row>
    <row r="113" spans="1:33" x14ac:dyDescent="0.25">
      <c r="A113" s="1015" t="s">
        <v>531</v>
      </c>
      <c r="B113" s="1016" t="s">
        <v>522</v>
      </c>
      <c r="C113" s="1015"/>
      <c r="D113" s="1015"/>
      <c r="E113" s="1026"/>
      <c r="F113" s="256"/>
      <c r="G113" s="256"/>
      <c r="H113" s="256"/>
      <c r="I113" s="256"/>
      <c r="J113" s="256"/>
      <c r="K113" s="256"/>
      <c r="L113" s="256"/>
      <c r="M113" s="246"/>
      <c r="N113" s="255"/>
      <c r="O113" s="255"/>
      <c r="P113" s="255"/>
      <c r="Q113" s="255"/>
      <c r="R113" s="255"/>
      <c r="S113" s="255"/>
      <c r="T113" s="255"/>
      <c r="U113" s="255"/>
      <c r="V113" s="255"/>
      <c r="W113" s="255"/>
      <c r="X113" s="255"/>
      <c r="Y113" s="255"/>
      <c r="Z113" s="255"/>
      <c r="AA113" s="255"/>
      <c r="AB113" s="255"/>
      <c r="AC113" s="255"/>
      <c r="AD113" s="255"/>
      <c r="AE113" s="1027"/>
      <c r="AF113" s="1027"/>
      <c r="AG113" s="1027"/>
    </row>
    <row r="114" spans="1:33" x14ac:dyDescent="0.25">
      <c r="A114" s="1015" t="s">
        <v>531</v>
      </c>
      <c r="B114" s="1016" t="s">
        <v>523</v>
      </c>
      <c r="C114" s="1015"/>
      <c r="D114" s="1015"/>
      <c r="E114" s="1026"/>
      <c r="F114" s="256"/>
      <c r="G114" s="256"/>
      <c r="H114" s="256"/>
      <c r="I114" s="256"/>
      <c r="J114" s="256"/>
      <c r="K114" s="256"/>
      <c r="L114" s="256"/>
      <c r="M114" s="256"/>
      <c r="N114" s="246"/>
      <c r="O114" s="255"/>
      <c r="P114" s="255"/>
      <c r="Q114" s="255"/>
      <c r="R114" s="255"/>
      <c r="S114" s="255"/>
      <c r="T114" s="255"/>
      <c r="U114" s="255"/>
      <c r="V114" s="255"/>
      <c r="W114" s="255"/>
      <c r="X114" s="255"/>
      <c r="Y114" s="255"/>
      <c r="Z114" s="255"/>
      <c r="AA114" s="255"/>
      <c r="AB114" s="255"/>
      <c r="AC114" s="255"/>
      <c r="AD114" s="255"/>
      <c r="AE114" s="1027"/>
      <c r="AF114" s="1027"/>
      <c r="AG114" s="1027"/>
    </row>
    <row r="115" spans="1:33" x14ac:dyDescent="0.25">
      <c r="A115" s="1015" t="s">
        <v>531</v>
      </c>
      <c r="B115" s="1016" t="s">
        <v>524</v>
      </c>
      <c r="C115" s="244"/>
      <c r="D115" s="1015"/>
      <c r="E115" s="1026"/>
      <c r="F115" s="256"/>
      <c r="G115" s="256"/>
      <c r="H115" s="256"/>
      <c r="I115" s="256"/>
      <c r="J115" s="256"/>
      <c r="K115" s="256"/>
      <c r="L115" s="256"/>
      <c r="M115" s="256"/>
      <c r="N115" s="256"/>
      <c r="O115" s="246"/>
      <c r="P115" s="255"/>
      <c r="Q115" s="255"/>
      <c r="R115" s="255"/>
      <c r="S115" s="255"/>
      <c r="T115" s="255"/>
      <c r="U115" s="255"/>
      <c r="V115" s="255"/>
      <c r="W115" s="255"/>
      <c r="X115" s="255"/>
      <c r="Y115" s="255"/>
      <c r="Z115" s="255"/>
      <c r="AA115" s="255"/>
      <c r="AB115" s="255"/>
      <c r="AC115" s="255"/>
      <c r="AD115" s="255"/>
      <c r="AE115" s="1027"/>
      <c r="AF115" s="1027"/>
      <c r="AG115" s="1027"/>
    </row>
    <row r="116" spans="1:33" x14ac:dyDescent="0.25">
      <c r="A116" s="1015" t="s">
        <v>531</v>
      </c>
      <c r="B116" s="1016" t="s">
        <v>525</v>
      </c>
      <c r="C116" s="244"/>
      <c r="D116" s="1015"/>
      <c r="E116" s="1026"/>
      <c r="F116" s="256"/>
      <c r="G116" s="256"/>
      <c r="H116" s="256"/>
      <c r="I116" s="256"/>
      <c r="J116" s="256"/>
      <c r="K116" s="256"/>
      <c r="L116" s="256"/>
      <c r="M116" s="256"/>
      <c r="N116" s="256"/>
      <c r="O116" s="256"/>
      <c r="P116" s="246"/>
      <c r="Q116" s="255"/>
      <c r="R116" s="255"/>
      <c r="S116" s="255"/>
      <c r="T116" s="255"/>
      <c r="U116" s="255"/>
      <c r="V116" s="255"/>
      <c r="W116" s="255"/>
      <c r="X116" s="255"/>
      <c r="Y116" s="255"/>
      <c r="Z116" s="255"/>
      <c r="AA116" s="255"/>
      <c r="AB116" s="255"/>
      <c r="AC116" s="255"/>
      <c r="AD116" s="255"/>
      <c r="AE116" s="1027"/>
      <c r="AF116" s="1027"/>
      <c r="AG116" s="1027"/>
    </row>
    <row r="117" spans="1:33" x14ac:dyDescent="0.25">
      <c r="A117" s="1015" t="s">
        <v>531</v>
      </c>
      <c r="B117" s="1016" t="s">
        <v>526</v>
      </c>
      <c r="C117" s="244"/>
      <c r="D117" s="244"/>
      <c r="E117" s="1026"/>
      <c r="F117" s="256"/>
      <c r="G117" s="256"/>
      <c r="H117" s="256"/>
      <c r="I117" s="256"/>
      <c r="J117" s="256"/>
      <c r="K117" s="256"/>
      <c r="L117" s="256"/>
      <c r="M117" s="256"/>
      <c r="N117" s="256"/>
      <c r="O117" s="256"/>
      <c r="P117" s="256"/>
      <c r="Q117" s="246"/>
      <c r="R117" s="255"/>
      <c r="S117" s="255"/>
      <c r="T117" s="255"/>
      <c r="U117" s="255"/>
      <c r="V117" s="255"/>
      <c r="W117" s="255"/>
      <c r="X117" s="255"/>
      <c r="Y117" s="255"/>
      <c r="Z117" s="255"/>
      <c r="AA117" s="255"/>
      <c r="AB117" s="255"/>
      <c r="AC117" s="255"/>
      <c r="AD117" s="255"/>
      <c r="AE117" s="1027"/>
      <c r="AF117" s="1027"/>
      <c r="AG117" s="1027"/>
    </row>
    <row r="118" spans="1:33" x14ac:dyDescent="0.25">
      <c r="A118" s="1015" t="s">
        <v>531</v>
      </c>
      <c r="B118" s="1016" t="s">
        <v>527</v>
      </c>
      <c r="C118" s="244"/>
      <c r="D118" s="244"/>
      <c r="E118" s="1026"/>
      <c r="F118" s="256"/>
      <c r="G118" s="256"/>
      <c r="H118" s="256"/>
      <c r="I118" s="256"/>
      <c r="J118" s="256"/>
      <c r="K118" s="256"/>
      <c r="L118" s="256"/>
      <c r="M118" s="256"/>
      <c r="N118" s="256"/>
      <c r="O118" s="256"/>
      <c r="P118" s="256"/>
      <c r="Q118" s="256"/>
      <c r="R118" s="246"/>
      <c r="S118" s="255"/>
      <c r="T118" s="255"/>
      <c r="U118" s="255"/>
      <c r="V118" s="255"/>
      <c r="W118" s="255"/>
      <c r="X118" s="255"/>
      <c r="Y118" s="255"/>
      <c r="Z118" s="255"/>
      <c r="AA118" s="255"/>
      <c r="AB118" s="255"/>
      <c r="AC118" s="255"/>
      <c r="AD118" s="255"/>
      <c r="AE118" s="1027"/>
      <c r="AF118" s="1027"/>
      <c r="AG118" s="1027"/>
    </row>
    <row r="119" spans="1:33" x14ac:dyDescent="0.25">
      <c r="A119" s="1015" t="s">
        <v>531</v>
      </c>
      <c r="B119" s="1016" t="s">
        <v>528</v>
      </c>
      <c r="C119" s="244"/>
      <c r="D119" s="244"/>
      <c r="E119" s="1026"/>
      <c r="F119" s="256"/>
      <c r="G119" s="256"/>
      <c r="H119" s="256"/>
      <c r="I119" s="256"/>
      <c r="J119" s="256"/>
      <c r="K119" s="256"/>
      <c r="L119" s="256"/>
      <c r="M119" s="256"/>
      <c r="N119" s="256"/>
      <c r="O119" s="256"/>
      <c r="P119" s="256"/>
      <c r="Q119" s="256"/>
      <c r="R119" s="256"/>
      <c r="S119" s="246"/>
      <c r="T119" s="255"/>
      <c r="U119" s="255"/>
      <c r="V119" s="255"/>
      <c r="W119" s="255"/>
      <c r="X119" s="255"/>
      <c r="Y119" s="255"/>
      <c r="Z119" s="255"/>
      <c r="AA119" s="255"/>
      <c r="AB119" s="255"/>
      <c r="AC119" s="255"/>
      <c r="AD119" s="255"/>
      <c r="AE119" s="1027"/>
      <c r="AF119" s="1027"/>
      <c r="AG119" s="1027"/>
    </row>
    <row r="120" spans="1:33" x14ac:dyDescent="0.25">
      <c r="A120" s="1015" t="s">
        <v>531</v>
      </c>
      <c r="B120" s="1016" t="s">
        <v>532</v>
      </c>
      <c r="C120" s="244"/>
      <c r="D120" s="244"/>
      <c r="E120" s="1029"/>
      <c r="F120" s="256"/>
      <c r="G120" s="256"/>
      <c r="H120" s="256"/>
      <c r="I120" s="256"/>
      <c r="J120" s="256"/>
      <c r="K120" s="256"/>
      <c r="L120" s="256"/>
      <c r="M120" s="256"/>
      <c r="N120" s="256"/>
      <c r="O120" s="256"/>
      <c r="P120" s="256"/>
      <c r="Q120" s="256"/>
      <c r="R120" s="256"/>
      <c r="S120" s="256"/>
      <c r="T120" s="246"/>
      <c r="U120" s="255"/>
      <c r="V120" s="255"/>
      <c r="W120" s="255"/>
      <c r="X120" s="255"/>
      <c r="Y120" s="255"/>
      <c r="Z120" s="255"/>
      <c r="AA120" s="255"/>
      <c r="AB120" s="255"/>
      <c r="AC120" s="255"/>
      <c r="AD120" s="255"/>
      <c r="AE120" s="1027"/>
      <c r="AF120" s="1027"/>
      <c r="AG120" s="1027"/>
    </row>
    <row r="121" spans="1:33" x14ac:dyDescent="0.25">
      <c r="A121" s="1015" t="s">
        <v>531</v>
      </c>
      <c r="B121" s="1016" t="s">
        <v>533</v>
      </c>
      <c r="C121" s="244"/>
      <c r="D121" s="244"/>
      <c r="E121" s="1029"/>
      <c r="F121" s="256"/>
      <c r="G121" s="256"/>
      <c r="H121" s="256"/>
      <c r="I121" s="256"/>
      <c r="J121" s="256"/>
      <c r="K121" s="256"/>
      <c r="L121" s="256"/>
      <c r="M121" s="256"/>
      <c r="N121" s="256"/>
      <c r="O121" s="256"/>
      <c r="P121" s="256"/>
      <c r="Q121" s="256"/>
      <c r="R121" s="256"/>
      <c r="S121" s="256"/>
      <c r="T121" s="256"/>
      <c r="U121" s="246"/>
      <c r="V121" s="255"/>
      <c r="W121" s="255"/>
      <c r="X121" s="255"/>
      <c r="Y121" s="255"/>
      <c r="Z121" s="255"/>
      <c r="AA121" s="255"/>
      <c r="AB121" s="255"/>
      <c r="AC121" s="255"/>
      <c r="AD121" s="255"/>
      <c r="AE121" s="1027"/>
      <c r="AF121" s="1027"/>
      <c r="AG121" s="1027"/>
    </row>
    <row r="122" spans="1:33" x14ac:dyDescent="0.25">
      <c r="A122" s="1015" t="s">
        <v>531</v>
      </c>
      <c r="B122" s="1016" t="s">
        <v>534</v>
      </c>
      <c r="C122" s="244"/>
      <c r="D122" s="244"/>
      <c r="E122" s="1029"/>
      <c r="F122" s="256"/>
      <c r="G122" s="256"/>
      <c r="H122" s="256"/>
      <c r="I122" s="256"/>
      <c r="J122" s="256"/>
      <c r="K122" s="256"/>
      <c r="L122" s="256"/>
      <c r="M122" s="256"/>
      <c r="N122" s="256"/>
      <c r="O122" s="256"/>
      <c r="P122" s="256"/>
      <c r="Q122" s="256"/>
      <c r="R122" s="256"/>
      <c r="S122" s="256"/>
      <c r="T122" s="256"/>
      <c r="U122" s="256"/>
      <c r="V122" s="246"/>
      <c r="W122" s="255"/>
      <c r="X122" s="255"/>
      <c r="Y122" s="255"/>
      <c r="Z122" s="255"/>
      <c r="AA122" s="255"/>
      <c r="AB122" s="255"/>
      <c r="AC122" s="255"/>
      <c r="AD122" s="255"/>
      <c r="AE122" s="1027"/>
      <c r="AF122" s="1027"/>
      <c r="AG122" s="1027"/>
    </row>
    <row r="123" spans="1:33" x14ac:dyDescent="0.25">
      <c r="A123" s="1015" t="s">
        <v>531</v>
      </c>
      <c r="B123" s="1016" t="s">
        <v>544</v>
      </c>
      <c r="C123" s="244"/>
      <c r="D123" s="244"/>
      <c r="E123" s="1029"/>
      <c r="F123" s="256"/>
      <c r="G123" s="256"/>
      <c r="H123" s="256"/>
      <c r="I123" s="256"/>
      <c r="J123" s="256"/>
      <c r="K123" s="256"/>
      <c r="L123" s="256"/>
      <c r="M123" s="256"/>
      <c r="N123" s="256"/>
      <c r="O123" s="256"/>
      <c r="P123" s="256"/>
      <c r="Q123" s="256"/>
      <c r="R123" s="256"/>
      <c r="S123" s="256"/>
      <c r="T123" s="256"/>
      <c r="U123" s="256"/>
      <c r="V123" s="256"/>
      <c r="W123" s="246"/>
      <c r="X123" s="255"/>
      <c r="Y123" s="255"/>
      <c r="Z123" s="255"/>
      <c r="AA123" s="255"/>
      <c r="AB123" s="255"/>
      <c r="AC123" s="255"/>
      <c r="AD123" s="255"/>
      <c r="AE123" s="1027"/>
      <c r="AF123" s="1027"/>
      <c r="AG123" s="1027"/>
    </row>
    <row r="124" spans="1:33" x14ac:dyDescent="0.25">
      <c r="A124" s="1015" t="s">
        <v>531</v>
      </c>
      <c r="B124" s="1016" t="s">
        <v>545</v>
      </c>
      <c r="C124" s="244"/>
      <c r="D124" s="244"/>
      <c r="E124" s="1029"/>
      <c r="F124" s="256"/>
      <c r="G124" s="256"/>
      <c r="H124" s="256"/>
      <c r="I124" s="256"/>
      <c r="J124" s="256"/>
      <c r="K124" s="256"/>
      <c r="L124" s="256"/>
      <c r="M124" s="256"/>
      <c r="N124" s="256"/>
      <c r="O124" s="256"/>
      <c r="P124" s="256"/>
      <c r="Q124" s="256"/>
      <c r="R124" s="256"/>
      <c r="S124" s="256"/>
      <c r="T124" s="256"/>
      <c r="U124" s="256"/>
      <c r="V124" s="256"/>
      <c r="W124" s="256"/>
      <c r="X124" s="246"/>
      <c r="Y124" s="255"/>
      <c r="Z124" s="255"/>
      <c r="AA124" s="255"/>
      <c r="AB124" s="255"/>
      <c r="AC124" s="255"/>
      <c r="AD124" s="255"/>
      <c r="AE124" s="1027"/>
      <c r="AF124" s="1027"/>
      <c r="AG124" s="1027"/>
    </row>
    <row r="125" spans="1:33" x14ac:dyDescent="0.25">
      <c r="A125" s="1015" t="s">
        <v>531</v>
      </c>
      <c r="B125" s="1016" t="s">
        <v>546</v>
      </c>
      <c r="C125" s="244"/>
      <c r="D125" s="244"/>
      <c r="E125" s="1029"/>
      <c r="F125" s="256"/>
      <c r="G125" s="256"/>
      <c r="H125" s="256"/>
      <c r="I125" s="256"/>
      <c r="J125" s="256"/>
      <c r="K125" s="256"/>
      <c r="L125" s="256"/>
      <c r="M125" s="256"/>
      <c r="N125" s="256"/>
      <c r="O125" s="256"/>
      <c r="P125" s="256"/>
      <c r="Q125" s="256"/>
      <c r="R125" s="256"/>
      <c r="S125" s="256"/>
      <c r="T125" s="256"/>
      <c r="U125" s="256"/>
      <c r="V125" s="256"/>
      <c r="W125" s="256"/>
      <c r="X125" s="256"/>
      <c r="Y125" s="246"/>
      <c r="Z125" s="255"/>
      <c r="AA125" s="255"/>
      <c r="AB125" s="255"/>
      <c r="AC125" s="255"/>
      <c r="AD125" s="255"/>
      <c r="AE125" s="1027"/>
      <c r="AF125" s="1027"/>
      <c r="AG125" s="1027"/>
    </row>
    <row r="126" spans="1:33" x14ac:dyDescent="0.25">
      <c r="A126" s="1015" t="s">
        <v>531</v>
      </c>
      <c r="B126" s="1016" t="s">
        <v>1428</v>
      </c>
      <c r="C126" s="244"/>
      <c r="D126" s="244"/>
      <c r="E126" s="1029"/>
      <c r="F126" s="256"/>
      <c r="G126" s="256"/>
      <c r="H126" s="256"/>
      <c r="I126" s="256"/>
      <c r="J126" s="256"/>
      <c r="K126" s="256"/>
      <c r="L126" s="256"/>
      <c r="M126" s="256"/>
      <c r="N126" s="256"/>
      <c r="O126" s="256"/>
      <c r="P126" s="256"/>
      <c r="Q126" s="256"/>
      <c r="R126" s="256"/>
      <c r="S126" s="256"/>
      <c r="T126" s="256"/>
      <c r="U126" s="256"/>
      <c r="V126" s="256"/>
      <c r="W126" s="256"/>
      <c r="X126" s="256"/>
      <c r="Y126" s="256"/>
      <c r="Z126" s="246"/>
      <c r="AA126" s="255"/>
      <c r="AB126" s="255"/>
      <c r="AC126" s="255"/>
      <c r="AD126" s="255"/>
      <c r="AE126" s="244"/>
      <c r="AF126" s="244"/>
      <c r="AG126" s="1027"/>
    </row>
    <row r="127" spans="1:33" x14ac:dyDescent="0.25">
      <c r="A127" s="1015" t="s">
        <v>531</v>
      </c>
      <c r="B127" s="1016" t="s">
        <v>1429</v>
      </c>
      <c r="C127" s="244"/>
      <c r="D127" s="244"/>
      <c r="E127" s="1029"/>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246"/>
      <c r="AB127" s="255"/>
      <c r="AC127" s="255"/>
      <c r="AD127" s="255"/>
      <c r="AE127" s="244"/>
      <c r="AF127" s="244"/>
      <c r="AG127" s="1027"/>
    </row>
    <row r="128" spans="1:33" x14ac:dyDescent="0.25">
      <c r="A128" s="1015" t="s">
        <v>531</v>
      </c>
      <c r="B128" s="1016" t="s">
        <v>1430</v>
      </c>
      <c r="C128" s="244"/>
      <c r="D128" s="244"/>
      <c r="E128" s="1029"/>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46"/>
      <c r="AC128" s="255"/>
      <c r="AD128" s="255"/>
      <c r="AE128" s="244"/>
      <c r="AF128" s="244"/>
      <c r="AG128" s="1027"/>
    </row>
    <row r="129" spans="1:33" x14ac:dyDescent="0.25">
      <c r="A129" s="1015" t="s">
        <v>531</v>
      </c>
      <c r="B129" s="1016" t="s">
        <v>1431</v>
      </c>
      <c r="C129" s="244"/>
      <c r="D129" s="244"/>
      <c r="E129" s="1029"/>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46"/>
      <c r="AD129" s="255"/>
      <c r="AE129" s="244"/>
      <c r="AF129" s="244"/>
      <c r="AG129" s="1027"/>
    </row>
    <row r="130" spans="1:33" x14ac:dyDescent="0.25">
      <c r="A130" s="1015" t="s">
        <v>531</v>
      </c>
      <c r="B130" s="1016" t="s">
        <v>1432</v>
      </c>
      <c r="C130" s="244"/>
      <c r="D130" s="244"/>
      <c r="E130" s="1029"/>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46"/>
      <c r="AE130" s="244"/>
      <c r="AF130" s="244"/>
      <c r="AG130" s="1027"/>
    </row>
    <row r="131" spans="1:33" ht="13" x14ac:dyDescent="0.3">
      <c r="A131" s="1019"/>
      <c r="B131" s="1020" t="s">
        <v>270</v>
      </c>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row>
    <row r="132" spans="1:33" x14ac:dyDescent="0.25">
      <c r="C132" s="1031"/>
    </row>
    <row r="134" spans="1:33" x14ac:dyDescent="0.25">
      <c r="F134" s="1021"/>
    </row>
    <row r="135" spans="1:33" ht="13" x14ac:dyDescent="0.3">
      <c r="B135" s="1010" t="s">
        <v>540</v>
      </c>
      <c r="F135" s="1011" t="s">
        <v>10</v>
      </c>
    </row>
    <row r="136" spans="1:33" ht="26.15" customHeight="1" x14ac:dyDescent="0.35">
      <c r="A136" s="1012"/>
      <c r="B136" s="1025" t="s">
        <v>412</v>
      </c>
      <c r="C136" s="2007" t="s">
        <v>513</v>
      </c>
      <c r="D136" s="2007" t="s">
        <v>514</v>
      </c>
      <c r="E136" s="2007" t="s">
        <v>584</v>
      </c>
      <c r="F136" s="2009" t="s">
        <v>585</v>
      </c>
      <c r="G136" s="2010"/>
      <c r="H136" s="2010"/>
      <c r="I136" s="2010"/>
      <c r="J136" s="2010"/>
      <c r="K136" s="2010"/>
      <c r="L136" s="2010"/>
      <c r="M136" s="2010"/>
      <c r="N136" s="2010"/>
      <c r="O136" s="2010"/>
      <c r="P136" s="2010"/>
      <c r="Q136" s="2010"/>
      <c r="R136" s="2010"/>
      <c r="S136" s="2010"/>
      <c r="T136" s="2010"/>
      <c r="U136" s="2010"/>
      <c r="V136" s="2010"/>
      <c r="W136" s="2010"/>
      <c r="X136" s="2010"/>
      <c r="Y136" s="2010"/>
      <c r="Z136" s="2010"/>
      <c r="AA136" s="2010"/>
      <c r="AB136" s="2010"/>
      <c r="AC136" s="2010"/>
      <c r="AD136" s="2011"/>
      <c r="AE136" s="1013" t="s">
        <v>536</v>
      </c>
      <c r="AF136" s="1013" t="s">
        <v>529</v>
      </c>
      <c r="AG136" s="1013" t="s">
        <v>537</v>
      </c>
    </row>
    <row r="137" spans="1:33" ht="12.9" customHeight="1" x14ac:dyDescent="0.25">
      <c r="A137" s="1012"/>
      <c r="B137" s="1025"/>
      <c r="C137" s="2008"/>
      <c r="D137" s="2008"/>
      <c r="E137" s="2008"/>
      <c r="F137" s="1014" t="s">
        <v>515</v>
      </c>
      <c r="G137" s="1014" t="s">
        <v>516</v>
      </c>
      <c r="H137" s="1014" t="s">
        <v>517</v>
      </c>
      <c r="I137" s="1014" t="s">
        <v>518</v>
      </c>
      <c r="J137" s="1014" t="s">
        <v>519</v>
      </c>
      <c r="K137" s="1014" t="s">
        <v>520</v>
      </c>
      <c r="L137" s="1014" t="s">
        <v>521</v>
      </c>
      <c r="M137" s="1014" t="s">
        <v>522</v>
      </c>
      <c r="N137" s="1014" t="s">
        <v>523</v>
      </c>
      <c r="O137" s="1014" t="s">
        <v>524</v>
      </c>
      <c r="P137" s="1014" t="s">
        <v>525</v>
      </c>
      <c r="Q137" s="1014" t="s">
        <v>526</v>
      </c>
      <c r="R137" s="1014" t="s">
        <v>527</v>
      </c>
      <c r="S137" s="1014" t="s">
        <v>528</v>
      </c>
      <c r="T137" s="1014" t="s">
        <v>324</v>
      </c>
      <c r="U137" s="1014" t="s">
        <v>504</v>
      </c>
      <c r="V137" s="1014" t="s">
        <v>505</v>
      </c>
      <c r="W137" s="1014" t="s">
        <v>506</v>
      </c>
      <c r="X137" s="1014" t="s">
        <v>507</v>
      </c>
      <c r="Y137" s="1014" t="s">
        <v>508</v>
      </c>
      <c r="Z137" s="1014" t="s">
        <v>968</v>
      </c>
      <c r="AA137" s="1014" t="s">
        <v>969</v>
      </c>
      <c r="AB137" s="1014" t="s">
        <v>970</v>
      </c>
      <c r="AC137" s="1014" t="s">
        <v>971</v>
      </c>
      <c r="AD137" s="1014" t="s">
        <v>972</v>
      </c>
      <c r="AE137" s="1013"/>
      <c r="AF137" s="1013"/>
      <c r="AG137" s="1013"/>
    </row>
    <row r="138" spans="1:33" x14ac:dyDescent="0.25">
      <c r="A138" s="1015" t="s">
        <v>530</v>
      </c>
      <c r="B138" s="1016">
        <v>2005</v>
      </c>
      <c r="C138" s="1015"/>
      <c r="D138" s="1015"/>
      <c r="E138" s="1026"/>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1027"/>
      <c r="AF138" s="1027"/>
      <c r="AG138" s="1027"/>
    </row>
    <row r="139" spans="1:33" x14ac:dyDescent="0.25">
      <c r="A139" s="1015" t="s">
        <v>531</v>
      </c>
      <c r="B139" s="1016" t="s">
        <v>515</v>
      </c>
      <c r="C139" s="1015"/>
      <c r="D139" s="1015"/>
      <c r="E139" s="1026"/>
      <c r="F139" s="246"/>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1027"/>
      <c r="AF139" s="1027"/>
      <c r="AG139" s="1027"/>
    </row>
    <row r="140" spans="1:33" x14ac:dyDescent="0.25">
      <c r="A140" s="1015" t="s">
        <v>531</v>
      </c>
      <c r="B140" s="1016" t="s">
        <v>516</v>
      </c>
      <c r="C140" s="1015"/>
      <c r="D140" s="1015"/>
      <c r="E140" s="1026"/>
      <c r="F140" s="256"/>
      <c r="G140" s="246"/>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1027"/>
      <c r="AF140" s="1027"/>
      <c r="AG140" s="1027"/>
    </row>
    <row r="141" spans="1:33" x14ac:dyDescent="0.25">
      <c r="A141" s="1015" t="s">
        <v>531</v>
      </c>
      <c r="B141" s="1016" t="s">
        <v>517</v>
      </c>
      <c r="C141" s="1015"/>
      <c r="D141" s="1015"/>
      <c r="E141" s="1026"/>
      <c r="F141" s="256"/>
      <c r="G141" s="256"/>
      <c r="H141" s="246"/>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1027"/>
      <c r="AF141" s="1027"/>
      <c r="AG141" s="1027"/>
    </row>
    <row r="142" spans="1:33" x14ac:dyDescent="0.25">
      <c r="A142" s="1015" t="s">
        <v>531</v>
      </c>
      <c r="B142" s="1016" t="s">
        <v>518</v>
      </c>
      <c r="C142" s="1015"/>
      <c r="D142" s="1015"/>
      <c r="E142" s="1026"/>
      <c r="F142" s="256"/>
      <c r="G142" s="256"/>
      <c r="H142" s="256"/>
      <c r="I142" s="246"/>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1027"/>
      <c r="AF142" s="1027"/>
      <c r="AG142" s="1027"/>
    </row>
    <row r="143" spans="1:33" x14ac:dyDescent="0.25">
      <c r="A143" s="1015" t="s">
        <v>531</v>
      </c>
      <c r="B143" s="1016" t="s">
        <v>519</v>
      </c>
      <c r="C143" s="1015"/>
      <c r="D143" s="1015"/>
      <c r="E143" s="1026"/>
      <c r="F143" s="256"/>
      <c r="G143" s="256"/>
      <c r="H143" s="256"/>
      <c r="I143" s="256"/>
      <c r="J143" s="246"/>
      <c r="K143" s="255"/>
      <c r="L143" s="255"/>
      <c r="M143" s="255"/>
      <c r="N143" s="255"/>
      <c r="O143" s="255"/>
      <c r="P143" s="255"/>
      <c r="Q143" s="255"/>
      <c r="R143" s="255"/>
      <c r="S143" s="255"/>
      <c r="T143" s="255"/>
      <c r="U143" s="255"/>
      <c r="V143" s="255"/>
      <c r="W143" s="255"/>
      <c r="X143" s="255"/>
      <c r="Y143" s="255"/>
      <c r="Z143" s="255"/>
      <c r="AA143" s="255"/>
      <c r="AB143" s="255"/>
      <c r="AC143" s="255"/>
      <c r="AD143" s="255"/>
      <c r="AE143" s="1027"/>
      <c r="AF143" s="1027"/>
      <c r="AG143" s="1027"/>
    </row>
    <row r="144" spans="1:33" x14ac:dyDescent="0.25">
      <c r="A144" s="1015" t="s">
        <v>531</v>
      </c>
      <c r="B144" s="1016" t="s">
        <v>520</v>
      </c>
      <c r="C144" s="1015"/>
      <c r="D144" s="1015"/>
      <c r="E144" s="1026"/>
      <c r="F144" s="256"/>
      <c r="G144" s="256"/>
      <c r="H144" s="256"/>
      <c r="I144" s="256"/>
      <c r="J144" s="256"/>
      <c r="K144" s="246"/>
      <c r="L144" s="255"/>
      <c r="M144" s="255"/>
      <c r="N144" s="255"/>
      <c r="O144" s="255"/>
      <c r="P144" s="255"/>
      <c r="Q144" s="255"/>
      <c r="R144" s="255"/>
      <c r="S144" s="255"/>
      <c r="T144" s="255"/>
      <c r="U144" s="255"/>
      <c r="V144" s="255"/>
      <c r="W144" s="255"/>
      <c r="X144" s="255"/>
      <c r="Y144" s="255"/>
      <c r="Z144" s="255"/>
      <c r="AA144" s="255"/>
      <c r="AB144" s="255"/>
      <c r="AC144" s="255"/>
      <c r="AD144" s="255"/>
      <c r="AE144" s="1027"/>
      <c r="AF144" s="1027"/>
      <c r="AG144" s="1027"/>
    </row>
    <row r="145" spans="1:33" x14ac:dyDescent="0.25">
      <c r="A145" s="1015" t="s">
        <v>531</v>
      </c>
      <c r="B145" s="1016" t="s">
        <v>521</v>
      </c>
      <c r="C145" s="1015"/>
      <c r="D145" s="1015"/>
      <c r="E145" s="1026"/>
      <c r="F145" s="256"/>
      <c r="G145" s="256"/>
      <c r="H145" s="256"/>
      <c r="I145" s="256"/>
      <c r="J145" s="256"/>
      <c r="K145" s="256"/>
      <c r="L145" s="246"/>
      <c r="M145" s="255"/>
      <c r="N145" s="255"/>
      <c r="O145" s="255"/>
      <c r="P145" s="255"/>
      <c r="Q145" s="255"/>
      <c r="R145" s="255"/>
      <c r="S145" s="255"/>
      <c r="T145" s="255"/>
      <c r="U145" s="255"/>
      <c r="V145" s="255"/>
      <c r="W145" s="255"/>
      <c r="X145" s="255"/>
      <c r="Y145" s="255"/>
      <c r="Z145" s="255"/>
      <c r="AA145" s="255"/>
      <c r="AB145" s="255"/>
      <c r="AC145" s="255"/>
      <c r="AD145" s="255"/>
      <c r="AE145" s="1027"/>
      <c r="AF145" s="1027"/>
      <c r="AG145" s="1027"/>
    </row>
    <row r="146" spans="1:33" x14ac:dyDescent="0.25">
      <c r="A146" s="1015" t="s">
        <v>531</v>
      </c>
      <c r="B146" s="1016" t="s">
        <v>522</v>
      </c>
      <c r="C146" s="1015"/>
      <c r="D146" s="1015"/>
      <c r="E146" s="1026"/>
      <c r="F146" s="256"/>
      <c r="G146" s="256"/>
      <c r="H146" s="256"/>
      <c r="I146" s="256"/>
      <c r="J146" s="256"/>
      <c r="K146" s="256"/>
      <c r="L146" s="256"/>
      <c r="M146" s="246"/>
      <c r="N146" s="255"/>
      <c r="O146" s="255"/>
      <c r="P146" s="255"/>
      <c r="Q146" s="255"/>
      <c r="R146" s="255"/>
      <c r="S146" s="255"/>
      <c r="T146" s="255"/>
      <c r="U146" s="255"/>
      <c r="V146" s="255"/>
      <c r="W146" s="255"/>
      <c r="X146" s="255"/>
      <c r="Y146" s="255"/>
      <c r="Z146" s="255"/>
      <c r="AA146" s="255"/>
      <c r="AB146" s="255"/>
      <c r="AC146" s="255"/>
      <c r="AD146" s="255"/>
      <c r="AE146" s="1027"/>
      <c r="AF146" s="1027"/>
      <c r="AG146" s="1027"/>
    </row>
    <row r="147" spans="1:33" x14ac:dyDescent="0.25">
      <c r="A147" s="1015" t="s">
        <v>531</v>
      </c>
      <c r="B147" s="1016" t="s">
        <v>523</v>
      </c>
      <c r="C147" s="1015"/>
      <c r="D147" s="1015"/>
      <c r="E147" s="1026"/>
      <c r="F147" s="256"/>
      <c r="G147" s="256"/>
      <c r="H147" s="256"/>
      <c r="I147" s="256"/>
      <c r="J147" s="256"/>
      <c r="K147" s="256"/>
      <c r="L147" s="256"/>
      <c r="M147" s="256"/>
      <c r="N147" s="246"/>
      <c r="O147" s="255"/>
      <c r="P147" s="255"/>
      <c r="Q147" s="255"/>
      <c r="R147" s="255"/>
      <c r="S147" s="255"/>
      <c r="T147" s="255"/>
      <c r="U147" s="255"/>
      <c r="V147" s="255"/>
      <c r="W147" s="255"/>
      <c r="X147" s="255"/>
      <c r="Y147" s="255"/>
      <c r="Z147" s="255"/>
      <c r="AA147" s="255"/>
      <c r="AB147" s="255"/>
      <c r="AC147" s="255"/>
      <c r="AD147" s="255"/>
      <c r="AE147" s="1027"/>
      <c r="AF147" s="1027"/>
      <c r="AG147" s="1027"/>
    </row>
    <row r="148" spans="1:33" x14ac:dyDescent="0.25">
      <c r="A148" s="1015" t="s">
        <v>531</v>
      </c>
      <c r="B148" s="1016" t="s">
        <v>524</v>
      </c>
      <c r="C148" s="244"/>
      <c r="D148" s="1015"/>
      <c r="E148" s="1026"/>
      <c r="F148" s="256"/>
      <c r="G148" s="256"/>
      <c r="H148" s="256"/>
      <c r="I148" s="256"/>
      <c r="J148" s="256"/>
      <c r="K148" s="256"/>
      <c r="L148" s="256"/>
      <c r="M148" s="256"/>
      <c r="N148" s="256"/>
      <c r="O148" s="246"/>
      <c r="P148" s="255"/>
      <c r="Q148" s="255"/>
      <c r="R148" s="255"/>
      <c r="S148" s="255"/>
      <c r="T148" s="255"/>
      <c r="U148" s="255"/>
      <c r="V148" s="255"/>
      <c r="W148" s="255"/>
      <c r="X148" s="255"/>
      <c r="Y148" s="255"/>
      <c r="Z148" s="255"/>
      <c r="AA148" s="255"/>
      <c r="AB148" s="255"/>
      <c r="AC148" s="255"/>
      <c r="AD148" s="255"/>
      <c r="AE148" s="1027"/>
      <c r="AF148" s="1027"/>
      <c r="AG148" s="1027"/>
    </row>
    <row r="149" spans="1:33" x14ac:dyDescent="0.25">
      <c r="A149" s="1015" t="s">
        <v>531</v>
      </c>
      <c r="B149" s="1016" t="s">
        <v>525</v>
      </c>
      <c r="C149" s="244"/>
      <c r="D149" s="1015"/>
      <c r="E149" s="1026"/>
      <c r="F149" s="256"/>
      <c r="G149" s="256"/>
      <c r="H149" s="256"/>
      <c r="I149" s="256"/>
      <c r="J149" s="256"/>
      <c r="K149" s="256"/>
      <c r="L149" s="256"/>
      <c r="M149" s="256"/>
      <c r="N149" s="256"/>
      <c r="O149" s="256"/>
      <c r="P149" s="246"/>
      <c r="Q149" s="255"/>
      <c r="R149" s="255"/>
      <c r="S149" s="255"/>
      <c r="T149" s="255"/>
      <c r="U149" s="255"/>
      <c r="V149" s="255"/>
      <c r="W149" s="255"/>
      <c r="X149" s="255"/>
      <c r="Y149" s="255"/>
      <c r="Z149" s="255"/>
      <c r="AA149" s="255"/>
      <c r="AB149" s="255"/>
      <c r="AC149" s="255"/>
      <c r="AD149" s="255"/>
      <c r="AE149" s="1027"/>
      <c r="AF149" s="1027"/>
      <c r="AG149" s="1027"/>
    </row>
    <row r="150" spans="1:33" x14ac:dyDescent="0.25">
      <c r="A150" s="1015" t="s">
        <v>531</v>
      </c>
      <c r="B150" s="1016" t="s">
        <v>526</v>
      </c>
      <c r="C150" s="244"/>
      <c r="D150" s="244"/>
      <c r="E150" s="1026"/>
      <c r="F150" s="256"/>
      <c r="G150" s="256"/>
      <c r="H150" s="256"/>
      <c r="I150" s="256"/>
      <c r="J150" s="256"/>
      <c r="K150" s="256"/>
      <c r="L150" s="256"/>
      <c r="M150" s="256"/>
      <c r="N150" s="256"/>
      <c r="O150" s="256"/>
      <c r="P150" s="256"/>
      <c r="Q150" s="246"/>
      <c r="R150" s="255"/>
      <c r="S150" s="255"/>
      <c r="T150" s="255"/>
      <c r="U150" s="255"/>
      <c r="V150" s="255"/>
      <c r="W150" s="255"/>
      <c r="X150" s="255"/>
      <c r="Y150" s="255"/>
      <c r="Z150" s="255"/>
      <c r="AA150" s="255"/>
      <c r="AB150" s="255"/>
      <c r="AC150" s="255"/>
      <c r="AD150" s="255"/>
      <c r="AE150" s="1027"/>
      <c r="AF150" s="1027"/>
      <c r="AG150" s="1027"/>
    </row>
    <row r="151" spans="1:33" x14ac:dyDescent="0.25">
      <c r="A151" s="1015" t="s">
        <v>531</v>
      </c>
      <c r="B151" s="1016" t="s">
        <v>527</v>
      </c>
      <c r="C151" s="244"/>
      <c r="D151" s="244"/>
      <c r="E151" s="1026"/>
      <c r="F151" s="256"/>
      <c r="G151" s="256"/>
      <c r="H151" s="256"/>
      <c r="I151" s="256"/>
      <c r="J151" s="256"/>
      <c r="K151" s="256"/>
      <c r="L151" s="256"/>
      <c r="M151" s="256"/>
      <c r="N151" s="256"/>
      <c r="O151" s="256"/>
      <c r="P151" s="256"/>
      <c r="Q151" s="256"/>
      <c r="R151" s="246"/>
      <c r="S151" s="255"/>
      <c r="T151" s="255"/>
      <c r="U151" s="255"/>
      <c r="V151" s="255"/>
      <c r="W151" s="255"/>
      <c r="X151" s="255"/>
      <c r="Y151" s="255"/>
      <c r="Z151" s="255"/>
      <c r="AA151" s="255"/>
      <c r="AB151" s="255"/>
      <c r="AC151" s="255"/>
      <c r="AD151" s="255"/>
      <c r="AE151" s="1027"/>
      <c r="AF151" s="1027"/>
      <c r="AG151" s="1027"/>
    </row>
    <row r="152" spans="1:33" x14ac:dyDescent="0.25">
      <c r="A152" s="1015" t="s">
        <v>531</v>
      </c>
      <c r="B152" s="1016" t="s">
        <v>528</v>
      </c>
      <c r="C152" s="244"/>
      <c r="D152" s="244"/>
      <c r="E152" s="1026"/>
      <c r="F152" s="256"/>
      <c r="G152" s="256"/>
      <c r="H152" s="256"/>
      <c r="I152" s="256"/>
      <c r="J152" s="256"/>
      <c r="K152" s="256"/>
      <c r="L152" s="256"/>
      <c r="M152" s="256"/>
      <c r="N152" s="256"/>
      <c r="O152" s="256"/>
      <c r="P152" s="256"/>
      <c r="Q152" s="256"/>
      <c r="R152" s="256"/>
      <c r="S152" s="246"/>
      <c r="T152" s="255"/>
      <c r="U152" s="255"/>
      <c r="V152" s="255"/>
      <c r="W152" s="255"/>
      <c r="X152" s="255"/>
      <c r="Y152" s="255"/>
      <c r="Z152" s="255"/>
      <c r="AA152" s="255"/>
      <c r="AB152" s="255"/>
      <c r="AC152" s="255"/>
      <c r="AD152" s="255"/>
      <c r="AE152" s="1027"/>
      <c r="AF152" s="1027"/>
      <c r="AG152" s="1027"/>
    </row>
    <row r="153" spans="1:33" x14ac:dyDescent="0.25">
      <c r="A153" s="1015" t="s">
        <v>531</v>
      </c>
      <c r="B153" s="1016" t="s">
        <v>532</v>
      </c>
      <c r="C153" s="244"/>
      <c r="D153" s="244"/>
      <c r="E153" s="1029"/>
      <c r="F153" s="256"/>
      <c r="G153" s="256"/>
      <c r="H153" s="256"/>
      <c r="I153" s="256"/>
      <c r="J153" s="256"/>
      <c r="K153" s="256"/>
      <c r="L153" s="256"/>
      <c r="M153" s="256"/>
      <c r="N153" s="256"/>
      <c r="O153" s="256"/>
      <c r="P153" s="256"/>
      <c r="Q153" s="256"/>
      <c r="R153" s="256"/>
      <c r="S153" s="256"/>
      <c r="T153" s="246"/>
      <c r="U153" s="255"/>
      <c r="V153" s="255"/>
      <c r="W153" s="255"/>
      <c r="X153" s="255"/>
      <c r="Y153" s="255"/>
      <c r="Z153" s="255"/>
      <c r="AA153" s="255"/>
      <c r="AB153" s="255"/>
      <c r="AC153" s="255"/>
      <c r="AD153" s="255"/>
      <c r="AE153" s="1027"/>
      <c r="AF153" s="1027"/>
      <c r="AG153" s="1027"/>
    </row>
    <row r="154" spans="1:33" x14ac:dyDescent="0.25">
      <c r="A154" s="1015" t="s">
        <v>531</v>
      </c>
      <c r="B154" s="1016" t="s">
        <v>533</v>
      </c>
      <c r="C154" s="244"/>
      <c r="D154" s="244"/>
      <c r="E154" s="1029"/>
      <c r="F154" s="256"/>
      <c r="G154" s="256"/>
      <c r="H154" s="256"/>
      <c r="I154" s="256"/>
      <c r="J154" s="256"/>
      <c r="K154" s="256"/>
      <c r="L154" s="256"/>
      <c r="M154" s="256"/>
      <c r="N154" s="256"/>
      <c r="O154" s="256"/>
      <c r="P154" s="256"/>
      <c r="Q154" s="256"/>
      <c r="R154" s="256"/>
      <c r="S154" s="256"/>
      <c r="T154" s="256"/>
      <c r="U154" s="246"/>
      <c r="V154" s="255"/>
      <c r="W154" s="255"/>
      <c r="X154" s="255"/>
      <c r="Y154" s="255"/>
      <c r="Z154" s="255"/>
      <c r="AA154" s="255"/>
      <c r="AB154" s="255"/>
      <c r="AC154" s="255"/>
      <c r="AD154" s="255"/>
      <c r="AE154" s="1027"/>
      <c r="AF154" s="1027"/>
      <c r="AG154" s="1027"/>
    </row>
    <row r="155" spans="1:33" x14ac:dyDescent="0.25">
      <c r="A155" s="1015" t="s">
        <v>531</v>
      </c>
      <c r="B155" s="1016" t="s">
        <v>534</v>
      </c>
      <c r="C155" s="244"/>
      <c r="D155" s="244"/>
      <c r="E155" s="1029"/>
      <c r="F155" s="256"/>
      <c r="G155" s="256"/>
      <c r="H155" s="256"/>
      <c r="I155" s="256"/>
      <c r="J155" s="256"/>
      <c r="K155" s="256"/>
      <c r="L155" s="256"/>
      <c r="M155" s="256"/>
      <c r="N155" s="256"/>
      <c r="O155" s="256"/>
      <c r="P155" s="256"/>
      <c r="Q155" s="256"/>
      <c r="R155" s="256"/>
      <c r="S155" s="256"/>
      <c r="T155" s="256"/>
      <c r="U155" s="256"/>
      <c r="V155" s="246"/>
      <c r="W155" s="255"/>
      <c r="X155" s="255"/>
      <c r="Y155" s="255"/>
      <c r="Z155" s="255"/>
      <c r="AA155" s="255"/>
      <c r="AB155" s="255"/>
      <c r="AC155" s="255"/>
      <c r="AD155" s="255"/>
      <c r="AE155" s="1027"/>
      <c r="AF155" s="1027"/>
      <c r="AG155" s="1027"/>
    </row>
    <row r="156" spans="1:33" x14ac:dyDescent="0.25">
      <c r="A156" s="1015" t="s">
        <v>531</v>
      </c>
      <c r="B156" s="1016" t="s">
        <v>544</v>
      </c>
      <c r="C156" s="244"/>
      <c r="D156" s="244"/>
      <c r="E156" s="1029"/>
      <c r="F156" s="256"/>
      <c r="G156" s="256"/>
      <c r="H156" s="256"/>
      <c r="I156" s="256"/>
      <c r="J156" s="256"/>
      <c r="K156" s="256"/>
      <c r="L156" s="256"/>
      <c r="M156" s="256"/>
      <c r="N156" s="256"/>
      <c r="O156" s="256"/>
      <c r="P156" s="256"/>
      <c r="Q156" s="256"/>
      <c r="R156" s="256"/>
      <c r="S156" s="256"/>
      <c r="T156" s="256"/>
      <c r="U156" s="256"/>
      <c r="V156" s="256"/>
      <c r="W156" s="246"/>
      <c r="X156" s="255"/>
      <c r="Y156" s="255"/>
      <c r="Z156" s="255"/>
      <c r="AA156" s="255"/>
      <c r="AB156" s="255"/>
      <c r="AC156" s="255"/>
      <c r="AD156" s="255"/>
      <c r="AE156" s="1027"/>
      <c r="AF156" s="1027"/>
      <c r="AG156" s="1027"/>
    </row>
    <row r="157" spans="1:33" x14ac:dyDescent="0.25">
      <c r="A157" s="1015" t="s">
        <v>531</v>
      </c>
      <c r="B157" s="1016" t="s">
        <v>545</v>
      </c>
      <c r="C157" s="244"/>
      <c r="D157" s="244"/>
      <c r="E157" s="1029"/>
      <c r="F157" s="256"/>
      <c r="G157" s="256"/>
      <c r="H157" s="256"/>
      <c r="I157" s="256"/>
      <c r="J157" s="256"/>
      <c r="K157" s="256"/>
      <c r="L157" s="256"/>
      <c r="M157" s="256"/>
      <c r="N157" s="256"/>
      <c r="O157" s="256"/>
      <c r="P157" s="256"/>
      <c r="Q157" s="256"/>
      <c r="R157" s="256"/>
      <c r="S157" s="256"/>
      <c r="T157" s="256"/>
      <c r="U157" s="256"/>
      <c r="V157" s="256"/>
      <c r="W157" s="256"/>
      <c r="X157" s="246"/>
      <c r="Y157" s="255"/>
      <c r="Z157" s="255"/>
      <c r="AA157" s="255"/>
      <c r="AB157" s="255"/>
      <c r="AC157" s="255"/>
      <c r="AD157" s="255"/>
      <c r="AE157" s="1027"/>
      <c r="AF157" s="1027"/>
      <c r="AG157" s="1027"/>
    </row>
    <row r="158" spans="1:33" x14ac:dyDescent="0.25">
      <c r="A158" s="1015" t="s">
        <v>531</v>
      </c>
      <c r="B158" s="1016" t="s">
        <v>546</v>
      </c>
      <c r="C158" s="244"/>
      <c r="D158" s="244"/>
      <c r="E158" s="1029"/>
      <c r="F158" s="256"/>
      <c r="G158" s="256"/>
      <c r="H158" s="256"/>
      <c r="I158" s="256"/>
      <c r="J158" s="256"/>
      <c r="K158" s="256"/>
      <c r="L158" s="256"/>
      <c r="M158" s="256"/>
      <c r="N158" s="256"/>
      <c r="O158" s="256"/>
      <c r="P158" s="256"/>
      <c r="Q158" s="256"/>
      <c r="R158" s="256"/>
      <c r="S158" s="256"/>
      <c r="T158" s="256"/>
      <c r="U158" s="256"/>
      <c r="V158" s="256"/>
      <c r="W158" s="256"/>
      <c r="X158" s="256"/>
      <c r="Y158" s="246"/>
      <c r="Z158" s="255"/>
      <c r="AA158" s="255"/>
      <c r="AB158" s="255"/>
      <c r="AC158" s="255"/>
      <c r="AD158" s="255"/>
      <c r="AE158" s="1027"/>
      <c r="AF158" s="1027"/>
      <c r="AG158" s="1027"/>
    </row>
    <row r="159" spans="1:33" x14ac:dyDescent="0.25">
      <c r="A159" s="1015" t="s">
        <v>531</v>
      </c>
      <c r="B159" s="1016" t="s">
        <v>1428</v>
      </c>
      <c r="C159" s="244"/>
      <c r="D159" s="244"/>
      <c r="E159" s="1029"/>
      <c r="F159" s="256"/>
      <c r="G159" s="256"/>
      <c r="H159" s="256"/>
      <c r="I159" s="256"/>
      <c r="J159" s="256"/>
      <c r="K159" s="256"/>
      <c r="L159" s="256"/>
      <c r="M159" s="256"/>
      <c r="N159" s="256"/>
      <c r="O159" s="256"/>
      <c r="P159" s="256"/>
      <c r="Q159" s="256"/>
      <c r="R159" s="256"/>
      <c r="S159" s="256"/>
      <c r="T159" s="256"/>
      <c r="U159" s="256"/>
      <c r="V159" s="256"/>
      <c r="W159" s="256"/>
      <c r="X159" s="256"/>
      <c r="Y159" s="256"/>
      <c r="Z159" s="246"/>
      <c r="AA159" s="255"/>
      <c r="AB159" s="255"/>
      <c r="AC159" s="255"/>
      <c r="AD159" s="255"/>
      <c r="AE159" s="244"/>
      <c r="AF159" s="244"/>
      <c r="AG159" s="1027"/>
    </row>
    <row r="160" spans="1:33" x14ac:dyDescent="0.25">
      <c r="A160" s="1015" t="s">
        <v>531</v>
      </c>
      <c r="B160" s="1016" t="s">
        <v>1429</v>
      </c>
      <c r="C160" s="244"/>
      <c r="D160" s="244"/>
      <c r="E160" s="1029"/>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46"/>
      <c r="AB160" s="255"/>
      <c r="AC160" s="255"/>
      <c r="AD160" s="255"/>
      <c r="AE160" s="244"/>
      <c r="AF160" s="244"/>
      <c r="AG160" s="1027"/>
    </row>
    <row r="161" spans="1:33" x14ac:dyDescent="0.25">
      <c r="A161" s="1015" t="s">
        <v>531</v>
      </c>
      <c r="B161" s="1016" t="s">
        <v>1430</v>
      </c>
      <c r="C161" s="244"/>
      <c r="D161" s="244"/>
      <c r="E161" s="1029"/>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46"/>
      <c r="AC161" s="255"/>
      <c r="AD161" s="255"/>
      <c r="AE161" s="244"/>
      <c r="AF161" s="244"/>
      <c r="AG161" s="1027"/>
    </row>
    <row r="162" spans="1:33" x14ac:dyDescent="0.25">
      <c r="A162" s="1015" t="s">
        <v>531</v>
      </c>
      <c r="B162" s="1016" t="s">
        <v>1431</v>
      </c>
      <c r="C162" s="244"/>
      <c r="D162" s="244"/>
      <c r="E162" s="1029"/>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46"/>
      <c r="AD162" s="255"/>
      <c r="AE162" s="244"/>
      <c r="AF162" s="244"/>
      <c r="AG162" s="1027"/>
    </row>
    <row r="163" spans="1:33" x14ac:dyDescent="0.25">
      <c r="A163" s="1015" t="s">
        <v>531</v>
      </c>
      <c r="B163" s="1016" t="s">
        <v>1432</v>
      </c>
      <c r="C163" s="244"/>
      <c r="D163" s="244"/>
      <c r="E163" s="1029"/>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46"/>
      <c r="AE163" s="244"/>
      <c r="AF163" s="244"/>
      <c r="AG163" s="1027"/>
    </row>
    <row r="164" spans="1:33" ht="13" x14ac:dyDescent="0.3">
      <c r="A164" s="1019"/>
      <c r="B164" s="1020" t="s">
        <v>270</v>
      </c>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row>
    <row r="165" spans="1:33" x14ac:dyDescent="0.25">
      <c r="C165" s="1031"/>
    </row>
    <row r="168" spans="1:33" ht="13" x14ac:dyDescent="0.3">
      <c r="B168" s="1010" t="s">
        <v>541</v>
      </c>
      <c r="F168" s="1011" t="s">
        <v>10</v>
      </c>
    </row>
    <row r="169" spans="1:33" ht="26.15" customHeight="1" x14ac:dyDescent="0.35">
      <c r="A169" s="1012"/>
      <c r="B169" s="1025" t="s">
        <v>412</v>
      </c>
      <c r="C169" s="2007" t="s">
        <v>513</v>
      </c>
      <c r="D169" s="2007" t="s">
        <v>514</v>
      </c>
      <c r="E169" s="2007" t="s">
        <v>584</v>
      </c>
      <c r="F169" s="2009" t="s">
        <v>585</v>
      </c>
      <c r="G169" s="2010"/>
      <c r="H169" s="2010"/>
      <c r="I169" s="2010"/>
      <c r="J169" s="2010"/>
      <c r="K169" s="2010"/>
      <c r="L169" s="2010"/>
      <c r="M169" s="2010"/>
      <c r="N169" s="2010"/>
      <c r="O169" s="2010"/>
      <c r="P169" s="2010"/>
      <c r="Q169" s="2010"/>
      <c r="R169" s="2010"/>
      <c r="S169" s="2010"/>
      <c r="T169" s="2010"/>
      <c r="U169" s="2010"/>
      <c r="V169" s="2010"/>
      <c r="W169" s="2010"/>
      <c r="X169" s="2010"/>
      <c r="Y169" s="2010"/>
      <c r="Z169" s="2010"/>
      <c r="AA169" s="2010"/>
      <c r="AB169" s="2010"/>
      <c r="AC169" s="2010"/>
      <c r="AD169" s="2011"/>
      <c r="AE169" s="1013" t="s">
        <v>536</v>
      </c>
      <c r="AF169" s="1013" t="s">
        <v>529</v>
      </c>
      <c r="AG169" s="1013" t="s">
        <v>537</v>
      </c>
    </row>
    <row r="170" spans="1:33" ht="12.9" customHeight="1" x14ac:dyDescent="0.25">
      <c r="A170" s="1012"/>
      <c r="B170" s="1025"/>
      <c r="C170" s="2008"/>
      <c r="D170" s="2008"/>
      <c r="E170" s="2008"/>
      <c r="F170" s="1014" t="s">
        <v>515</v>
      </c>
      <c r="G170" s="1014" t="s">
        <v>516</v>
      </c>
      <c r="H170" s="1014" t="s">
        <v>517</v>
      </c>
      <c r="I170" s="1014" t="s">
        <v>518</v>
      </c>
      <c r="J170" s="1014" t="s">
        <v>519</v>
      </c>
      <c r="K170" s="1014" t="s">
        <v>520</v>
      </c>
      <c r="L170" s="1014" t="s">
        <v>521</v>
      </c>
      <c r="M170" s="1014" t="s">
        <v>522</v>
      </c>
      <c r="N170" s="1014" t="s">
        <v>523</v>
      </c>
      <c r="O170" s="1014" t="s">
        <v>524</v>
      </c>
      <c r="P170" s="1014" t="s">
        <v>525</v>
      </c>
      <c r="Q170" s="1014" t="s">
        <v>526</v>
      </c>
      <c r="R170" s="1014" t="s">
        <v>527</v>
      </c>
      <c r="S170" s="1014" t="s">
        <v>528</v>
      </c>
      <c r="T170" s="1014" t="s">
        <v>324</v>
      </c>
      <c r="U170" s="1014" t="s">
        <v>504</v>
      </c>
      <c r="V170" s="1014" t="s">
        <v>505</v>
      </c>
      <c r="W170" s="1014" t="s">
        <v>506</v>
      </c>
      <c r="X170" s="1014" t="s">
        <v>507</v>
      </c>
      <c r="Y170" s="1014" t="s">
        <v>508</v>
      </c>
      <c r="Z170" s="1014" t="s">
        <v>968</v>
      </c>
      <c r="AA170" s="1014" t="s">
        <v>969</v>
      </c>
      <c r="AB170" s="1014" t="s">
        <v>970</v>
      </c>
      <c r="AC170" s="1014" t="s">
        <v>971</v>
      </c>
      <c r="AD170" s="1014" t="s">
        <v>972</v>
      </c>
      <c r="AE170" s="1013"/>
      <c r="AF170" s="1013"/>
      <c r="AG170" s="1013"/>
    </row>
    <row r="171" spans="1:33" x14ac:dyDescent="0.25">
      <c r="A171" s="1015" t="s">
        <v>530</v>
      </c>
      <c r="B171" s="1016">
        <v>2005</v>
      </c>
      <c r="C171" s="1015"/>
      <c r="D171" s="1015"/>
      <c r="E171" s="1026"/>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1027"/>
      <c r="AF171" s="1027"/>
      <c r="AG171" s="1027"/>
    </row>
    <row r="172" spans="1:33" x14ac:dyDescent="0.25">
      <c r="A172" s="1015" t="s">
        <v>531</v>
      </c>
      <c r="B172" s="1016" t="s">
        <v>515</v>
      </c>
      <c r="C172" s="1015"/>
      <c r="D172" s="1015"/>
      <c r="E172" s="1026"/>
      <c r="F172" s="246"/>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1027"/>
      <c r="AF172" s="1027"/>
      <c r="AG172" s="1027"/>
    </row>
    <row r="173" spans="1:33" x14ac:dyDescent="0.25">
      <c r="A173" s="1015" t="s">
        <v>531</v>
      </c>
      <c r="B173" s="1016" t="s">
        <v>516</v>
      </c>
      <c r="C173" s="1015"/>
      <c r="D173" s="1015"/>
      <c r="E173" s="1026"/>
      <c r="F173" s="256"/>
      <c r="G173" s="246"/>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1027"/>
      <c r="AF173" s="1027"/>
      <c r="AG173" s="1027"/>
    </row>
    <row r="174" spans="1:33" x14ac:dyDescent="0.25">
      <c r="A174" s="1015" t="s">
        <v>531</v>
      </c>
      <c r="B174" s="1016" t="s">
        <v>517</v>
      </c>
      <c r="C174" s="1015"/>
      <c r="D174" s="1015"/>
      <c r="E174" s="1026"/>
      <c r="F174" s="256"/>
      <c r="G174" s="256"/>
      <c r="H174" s="246"/>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1027"/>
      <c r="AF174" s="1027"/>
      <c r="AG174" s="1027"/>
    </row>
    <row r="175" spans="1:33" x14ac:dyDescent="0.25">
      <c r="A175" s="1015" t="s">
        <v>531</v>
      </c>
      <c r="B175" s="1016" t="s">
        <v>518</v>
      </c>
      <c r="C175" s="1015"/>
      <c r="D175" s="1015"/>
      <c r="E175" s="1026"/>
      <c r="F175" s="256"/>
      <c r="G175" s="256"/>
      <c r="H175" s="256"/>
      <c r="I175" s="246"/>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1027"/>
      <c r="AF175" s="1027"/>
      <c r="AG175" s="1027"/>
    </row>
    <row r="176" spans="1:33" x14ac:dyDescent="0.25">
      <c r="A176" s="1015" t="s">
        <v>531</v>
      </c>
      <c r="B176" s="1016" t="s">
        <v>519</v>
      </c>
      <c r="C176" s="1015"/>
      <c r="D176" s="1015"/>
      <c r="E176" s="1026"/>
      <c r="F176" s="256"/>
      <c r="G176" s="256"/>
      <c r="H176" s="256"/>
      <c r="I176" s="256"/>
      <c r="J176" s="246"/>
      <c r="K176" s="255"/>
      <c r="L176" s="255"/>
      <c r="M176" s="255"/>
      <c r="N176" s="255"/>
      <c r="O176" s="255"/>
      <c r="P176" s="255"/>
      <c r="Q176" s="255"/>
      <c r="R176" s="255"/>
      <c r="S176" s="255"/>
      <c r="T176" s="255"/>
      <c r="U176" s="255"/>
      <c r="V176" s="255"/>
      <c r="W176" s="255"/>
      <c r="X176" s="255"/>
      <c r="Y176" s="255"/>
      <c r="Z176" s="255"/>
      <c r="AA176" s="255"/>
      <c r="AB176" s="255"/>
      <c r="AC176" s="255"/>
      <c r="AD176" s="255"/>
      <c r="AE176" s="1027"/>
      <c r="AF176" s="1027"/>
      <c r="AG176" s="1027"/>
    </row>
    <row r="177" spans="1:33" x14ac:dyDescent="0.25">
      <c r="A177" s="1015" t="s">
        <v>531</v>
      </c>
      <c r="B177" s="1016" t="s">
        <v>520</v>
      </c>
      <c r="C177" s="1015"/>
      <c r="D177" s="1015"/>
      <c r="E177" s="1026"/>
      <c r="F177" s="256"/>
      <c r="G177" s="256"/>
      <c r="H177" s="256"/>
      <c r="I177" s="256"/>
      <c r="J177" s="256"/>
      <c r="K177" s="246"/>
      <c r="L177" s="255"/>
      <c r="M177" s="255"/>
      <c r="N177" s="255"/>
      <c r="O177" s="255"/>
      <c r="P177" s="255"/>
      <c r="Q177" s="255"/>
      <c r="R177" s="255"/>
      <c r="S177" s="255"/>
      <c r="T177" s="255"/>
      <c r="U177" s="255"/>
      <c r="V177" s="255"/>
      <c r="W177" s="255"/>
      <c r="X177" s="255"/>
      <c r="Y177" s="255"/>
      <c r="Z177" s="255"/>
      <c r="AA177" s="255"/>
      <c r="AB177" s="255"/>
      <c r="AC177" s="255"/>
      <c r="AD177" s="255"/>
      <c r="AE177" s="1027"/>
      <c r="AF177" s="1027"/>
      <c r="AG177" s="1027"/>
    </row>
    <row r="178" spans="1:33" x14ac:dyDescent="0.25">
      <c r="A178" s="1015" t="s">
        <v>531</v>
      </c>
      <c r="B178" s="1016" t="s">
        <v>521</v>
      </c>
      <c r="C178" s="1015"/>
      <c r="D178" s="1015"/>
      <c r="E178" s="1026"/>
      <c r="F178" s="256"/>
      <c r="G178" s="256"/>
      <c r="H178" s="256"/>
      <c r="I178" s="256"/>
      <c r="J178" s="256"/>
      <c r="K178" s="256"/>
      <c r="L178" s="246"/>
      <c r="M178" s="255"/>
      <c r="N178" s="255"/>
      <c r="O178" s="255"/>
      <c r="P178" s="255"/>
      <c r="Q178" s="255"/>
      <c r="R178" s="255"/>
      <c r="S178" s="255"/>
      <c r="T178" s="255"/>
      <c r="U178" s="255"/>
      <c r="V178" s="255"/>
      <c r="W178" s="255"/>
      <c r="X178" s="255"/>
      <c r="Y178" s="255"/>
      <c r="Z178" s="255"/>
      <c r="AA178" s="255"/>
      <c r="AB178" s="255"/>
      <c r="AC178" s="255"/>
      <c r="AD178" s="255"/>
      <c r="AE178" s="1027"/>
      <c r="AF178" s="1027"/>
      <c r="AG178" s="1027"/>
    </row>
    <row r="179" spans="1:33" x14ac:dyDescent="0.25">
      <c r="A179" s="1015" t="s">
        <v>531</v>
      </c>
      <c r="B179" s="1016" t="s">
        <v>522</v>
      </c>
      <c r="C179" s="1015"/>
      <c r="D179" s="1015"/>
      <c r="E179" s="1026"/>
      <c r="F179" s="256"/>
      <c r="G179" s="256"/>
      <c r="H179" s="256"/>
      <c r="I179" s="256"/>
      <c r="J179" s="256"/>
      <c r="K179" s="256"/>
      <c r="L179" s="256"/>
      <c r="M179" s="246"/>
      <c r="N179" s="255"/>
      <c r="O179" s="255"/>
      <c r="P179" s="255"/>
      <c r="Q179" s="255"/>
      <c r="R179" s="255"/>
      <c r="S179" s="255"/>
      <c r="T179" s="255"/>
      <c r="U179" s="255"/>
      <c r="V179" s="255"/>
      <c r="W179" s="255"/>
      <c r="X179" s="255"/>
      <c r="Y179" s="255"/>
      <c r="Z179" s="255"/>
      <c r="AA179" s="255"/>
      <c r="AB179" s="255"/>
      <c r="AC179" s="255"/>
      <c r="AD179" s="255"/>
      <c r="AE179" s="1027"/>
      <c r="AF179" s="1027"/>
      <c r="AG179" s="1027"/>
    </row>
    <row r="180" spans="1:33" x14ac:dyDescent="0.25">
      <c r="A180" s="1015" t="s">
        <v>531</v>
      </c>
      <c r="B180" s="1016" t="s">
        <v>523</v>
      </c>
      <c r="C180" s="1015"/>
      <c r="D180" s="1015"/>
      <c r="E180" s="1026"/>
      <c r="F180" s="256"/>
      <c r="G180" s="256"/>
      <c r="H180" s="256"/>
      <c r="I180" s="256"/>
      <c r="J180" s="256"/>
      <c r="K180" s="256"/>
      <c r="L180" s="256"/>
      <c r="M180" s="256"/>
      <c r="N180" s="246"/>
      <c r="O180" s="255"/>
      <c r="P180" s="255"/>
      <c r="Q180" s="255"/>
      <c r="R180" s="255"/>
      <c r="S180" s="255"/>
      <c r="T180" s="255"/>
      <c r="U180" s="255"/>
      <c r="V180" s="255"/>
      <c r="W180" s="255"/>
      <c r="X180" s="255"/>
      <c r="Y180" s="255"/>
      <c r="Z180" s="255"/>
      <c r="AA180" s="255"/>
      <c r="AB180" s="255"/>
      <c r="AC180" s="255"/>
      <c r="AD180" s="255"/>
      <c r="AE180" s="1027"/>
      <c r="AF180" s="1027"/>
      <c r="AG180" s="1027"/>
    </row>
    <row r="181" spans="1:33" x14ac:dyDescent="0.25">
      <c r="A181" s="1015" t="s">
        <v>531</v>
      </c>
      <c r="B181" s="1016" t="s">
        <v>524</v>
      </c>
      <c r="C181" s="244"/>
      <c r="D181" s="1015"/>
      <c r="E181" s="1026"/>
      <c r="F181" s="256"/>
      <c r="G181" s="256"/>
      <c r="H181" s="256"/>
      <c r="I181" s="256"/>
      <c r="J181" s="256"/>
      <c r="K181" s="256"/>
      <c r="L181" s="256"/>
      <c r="M181" s="256"/>
      <c r="N181" s="256"/>
      <c r="O181" s="246"/>
      <c r="P181" s="255"/>
      <c r="Q181" s="255"/>
      <c r="R181" s="255"/>
      <c r="S181" s="255"/>
      <c r="T181" s="255"/>
      <c r="U181" s="255"/>
      <c r="V181" s="255"/>
      <c r="W181" s="255"/>
      <c r="X181" s="255"/>
      <c r="Y181" s="255"/>
      <c r="Z181" s="255"/>
      <c r="AA181" s="255"/>
      <c r="AB181" s="255"/>
      <c r="AC181" s="255"/>
      <c r="AD181" s="255"/>
      <c r="AE181" s="1027"/>
      <c r="AF181" s="1027"/>
      <c r="AG181" s="1027"/>
    </row>
    <row r="182" spans="1:33" x14ac:dyDescent="0.25">
      <c r="A182" s="1015" t="s">
        <v>531</v>
      </c>
      <c r="B182" s="1016" t="s">
        <v>525</v>
      </c>
      <c r="C182" s="244"/>
      <c r="D182" s="1015"/>
      <c r="E182" s="1026"/>
      <c r="F182" s="256"/>
      <c r="G182" s="256"/>
      <c r="H182" s="256"/>
      <c r="I182" s="256"/>
      <c r="J182" s="256"/>
      <c r="K182" s="256"/>
      <c r="L182" s="256"/>
      <c r="M182" s="256"/>
      <c r="N182" s="256"/>
      <c r="O182" s="256"/>
      <c r="P182" s="246"/>
      <c r="Q182" s="255"/>
      <c r="R182" s="255"/>
      <c r="S182" s="255"/>
      <c r="T182" s="255"/>
      <c r="U182" s="255"/>
      <c r="V182" s="255"/>
      <c r="W182" s="255"/>
      <c r="X182" s="255"/>
      <c r="Y182" s="255"/>
      <c r="Z182" s="255"/>
      <c r="AA182" s="255"/>
      <c r="AB182" s="255"/>
      <c r="AC182" s="255"/>
      <c r="AD182" s="255"/>
      <c r="AE182" s="1027"/>
      <c r="AF182" s="1027"/>
      <c r="AG182" s="1027"/>
    </row>
    <row r="183" spans="1:33" x14ac:dyDescent="0.25">
      <c r="A183" s="1015" t="s">
        <v>531</v>
      </c>
      <c r="B183" s="1016" t="s">
        <v>526</v>
      </c>
      <c r="C183" s="244"/>
      <c r="D183" s="244"/>
      <c r="E183" s="1026"/>
      <c r="F183" s="256"/>
      <c r="G183" s="256"/>
      <c r="H183" s="256"/>
      <c r="I183" s="256"/>
      <c r="J183" s="256"/>
      <c r="K183" s="256"/>
      <c r="L183" s="256"/>
      <c r="M183" s="256"/>
      <c r="N183" s="256"/>
      <c r="O183" s="256"/>
      <c r="P183" s="256"/>
      <c r="Q183" s="246"/>
      <c r="R183" s="255"/>
      <c r="S183" s="255"/>
      <c r="T183" s="255"/>
      <c r="U183" s="255"/>
      <c r="V183" s="255"/>
      <c r="W183" s="255"/>
      <c r="X183" s="255"/>
      <c r="Y183" s="255"/>
      <c r="Z183" s="255"/>
      <c r="AA183" s="255"/>
      <c r="AB183" s="255"/>
      <c r="AC183" s="255"/>
      <c r="AD183" s="255"/>
      <c r="AE183" s="1027"/>
      <c r="AF183" s="1027"/>
      <c r="AG183" s="1027"/>
    </row>
    <row r="184" spans="1:33" x14ac:dyDescent="0.25">
      <c r="A184" s="1015" t="s">
        <v>531</v>
      </c>
      <c r="B184" s="1016" t="s">
        <v>527</v>
      </c>
      <c r="C184" s="244"/>
      <c r="D184" s="244"/>
      <c r="E184" s="1026"/>
      <c r="F184" s="256"/>
      <c r="G184" s="256"/>
      <c r="H184" s="256"/>
      <c r="I184" s="256"/>
      <c r="J184" s="256"/>
      <c r="K184" s="256"/>
      <c r="L184" s="256"/>
      <c r="M184" s="256"/>
      <c r="N184" s="256"/>
      <c r="O184" s="256"/>
      <c r="P184" s="256"/>
      <c r="Q184" s="256"/>
      <c r="R184" s="246"/>
      <c r="S184" s="255"/>
      <c r="T184" s="255"/>
      <c r="U184" s="255"/>
      <c r="V184" s="255"/>
      <c r="W184" s="255"/>
      <c r="X184" s="255"/>
      <c r="Y184" s="255"/>
      <c r="Z184" s="255"/>
      <c r="AA184" s="255"/>
      <c r="AB184" s="255"/>
      <c r="AC184" s="255"/>
      <c r="AD184" s="255"/>
      <c r="AE184" s="1027"/>
      <c r="AF184" s="1027"/>
      <c r="AG184" s="1027"/>
    </row>
    <row r="185" spans="1:33" x14ac:dyDescent="0.25">
      <c r="A185" s="1015" t="s">
        <v>531</v>
      </c>
      <c r="B185" s="1016" t="s">
        <v>528</v>
      </c>
      <c r="C185" s="244"/>
      <c r="D185" s="244"/>
      <c r="E185" s="1026"/>
      <c r="F185" s="256"/>
      <c r="G185" s="256"/>
      <c r="H185" s="256"/>
      <c r="I185" s="256"/>
      <c r="J185" s="256"/>
      <c r="K185" s="256"/>
      <c r="L185" s="256"/>
      <c r="M185" s="256"/>
      <c r="N185" s="256"/>
      <c r="O185" s="256"/>
      <c r="P185" s="256"/>
      <c r="Q185" s="256"/>
      <c r="R185" s="256"/>
      <c r="S185" s="246"/>
      <c r="T185" s="255"/>
      <c r="U185" s="255"/>
      <c r="V185" s="255"/>
      <c r="W185" s="255"/>
      <c r="X185" s="255"/>
      <c r="Y185" s="255"/>
      <c r="Z185" s="255"/>
      <c r="AA185" s="255"/>
      <c r="AB185" s="255"/>
      <c r="AC185" s="255"/>
      <c r="AD185" s="255"/>
      <c r="AE185" s="1027"/>
      <c r="AF185" s="1027"/>
      <c r="AG185" s="1027"/>
    </row>
    <row r="186" spans="1:33" x14ac:dyDescent="0.25">
      <c r="A186" s="1015" t="s">
        <v>531</v>
      </c>
      <c r="B186" s="1016" t="s">
        <v>532</v>
      </c>
      <c r="C186" s="1028"/>
      <c r="D186" s="244"/>
      <c r="E186" s="1026"/>
      <c r="F186" s="256"/>
      <c r="G186" s="256"/>
      <c r="H186" s="256"/>
      <c r="I186" s="256"/>
      <c r="J186" s="256"/>
      <c r="K186" s="256"/>
      <c r="L186" s="256"/>
      <c r="M186" s="256"/>
      <c r="N186" s="256"/>
      <c r="O186" s="256"/>
      <c r="P186" s="256"/>
      <c r="Q186" s="256"/>
      <c r="R186" s="256"/>
      <c r="S186" s="256"/>
      <c r="T186" s="246"/>
      <c r="U186" s="255"/>
      <c r="V186" s="255"/>
      <c r="W186" s="255"/>
      <c r="X186" s="255"/>
      <c r="Y186" s="255"/>
      <c r="Z186" s="255"/>
      <c r="AA186" s="255"/>
      <c r="AB186" s="255"/>
      <c r="AC186" s="255"/>
      <c r="AD186" s="255"/>
      <c r="AE186" s="1027"/>
      <c r="AF186" s="1027"/>
      <c r="AG186" s="1027"/>
    </row>
    <row r="187" spans="1:33" x14ac:dyDescent="0.25">
      <c r="A187" s="1015" t="s">
        <v>531</v>
      </c>
      <c r="B187" s="1016" t="s">
        <v>533</v>
      </c>
      <c r="C187" s="244"/>
      <c r="D187" s="244"/>
      <c r="E187" s="1026"/>
      <c r="F187" s="256"/>
      <c r="G187" s="256"/>
      <c r="H187" s="256"/>
      <c r="I187" s="256"/>
      <c r="J187" s="256"/>
      <c r="K187" s="256"/>
      <c r="L187" s="256"/>
      <c r="M187" s="256"/>
      <c r="N187" s="256"/>
      <c r="O187" s="256"/>
      <c r="P187" s="256"/>
      <c r="Q187" s="256"/>
      <c r="R187" s="256"/>
      <c r="S187" s="256"/>
      <c r="T187" s="256"/>
      <c r="U187" s="246"/>
      <c r="V187" s="255"/>
      <c r="W187" s="255"/>
      <c r="X187" s="255"/>
      <c r="Y187" s="255"/>
      <c r="Z187" s="255"/>
      <c r="AA187" s="255"/>
      <c r="AB187" s="255"/>
      <c r="AC187" s="255"/>
      <c r="AD187" s="255"/>
      <c r="AE187" s="1027"/>
      <c r="AF187" s="1027"/>
      <c r="AG187" s="1027"/>
    </row>
    <row r="188" spans="1:33" x14ac:dyDescent="0.25">
      <c r="A188" s="1015" t="s">
        <v>531</v>
      </c>
      <c r="B188" s="1016" t="s">
        <v>534</v>
      </c>
      <c r="C188" s="244"/>
      <c r="D188" s="244"/>
      <c r="E188" s="1026"/>
      <c r="F188" s="256"/>
      <c r="G188" s="256"/>
      <c r="H188" s="256"/>
      <c r="I188" s="256"/>
      <c r="J188" s="256"/>
      <c r="K188" s="256"/>
      <c r="L188" s="256"/>
      <c r="M188" s="256"/>
      <c r="N188" s="256"/>
      <c r="O188" s="256"/>
      <c r="P188" s="256"/>
      <c r="Q188" s="256"/>
      <c r="R188" s="256"/>
      <c r="S188" s="256"/>
      <c r="T188" s="256"/>
      <c r="U188" s="256"/>
      <c r="V188" s="246"/>
      <c r="W188" s="255"/>
      <c r="X188" s="255"/>
      <c r="Y188" s="255"/>
      <c r="Z188" s="255"/>
      <c r="AA188" s="255"/>
      <c r="AB188" s="255"/>
      <c r="AC188" s="255"/>
      <c r="AD188" s="255"/>
      <c r="AE188" s="1027"/>
      <c r="AF188" s="1027"/>
      <c r="AG188" s="1027"/>
    </row>
    <row r="189" spans="1:33" x14ac:dyDescent="0.25">
      <c r="A189" s="1015" t="s">
        <v>531</v>
      </c>
      <c r="B189" s="1016" t="s">
        <v>544</v>
      </c>
      <c r="C189" s="244"/>
      <c r="D189" s="244"/>
      <c r="E189" s="1026"/>
      <c r="F189" s="256"/>
      <c r="G189" s="256"/>
      <c r="H189" s="256"/>
      <c r="I189" s="256"/>
      <c r="J189" s="256"/>
      <c r="K189" s="256"/>
      <c r="L189" s="256"/>
      <c r="M189" s="256"/>
      <c r="N189" s="256"/>
      <c r="O189" s="256"/>
      <c r="P189" s="256"/>
      <c r="Q189" s="256"/>
      <c r="R189" s="256"/>
      <c r="S189" s="256"/>
      <c r="T189" s="256"/>
      <c r="U189" s="256"/>
      <c r="V189" s="256"/>
      <c r="W189" s="246"/>
      <c r="X189" s="255"/>
      <c r="Y189" s="255"/>
      <c r="Z189" s="255"/>
      <c r="AA189" s="255"/>
      <c r="AB189" s="255"/>
      <c r="AC189" s="255"/>
      <c r="AD189" s="255"/>
      <c r="AE189" s="1027"/>
      <c r="AF189" s="1027"/>
      <c r="AG189" s="1027"/>
    </row>
    <row r="190" spans="1:33" x14ac:dyDescent="0.25">
      <c r="A190" s="1015" t="s">
        <v>531</v>
      </c>
      <c r="B190" s="1016" t="s">
        <v>545</v>
      </c>
      <c r="C190" s="244"/>
      <c r="D190" s="244"/>
      <c r="E190" s="1026"/>
      <c r="F190" s="256"/>
      <c r="G190" s="256"/>
      <c r="H190" s="256"/>
      <c r="I190" s="256"/>
      <c r="J190" s="256"/>
      <c r="K190" s="256"/>
      <c r="L190" s="256"/>
      <c r="M190" s="256"/>
      <c r="N190" s="256"/>
      <c r="O190" s="256"/>
      <c r="P190" s="256"/>
      <c r="Q190" s="256"/>
      <c r="R190" s="256"/>
      <c r="S190" s="256"/>
      <c r="T190" s="256"/>
      <c r="U190" s="256"/>
      <c r="V190" s="256"/>
      <c r="W190" s="256"/>
      <c r="X190" s="246"/>
      <c r="Y190" s="255"/>
      <c r="Z190" s="255"/>
      <c r="AA190" s="255"/>
      <c r="AB190" s="255"/>
      <c r="AC190" s="255"/>
      <c r="AD190" s="255"/>
      <c r="AE190" s="1027"/>
      <c r="AF190" s="1027"/>
      <c r="AG190" s="1027"/>
    </row>
    <row r="191" spans="1:33" x14ac:dyDescent="0.25">
      <c r="A191" s="1015" t="s">
        <v>531</v>
      </c>
      <c r="B191" s="1016" t="s">
        <v>546</v>
      </c>
      <c r="C191" s="244"/>
      <c r="D191" s="244"/>
      <c r="E191" s="1026"/>
      <c r="F191" s="256"/>
      <c r="G191" s="256"/>
      <c r="H191" s="256"/>
      <c r="I191" s="256"/>
      <c r="J191" s="256"/>
      <c r="K191" s="256"/>
      <c r="L191" s="256"/>
      <c r="M191" s="256"/>
      <c r="N191" s="256"/>
      <c r="O191" s="256"/>
      <c r="P191" s="256"/>
      <c r="Q191" s="256"/>
      <c r="R191" s="256"/>
      <c r="S191" s="256"/>
      <c r="T191" s="256"/>
      <c r="U191" s="256"/>
      <c r="V191" s="256"/>
      <c r="W191" s="256"/>
      <c r="X191" s="256"/>
      <c r="Y191" s="246"/>
      <c r="Z191" s="255"/>
      <c r="AA191" s="255"/>
      <c r="AB191" s="255"/>
      <c r="AC191" s="255"/>
      <c r="AD191" s="255"/>
      <c r="AE191" s="1027"/>
      <c r="AF191" s="1027"/>
      <c r="AG191" s="1027"/>
    </row>
    <row r="192" spans="1:33" x14ac:dyDescent="0.25">
      <c r="A192" s="1015" t="s">
        <v>531</v>
      </c>
      <c r="B192" s="1016" t="s">
        <v>1428</v>
      </c>
      <c r="C192" s="244"/>
      <c r="D192" s="244"/>
      <c r="E192" s="1029"/>
      <c r="F192" s="256"/>
      <c r="G192" s="256"/>
      <c r="H192" s="256"/>
      <c r="I192" s="256"/>
      <c r="J192" s="256"/>
      <c r="K192" s="256"/>
      <c r="L192" s="256"/>
      <c r="M192" s="256"/>
      <c r="N192" s="256"/>
      <c r="O192" s="256"/>
      <c r="P192" s="256"/>
      <c r="Q192" s="256"/>
      <c r="R192" s="256"/>
      <c r="S192" s="256"/>
      <c r="T192" s="256"/>
      <c r="U192" s="256"/>
      <c r="V192" s="256"/>
      <c r="W192" s="256"/>
      <c r="X192" s="256"/>
      <c r="Y192" s="256"/>
      <c r="Z192" s="246"/>
      <c r="AA192" s="255"/>
      <c r="AB192" s="255"/>
      <c r="AC192" s="255"/>
      <c r="AD192" s="255"/>
      <c r="AE192" s="244"/>
      <c r="AF192" s="244"/>
      <c r="AG192" s="1027"/>
    </row>
    <row r="193" spans="1:33" x14ac:dyDescent="0.25">
      <c r="A193" s="1015" t="s">
        <v>531</v>
      </c>
      <c r="B193" s="1016" t="s">
        <v>1429</v>
      </c>
      <c r="C193" s="244"/>
      <c r="D193" s="244"/>
      <c r="E193" s="1029"/>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46"/>
      <c r="AB193" s="255"/>
      <c r="AC193" s="255"/>
      <c r="AD193" s="255"/>
      <c r="AE193" s="244"/>
      <c r="AF193" s="244"/>
      <c r="AG193" s="1027"/>
    </row>
    <row r="194" spans="1:33" x14ac:dyDescent="0.25">
      <c r="A194" s="1015" t="s">
        <v>531</v>
      </c>
      <c r="B194" s="1016" t="s">
        <v>1430</v>
      </c>
      <c r="C194" s="244"/>
      <c r="D194" s="244"/>
      <c r="E194" s="1029"/>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46"/>
      <c r="AC194" s="255"/>
      <c r="AD194" s="255"/>
      <c r="AE194" s="244"/>
      <c r="AF194" s="244"/>
      <c r="AG194" s="1027"/>
    </row>
    <row r="195" spans="1:33" x14ac:dyDescent="0.25">
      <c r="A195" s="1015" t="s">
        <v>531</v>
      </c>
      <c r="B195" s="1016" t="s">
        <v>1431</v>
      </c>
      <c r="C195" s="244"/>
      <c r="D195" s="244"/>
      <c r="E195" s="1029"/>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46"/>
      <c r="AD195" s="255"/>
      <c r="AE195" s="244"/>
      <c r="AF195" s="244"/>
      <c r="AG195" s="1027"/>
    </row>
    <row r="196" spans="1:33" x14ac:dyDescent="0.25">
      <c r="A196" s="1015" t="s">
        <v>531</v>
      </c>
      <c r="B196" s="1016" t="s">
        <v>1432</v>
      </c>
      <c r="C196" s="244"/>
      <c r="D196" s="244"/>
      <c r="E196" s="1029"/>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46"/>
      <c r="AE196" s="244"/>
      <c r="AF196" s="244"/>
      <c r="AG196" s="1027"/>
    </row>
    <row r="197" spans="1:33" ht="13" x14ac:dyDescent="0.3">
      <c r="A197" s="1019" t="s">
        <v>367</v>
      </c>
      <c r="B197" s="1020" t="s">
        <v>270</v>
      </c>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row>
    <row r="198" spans="1:33" x14ac:dyDescent="0.25">
      <c r="C198" s="1031"/>
    </row>
    <row r="199" spans="1:33" x14ac:dyDescent="0.25">
      <c r="C199" s="1021"/>
    </row>
    <row r="201" spans="1:33" ht="13" x14ac:dyDescent="0.3">
      <c r="B201" s="1010" t="s">
        <v>542</v>
      </c>
      <c r="F201" s="1011" t="s">
        <v>10</v>
      </c>
    </row>
    <row r="202" spans="1:33" ht="26.15" customHeight="1" x14ac:dyDescent="0.35">
      <c r="A202" s="1012"/>
      <c r="B202" s="1025" t="s">
        <v>412</v>
      </c>
      <c r="C202" s="2007" t="s">
        <v>513</v>
      </c>
      <c r="D202" s="2007" t="s">
        <v>514</v>
      </c>
      <c r="E202" s="2007" t="s">
        <v>584</v>
      </c>
      <c r="F202" s="2009" t="s">
        <v>585</v>
      </c>
      <c r="G202" s="2010"/>
      <c r="H202" s="2010"/>
      <c r="I202" s="2010"/>
      <c r="J202" s="2010"/>
      <c r="K202" s="2010"/>
      <c r="L202" s="2010"/>
      <c r="M202" s="2010"/>
      <c r="N202" s="2010"/>
      <c r="O202" s="2010"/>
      <c r="P202" s="2010"/>
      <c r="Q202" s="2010"/>
      <c r="R202" s="2010"/>
      <c r="S202" s="2010"/>
      <c r="T202" s="2010"/>
      <c r="U202" s="2010"/>
      <c r="V202" s="2010"/>
      <c r="W202" s="2010"/>
      <c r="X202" s="2010"/>
      <c r="Y202" s="2010"/>
      <c r="Z202" s="2010"/>
      <c r="AA202" s="2010"/>
      <c r="AB202" s="2010"/>
      <c r="AC202" s="2010"/>
      <c r="AD202" s="2011"/>
      <c r="AE202" s="1013" t="s">
        <v>536</v>
      </c>
      <c r="AF202" s="1013" t="s">
        <v>529</v>
      </c>
      <c r="AG202" s="1013" t="s">
        <v>537</v>
      </c>
    </row>
    <row r="203" spans="1:33" ht="12.9" customHeight="1" x14ac:dyDescent="0.25">
      <c r="A203" s="1012"/>
      <c r="B203" s="1025"/>
      <c r="C203" s="2008"/>
      <c r="D203" s="2008"/>
      <c r="E203" s="2008"/>
      <c r="F203" s="1014" t="s">
        <v>515</v>
      </c>
      <c r="G203" s="1014" t="s">
        <v>516</v>
      </c>
      <c r="H203" s="1014" t="s">
        <v>517</v>
      </c>
      <c r="I203" s="1014" t="s">
        <v>518</v>
      </c>
      <c r="J203" s="1014" t="s">
        <v>519</v>
      </c>
      <c r="K203" s="1014" t="s">
        <v>520</v>
      </c>
      <c r="L203" s="1014" t="s">
        <v>521</v>
      </c>
      <c r="M203" s="1014" t="s">
        <v>522</v>
      </c>
      <c r="N203" s="1014" t="s">
        <v>523</v>
      </c>
      <c r="O203" s="1014" t="s">
        <v>524</v>
      </c>
      <c r="P203" s="1014" t="s">
        <v>525</v>
      </c>
      <c r="Q203" s="1014" t="s">
        <v>526</v>
      </c>
      <c r="R203" s="1014" t="s">
        <v>527</v>
      </c>
      <c r="S203" s="1014" t="s">
        <v>528</v>
      </c>
      <c r="T203" s="1014" t="s">
        <v>324</v>
      </c>
      <c r="U203" s="1014" t="s">
        <v>504</v>
      </c>
      <c r="V203" s="1014" t="s">
        <v>505</v>
      </c>
      <c r="W203" s="1014" t="s">
        <v>506</v>
      </c>
      <c r="X203" s="1014" t="s">
        <v>507</v>
      </c>
      <c r="Y203" s="1014" t="s">
        <v>508</v>
      </c>
      <c r="Z203" s="1014" t="s">
        <v>968</v>
      </c>
      <c r="AA203" s="1014" t="s">
        <v>969</v>
      </c>
      <c r="AB203" s="1014" t="s">
        <v>970</v>
      </c>
      <c r="AC203" s="1014" t="s">
        <v>971</v>
      </c>
      <c r="AD203" s="1014" t="s">
        <v>972</v>
      </c>
      <c r="AE203" s="1013"/>
      <c r="AF203" s="1013"/>
      <c r="AG203" s="1013"/>
    </row>
    <row r="204" spans="1:33" x14ac:dyDescent="0.25">
      <c r="A204" s="1015" t="s">
        <v>530</v>
      </c>
      <c r="B204" s="1016">
        <v>2005</v>
      </c>
      <c r="C204" s="1015"/>
      <c r="D204" s="1015"/>
      <c r="E204" s="1026"/>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1027"/>
      <c r="AF204" s="1027"/>
      <c r="AG204" s="1027"/>
    </row>
    <row r="205" spans="1:33" x14ac:dyDescent="0.25">
      <c r="A205" s="1015" t="s">
        <v>531</v>
      </c>
      <c r="B205" s="1016" t="s">
        <v>515</v>
      </c>
      <c r="C205" s="1015"/>
      <c r="D205" s="1015"/>
      <c r="E205" s="1026"/>
      <c r="F205" s="246"/>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1027"/>
      <c r="AF205" s="1027"/>
      <c r="AG205" s="1027"/>
    </row>
    <row r="206" spans="1:33" x14ac:dyDescent="0.25">
      <c r="A206" s="1015" t="s">
        <v>531</v>
      </c>
      <c r="B206" s="1016" t="s">
        <v>516</v>
      </c>
      <c r="C206" s="1015"/>
      <c r="D206" s="1015"/>
      <c r="E206" s="1026"/>
      <c r="F206" s="256"/>
      <c r="G206" s="246"/>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1027"/>
      <c r="AF206" s="1027"/>
      <c r="AG206" s="1027"/>
    </row>
    <row r="207" spans="1:33" x14ac:dyDescent="0.25">
      <c r="A207" s="1015" t="s">
        <v>531</v>
      </c>
      <c r="B207" s="1016" t="s">
        <v>517</v>
      </c>
      <c r="C207" s="1015"/>
      <c r="D207" s="1015"/>
      <c r="E207" s="1026"/>
      <c r="F207" s="256"/>
      <c r="G207" s="256"/>
      <c r="H207" s="246"/>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1027"/>
      <c r="AF207" s="1027"/>
      <c r="AG207" s="1027"/>
    </row>
    <row r="208" spans="1:33" x14ac:dyDescent="0.25">
      <c r="A208" s="1015" t="s">
        <v>531</v>
      </c>
      <c r="B208" s="1016" t="s">
        <v>518</v>
      </c>
      <c r="C208" s="1015"/>
      <c r="D208" s="1015"/>
      <c r="E208" s="1026"/>
      <c r="F208" s="256"/>
      <c r="G208" s="256"/>
      <c r="H208" s="256"/>
      <c r="I208" s="246"/>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1027"/>
      <c r="AF208" s="1027"/>
      <c r="AG208" s="1027"/>
    </row>
    <row r="209" spans="1:33" x14ac:dyDescent="0.25">
      <c r="A209" s="1015" t="s">
        <v>531</v>
      </c>
      <c r="B209" s="1016" t="s">
        <v>519</v>
      </c>
      <c r="C209" s="1015"/>
      <c r="D209" s="1015"/>
      <c r="E209" s="1026"/>
      <c r="F209" s="256"/>
      <c r="G209" s="256"/>
      <c r="H209" s="256"/>
      <c r="I209" s="256"/>
      <c r="J209" s="246"/>
      <c r="K209" s="255"/>
      <c r="L209" s="255"/>
      <c r="M209" s="255"/>
      <c r="N209" s="255"/>
      <c r="O209" s="255"/>
      <c r="P209" s="255"/>
      <c r="Q209" s="255"/>
      <c r="R209" s="255"/>
      <c r="S209" s="255"/>
      <c r="T209" s="255"/>
      <c r="U209" s="255"/>
      <c r="V209" s="255"/>
      <c r="W209" s="255"/>
      <c r="X209" s="255"/>
      <c r="Y209" s="255"/>
      <c r="Z209" s="255"/>
      <c r="AA209" s="255"/>
      <c r="AB209" s="255"/>
      <c r="AC209" s="255"/>
      <c r="AD209" s="255"/>
      <c r="AE209" s="1027"/>
      <c r="AF209" s="1027"/>
      <c r="AG209" s="1027"/>
    </row>
    <row r="210" spans="1:33" x14ac:dyDescent="0.25">
      <c r="A210" s="1015" t="s">
        <v>531</v>
      </c>
      <c r="B210" s="1016" t="s">
        <v>520</v>
      </c>
      <c r="C210" s="1015"/>
      <c r="D210" s="1015"/>
      <c r="E210" s="1026"/>
      <c r="F210" s="256"/>
      <c r="G210" s="256"/>
      <c r="H210" s="256"/>
      <c r="I210" s="256"/>
      <c r="J210" s="256"/>
      <c r="K210" s="246"/>
      <c r="L210" s="255"/>
      <c r="M210" s="255"/>
      <c r="N210" s="255"/>
      <c r="O210" s="255"/>
      <c r="P210" s="255"/>
      <c r="Q210" s="255"/>
      <c r="R210" s="255"/>
      <c r="S210" s="255"/>
      <c r="T210" s="255"/>
      <c r="U210" s="255"/>
      <c r="V210" s="255"/>
      <c r="W210" s="255"/>
      <c r="X210" s="255"/>
      <c r="Y210" s="255"/>
      <c r="Z210" s="255"/>
      <c r="AA210" s="255"/>
      <c r="AB210" s="255"/>
      <c r="AC210" s="255"/>
      <c r="AD210" s="255"/>
      <c r="AE210" s="1027"/>
      <c r="AF210" s="1027"/>
      <c r="AG210" s="1027"/>
    </row>
    <row r="211" spans="1:33" x14ac:dyDescent="0.25">
      <c r="A211" s="1015" t="s">
        <v>531</v>
      </c>
      <c r="B211" s="1016" t="s">
        <v>521</v>
      </c>
      <c r="C211" s="1015"/>
      <c r="D211" s="1015"/>
      <c r="E211" s="1026"/>
      <c r="F211" s="256"/>
      <c r="G211" s="256"/>
      <c r="H211" s="256"/>
      <c r="I211" s="256"/>
      <c r="J211" s="256"/>
      <c r="K211" s="256"/>
      <c r="L211" s="246"/>
      <c r="M211" s="255"/>
      <c r="N211" s="255"/>
      <c r="O211" s="255"/>
      <c r="P211" s="255"/>
      <c r="Q211" s="255"/>
      <c r="R211" s="255"/>
      <c r="S211" s="255"/>
      <c r="T211" s="255"/>
      <c r="U211" s="255"/>
      <c r="V211" s="255"/>
      <c r="W211" s="255"/>
      <c r="X211" s="255"/>
      <c r="Y211" s="255"/>
      <c r="Z211" s="255"/>
      <c r="AA211" s="255"/>
      <c r="AB211" s="255"/>
      <c r="AC211" s="255"/>
      <c r="AD211" s="255"/>
      <c r="AE211" s="1027"/>
      <c r="AF211" s="1027"/>
      <c r="AG211" s="1027"/>
    </row>
    <row r="212" spans="1:33" x14ac:dyDescent="0.25">
      <c r="A212" s="1015" t="s">
        <v>531</v>
      </c>
      <c r="B212" s="1016" t="s">
        <v>522</v>
      </c>
      <c r="C212" s="1015"/>
      <c r="D212" s="1015"/>
      <c r="E212" s="1026"/>
      <c r="F212" s="256"/>
      <c r="G212" s="256"/>
      <c r="H212" s="256"/>
      <c r="I212" s="256"/>
      <c r="J212" s="256"/>
      <c r="K212" s="256"/>
      <c r="L212" s="256"/>
      <c r="M212" s="246"/>
      <c r="N212" s="255"/>
      <c r="O212" s="255"/>
      <c r="P212" s="255"/>
      <c r="Q212" s="255"/>
      <c r="R212" s="255"/>
      <c r="S212" s="255"/>
      <c r="T212" s="255"/>
      <c r="U212" s="255"/>
      <c r="V212" s="255"/>
      <c r="W212" s="255"/>
      <c r="X212" s="255"/>
      <c r="Y212" s="255"/>
      <c r="Z212" s="255"/>
      <c r="AA212" s="255"/>
      <c r="AB212" s="255"/>
      <c r="AC212" s="255"/>
      <c r="AD212" s="255"/>
      <c r="AE212" s="1027"/>
      <c r="AF212" s="1027"/>
      <c r="AG212" s="1027"/>
    </row>
    <row r="213" spans="1:33" x14ac:dyDescent="0.25">
      <c r="A213" s="1015" t="s">
        <v>531</v>
      </c>
      <c r="B213" s="1016" t="s">
        <v>523</v>
      </c>
      <c r="C213" s="1015"/>
      <c r="D213" s="1015"/>
      <c r="E213" s="1026"/>
      <c r="F213" s="256"/>
      <c r="G213" s="256"/>
      <c r="H213" s="256"/>
      <c r="I213" s="256"/>
      <c r="J213" s="256"/>
      <c r="K213" s="256"/>
      <c r="L213" s="256"/>
      <c r="M213" s="256"/>
      <c r="N213" s="246"/>
      <c r="O213" s="255"/>
      <c r="P213" s="255"/>
      <c r="Q213" s="255"/>
      <c r="R213" s="255"/>
      <c r="S213" s="255"/>
      <c r="T213" s="255"/>
      <c r="U213" s="255"/>
      <c r="V213" s="255"/>
      <c r="W213" s="255"/>
      <c r="X213" s="255"/>
      <c r="Y213" s="255"/>
      <c r="Z213" s="255"/>
      <c r="AA213" s="255"/>
      <c r="AB213" s="255"/>
      <c r="AC213" s="255"/>
      <c r="AD213" s="255"/>
      <c r="AE213" s="1027"/>
      <c r="AF213" s="1027"/>
      <c r="AG213" s="1027"/>
    </row>
    <row r="214" spans="1:33" x14ac:dyDescent="0.25">
      <c r="A214" s="1015" t="s">
        <v>531</v>
      </c>
      <c r="B214" s="1016" t="s">
        <v>524</v>
      </c>
      <c r="C214" s="244"/>
      <c r="D214" s="1015"/>
      <c r="E214" s="1026"/>
      <c r="F214" s="256"/>
      <c r="G214" s="256"/>
      <c r="H214" s="256"/>
      <c r="I214" s="256"/>
      <c r="J214" s="256"/>
      <c r="K214" s="256"/>
      <c r="L214" s="256"/>
      <c r="M214" s="256"/>
      <c r="N214" s="256"/>
      <c r="O214" s="246"/>
      <c r="P214" s="255"/>
      <c r="Q214" s="255"/>
      <c r="R214" s="255"/>
      <c r="S214" s="255"/>
      <c r="T214" s="255"/>
      <c r="U214" s="255"/>
      <c r="V214" s="255"/>
      <c r="W214" s="255"/>
      <c r="X214" s="255"/>
      <c r="Y214" s="255"/>
      <c r="Z214" s="255"/>
      <c r="AA214" s="255"/>
      <c r="AB214" s="255"/>
      <c r="AC214" s="255"/>
      <c r="AD214" s="255"/>
      <c r="AE214" s="1027"/>
      <c r="AF214" s="1027"/>
      <c r="AG214" s="1027"/>
    </row>
    <row r="215" spans="1:33" x14ac:dyDescent="0.25">
      <c r="A215" s="1015" t="s">
        <v>531</v>
      </c>
      <c r="B215" s="1016" t="s">
        <v>525</v>
      </c>
      <c r="C215" s="244"/>
      <c r="D215" s="1015"/>
      <c r="E215" s="1026"/>
      <c r="F215" s="256"/>
      <c r="G215" s="256"/>
      <c r="H215" s="256"/>
      <c r="I215" s="256"/>
      <c r="J215" s="256"/>
      <c r="K215" s="256"/>
      <c r="L215" s="256"/>
      <c r="M215" s="256"/>
      <c r="N215" s="256"/>
      <c r="O215" s="256"/>
      <c r="P215" s="246"/>
      <c r="Q215" s="255"/>
      <c r="R215" s="255"/>
      <c r="S215" s="255"/>
      <c r="T215" s="255"/>
      <c r="U215" s="255"/>
      <c r="V215" s="255"/>
      <c r="W215" s="255"/>
      <c r="X215" s="255"/>
      <c r="Y215" s="255"/>
      <c r="Z215" s="255"/>
      <c r="AA215" s="255"/>
      <c r="AB215" s="255"/>
      <c r="AC215" s="255"/>
      <c r="AD215" s="255"/>
      <c r="AE215" s="1027"/>
      <c r="AF215" s="1027"/>
      <c r="AG215" s="1027"/>
    </row>
    <row r="216" spans="1:33" x14ac:dyDescent="0.25">
      <c r="A216" s="1015" t="s">
        <v>531</v>
      </c>
      <c r="B216" s="1016" t="s">
        <v>526</v>
      </c>
      <c r="C216" s="244"/>
      <c r="D216" s="244"/>
      <c r="E216" s="1026"/>
      <c r="F216" s="256"/>
      <c r="G216" s="256"/>
      <c r="H216" s="256"/>
      <c r="I216" s="256"/>
      <c r="J216" s="256"/>
      <c r="K216" s="256"/>
      <c r="L216" s="256"/>
      <c r="M216" s="256"/>
      <c r="N216" s="256"/>
      <c r="O216" s="256"/>
      <c r="P216" s="256"/>
      <c r="Q216" s="246"/>
      <c r="R216" s="255"/>
      <c r="S216" s="255"/>
      <c r="T216" s="255"/>
      <c r="U216" s="255"/>
      <c r="V216" s="255"/>
      <c r="W216" s="255"/>
      <c r="X216" s="255"/>
      <c r="Y216" s="255"/>
      <c r="Z216" s="255"/>
      <c r="AA216" s="255"/>
      <c r="AB216" s="255"/>
      <c r="AC216" s="255"/>
      <c r="AD216" s="255"/>
      <c r="AE216" s="1027"/>
      <c r="AF216" s="1027"/>
      <c r="AG216" s="1027"/>
    </row>
    <row r="217" spans="1:33" x14ac:dyDescent="0.25">
      <c r="A217" s="1015" t="s">
        <v>531</v>
      </c>
      <c r="B217" s="1016" t="s">
        <v>527</v>
      </c>
      <c r="C217" s="244"/>
      <c r="D217" s="244"/>
      <c r="E217" s="1026"/>
      <c r="F217" s="256"/>
      <c r="G217" s="256"/>
      <c r="H217" s="256"/>
      <c r="I217" s="256"/>
      <c r="J217" s="256"/>
      <c r="K217" s="256"/>
      <c r="L217" s="256"/>
      <c r="M217" s="256"/>
      <c r="N217" s="256"/>
      <c r="O217" s="256"/>
      <c r="P217" s="256"/>
      <c r="Q217" s="256"/>
      <c r="R217" s="246"/>
      <c r="S217" s="255"/>
      <c r="T217" s="255"/>
      <c r="U217" s="255"/>
      <c r="V217" s="255"/>
      <c r="W217" s="255"/>
      <c r="X217" s="255"/>
      <c r="Y217" s="255"/>
      <c r="Z217" s="255"/>
      <c r="AA217" s="255"/>
      <c r="AB217" s="255"/>
      <c r="AC217" s="255"/>
      <c r="AD217" s="255"/>
      <c r="AE217" s="1027"/>
      <c r="AF217" s="1027"/>
      <c r="AG217" s="1027"/>
    </row>
    <row r="218" spans="1:33" x14ac:dyDescent="0.25">
      <c r="A218" s="1015" t="s">
        <v>531</v>
      </c>
      <c r="B218" s="1016" t="s">
        <v>528</v>
      </c>
      <c r="C218" s="244"/>
      <c r="D218" s="244"/>
      <c r="E218" s="1026"/>
      <c r="F218" s="256"/>
      <c r="G218" s="256"/>
      <c r="H218" s="256"/>
      <c r="I218" s="256"/>
      <c r="J218" s="256"/>
      <c r="K218" s="256"/>
      <c r="L218" s="256"/>
      <c r="M218" s="256"/>
      <c r="N218" s="256"/>
      <c r="O218" s="256"/>
      <c r="P218" s="256"/>
      <c r="Q218" s="256"/>
      <c r="R218" s="256"/>
      <c r="S218" s="246"/>
      <c r="T218" s="255"/>
      <c r="U218" s="255"/>
      <c r="V218" s="255"/>
      <c r="W218" s="255"/>
      <c r="X218" s="255"/>
      <c r="Y218" s="255"/>
      <c r="Z218" s="255"/>
      <c r="AA218" s="255"/>
      <c r="AB218" s="255"/>
      <c r="AC218" s="255"/>
      <c r="AD218" s="255"/>
      <c r="AE218" s="1027"/>
      <c r="AF218" s="1027"/>
      <c r="AG218" s="1027"/>
    </row>
    <row r="219" spans="1:33" x14ac:dyDescent="0.25">
      <c r="A219" s="1015" t="s">
        <v>531</v>
      </c>
      <c r="B219" s="1016" t="s">
        <v>532</v>
      </c>
      <c r="C219" s="244"/>
      <c r="D219" s="244"/>
      <c r="E219" s="1029"/>
      <c r="F219" s="256"/>
      <c r="G219" s="256"/>
      <c r="H219" s="256"/>
      <c r="I219" s="256"/>
      <c r="J219" s="256"/>
      <c r="K219" s="256"/>
      <c r="L219" s="256"/>
      <c r="M219" s="256"/>
      <c r="N219" s="256"/>
      <c r="O219" s="256"/>
      <c r="P219" s="256"/>
      <c r="Q219" s="256"/>
      <c r="R219" s="256"/>
      <c r="S219" s="256"/>
      <c r="T219" s="246"/>
      <c r="U219" s="255"/>
      <c r="V219" s="255"/>
      <c r="W219" s="255"/>
      <c r="X219" s="255"/>
      <c r="Y219" s="255"/>
      <c r="Z219" s="255"/>
      <c r="AA219" s="255"/>
      <c r="AB219" s="255"/>
      <c r="AC219" s="255"/>
      <c r="AD219" s="255"/>
      <c r="AE219" s="1027"/>
      <c r="AF219" s="1027"/>
      <c r="AG219" s="1027"/>
    </row>
    <row r="220" spans="1:33" x14ac:dyDescent="0.25">
      <c r="A220" s="1015" t="s">
        <v>531</v>
      </c>
      <c r="B220" s="1016" t="s">
        <v>533</v>
      </c>
      <c r="C220" s="244"/>
      <c r="D220" s="244"/>
      <c r="E220" s="1029"/>
      <c r="F220" s="256"/>
      <c r="G220" s="256"/>
      <c r="H220" s="256"/>
      <c r="I220" s="256"/>
      <c r="J220" s="256"/>
      <c r="K220" s="256"/>
      <c r="L220" s="256"/>
      <c r="M220" s="256"/>
      <c r="N220" s="256"/>
      <c r="O220" s="256"/>
      <c r="P220" s="256"/>
      <c r="Q220" s="256"/>
      <c r="R220" s="256"/>
      <c r="S220" s="256"/>
      <c r="T220" s="256"/>
      <c r="U220" s="246"/>
      <c r="V220" s="255"/>
      <c r="W220" s="255"/>
      <c r="X220" s="255"/>
      <c r="Y220" s="255"/>
      <c r="Z220" s="255"/>
      <c r="AA220" s="255"/>
      <c r="AB220" s="255"/>
      <c r="AC220" s="255"/>
      <c r="AD220" s="255"/>
      <c r="AE220" s="1027"/>
      <c r="AF220" s="1027"/>
      <c r="AG220" s="1027"/>
    </row>
    <row r="221" spans="1:33" x14ac:dyDescent="0.25">
      <c r="A221" s="1015" t="s">
        <v>531</v>
      </c>
      <c r="B221" s="1016" t="s">
        <v>534</v>
      </c>
      <c r="C221" s="244"/>
      <c r="D221" s="244"/>
      <c r="E221" s="1029"/>
      <c r="F221" s="256"/>
      <c r="G221" s="256"/>
      <c r="H221" s="256"/>
      <c r="I221" s="256"/>
      <c r="J221" s="256"/>
      <c r="K221" s="256"/>
      <c r="L221" s="256"/>
      <c r="M221" s="256"/>
      <c r="N221" s="256"/>
      <c r="O221" s="256"/>
      <c r="P221" s="256"/>
      <c r="Q221" s="256"/>
      <c r="R221" s="256"/>
      <c r="S221" s="256"/>
      <c r="T221" s="256"/>
      <c r="U221" s="256"/>
      <c r="V221" s="246"/>
      <c r="W221" s="255"/>
      <c r="X221" s="255"/>
      <c r="Y221" s="255"/>
      <c r="Z221" s="255"/>
      <c r="AA221" s="255"/>
      <c r="AB221" s="255"/>
      <c r="AC221" s="255"/>
      <c r="AD221" s="255"/>
      <c r="AE221" s="1027"/>
      <c r="AF221" s="1027"/>
      <c r="AG221" s="1027"/>
    </row>
    <row r="222" spans="1:33" x14ac:dyDescent="0.25">
      <c r="A222" s="1015" t="s">
        <v>531</v>
      </c>
      <c r="B222" s="1016" t="s">
        <v>544</v>
      </c>
      <c r="C222" s="244"/>
      <c r="D222" s="244"/>
      <c r="E222" s="1029"/>
      <c r="F222" s="256"/>
      <c r="G222" s="256"/>
      <c r="H222" s="256"/>
      <c r="I222" s="256"/>
      <c r="J222" s="256"/>
      <c r="K222" s="256"/>
      <c r="L222" s="256"/>
      <c r="M222" s="256"/>
      <c r="N222" s="256"/>
      <c r="O222" s="256"/>
      <c r="P222" s="256"/>
      <c r="Q222" s="256"/>
      <c r="R222" s="256"/>
      <c r="S222" s="256"/>
      <c r="T222" s="256"/>
      <c r="U222" s="256"/>
      <c r="V222" s="256"/>
      <c r="W222" s="246"/>
      <c r="X222" s="255"/>
      <c r="Y222" s="255"/>
      <c r="Z222" s="255"/>
      <c r="AA222" s="255"/>
      <c r="AB222" s="255"/>
      <c r="AC222" s="255"/>
      <c r="AD222" s="255"/>
      <c r="AE222" s="1027"/>
      <c r="AF222" s="1027"/>
      <c r="AG222" s="1027"/>
    </row>
    <row r="223" spans="1:33" x14ac:dyDescent="0.25">
      <c r="A223" s="1015" t="s">
        <v>531</v>
      </c>
      <c r="B223" s="1016" t="s">
        <v>545</v>
      </c>
      <c r="C223" s="244"/>
      <c r="D223" s="244"/>
      <c r="E223" s="1029"/>
      <c r="F223" s="256"/>
      <c r="G223" s="256"/>
      <c r="H223" s="256"/>
      <c r="I223" s="256"/>
      <c r="J223" s="256"/>
      <c r="K223" s="256"/>
      <c r="L223" s="256"/>
      <c r="M223" s="256"/>
      <c r="N223" s="256"/>
      <c r="O223" s="256"/>
      <c r="P223" s="256"/>
      <c r="Q223" s="256"/>
      <c r="R223" s="256"/>
      <c r="S223" s="256"/>
      <c r="T223" s="256"/>
      <c r="U223" s="256"/>
      <c r="V223" s="256"/>
      <c r="W223" s="256"/>
      <c r="X223" s="246"/>
      <c r="Y223" s="255"/>
      <c r="Z223" s="255"/>
      <c r="AA223" s="255"/>
      <c r="AB223" s="255"/>
      <c r="AC223" s="255"/>
      <c r="AD223" s="255"/>
      <c r="AE223" s="1027"/>
      <c r="AF223" s="1027"/>
      <c r="AG223" s="1027"/>
    </row>
    <row r="224" spans="1:33" x14ac:dyDescent="0.25">
      <c r="A224" s="1015" t="s">
        <v>531</v>
      </c>
      <c r="B224" s="1016" t="s">
        <v>546</v>
      </c>
      <c r="C224" s="244"/>
      <c r="D224" s="244"/>
      <c r="E224" s="1029"/>
      <c r="F224" s="256"/>
      <c r="G224" s="256"/>
      <c r="H224" s="256"/>
      <c r="I224" s="256"/>
      <c r="J224" s="256"/>
      <c r="K224" s="256"/>
      <c r="L224" s="256"/>
      <c r="M224" s="256"/>
      <c r="N224" s="256"/>
      <c r="O224" s="256"/>
      <c r="P224" s="256"/>
      <c r="Q224" s="256"/>
      <c r="R224" s="256"/>
      <c r="S224" s="256"/>
      <c r="T224" s="256"/>
      <c r="U224" s="256"/>
      <c r="V224" s="256"/>
      <c r="W224" s="256"/>
      <c r="X224" s="256"/>
      <c r="Y224" s="246"/>
      <c r="Z224" s="1027"/>
      <c r="AA224" s="1027"/>
      <c r="AB224" s="1027"/>
      <c r="AC224" s="1027"/>
      <c r="AD224" s="1027"/>
      <c r="AE224" s="1027"/>
      <c r="AF224" s="1027"/>
      <c r="AG224" s="1027"/>
    </row>
    <row r="225" spans="1:33" x14ac:dyDescent="0.25">
      <c r="A225" s="1015" t="s">
        <v>531</v>
      </c>
      <c r="B225" s="1016" t="s">
        <v>1428</v>
      </c>
      <c r="C225" s="244"/>
      <c r="D225" s="244"/>
      <c r="E225" s="1029"/>
      <c r="F225" s="256"/>
      <c r="G225" s="256"/>
      <c r="H225" s="256"/>
      <c r="I225" s="256"/>
      <c r="J225" s="256"/>
      <c r="K225" s="256"/>
      <c r="L225" s="256"/>
      <c r="M225" s="256"/>
      <c r="N225" s="256"/>
      <c r="O225" s="256"/>
      <c r="P225" s="256"/>
      <c r="Q225" s="256"/>
      <c r="R225" s="256"/>
      <c r="S225" s="256"/>
      <c r="T225" s="256"/>
      <c r="U225" s="256"/>
      <c r="V225" s="256"/>
      <c r="W225" s="256"/>
      <c r="X225" s="256"/>
      <c r="Y225" s="256"/>
      <c r="Z225" s="246"/>
      <c r="AA225" s="255"/>
      <c r="AB225" s="255"/>
      <c r="AC225" s="255"/>
      <c r="AD225" s="255"/>
      <c r="AE225" s="244"/>
      <c r="AF225" s="244"/>
      <c r="AG225" s="1027"/>
    </row>
    <row r="226" spans="1:33" x14ac:dyDescent="0.25">
      <c r="A226" s="1015" t="s">
        <v>531</v>
      </c>
      <c r="B226" s="1016" t="s">
        <v>1429</v>
      </c>
      <c r="C226" s="244"/>
      <c r="D226" s="244"/>
      <c r="E226" s="1029"/>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46"/>
      <c r="AB226" s="255"/>
      <c r="AC226" s="255"/>
      <c r="AD226" s="255"/>
      <c r="AE226" s="244"/>
      <c r="AF226" s="244"/>
      <c r="AG226" s="1027"/>
    </row>
    <row r="227" spans="1:33" x14ac:dyDescent="0.25">
      <c r="A227" s="1015" t="s">
        <v>531</v>
      </c>
      <c r="B227" s="1016" t="s">
        <v>1430</v>
      </c>
      <c r="C227" s="244"/>
      <c r="D227" s="244"/>
      <c r="E227" s="1029"/>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46"/>
      <c r="AC227" s="255"/>
      <c r="AD227" s="255"/>
      <c r="AE227" s="244"/>
      <c r="AF227" s="244"/>
      <c r="AG227" s="1027"/>
    </row>
    <row r="228" spans="1:33" x14ac:dyDescent="0.25">
      <c r="A228" s="1015" t="s">
        <v>531</v>
      </c>
      <c r="B228" s="1016" t="s">
        <v>1431</v>
      </c>
      <c r="C228" s="244"/>
      <c r="D228" s="244"/>
      <c r="E228" s="1029"/>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46"/>
      <c r="AD228" s="255"/>
      <c r="AE228" s="244"/>
      <c r="AF228" s="244"/>
      <c r="AG228" s="1027"/>
    </row>
    <row r="229" spans="1:33" x14ac:dyDescent="0.25">
      <c r="A229" s="1015" t="s">
        <v>531</v>
      </c>
      <c r="B229" s="1016" t="s">
        <v>1432</v>
      </c>
      <c r="C229" s="244"/>
      <c r="D229" s="244"/>
      <c r="E229" s="1029"/>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46"/>
      <c r="AE229" s="244"/>
      <c r="AF229" s="244"/>
      <c r="AG229" s="1027"/>
    </row>
    <row r="230" spans="1:33" ht="13" x14ac:dyDescent="0.3">
      <c r="A230" s="1019"/>
      <c r="B230" s="1020" t="s">
        <v>270</v>
      </c>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row>
    <row r="231" spans="1:33" x14ac:dyDescent="0.25">
      <c r="C231" s="1031"/>
    </row>
    <row r="234" spans="1:33" ht="13" x14ac:dyDescent="0.3">
      <c r="B234" s="1010" t="s">
        <v>543</v>
      </c>
      <c r="F234" s="1011" t="s">
        <v>10</v>
      </c>
    </row>
    <row r="235" spans="1:33" ht="26.15" customHeight="1" x14ac:dyDescent="0.35">
      <c r="A235" s="1012"/>
      <c r="B235" s="1025" t="s">
        <v>412</v>
      </c>
      <c r="C235" s="2007" t="s">
        <v>513</v>
      </c>
      <c r="D235" s="2007" t="s">
        <v>514</v>
      </c>
      <c r="E235" s="2007" t="s">
        <v>584</v>
      </c>
      <c r="F235" s="2009" t="s">
        <v>585</v>
      </c>
      <c r="G235" s="2010"/>
      <c r="H235" s="2010"/>
      <c r="I235" s="2010"/>
      <c r="J235" s="2010"/>
      <c r="K235" s="2010"/>
      <c r="L235" s="2010"/>
      <c r="M235" s="2010"/>
      <c r="N235" s="2010"/>
      <c r="O235" s="2010"/>
      <c r="P235" s="2010"/>
      <c r="Q235" s="2010"/>
      <c r="R235" s="2010"/>
      <c r="S235" s="2010"/>
      <c r="T235" s="2010"/>
      <c r="U235" s="2010"/>
      <c r="V235" s="2010"/>
      <c r="W235" s="2010"/>
      <c r="X235" s="2010"/>
      <c r="Y235" s="2010"/>
      <c r="Z235" s="2010"/>
      <c r="AA235" s="2010"/>
      <c r="AB235" s="2010"/>
      <c r="AC235" s="2010"/>
      <c r="AD235" s="2011"/>
      <c r="AE235" s="1013" t="s">
        <v>536</v>
      </c>
      <c r="AF235" s="1013" t="s">
        <v>529</v>
      </c>
      <c r="AG235" s="1013" t="s">
        <v>537</v>
      </c>
    </row>
    <row r="236" spans="1:33" ht="12.9" customHeight="1" x14ac:dyDescent="0.25">
      <c r="A236" s="1012"/>
      <c r="B236" s="1025"/>
      <c r="C236" s="2008"/>
      <c r="D236" s="2008"/>
      <c r="E236" s="2008"/>
      <c r="F236" s="1014" t="s">
        <v>515</v>
      </c>
      <c r="G236" s="1014" t="s">
        <v>516</v>
      </c>
      <c r="H236" s="1014" t="s">
        <v>517</v>
      </c>
      <c r="I236" s="1014" t="s">
        <v>518</v>
      </c>
      <c r="J236" s="1014" t="s">
        <v>519</v>
      </c>
      <c r="K236" s="1014" t="s">
        <v>520</v>
      </c>
      <c r="L236" s="1014" t="s">
        <v>521</v>
      </c>
      <c r="M236" s="1014" t="s">
        <v>522</v>
      </c>
      <c r="N236" s="1014" t="s">
        <v>523</v>
      </c>
      <c r="O236" s="1014" t="s">
        <v>524</v>
      </c>
      <c r="P236" s="1014" t="s">
        <v>525</v>
      </c>
      <c r="Q236" s="1014" t="s">
        <v>526</v>
      </c>
      <c r="R236" s="1014" t="s">
        <v>527</v>
      </c>
      <c r="S236" s="1014" t="s">
        <v>528</v>
      </c>
      <c r="T236" s="1014" t="s">
        <v>324</v>
      </c>
      <c r="U236" s="1014" t="s">
        <v>504</v>
      </c>
      <c r="V236" s="1014" t="s">
        <v>505</v>
      </c>
      <c r="W236" s="1014" t="s">
        <v>506</v>
      </c>
      <c r="X236" s="1014" t="s">
        <v>507</v>
      </c>
      <c r="Y236" s="1014" t="s">
        <v>508</v>
      </c>
      <c r="Z236" s="1014" t="s">
        <v>968</v>
      </c>
      <c r="AA236" s="1014" t="s">
        <v>969</v>
      </c>
      <c r="AB236" s="1014" t="s">
        <v>970</v>
      </c>
      <c r="AC236" s="1014" t="s">
        <v>971</v>
      </c>
      <c r="AD236" s="1014" t="s">
        <v>972</v>
      </c>
      <c r="AE236" s="1013"/>
      <c r="AF236" s="1013"/>
      <c r="AG236" s="1013"/>
    </row>
    <row r="237" spans="1:33" x14ac:dyDescent="0.25">
      <c r="A237" s="1015" t="s">
        <v>530</v>
      </c>
      <c r="B237" s="1016">
        <v>2005</v>
      </c>
      <c r="C237" s="1015"/>
      <c r="D237" s="1015"/>
      <c r="E237" s="1026"/>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1027"/>
      <c r="AF237" s="1027"/>
      <c r="AG237" s="1027"/>
    </row>
    <row r="238" spans="1:33" x14ac:dyDescent="0.25">
      <c r="A238" s="1015" t="s">
        <v>531</v>
      </c>
      <c r="B238" s="1016" t="s">
        <v>515</v>
      </c>
      <c r="C238" s="1015"/>
      <c r="D238" s="1015"/>
      <c r="E238" s="1026"/>
      <c r="F238" s="246"/>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1027"/>
      <c r="AF238" s="1027"/>
      <c r="AG238" s="1027"/>
    </row>
    <row r="239" spans="1:33" x14ac:dyDescent="0.25">
      <c r="A239" s="1015" t="s">
        <v>531</v>
      </c>
      <c r="B239" s="1016" t="s">
        <v>516</v>
      </c>
      <c r="C239" s="1015"/>
      <c r="D239" s="1015"/>
      <c r="E239" s="1026"/>
      <c r="F239" s="256"/>
      <c r="G239" s="246"/>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1027"/>
      <c r="AF239" s="1027"/>
      <c r="AG239" s="1027"/>
    </row>
    <row r="240" spans="1:33" x14ac:dyDescent="0.25">
      <c r="A240" s="1015" t="s">
        <v>531</v>
      </c>
      <c r="B240" s="1016" t="s">
        <v>517</v>
      </c>
      <c r="C240" s="1015"/>
      <c r="D240" s="1015"/>
      <c r="E240" s="1026"/>
      <c r="F240" s="256"/>
      <c r="G240" s="256"/>
      <c r="H240" s="246"/>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1027"/>
      <c r="AF240" s="1027"/>
      <c r="AG240" s="1027"/>
    </row>
    <row r="241" spans="1:33" x14ac:dyDescent="0.25">
      <c r="A241" s="1015" t="s">
        <v>531</v>
      </c>
      <c r="B241" s="1016" t="s">
        <v>518</v>
      </c>
      <c r="C241" s="1015"/>
      <c r="D241" s="1015"/>
      <c r="E241" s="1026"/>
      <c r="F241" s="256"/>
      <c r="G241" s="256"/>
      <c r="H241" s="256"/>
      <c r="I241" s="246"/>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1027"/>
      <c r="AF241" s="1027"/>
      <c r="AG241" s="1027"/>
    </row>
    <row r="242" spans="1:33" x14ac:dyDescent="0.25">
      <c r="A242" s="1015" t="s">
        <v>531</v>
      </c>
      <c r="B242" s="1016" t="s">
        <v>519</v>
      </c>
      <c r="C242" s="1015"/>
      <c r="D242" s="1015"/>
      <c r="E242" s="1026"/>
      <c r="F242" s="256"/>
      <c r="G242" s="256"/>
      <c r="H242" s="256"/>
      <c r="I242" s="256"/>
      <c r="J242" s="246"/>
      <c r="K242" s="255"/>
      <c r="L242" s="255"/>
      <c r="M242" s="255"/>
      <c r="N242" s="255"/>
      <c r="O242" s="255"/>
      <c r="P242" s="255"/>
      <c r="Q242" s="255"/>
      <c r="R242" s="255"/>
      <c r="S242" s="255"/>
      <c r="T242" s="255"/>
      <c r="U242" s="255"/>
      <c r="V242" s="255"/>
      <c r="W242" s="255"/>
      <c r="X242" s="255"/>
      <c r="Y242" s="255"/>
      <c r="Z242" s="255"/>
      <c r="AA242" s="255"/>
      <c r="AB242" s="255"/>
      <c r="AC242" s="255"/>
      <c r="AD242" s="255"/>
      <c r="AE242" s="1027"/>
      <c r="AF242" s="1027"/>
      <c r="AG242" s="1027"/>
    </row>
    <row r="243" spans="1:33" x14ac:dyDescent="0.25">
      <c r="A243" s="1015" t="s">
        <v>531</v>
      </c>
      <c r="B243" s="1016" t="s">
        <v>520</v>
      </c>
      <c r="C243" s="1015"/>
      <c r="D243" s="1015"/>
      <c r="E243" s="1026"/>
      <c r="F243" s="256"/>
      <c r="G243" s="256"/>
      <c r="H243" s="256"/>
      <c r="I243" s="256"/>
      <c r="J243" s="256"/>
      <c r="K243" s="246"/>
      <c r="L243" s="255"/>
      <c r="M243" s="255"/>
      <c r="N243" s="255"/>
      <c r="O243" s="255"/>
      <c r="P243" s="255"/>
      <c r="Q243" s="255"/>
      <c r="R243" s="255"/>
      <c r="S243" s="255"/>
      <c r="T243" s="255"/>
      <c r="U243" s="255"/>
      <c r="V243" s="255"/>
      <c r="W243" s="255"/>
      <c r="X243" s="255"/>
      <c r="Y243" s="255"/>
      <c r="Z243" s="255"/>
      <c r="AA243" s="255"/>
      <c r="AB243" s="255"/>
      <c r="AC243" s="255"/>
      <c r="AD243" s="255"/>
      <c r="AE243" s="1027"/>
      <c r="AF243" s="1027"/>
      <c r="AG243" s="1027"/>
    </row>
    <row r="244" spans="1:33" x14ac:dyDescent="0.25">
      <c r="A244" s="1015" t="s">
        <v>531</v>
      </c>
      <c r="B244" s="1016" t="s">
        <v>521</v>
      </c>
      <c r="C244" s="1015"/>
      <c r="D244" s="1015"/>
      <c r="E244" s="1026"/>
      <c r="F244" s="256"/>
      <c r="G244" s="256"/>
      <c r="H244" s="256"/>
      <c r="I244" s="256"/>
      <c r="J244" s="256"/>
      <c r="K244" s="256"/>
      <c r="L244" s="246"/>
      <c r="M244" s="255"/>
      <c r="N244" s="255"/>
      <c r="O244" s="255"/>
      <c r="P244" s="255"/>
      <c r="Q244" s="255"/>
      <c r="R244" s="255"/>
      <c r="S244" s="255"/>
      <c r="T244" s="255"/>
      <c r="U244" s="255"/>
      <c r="V244" s="255"/>
      <c r="W244" s="255"/>
      <c r="X244" s="255"/>
      <c r="Y244" s="255"/>
      <c r="Z244" s="255"/>
      <c r="AA244" s="255"/>
      <c r="AB244" s="255"/>
      <c r="AC244" s="255"/>
      <c r="AD244" s="255"/>
      <c r="AE244" s="1027"/>
      <c r="AF244" s="1027"/>
      <c r="AG244" s="1027"/>
    </row>
    <row r="245" spans="1:33" x14ac:dyDescent="0.25">
      <c r="A245" s="1015" t="s">
        <v>531</v>
      </c>
      <c r="B245" s="1016" t="s">
        <v>522</v>
      </c>
      <c r="C245" s="1015"/>
      <c r="D245" s="1015"/>
      <c r="E245" s="1026"/>
      <c r="F245" s="256"/>
      <c r="G245" s="256"/>
      <c r="H245" s="256"/>
      <c r="I245" s="256"/>
      <c r="J245" s="256"/>
      <c r="K245" s="256"/>
      <c r="L245" s="256"/>
      <c r="M245" s="246"/>
      <c r="N245" s="255"/>
      <c r="O245" s="255"/>
      <c r="P245" s="255"/>
      <c r="Q245" s="255"/>
      <c r="R245" s="255"/>
      <c r="S245" s="255"/>
      <c r="T245" s="255"/>
      <c r="U245" s="255"/>
      <c r="V245" s="255"/>
      <c r="W245" s="255"/>
      <c r="X245" s="255"/>
      <c r="Y245" s="255"/>
      <c r="Z245" s="255"/>
      <c r="AA245" s="255"/>
      <c r="AB245" s="255"/>
      <c r="AC245" s="255"/>
      <c r="AD245" s="255"/>
      <c r="AE245" s="1027"/>
      <c r="AF245" s="1027"/>
      <c r="AG245" s="1027"/>
    </row>
    <row r="246" spans="1:33" x14ac:dyDescent="0.25">
      <c r="A246" s="1015" t="s">
        <v>531</v>
      </c>
      <c r="B246" s="1016" t="s">
        <v>523</v>
      </c>
      <c r="C246" s="1015"/>
      <c r="D246" s="1015"/>
      <c r="E246" s="1026"/>
      <c r="F246" s="256"/>
      <c r="G246" s="256"/>
      <c r="H246" s="256"/>
      <c r="I246" s="256"/>
      <c r="J246" s="256"/>
      <c r="K246" s="256"/>
      <c r="L246" s="256"/>
      <c r="M246" s="256"/>
      <c r="N246" s="246"/>
      <c r="O246" s="255"/>
      <c r="P246" s="255"/>
      <c r="Q246" s="255"/>
      <c r="R246" s="255"/>
      <c r="S246" s="255"/>
      <c r="T246" s="255"/>
      <c r="U246" s="255"/>
      <c r="V246" s="255"/>
      <c r="W246" s="255"/>
      <c r="X246" s="255"/>
      <c r="Y246" s="255"/>
      <c r="Z246" s="255"/>
      <c r="AA246" s="255"/>
      <c r="AB246" s="255"/>
      <c r="AC246" s="255"/>
      <c r="AD246" s="255"/>
      <c r="AE246" s="1027"/>
      <c r="AF246" s="1027"/>
      <c r="AG246" s="1027"/>
    </row>
    <row r="247" spans="1:33" x14ac:dyDescent="0.25">
      <c r="A247" s="1015" t="s">
        <v>531</v>
      </c>
      <c r="B247" s="1016" t="s">
        <v>524</v>
      </c>
      <c r="C247" s="244"/>
      <c r="D247" s="1015"/>
      <c r="E247" s="1026"/>
      <c r="F247" s="256"/>
      <c r="G247" s="256"/>
      <c r="H247" s="256"/>
      <c r="I247" s="256"/>
      <c r="J247" s="256"/>
      <c r="K247" s="256"/>
      <c r="L247" s="256"/>
      <c r="M247" s="256"/>
      <c r="N247" s="256"/>
      <c r="O247" s="246"/>
      <c r="P247" s="255"/>
      <c r="Q247" s="255"/>
      <c r="R247" s="255"/>
      <c r="S247" s="255"/>
      <c r="T247" s="255"/>
      <c r="U247" s="255"/>
      <c r="V247" s="255"/>
      <c r="W247" s="255"/>
      <c r="X247" s="255"/>
      <c r="Y247" s="255"/>
      <c r="Z247" s="255"/>
      <c r="AA247" s="255"/>
      <c r="AB247" s="255"/>
      <c r="AC247" s="255"/>
      <c r="AD247" s="255"/>
      <c r="AE247" s="1027"/>
      <c r="AF247" s="1027"/>
      <c r="AG247" s="1027"/>
    </row>
    <row r="248" spans="1:33" x14ac:dyDescent="0.25">
      <c r="A248" s="1015" t="s">
        <v>531</v>
      </c>
      <c r="B248" s="1016" t="s">
        <v>525</v>
      </c>
      <c r="C248" s="244"/>
      <c r="D248" s="1015"/>
      <c r="E248" s="1026"/>
      <c r="F248" s="256"/>
      <c r="G248" s="256"/>
      <c r="H248" s="256"/>
      <c r="I248" s="256"/>
      <c r="J248" s="256"/>
      <c r="K248" s="256"/>
      <c r="L248" s="256"/>
      <c r="M248" s="256"/>
      <c r="N248" s="256"/>
      <c r="O248" s="256"/>
      <c r="P248" s="246"/>
      <c r="Q248" s="255"/>
      <c r="R248" s="255"/>
      <c r="S248" s="255"/>
      <c r="T248" s="255"/>
      <c r="U248" s="255"/>
      <c r="V248" s="255"/>
      <c r="W248" s="255"/>
      <c r="X248" s="255"/>
      <c r="Y248" s="255"/>
      <c r="Z248" s="255"/>
      <c r="AA248" s="255"/>
      <c r="AB248" s="255"/>
      <c r="AC248" s="255"/>
      <c r="AD248" s="255"/>
      <c r="AE248" s="1027"/>
      <c r="AF248" s="1027"/>
      <c r="AG248" s="1027"/>
    </row>
    <row r="249" spans="1:33" x14ac:dyDescent="0.25">
      <c r="A249" s="1015" t="s">
        <v>531</v>
      </c>
      <c r="B249" s="1016" t="s">
        <v>526</v>
      </c>
      <c r="C249" s="244"/>
      <c r="D249" s="244"/>
      <c r="E249" s="1026"/>
      <c r="F249" s="256"/>
      <c r="G249" s="256"/>
      <c r="H249" s="256"/>
      <c r="I249" s="256"/>
      <c r="J249" s="256"/>
      <c r="K249" s="256"/>
      <c r="L249" s="256"/>
      <c r="M249" s="256"/>
      <c r="N249" s="256"/>
      <c r="O249" s="256"/>
      <c r="P249" s="256"/>
      <c r="Q249" s="246"/>
      <c r="R249" s="255"/>
      <c r="S249" s="255"/>
      <c r="T249" s="255"/>
      <c r="U249" s="255"/>
      <c r="V249" s="255"/>
      <c r="W249" s="255"/>
      <c r="X249" s="255"/>
      <c r="Y249" s="255"/>
      <c r="Z249" s="255"/>
      <c r="AA249" s="255"/>
      <c r="AB249" s="255"/>
      <c r="AC249" s="255"/>
      <c r="AD249" s="255"/>
      <c r="AE249" s="1027"/>
      <c r="AF249" s="1027"/>
      <c r="AG249" s="1027"/>
    </row>
    <row r="250" spans="1:33" x14ac:dyDescent="0.25">
      <c r="A250" s="1015" t="s">
        <v>531</v>
      </c>
      <c r="B250" s="1016" t="s">
        <v>527</v>
      </c>
      <c r="C250" s="244"/>
      <c r="D250" s="244"/>
      <c r="E250" s="1026"/>
      <c r="F250" s="256"/>
      <c r="G250" s="256"/>
      <c r="H250" s="256"/>
      <c r="I250" s="256"/>
      <c r="J250" s="256"/>
      <c r="K250" s="256"/>
      <c r="L250" s="256"/>
      <c r="M250" s="256"/>
      <c r="N250" s="256"/>
      <c r="O250" s="256"/>
      <c r="P250" s="256"/>
      <c r="Q250" s="256"/>
      <c r="R250" s="246"/>
      <c r="S250" s="255"/>
      <c r="T250" s="255"/>
      <c r="U250" s="255"/>
      <c r="V250" s="255"/>
      <c r="W250" s="255"/>
      <c r="X250" s="255"/>
      <c r="Y250" s="255"/>
      <c r="Z250" s="255"/>
      <c r="AA250" s="255"/>
      <c r="AB250" s="255"/>
      <c r="AC250" s="255"/>
      <c r="AD250" s="255"/>
      <c r="AE250" s="1027"/>
      <c r="AF250" s="1027"/>
      <c r="AG250" s="1027"/>
    </row>
    <row r="251" spans="1:33" x14ac:dyDescent="0.25">
      <c r="A251" s="1015" t="s">
        <v>531</v>
      </c>
      <c r="B251" s="1016" t="s">
        <v>528</v>
      </c>
      <c r="C251" s="244"/>
      <c r="D251" s="244"/>
      <c r="E251" s="1026"/>
      <c r="F251" s="256"/>
      <c r="G251" s="256"/>
      <c r="H251" s="256"/>
      <c r="I251" s="256"/>
      <c r="J251" s="256"/>
      <c r="K251" s="256"/>
      <c r="L251" s="256"/>
      <c r="M251" s="256"/>
      <c r="N251" s="256"/>
      <c r="O251" s="256"/>
      <c r="P251" s="256"/>
      <c r="Q251" s="256"/>
      <c r="R251" s="256"/>
      <c r="S251" s="246"/>
      <c r="T251" s="255"/>
      <c r="U251" s="255"/>
      <c r="V251" s="255"/>
      <c r="W251" s="255"/>
      <c r="X251" s="255"/>
      <c r="Y251" s="255"/>
      <c r="Z251" s="255"/>
      <c r="AA251" s="255"/>
      <c r="AB251" s="255"/>
      <c r="AC251" s="255"/>
      <c r="AD251" s="255"/>
      <c r="AE251" s="1027"/>
      <c r="AF251" s="1027"/>
      <c r="AG251" s="1027"/>
    </row>
    <row r="252" spans="1:33" x14ac:dyDescent="0.25">
      <c r="A252" s="1015" t="s">
        <v>531</v>
      </c>
      <c r="B252" s="1016" t="s">
        <v>532</v>
      </c>
      <c r="C252" s="244"/>
      <c r="D252" s="244"/>
      <c r="E252" s="1029"/>
      <c r="F252" s="256"/>
      <c r="G252" s="256"/>
      <c r="H252" s="256"/>
      <c r="I252" s="256"/>
      <c r="J252" s="256"/>
      <c r="K252" s="256"/>
      <c r="L252" s="256"/>
      <c r="M252" s="256"/>
      <c r="N252" s="256"/>
      <c r="O252" s="256"/>
      <c r="P252" s="256"/>
      <c r="Q252" s="256"/>
      <c r="R252" s="256"/>
      <c r="S252" s="256"/>
      <c r="T252" s="246"/>
      <c r="U252" s="255"/>
      <c r="V252" s="255"/>
      <c r="W252" s="255"/>
      <c r="X252" s="255"/>
      <c r="Y252" s="255"/>
      <c r="Z252" s="255"/>
      <c r="AA252" s="255"/>
      <c r="AB252" s="255"/>
      <c r="AC252" s="255"/>
      <c r="AD252" s="255"/>
      <c r="AE252" s="1027"/>
      <c r="AF252" s="1027"/>
      <c r="AG252" s="1027"/>
    </row>
    <row r="253" spans="1:33" x14ac:dyDescent="0.25">
      <c r="A253" s="1015" t="s">
        <v>531</v>
      </c>
      <c r="B253" s="1016" t="s">
        <v>533</v>
      </c>
      <c r="C253" s="244"/>
      <c r="D253" s="244"/>
      <c r="E253" s="1029"/>
      <c r="F253" s="256"/>
      <c r="G253" s="256"/>
      <c r="H253" s="256"/>
      <c r="I253" s="256"/>
      <c r="J253" s="256"/>
      <c r="K253" s="256"/>
      <c r="L253" s="256"/>
      <c r="M253" s="256"/>
      <c r="N253" s="256"/>
      <c r="O253" s="256"/>
      <c r="P253" s="256"/>
      <c r="Q253" s="256"/>
      <c r="R253" s="256"/>
      <c r="S253" s="256"/>
      <c r="T253" s="256"/>
      <c r="U253" s="246"/>
      <c r="V253" s="255"/>
      <c r="W253" s="255"/>
      <c r="X253" s="255"/>
      <c r="Y253" s="255"/>
      <c r="Z253" s="255"/>
      <c r="AA253" s="255"/>
      <c r="AB253" s="255"/>
      <c r="AC253" s="255"/>
      <c r="AD253" s="255"/>
      <c r="AE253" s="1027"/>
      <c r="AF253" s="1027"/>
      <c r="AG253" s="1027"/>
    </row>
    <row r="254" spans="1:33" x14ac:dyDescent="0.25">
      <c r="A254" s="1015" t="s">
        <v>531</v>
      </c>
      <c r="B254" s="1016" t="s">
        <v>534</v>
      </c>
      <c r="C254" s="244"/>
      <c r="D254" s="244"/>
      <c r="E254" s="1029"/>
      <c r="F254" s="256"/>
      <c r="G254" s="256"/>
      <c r="H254" s="256"/>
      <c r="I254" s="256"/>
      <c r="J254" s="256"/>
      <c r="K254" s="256"/>
      <c r="L254" s="256"/>
      <c r="M254" s="256"/>
      <c r="N254" s="256"/>
      <c r="O254" s="256"/>
      <c r="P254" s="256"/>
      <c r="Q254" s="256"/>
      <c r="R254" s="256"/>
      <c r="S254" s="256"/>
      <c r="T254" s="256"/>
      <c r="U254" s="256"/>
      <c r="V254" s="246"/>
      <c r="W254" s="255"/>
      <c r="X254" s="255"/>
      <c r="Y254" s="255"/>
      <c r="Z254" s="255"/>
      <c r="AA254" s="255"/>
      <c r="AB254" s="255"/>
      <c r="AC254" s="255"/>
      <c r="AD254" s="255"/>
      <c r="AE254" s="1027"/>
      <c r="AF254" s="1027"/>
      <c r="AG254" s="1027"/>
    </row>
    <row r="255" spans="1:33" x14ac:dyDescent="0.25">
      <c r="A255" s="1015" t="s">
        <v>531</v>
      </c>
      <c r="B255" s="1016" t="s">
        <v>544</v>
      </c>
      <c r="C255" s="244"/>
      <c r="D255" s="244"/>
      <c r="E255" s="1029"/>
      <c r="F255" s="256"/>
      <c r="G255" s="256"/>
      <c r="H255" s="256"/>
      <c r="I255" s="256"/>
      <c r="J255" s="256"/>
      <c r="K255" s="256"/>
      <c r="L255" s="256"/>
      <c r="M255" s="256"/>
      <c r="N255" s="256"/>
      <c r="O255" s="256"/>
      <c r="P255" s="256"/>
      <c r="Q255" s="256"/>
      <c r="R255" s="256"/>
      <c r="S255" s="256"/>
      <c r="T255" s="256"/>
      <c r="U255" s="256"/>
      <c r="V255" s="256"/>
      <c r="W255" s="246"/>
      <c r="X255" s="255"/>
      <c r="Y255" s="255"/>
      <c r="Z255" s="255"/>
      <c r="AA255" s="255"/>
      <c r="AB255" s="255"/>
      <c r="AC255" s="255"/>
      <c r="AD255" s="255"/>
      <c r="AE255" s="1027"/>
      <c r="AF255" s="1027"/>
      <c r="AG255" s="1027"/>
    </row>
    <row r="256" spans="1:33" x14ac:dyDescent="0.25">
      <c r="A256" s="1015" t="s">
        <v>531</v>
      </c>
      <c r="B256" s="1016" t="s">
        <v>545</v>
      </c>
      <c r="C256" s="244"/>
      <c r="D256" s="244"/>
      <c r="E256" s="1029"/>
      <c r="F256" s="256"/>
      <c r="G256" s="256"/>
      <c r="H256" s="256"/>
      <c r="I256" s="256"/>
      <c r="J256" s="256"/>
      <c r="K256" s="256"/>
      <c r="L256" s="256"/>
      <c r="M256" s="256"/>
      <c r="N256" s="256"/>
      <c r="O256" s="256"/>
      <c r="P256" s="256"/>
      <c r="Q256" s="256"/>
      <c r="R256" s="256"/>
      <c r="S256" s="256"/>
      <c r="T256" s="256"/>
      <c r="U256" s="256"/>
      <c r="V256" s="256"/>
      <c r="W256" s="256"/>
      <c r="X256" s="246"/>
      <c r="Y256" s="255"/>
      <c r="Z256" s="255"/>
      <c r="AA256" s="255"/>
      <c r="AB256" s="255"/>
      <c r="AC256" s="255"/>
      <c r="AD256" s="255"/>
      <c r="AE256" s="1027"/>
      <c r="AF256" s="1027"/>
      <c r="AG256" s="1027"/>
    </row>
    <row r="257" spans="1:33" x14ac:dyDescent="0.25">
      <c r="A257" s="1015" t="s">
        <v>531</v>
      </c>
      <c r="B257" s="1016" t="s">
        <v>546</v>
      </c>
      <c r="C257" s="244"/>
      <c r="D257" s="244"/>
      <c r="E257" s="1029"/>
      <c r="F257" s="256"/>
      <c r="G257" s="256"/>
      <c r="H257" s="256"/>
      <c r="I257" s="256"/>
      <c r="J257" s="256"/>
      <c r="K257" s="256"/>
      <c r="L257" s="256"/>
      <c r="M257" s="256"/>
      <c r="N257" s="256"/>
      <c r="O257" s="256"/>
      <c r="P257" s="256"/>
      <c r="Q257" s="256"/>
      <c r="R257" s="256"/>
      <c r="S257" s="256"/>
      <c r="T257" s="256"/>
      <c r="U257" s="256"/>
      <c r="V257" s="256"/>
      <c r="W257" s="256"/>
      <c r="X257" s="256"/>
      <c r="Y257" s="246"/>
      <c r="Z257" s="1027"/>
      <c r="AA257" s="1027"/>
      <c r="AB257" s="1027"/>
      <c r="AC257" s="1027"/>
      <c r="AD257" s="1027"/>
      <c r="AE257" s="1027"/>
      <c r="AF257" s="1027"/>
      <c r="AG257" s="1027"/>
    </row>
    <row r="258" spans="1:33" x14ac:dyDescent="0.25">
      <c r="A258" s="1015" t="s">
        <v>531</v>
      </c>
      <c r="B258" s="1016" t="s">
        <v>1428</v>
      </c>
      <c r="C258" s="244"/>
      <c r="D258" s="244"/>
      <c r="E258" s="1029"/>
      <c r="F258" s="256"/>
      <c r="G258" s="256"/>
      <c r="H258" s="256"/>
      <c r="I258" s="256"/>
      <c r="J258" s="256"/>
      <c r="K258" s="256"/>
      <c r="L258" s="256"/>
      <c r="M258" s="256"/>
      <c r="N258" s="256"/>
      <c r="O258" s="256"/>
      <c r="P258" s="256"/>
      <c r="Q258" s="256"/>
      <c r="R258" s="256"/>
      <c r="S258" s="256"/>
      <c r="T258" s="256"/>
      <c r="U258" s="256"/>
      <c r="V258" s="256"/>
      <c r="W258" s="256"/>
      <c r="X258" s="256"/>
      <c r="Y258" s="256"/>
      <c r="Z258" s="246"/>
      <c r="AA258" s="255"/>
      <c r="AB258" s="255"/>
      <c r="AC258" s="255"/>
      <c r="AD258" s="255"/>
      <c r="AE258" s="244"/>
      <c r="AF258" s="244"/>
      <c r="AG258" s="1027"/>
    </row>
    <row r="259" spans="1:33" x14ac:dyDescent="0.25">
      <c r="A259" s="1015" t="s">
        <v>531</v>
      </c>
      <c r="B259" s="1016" t="s">
        <v>1429</v>
      </c>
      <c r="C259" s="244"/>
      <c r="D259" s="244"/>
      <c r="E259" s="1029"/>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46"/>
      <c r="AB259" s="255"/>
      <c r="AC259" s="255"/>
      <c r="AD259" s="255"/>
      <c r="AE259" s="244"/>
      <c r="AF259" s="244"/>
      <c r="AG259" s="1027"/>
    </row>
    <row r="260" spans="1:33" x14ac:dyDescent="0.25">
      <c r="A260" s="1015" t="s">
        <v>531</v>
      </c>
      <c r="B260" s="1016" t="s">
        <v>1430</v>
      </c>
      <c r="C260" s="244"/>
      <c r="D260" s="244"/>
      <c r="E260" s="1029"/>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46"/>
      <c r="AC260" s="255"/>
      <c r="AD260" s="255"/>
      <c r="AE260" s="244"/>
      <c r="AF260" s="244"/>
      <c r="AG260" s="1027"/>
    </row>
    <row r="261" spans="1:33" x14ac:dyDescent="0.25">
      <c r="A261" s="1015" t="s">
        <v>531</v>
      </c>
      <c r="B261" s="1016" t="s">
        <v>1431</v>
      </c>
      <c r="C261" s="244"/>
      <c r="D261" s="244"/>
      <c r="E261" s="1029"/>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46"/>
      <c r="AD261" s="255"/>
      <c r="AE261" s="244"/>
      <c r="AF261" s="244"/>
      <c r="AG261" s="1027"/>
    </row>
    <row r="262" spans="1:33" x14ac:dyDescent="0.25">
      <c r="A262" s="1015" t="s">
        <v>531</v>
      </c>
      <c r="B262" s="1016" t="s">
        <v>1432</v>
      </c>
      <c r="C262" s="244"/>
      <c r="D262" s="244"/>
      <c r="E262" s="1029"/>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46"/>
      <c r="AE262" s="244"/>
      <c r="AF262" s="244"/>
      <c r="AG262" s="1027"/>
    </row>
    <row r="263" spans="1:33" ht="13" x14ac:dyDescent="0.3">
      <c r="A263" s="1019"/>
      <c r="B263" s="1020" t="s">
        <v>270</v>
      </c>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row>
    <row r="264" spans="1:33" x14ac:dyDescent="0.25">
      <c r="C264" s="1031"/>
    </row>
    <row r="267" spans="1:33" ht="13" x14ac:dyDescent="0.3">
      <c r="B267" s="1010" t="s">
        <v>260</v>
      </c>
      <c r="F267" s="1011" t="s">
        <v>10</v>
      </c>
    </row>
    <row r="268" spans="1:33" ht="26.15" customHeight="1" x14ac:dyDescent="0.35">
      <c r="A268" s="1012"/>
      <c r="B268" s="1025" t="s">
        <v>412</v>
      </c>
      <c r="C268" s="2007" t="s">
        <v>513</v>
      </c>
      <c r="D268" s="2007" t="s">
        <v>514</v>
      </c>
      <c r="E268" s="2007" t="s">
        <v>584</v>
      </c>
      <c r="F268" s="2009" t="s">
        <v>585</v>
      </c>
      <c r="G268" s="2010"/>
      <c r="H268" s="2010"/>
      <c r="I268" s="2010"/>
      <c r="J268" s="2010"/>
      <c r="K268" s="2010"/>
      <c r="L268" s="2010"/>
      <c r="M268" s="2010"/>
      <c r="N268" s="2010"/>
      <c r="O268" s="2010"/>
      <c r="P268" s="2010"/>
      <c r="Q268" s="2010"/>
      <c r="R268" s="2010"/>
      <c r="S268" s="2010"/>
      <c r="T268" s="2010"/>
      <c r="U268" s="2010"/>
      <c r="V268" s="2010"/>
      <c r="W268" s="2010"/>
      <c r="X268" s="2010"/>
      <c r="Y268" s="2010"/>
      <c r="Z268" s="2010"/>
      <c r="AA268" s="2010"/>
      <c r="AB268" s="2010"/>
      <c r="AC268" s="2010"/>
      <c r="AD268" s="2011"/>
      <c r="AE268" s="1013" t="s">
        <v>536</v>
      </c>
      <c r="AF268" s="1013" t="s">
        <v>529</v>
      </c>
      <c r="AG268" s="1013" t="s">
        <v>537</v>
      </c>
    </row>
    <row r="269" spans="1:33" ht="12.9" customHeight="1" x14ac:dyDescent="0.25">
      <c r="A269" s="1012"/>
      <c r="B269" s="1025"/>
      <c r="C269" s="2008"/>
      <c r="D269" s="2008"/>
      <c r="E269" s="2008"/>
      <c r="F269" s="1014" t="s">
        <v>515</v>
      </c>
      <c r="G269" s="1014" t="s">
        <v>516</v>
      </c>
      <c r="H269" s="1014" t="s">
        <v>517</v>
      </c>
      <c r="I269" s="1014" t="s">
        <v>518</v>
      </c>
      <c r="J269" s="1014" t="s">
        <v>519</v>
      </c>
      <c r="K269" s="1014" t="s">
        <v>520</v>
      </c>
      <c r="L269" s="1014" t="s">
        <v>521</v>
      </c>
      <c r="M269" s="1014" t="s">
        <v>522</v>
      </c>
      <c r="N269" s="1014" t="s">
        <v>523</v>
      </c>
      <c r="O269" s="1014" t="s">
        <v>524</v>
      </c>
      <c r="P269" s="1014" t="s">
        <v>525</v>
      </c>
      <c r="Q269" s="1014" t="s">
        <v>526</v>
      </c>
      <c r="R269" s="1014" t="s">
        <v>527</v>
      </c>
      <c r="S269" s="1014" t="s">
        <v>528</v>
      </c>
      <c r="T269" s="1014" t="s">
        <v>324</v>
      </c>
      <c r="U269" s="1014" t="s">
        <v>504</v>
      </c>
      <c r="V269" s="1014" t="s">
        <v>505</v>
      </c>
      <c r="W269" s="1014" t="s">
        <v>506</v>
      </c>
      <c r="X269" s="1014" t="s">
        <v>507</v>
      </c>
      <c r="Y269" s="1014" t="s">
        <v>508</v>
      </c>
      <c r="Z269" s="1014" t="s">
        <v>968</v>
      </c>
      <c r="AA269" s="1014" t="s">
        <v>969</v>
      </c>
      <c r="AB269" s="1014" t="s">
        <v>970</v>
      </c>
      <c r="AC269" s="1014" t="s">
        <v>971</v>
      </c>
      <c r="AD269" s="1014" t="s">
        <v>972</v>
      </c>
      <c r="AE269" s="1013"/>
      <c r="AF269" s="1013"/>
      <c r="AG269" s="1013"/>
    </row>
    <row r="270" spans="1:33" x14ac:dyDescent="0.25">
      <c r="A270" s="1015" t="s">
        <v>530</v>
      </c>
      <c r="B270" s="1016">
        <v>2005</v>
      </c>
      <c r="C270" s="1015"/>
      <c r="D270" s="1015"/>
      <c r="E270" s="1026"/>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1027"/>
      <c r="AF270" s="1027"/>
      <c r="AG270" s="1027"/>
    </row>
    <row r="271" spans="1:33" x14ac:dyDescent="0.25">
      <c r="A271" s="1015" t="s">
        <v>531</v>
      </c>
      <c r="B271" s="1016" t="s">
        <v>515</v>
      </c>
      <c r="C271" s="1015"/>
      <c r="D271" s="1015"/>
      <c r="E271" s="1026"/>
      <c r="F271" s="246"/>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1027"/>
      <c r="AF271" s="1027"/>
      <c r="AG271" s="1027"/>
    </row>
    <row r="272" spans="1:33" x14ac:dyDescent="0.25">
      <c r="A272" s="1015" t="s">
        <v>531</v>
      </c>
      <c r="B272" s="1016" t="s">
        <v>516</v>
      </c>
      <c r="C272" s="1015"/>
      <c r="D272" s="1015"/>
      <c r="E272" s="1026"/>
      <c r="F272" s="256"/>
      <c r="G272" s="246"/>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1027"/>
      <c r="AF272" s="1027"/>
      <c r="AG272" s="1027"/>
    </row>
    <row r="273" spans="1:33" x14ac:dyDescent="0.25">
      <c r="A273" s="1015" t="s">
        <v>531</v>
      </c>
      <c r="B273" s="1016" t="s">
        <v>517</v>
      </c>
      <c r="C273" s="1015"/>
      <c r="D273" s="1015"/>
      <c r="E273" s="1026"/>
      <c r="F273" s="256"/>
      <c r="G273" s="256"/>
      <c r="H273" s="246"/>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1027"/>
      <c r="AF273" s="1027"/>
      <c r="AG273" s="1027"/>
    </row>
    <row r="274" spans="1:33" x14ac:dyDescent="0.25">
      <c r="A274" s="1015" t="s">
        <v>531</v>
      </c>
      <c r="B274" s="1016" t="s">
        <v>518</v>
      </c>
      <c r="C274" s="1015"/>
      <c r="D274" s="1015"/>
      <c r="E274" s="1026"/>
      <c r="F274" s="256"/>
      <c r="G274" s="256"/>
      <c r="H274" s="256"/>
      <c r="I274" s="246"/>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1027"/>
      <c r="AF274" s="1027"/>
      <c r="AG274" s="1027"/>
    </row>
    <row r="275" spans="1:33" x14ac:dyDescent="0.25">
      <c r="A275" s="1015" t="s">
        <v>531</v>
      </c>
      <c r="B275" s="1016" t="s">
        <v>519</v>
      </c>
      <c r="C275" s="1015"/>
      <c r="D275" s="1015"/>
      <c r="E275" s="1026"/>
      <c r="F275" s="256"/>
      <c r="G275" s="256"/>
      <c r="H275" s="256"/>
      <c r="I275" s="256"/>
      <c r="J275" s="246"/>
      <c r="K275" s="255"/>
      <c r="L275" s="255"/>
      <c r="M275" s="255"/>
      <c r="N275" s="255"/>
      <c r="O275" s="255"/>
      <c r="P275" s="255"/>
      <c r="Q275" s="255"/>
      <c r="R275" s="255"/>
      <c r="S275" s="255"/>
      <c r="T275" s="255"/>
      <c r="U275" s="255"/>
      <c r="V275" s="255"/>
      <c r="W275" s="255"/>
      <c r="X275" s="255"/>
      <c r="Y275" s="255"/>
      <c r="Z275" s="255"/>
      <c r="AA275" s="255"/>
      <c r="AB275" s="255"/>
      <c r="AC275" s="255"/>
      <c r="AD275" s="255"/>
      <c r="AE275" s="1027"/>
      <c r="AF275" s="1027"/>
      <c r="AG275" s="1027"/>
    </row>
    <row r="276" spans="1:33" x14ac:dyDescent="0.25">
      <c r="A276" s="1015" t="s">
        <v>531</v>
      </c>
      <c r="B276" s="1016" t="s">
        <v>520</v>
      </c>
      <c r="C276" s="1015"/>
      <c r="D276" s="1015"/>
      <c r="E276" s="1026"/>
      <c r="F276" s="256"/>
      <c r="G276" s="256"/>
      <c r="H276" s="256"/>
      <c r="I276" s="256"/>
      <c r="J276" s="256"/>
      <c r="K276" s="246"/>
      <c r="L276" s="255"/>
      <c r="M276" s="255"/>
      <c r="N276" s="255"/>
      <c r="O276" s="255"/>
      <c r="P276" s="255"/>
      <c r="Q276" s="255"/>
      <c r="R276" s="255"/>
      <c r="S276" s="255"/>
      <c r="T276" s="255"/>
      <c r="U276" s="255"/>
      <c r="V276" s="255"/>
      <c r="W276" s="255"/>
      <c r="X276" s="255"/>
      <c r="Y276" s="255"/>
      <c r="Z276" s="255"/>
      <c r="AA276" s="255"/>
      <c r="AB276" s="255"/>
      <c r="AC276" s="255"/>
      <c r="AD276" s="255"/>
      <c r="AE276" s="1027"/>
      <c r="AF276" s="1027"/>
      <c r="AG276" s="1027"/>
    </row>
    <row r="277" spans="1:33" x14ac:dyDescent="0.25">
      <c r="A277" s="1015" t="s">
        <v>531</v>
      </c>
      <c r="B277" s="1016" t="s">
        <v>521</v>
      </c>
      <c r="C277" s="1015"/>
      <c r="D277" s="1015"/>
      <c r="E277" s="1026"/>
      <c r="F277" s="256"/>
      <c r="G277" s="256"/>
      <c r="H277" s="256"/>
      <c r="I277" s="256"/>
      <c r="J277" s="256"/>
      <c r="K277" s="256"/>
      <c r="L277" s="246"/>
      <c r="M277" s="255"/>
      <c r="N277" s="255"/>
      <c r="O277" s="255"/>
      <c r="P277" s="255"/>
      <c r="Q277" s="255"/>
      <c r="R277" s="255"/>
      <c r="S277" s="255"/>
      <c r="T277" s="255"/>
      <c r="U277" s="255"/>
      <c r="V277" s="255"/>
      <c r="W277" s="255"/>
      <c r="X277" s="255"/>
      <c r="Y277" s="255"/>
      <c r="Z277" s="255"/>
      <c r="AA277" s="255"/>
      <c r="AB277" s="255"/>
      <c r="AC277" s="255"/>
      <c r="AD277" s="255"/>
      <c r="AE277" s="1027"/>
      <c r="AF277" s="1027"/>
      <c r="AG277" s="1027"/>
    </row>
    <row r="278" spans="1:33" x14ac:dyDescent="0.25">
      <c r="A278" s="1015" t="s">
        <v>531</v>
      </c>
      <c r="B278" s="1016" t="s">
        <v>522</v>
      </c>
      <c r="C278" s="1015"/>
      <c r="D278" s="1015"/>
      <c r="E278" s="1026"/>
      <c r="F278" s="256"/>
      <c r="G278" s="256"/>
      <c r="H278" s="256"/>
      <c r="I278" s="256"/>
      <c r="J278" s="256"/>
      <c r="K278" s="256"/>
      <c r="L278" s="256"/>
      <c r="M278" s="246"/>
      <c r="N278" s="255"/>
      <c r="O278" s="255"/>
      <c r="P278" s="255"/>
      <c r="Q278" s="255"/>
      <c r="R278" s="255"/>
      <c r="S278" s="255"/>
      <c r="T278" s="255"/>
      <c r="U278" s="255"/>
      <c r="V278" s="255"/>
      <c r="W278" s="255"/>
      <c r="X278" s="255"/>
      <c r="Y278" s="255"/>
      <c r="Z278" s="255"/>
      <c r="AA278" s="255"/>
      <c r="AB278" s="255"/>
      <c r="AC278" s="255"/>
      <c r="AD278" s="255"/>
      <c r="AE278" s="1027"/>
      <c r="AF278" s="1027"/>
      <c r="AG278" s="1027"/>
    </row>
    <row r="279" spans="1:33" x14ac:dyDescent="0.25">
      <c r="A279" s="1015" t="s">
        <v>531</v>
      </c>
      <c r="B279" s="1016" t="s">
        <v>523</v>
      </c>
      <c r="C279" s="1015"/>
      <c r="D279" s="1015"/>
      <c r="E279" s="1026"/>
      <c r="F279" s="256"/>
      <c r="G279" s="256"/>
      <c r="H279" s="256"/>
      <c r="I279" s="256"/>
      <c r="J279" s="256"/>
      <c r="K279" s="256"/>
      <c r="L279" s="256"/>
      <c r="M279" s="256"/>
      <c r="N279" s="246"/>
      <c r="O279" s="255"/>
      <c r="P279" s="255"/>
      <c r="Q279" s="255"/>
      <c r="R279" s="255"/>
      <c r="S279" s="255"/>
      <c r="T279" s="255"/>
      <c r="U279" s="255"/>
      <c r="V279" s="255"/>
      <c r="W279" s="255"/>
      <c r="X279" s="255"/>
      <c r="Y279" s="255"/>
      <c r="Z279" s="255"/>
      <c r="AA279" s="255"/>
      <c r="AB279" s="255"/>
      <c r="AC279" s="255"/>
      <c r="AD279" s="255"/>
      <c r="AE279" s="1027"/>
      <c r="AF279" s="1027"/>
      <c r="AG279" s="1027"/>
    </row>
    <row r="280" spans="1:33" x14ac:dyDescent="0.25">
      <c r="A280" s="1015" t="s">
        <v>531</v>
      </c>
      <c r="B280" s="1016" t="s">
        <v>524</v>
      </c>
      <c r="C280" s="244"/>
      <c r="D280" s="1015"/>
      <c r="E280" s="1026"/>
      <c r="F280" s="256"/>
      <c r="G280" s="256"/>
      <c r="H280" s="256"/>
      <c r="I280" s="256"/>
      <c r="J280" s="256"/>
      <c r="K280" s="256"/>
      <c r="L280" s="256"/>
      <c r="M280" s="256"/>
      <c r="N280" s="256"/>
      <c r="O280" s="246"/>
      <c r="P280" s="255"/>
      <c r="Q280" s="255"/>
      <c r="R280" s="255"/>
      <c r="S280" s="255"/>
      <c r="T280" s="255"/>
      <c r="U280" s="255"/>
      <c r="V280" s="255"/>
      <c r="W280" s="255"/>
      <c r="X280" s="255"/>
      <c r="Y280" s="255"/>
      <c r="Z280" s="255"/>
      <c r="AA280" s="255"/>
      <c r="AB280" s="255"/>
      <c r="AC280" s="255"/>
      <c r="AD280" s="255"/>
      <c r="AE280" s="1027"/>
      <c r="AF280" s="1027"/>
      <c r="AG280" s="1027"/>
    </row>
    <row r="281" spans="1:33" x14ac:dyDescent="0.25">
      <c r="A281" s="1015" t="s">
        <v>531</v>
      </c>
      <c r="B281" s="1016" t="s">
        <v>525</v>
      </c>
      <c r="C281" s="244"/>
      <c r="D281" s="1015"/>
      <c r="E281" s="1026"/>
      <c r="F281" s="256"/>
      <c r="G281" s="256"/>
      <c r="H281" s="256"/>
      <c r="I281" s="256"/>
      <c r="J281" s="256"/>
      <c r="K281" s="256"/>
      <c r="L281" s="256"/>
      <c r="M281" s="256"/>
      <c r="N281" s="256"/>
      <c r="O281" s="256"/>
      <c r="P281" s="246"/>
      <c r="Q281" s="255"/>
      <c r="R281" s="255"/>
      <c r="S281" s="255"/>
      <c r="T281" s="255"/>
      <c r="U281" s="255"/>
      <c r="V281" s="255"/>
      <c r="W281" s="255"/>
      <c r="X281" s="255"/>
      <c r="Y281" s="255"/>
      <c r="Z281" s="255"/>
      <c r="AA281" s="255"/>
      <c r="AB281" s="255"/>
      <c r="AC281" s="255"/>
      <c r="AD281" s="255"/>
      <c r="AE281" s="1027"/>
      <c r="AF281" s="1027"/>
      <c r="AG281" s="1027"/>
    </row>
    <row r="282" spans="1:33" x14ac:dyDescent="0.25">
      <c r="A282" s="1015" t="s">
        <v>531</v>
      </c>
      <c r="B282" s="1016" t="s">
        <v>526</v>
      </c>
      <c r="C282" s="244"/>
      <c r="D282" s="244"/>
      <c r="E282" s="1026"/>
      <c r="F282" s="256"/>
      <c r="G282" s="256"/>
      <c r="H282" s="256"/>
      <c r="I282" s="256"/>
      <c r="J282" s="256"/>
      <c r="K282" s="256"/>
      <c r="L282" s="256"/>
      <c r="M282" s="256"/>
      <c r="N282" s="256"/>
      <c r="O282" s="256"/>
      <c r="P282" s="256"/>
      <c r="Q282" s="246"/>
      <c r="R282" s="255"/>
      <c r="S282" s="255"/>
      <c r="T282" s="255"/>
      <c r="U282" s="255"/>
      <c r="V282" s="255"/>
      <c r="W282" s="255"/>
      <c r="X282" s="255"/>
      <c r="Y282" s="255"/>
      <c r="Z282" s="255"/>
      <c r="AA282" s="255"/>
      <c r="AB282" s="255"/>
      <c r="AC282" s="255"/>
      <c r="AD282" s="255"/>
      <c r="AE282" s="1027"/>
      <c r="AF282" s="1027"/>
      <c r="AG282" s="1027"/>
    </row>
    <row r="283" spans="1:33" x14ac:dyDescent="0.25">
      <c r="A283" s="1015" t="s">
        <v>531</v>
      </c>
      <c r="B283" s="1016" t="s">
        <v>527</v>
      </c>
      <c r="C283" s="244"/>
      <c r="D283" s="244"/>
      <c r="E283" s="1026"/>
      <c r="F283" s="256"/>
      <c r="G283" s="256"/>
      <c r="H283" s="256"/>
      <c r="I283" s="256"/>
      <c r="J283" s="256"/>
      <c r="K283" s="256"/>
      <c r="L283" s="256"/>
      <c r="M283" s="256"/>
      <c r="N283" s="256"/>
      <c r="O283" s="256"/>
      <c r="P283" s="256"/>
      <c r="Q283" s="256"/>
      <c r="R283" s="246"/>
      <c r="S283" s="255"/>
      <c r="T283" s="255"/>
      <c r="U283" s="255"/>
      <c r="V283" s="255"/>
      <c r="W283" s="255"/>
      <c r="X283" s="255"/>
      <c r="Y283" s="255"/>
      <c r="Z283" s="255"/>
      <c r="AA283" s="255"/>
      <c r="AB283" s="255"/>
      <c r="AC283" s="255"/>
      <c r="AD283" s="255"/>
      <c r="AE283" s="1027"/>
      <c r="AF283" s="1027"/>
      <c r="AG283" s="1027"/>
    </row>
    <row r="284" spans="1:33" x14ac:dyDescent="0.25">
      <c r="A284" s="1015" t="s">
        <v>531</v>
      </c>
      <c r="B284" s="1016" t="s">
        <v>528</v>
      </c>
      <c r="C284" s="244"/>
      <c r="D284" s="244"/>
      <c r="E284" s="1026"/>
      <c r="F284" s="256"/>
      <c r="G284" s="256"/>
      <c r="H284" s="256"/>
      <c r="I284" s="256"/>
      <c r="J284" s="256"/>
      <c r="K284" s="256"/>
      <c r="L284" s="256"/>
      <c r="M284" s="256"/>
      <c r="N284" s="256"/>
      <c r="O284" s="256"/>
      <c r="P284" s="256"/>
      <c r="Q284" s="256"/>
      <c r="R284" s="256"/>
      <c r="S284" s="246"/>
      <c r="T284" s="255"/>
      <c r="U284" s="255"/>
      <c r="V284" s="255"/>
      <c r="W284" s="255"/>
      <c r="X284" s="255"/>
      <c r="Y284" s="255"/>
      <c r="Z284" s="255"/>
      <c r="AA284" s="255"/>
      <c r="AB284" s="255"/>
      <c r="AC284" s="255"/>
      <c r="AD284" s="255"/>
      <c r="AE284" s="1027"/>
      <c r="AF284" s="1027"/>
      <c r="AG284" s="1027"/>
    </row>
    <row r="285" spans="1:33" x14ac:dyDescent="0.25">
      <c r="A285" s="1015" t="s">
        <v>531</v>
      </c>
      <c r="B285" s="1016" t="s">
        <v>532</v>
      </c>
      <c r="C285" s="244"/>
      <c r="D285" s="244"/>
      <c r="E285" s="1029"/>
      <c r="F285" s="256"/>
      <c r="G285" s="256"/>
      <c r="H285" s="256"/>
      <c r="I285" s="256"/>
      <c r="J285" s="256"/>
      <c r="K285" s="256"/>
      <c r="L285" s="256"/>
      <c r="M285" s="256"/>
      <c r="N285" s="256"/>
      <c r="O285" s="256"/>
      <c r="P285" s="256"/>
      <c r="Q285" s="256"/>
      <c r="R285" s="256"/>
      <c r="S285" s="256"/>
      <c r="T285" s="246"/>
      <c r="U285" s="255"/>
      <c r="V285" s="255"/>
      <c r="W285" s="255"/>
      <c r="X285" s="255"/>
      <c r="Y285" s="255"/>
      <c r="Z285" s="255"/>
      <c r="AA285" s="255"/>
      <c r="AB285" s="255"/>
      <c r="AC285" s="255"/>
      <c r="AD285" s="255"/>
      <c r="AE285" s="1027"/>
      <c r="AF285" s="1027"/>
      <c r="AG285" s="1027"/>
    </row>
    <row r="286" spans="1:33" x14ac:dyDescent="0.25">
      <c r="A286" s="1015" t="s">
        <v>531</v>
      </c>
      <c r="B286" s="1016" t="s">
        <v>533</v>
      </c>
      <c r="C286" s="244"/>
      <c r="D286" s="244"/>
      <c r="E286" s="1029"/>
      <c r="F286" s="256"/>
      <c r="G286" s="256"/>
      <c r="H286" s="256"/>
      <c r="I286" s="256"/>
      <c r="J286" s="256"/>
      <c r="K286" s="256"/>
      <c r="L286" s="256"/>
      <c r="M286" s="256"/>
      <c r="N286" s="256"/>
      <c r="O286" s="256"/>
      <c r="P286" s="256"/>
      <c r="Q286" s="256"/>
      <c r="R286" s="256"/>
      <c r="S286" s="256"/>
      <c r="T286" s="256"/>
      <c r="U286" s="246"/>
      <c r="V286" s="255"/>
      <c r="W286" s="255"/>
      <c r="X286" s="255"/>
      <c r="Y286" s="255"/>
      <c r="Z286" s="255"/>
      <c r="AA286" s="255"/>
      <c r="AB286" s="255"/>
      <c r="AC286" s="255"/>
      <c r="AD286" s="255"/>
      <c r="AE286" s="1027"/>
      <c r="AF286" s="1027"/>
      <c r="AG286" s="1027"/>
    </row>
    <row r="287" spans="1:33" x14ac:dyDescent="0.25">
      <c r="A287" s="1015" t="s">
        <v>531</v>
      </c>
      <c r="B287" s="1016" t="s">
        <v>534</v>
      </c>
      <c r="C287" s="244"/>
      <c r="D287" s="244"/>
      <c r="E287" s="1029"/>
      <c r="F287" s="256"/>
      <c r="G287" s="256"/>
      <c r="H287" s="256"/>
      <c r="I287" s="256"/>
      <c r="J287" s="256"/>
      <c r="K287" s="256"/>
      <c r="L287" s="256"/>
      <c r="M287" s="256"/>
      <c r="N287" s="256"/>
      <c r="O287" s="256"/>
      <c r="P287" s="256"/>
      <c r="Q287" s="256"/>
      <c r="R287" s="256"/>
      <c r="S287" s="256"/>
      <c r="T287" s="256"/>
      <c r="U287" s="256"/>
      <c r="V287" s="246"/>
      <c r="W287" s="255"/>
      <c r="X287" s="255"/>
      <c r="Y287" s="255"/>
      <c r="Z287" s="255"/>
      <c r="AA287" s="255"/>
      <c r="AB287" s="255"/>
      <c r="AC287" s="255"/>
      <c r="AD287" s="255"/>
      <c r="AE287" s="1027"/>
      <c r="AF287" s="1027"/>
      <c r="AG287" s="1027"/>
    </row>
    <row r="288" spans="1:33" x14ac:dyDescent="0.25">
      <c r="A288" s="1015" t="s">
        <v>531</v>
      </c>
      <c r="B288" s="1016" t="s">
        <v>544</v>
      </c>
      <c r="C288" s="244"/>
      <c r="D288" s="244"/>
      <c r="E288" s="1029"/>
      <c r="F288" s="256"/>
      <c r="G288" s="256"/>
      <c r="H288" s="256"/>
      <c r="I288" s="256"/>
      <c r="J288" s="256"/>
      <c r="K288" s="256"/>
      <c r="L288" s="256"/>
      <c r="M288" s="256"/>
      <c r="N288" s="256"/>
      <c r="O288" s="256"/>
      <c r="P288" s="256"/>
      <c r="Q288" s="256"/>
      <c r="R288" s="256"/>
      <c r="S288" s="256"/>
      <c r="T288" s="256"/>
      <c r="U288" s="256"/>
      <c r="V288" s="256"/>
      <c r="W288" s="246"/>
      <c r="X288" s="255"/>
      <c r="Y288" s="255"/>
      <c r="Z288" s="255"/>
      <c r="AA288" s="255"/>
      <c r="AB288" s="255"/>
      <c r="AC288" s="255"/>
      <c r="AD288" s="255"/>
      <c r="AE288" s="1027"/>
      <c r="AF288" s="1027"/>
      <c r="AG288" s="1027"/>
    </row>
    <row r="289" spans="1:33" x14ac:dyDescent="0.25">
      <c r="A289" s="1015" t="s">
        <v>531</v>
      </c>
      <c r="B289" s="1016" t="s">
        <v>545</v>
      </c>
      <c r="C289" s="244"/>
      <c r="D289" s="244"/>
      <c r="E289" s="1029"/>
      <c r="F289" s="256"/>
      <c r="G289" s="256"/>
      <c r="H289" s="256"/>
      <c r="I289" s="256"/>
      <c r="J289" s="256"/>
      <c r="K289" s="256"/>
      <c r="L289" s="256"/>
      <c r="M289" s="256"/>
      <c r="N289" s="256"/>
      <c r="O289" s="256"/>
      <c r="P289" s="256"/>
      <c r="Q289" s="256"/>
      <c r="R289" s="256"/>
      <c r="S289" s="256"/>
      <c r="T289" s="256"/>
      <c r="U289" s="256"/>
      <c r="V289" s="256"/>
      <c r="W289" s="256"/>
      <c r="X289" s="246"/>
      <c r="Y289" s="255"/>
      <c r="Z289" s="255"/>
      <c r="AA289" s="255"/>
      <c r="AB289" s="255"/>
      <c r="AC289" s="255"/>
      <c r="AD289" s="255"/>
      <c r="AE289" s="1027"/>
      <c r="AF289" s="1027"/>
      <c r="AG289" s="1027"/>
    </row>
    <row r="290" spans="1:33" x14ac:dyDescent="0.25">
      <c r="A290" s="1015" t="s">
        <v>531</v>
      </c>
      <c r="B290" s="1016" t="s">
        <v>546</v>
      </c>
      <c r="C290" s="244"/>
      <c r="D290" s="244"/>
      <c r="E290" s="1029"/>
      <c r="F290" s="256"/>
      <c r="G290" s="256"/>
      <c r="H290" s="256"/>
      <c r="I290" s="256"/>
      <c r="J290" s="256"/>
      <c r="K290" s="256"/>
      <c r="L290" s="256"/>
      <c r="M290" s="256"/>
      <c r="N290" s="256"/>
      <c r="O290" s="256"/>
      <c r="P290" s="256"/>
      <c r="Q290" s="256"/>
      <c r="R290" s="256"/>
      <c r="S290" s="256"/>
      <c r="T290" s="256"/>
      <c r="U290" s="256"/>
      <c r="V290" s="256"/>
      <c r="W290" s="256"/>
      <c r="X290" s="256"/>
      <c r="Y290" s="246"/>
      <c r="Z290" s="1027"/>
      <c r="AA290" s="1027"/>
      <c r="AB290" s="1027"/>
      <c r="AC290" s="1027"/>
      <c r="AD290" s="1027"/>
      <c r="AE290" s="1027"/>
      <c r="AF290" s="1027"/>
      <c r="AG290" s="1027"/>
    </row>
    <row r="291" spans="1:33" x14ac:dyDescent="0.25">
      <c r="A291" s="1015" t="s">
        <v>531</v>
      </c>
      <c r="B291" s="1016" t="s">
        <v>1428</v>
      </c>
      <c r="C291" s="244"/>
      <c r="D291" s="244"/>
      <c r="E291" s="1029"/>
      <c r="F291" s="256"/>
      <c r="G291" s="256"/>
      <c r="H291" s="256"/>
      <c r="I291" s="256"/>
      <c r="J291" s="256"/>
      <c r="K291" s="256"/>
      <c r="L291" s="256"/>
      <c r="M291" s="256"/>
      <c r="N291" s="256"/>
      <c r="O291" s="256"/>
      <c r="P291" s="256"/>
      <c r="Q291" s="256"/>
      <c r="R291" s="256"/>
      <c r="S291" s="256"/>
      <c r="T291" s="256"/>
      <c r="U291" s="256"/>
      <c r="V291" s="256"/>
      <c r="W291" s="256"/>
      <c r="X291" s="256"/>
      <c r="Y291" s="256"/>
      <c r="Z291" s="246"/>
      <c r="AA291" s="255"/>
      <c r="AB291" s="255"/>
      <c r="AC291" s="255"/>
      <c r="AD291" s="255"/>
      <c r="AE291" s="244"/>
      <c r="AF291" s="244"/>
      <c r="AG291" s="1027"/>
    </row>
    <row r="292" spans="1:33" x14ac:dyDescent="0.25">
      <c r="A292" s="1015" t="s">
        <v>531</v>
      </c>
      <c r="B292" s="1016" t="s">
        <v>1429</v>
      </c>
      <c r="C292" s="244"/>
      <c r="D292" s="244"/>
      <c r="E292" s="1029"/>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46"/>
      <c r="AB292" s="255"/>
      <c r="AC292" s="255"/>
      <c r="AD292" s="255"/>
      <c r="AE292" s="244"/>
      <c r="AF292" s="244"/>
      <c r="AG292" s="1027"/>
    </row>
    <row r="293" spans="1:33" x14ac:dyDescent="0.25">
      <c r="A293" s="1015" t="s">
        <v>531</v>
      </c>
      <c r="B293" s="1016" t="s">
        <v>1430</v>
      </c>
      <c r="C293" s="244"/>
      <c r="D293" s="244"/>
      <c r="E293" s="1029"/>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46"/>
      <c r="AC293" s="255"/>
      <c r="AD293" s="255"/>
      <c r="AE293" s="244"/>
      <c r="AF293" s="244"/>
      <c r="AG293" s="1027"/>
    </row>
    <row r="294" spans="1:33" x14ac:dyDescent="0.25">
      <c r="A294" s="1015" t="s">
        <v>531</v>
      </c>
      <c r="B294" s="1016" t="s">
        <v>1431</v>
      </c>
      <c r="C294" s="244"/>
      <c r="D294" s="244"/>
      <c r="E294" s="1029"/>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46"/>
      <c r="AD294" s="255"/>
      <c r="AE294" s="244"/>
      <c r="AF294" s="244"/>
      <c r="AG294" s="1027"/>
    </row>
    <row r="295" spans="1:33" x14ac:dyDescent="0.25">
      <c r="A295" s="1015" t="s">
        <v>531</v>
      </c>
      <c r="B295" s="1016" t="s">
        <v>1432</v>
      </c>
      <c r="C295" s="244"/>
      <c r="D295" s="244"/>
      <c r="E295" s="1029"/>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46"/>
      <c r="AE295" s="244"/>
      <c r="AF295" s="244"/>
      <c r="AG295" s="1027"/>
    </row>
    <row r="296" spans="1:33" ht="13" x14ac:dyDescent="0.3">
      <c r="A296" s="1019"/>
      <c r="B296" s="1020" t="s">
        <v>270</v>
      </c>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c r="AF296" s="245"/>
      <c r="AG296" s="245"/>
    </row>
    <row r="297" spans="1:33" x14ac:dyDescent="0.25">
      <c r="C297" s="1031"/>
    </row>
    <row r="300" spans="1:33" ht="13" x14ac:dyDescent="0.3">
      <c r="B300" s="1010" t="s">
        <v>270</v>
      </c>
      <c r="F300" s="1011" t="s">
        <v>10</v>
      </c>
    </row>
    <row r="301" spans="1:33" ht="26.15" customHeight="1" x14ac:dyDescent="0.35">
      <c r="A301" s="1012"/>
      <c r="B301" s="1025" t="s">
        <v>412</v>
      </c>
      <c r="C301" s="2007" t="s">
        <v>513</v>
      </c>
      <c r="D301" s="2007" t="s">
        <v>514</v>
      </c>
      <c r="E301" s="2007" t="s">
        <v>584</v>
      </c>
      <c r="F301" s="2009" t="s">
        <v>585</v>
      </c>
      <c r="G301" s="2010"/>
      <c r="H301" s="2010"/>
      <c r="I301" s="2010"/>
      <c r="J301" s="2010"/>
      <c r="K301" s="2010"/>
      <c r="L301" s="2010"/>
      <c r="M301" s="2010"/>
      <c r="N301" s="2010"/>
      <c r="O301" s="2010"/>
      <c r="P301" s="2010"/>
      <c r="Q301" s="2010"/>
      <c r="R301" s="2010"/>
      <c r="S301" s="2010"/>
      <c r="T301" s="2010"/>
      <c r="U301" s="2010"/>
      <c r="V301" s="2010"/>
      <c r="W301" s="2010"/>
      <c r="X301" s="2010"/>
      <c r="Y301" s="2010"/>
      <c r="Z301" s="2010"/>
      <c r="AA301" s="2010"/>
      <c r="AB301" s="2010"/>
      <c r="AC301" s="2010"/>
      <c r="AD301" s="2011"/>
      <c r="AE301" s="1013" t="s">
        <v>536</v>
      </c>
      <c r="AF301" s="1013" t="s">
        <v>529</v>
      </c>
      <c r="AG301" s="1013" t="s">
        <v>537</v>
      </c>
    </row>
    <row r="302" spans="1:33" ht="12.9" customHeight="1" x14ac:dyDescent="0.25">
      <c r="A302" s="1012"/>
      <c r="B302" s="1025"/>
      <c r="C302" s="2008"/>
      <c r="D302" s="2008"/>
      <c r="E302" s="2008"/>
      <c r="F302" s="1014" t="s">
        <v>515</v>
      </c>
      <c r="G302" s="1014" t="s">
        <v>516</v>
      </c>
      <c r="H302" s="1014" t="s">
        <v>517</v>
      </c>
      <c r="I302" s="1014" t="s">
        <v>518</v>
      </c>
      <c r="J302" s="1014" t="s">
        <v>519</v>
      </c>
      <c r="K302" s="1014" t="s">
        <v>520</v>
      </c>
      <c r="L302" s="1014" t="s">
        <v>521</v>
      </c>
      <c r="M302" s="1014" t="s">
        <v>522</v>
      </c>
      <c r="N302" s="1014" t="s">
        <v>523</v>
      </c>
      <c r="O302" s="1014" t="s">
        <v>524</v>
      </c>
      <c r="P302" s="1014" t="s">
        <v>525</v>
      </c>
      <c r="Q302" s="1014" t="s">
        <v>526</v>
      </c>
      <c r="R302" s="1014" t="s">
        <v>527</v>
      </c>
      <c r="S302" s="1014" t="s">
        <v>528</v>
      </c>
      <c r="T302" s="1014" t="s">
        <v>324</v>
      </c>
      <c r="U302" s="1014" t="s">
        <v>504</v>
      </c>
      <c r="V302" s="1014" t="s">
        <v>505</v>
      </c>
      <c r="W302" s="1014" t="s">
        <v>506</v>
      </c>
      <c r="X302" s="1014" t="s">
        <v>507</v>
      </c>
      <c r="Y302" s="1014" t="s">
        <v>508</v>
      </c>
      <c r="Z302" s="1014" t="s">
        <v>968</v>
      </c>
      <c r="AA302" s="1014" t="s">
        <v>969</v>
      </c>
      <c r="AB302" s="1014" t="s">
        <v>970</v>
      </c>
      <c r="AC302" s="1014" t="s">
        <v>971</v>
      </c>
      <c r="AD302" s="1014" t="s">
        <v>972</v>
      </c>
      <c r="AE302" s="1013"/>
      <c r="AF302" s="1013"/>
      <c r="AG302" s="1013"/>
    </row>
    <row r="303" spans="1:33" x14ac:dyDescent="0.25">
      <c r="A303" s="1015" t="s">
        <v>530</v>
      </c>
      <c r="B303" s="1016">
        <v>2005</v>
      </c>
      <c r="C303" s="1034"/>
      <c r="D303" s="1034"/>
      <c r="E303" s="1026"/>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1027"/>
      <c r="AF303" s="1027"/>
      <c r="AG303" s="1027"/>
    </row>
    <row r="304" spans="1:33" x14ac:dyDescent="0.25">
      <c r="A304" s="1015" t="s">
        <v>531</v>
      </c>
      <c r="B304" s="1016" t="s">
        <v>515</v>
      </c>
      <c r="C304" s="1034"/>
      <c r="D304" s="1034"/>
      <c r="E304" s="1026"/>
      <c r="F304" s="246"/>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1027"/>
      <c r="AF304" s="1027"/>
      <c r="AG304" s="1027"/>
    </row>
    <row r="305" spans="1:33" x14ac:dyDescent="0.25">
      <c r="A305" s="1015" t="s">
        <v>531</v>
      </c>
      <c r="B305" s="1016" t="s">
        <v>516</v>
      </c>
      <c r="C305" s="1034"/>
      <c r="D305" s="1034"/>
      <c r="E305" s="1026"/>
      <c r="F305" s="256"/>
      <c r="G305" s="246"/>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1027"/>
      <c r="AF305" s="1027"/>
      <c r="AG305" s="1027"/>
    </row>
    <row r="306" spans="1:33" x14ac:dyDescent="0.25">
      <c r="A306" s="1015" t="s">
        <v>531</v>
      </c>
      <c r="B306" s="1016" t="s">
        <v>517</v>
      </c>
      <c r="C306" s="1034"/>
      <c r="D306" s="1034"/>
      <c r="E306" s="1026"/>
      <c r="F306" s="256"/>
      <c r="G306" s="256"/>
      <c r="H306" s="246"/>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1027"/>
      <c r="AF306" s="1027"/>
      <c r="AG306" s="1027"/>
    </row>
    <row r="307" spans="1:33" x14ac:dyDescent="0.25">
      <c r="A307" s="1015" t="s">
        <v>531</v>
      </c>
      <c r="B307" s="1016" t="s">
        <v>518</v>
      </c>
      <c r="C307" s="1034"/>
      <c r="D307" s="1034"/>
      <c r="E307" s="1026"/>
      <c r="F307" s="256"/>
      <c r="G307" s="256"/>
      <c r="H307" s="256"/>
      <c r="I307" s="246"/>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1027"/>
      <c r="AF307" s="1027"/>
      <c r="AG307" s="1027"/>
    </row>
    <row r="308" spans="1:33" x14ac:dyDescent="0.25">
      <c r="A308" s="1015" t="s">
        <v>531</v>
      </c>
      <c r="B308" s="1016" t="s">
        <v>519</v>
      </c>
      <c r="C308" s="1034"/>
      <c r="D308" s="1034"/>
      <c r="E308" s="1026"/>
      <c r="F308" s="256"/>
      <c r="G308" s="256"/>
      <c r="H308" s="256"/>
      <c r="I308" s="256"/>
      <c r="J308" s="246"/>
      <c r="K308" s="255"/>
      <c r="L308" s="255"/>
      <c r="M308" s="255"/>
      <c r="N308" s="255"/>
      <c r="O308" s="255"/>
      <c r="P308" s="255"/>
      <c r="Q308" s="255"/>
      <c r="R308" s="255"/>
      <c r="S308" s="255"/>
      <c r="T308" s="255"/>
      <c r="U308" s="255"/>
      <c r="V308" s="255"/>
      <c r="W308" s="255"/>
      <c r="X308" s="255"/>
      <c r="Y308" s="255"/>
      <c r="Z308" s="255"/>
      <c r="AA308" s="255"/>
      <c r="AB308" s="255"/>
      <c r="AC308" s="255"/>
      <c r="AD308" s="255"/>
      <c r="AE308" s="1027"/>
      <c r="AF308" s="1027"/>
      <c r="AG308" s="1027"/>
    </row>
    <row r="309" spans="1:33" x14ac:dyDescent="0.25">
      <c r="A309" s="1015" t="s">
        <v>531</v>
      </c>
      <c r="B309" s="1016" t="s">
        <v>520</v>
      </c>
      <c r="C309" s="1034"/>
      <c r="D309" s="1034"/>
      <c r="E309" s="1026"/>
      <c r="F309" s="256"/>
      <c r="G309" s="256"/>
      <c r="H309" s="256"/>
      <c r="I309" s="256"/>
      <c r="J309" s="256"/>
      <c r="K309" s="246"/>
      <c r="L309" s="255"/>
      <c r="M309" s="255"/>
      <c r="N309" s="255"/>
      <c r="O309" s="255"/>
      <c r="P309" s="255"/>
      <c r="Q309" s="255"/>
      <c r="R309" s="255"/>
      <c r="S309" s="255"/>
      <c r="T309" s="255"/>
      <c r="U309" s="255"/>
      <c r="V309" s="255"/>
      <c r="W309" s="255"/>
      <c r="X309" s="255"/>
      <c r="Y309" s="255"/>
      <c r="Z309" s="255"/>
      <c r="AA309" s="255"/>
      <c r="AB309" s="255"/>
      <c r="AC309" s="255"/>
      <c r="AD309" s="255"/>
      <c r="AE309" s="1027"/>
      <c r="AF309" s="1027"/>
      <c r="AG309" s="1027"/>
    </row>
    <row r="310" spans="1:33" x14ac:dyDescent="0.25">
      <c r="A310" s="1015" t="s">
        <v>531</v>
      </c>
      <c r="B310" s="1016" t="s">
        <v>521</v>
      </c>
      <c r="C310" s="1034"/>
      <c r="D310" s="1034"/>
      <c r="E310" s="1026"/>
      <c r="F310" s="256"/>
      <c r="G310" s="256"/>
      <c r="H310" s="256"/>
      <c r="I310" s="256"/>
      <c r="J310" s="256"/>
      <c r="K310" s="256"/>
      <c r="L310" s="246"/>
      <c r="M310" s="255"/>
      <c r="N310" s="255"/>
      <c r="O310" s="255"/>
      <c r="P310" s="255"/>
      <c r="Q310" s="255"/>
      <c r="R310" s="255"/>
      <c r="S310" s="255"/>
      <c r="T310" s="255"/>
      <c r="U310" s="255"/>
      <c r="V310" s="255"/>
      <c r="W310" s="255"/>
      <c r="X310" s="255"/>
      <c r="Y310" s="255"/>
      <c r="Z310" s="255"/>
      <c r="AA310" s="255"/>
      <c r="AB310" s="255"/>
      <c r="AC310" s="255"/>
      <c r="AD310" s="255"/>
      <c r="AE310" s="1027"/>
      <c r="AF310" s="1027"/>
      <c r="AG310" s="1027"/>
    </row>
    <row r="311" spans="1:33" x14ac:dyDescent="0.25">
      <c r="A311" s="1015" t="s">
        <v>531</v>
      </c>
      <c r="B311" s="1016" t="s">
        <v>522</v>
      </c>
      <c r="C311" s="1034"/>
      <c r="D311" s="1034"/>
      <c r="E311" s="1026"/>
      <c r="F311" s="256"/>
      <c r="G311" s="256"/>
      <c r="H311" s="256"/>
      <c r="I311" s="256"/>
      <c r="J311" s="256"/>
      <c r="K311" s="256"/>
      <c r="L311" s="256"/>
      <c r="M311" s="246"/>
      <c r="N311" s="255"/>
      <c r="O311" s="255"/>
      <c r="P311" s="255"/>
      <c r="Q311" s="255"/>
      <c r="R311" s="255"/>
      <c r="S311" s="255"/>
      <c r="T311" s="255"/>
      <c r="U311" s="255"/>
      <c r="V311" s="255"/>
      <c r="W311" s="255"/>
      <c r="X311" s="255"/>
      <c r="Y311" s="255"/>
      <c r="Z311" s="255"/>
      <c r="AA311" s="255"/>
      <c r="AB311" s="255"/>
      <c r="AC311" s="255"/>
      <c r="AD311" s="255"/>
      <c r="AE311" s="1027"/>
      <c r="AF311" s="1027"/>
      <c r="AG311" s="1027"/>
    </row>
    <row r="312" spans="1:33" x14ac:dyDescent="0.25">
      <c r="A312" s="1015" t="s">
        <v>531</v>
      </c>
      <c r="B312" s="1016" t="s">
        <v>523</v>
      </c>
      <c r="C312" s="1034"/>
      <c r="D312" s="1034"/>
      <c r="E312" s="1026"/>
      <c r="F312" s="256"/>
      <c r="G312" s="256"/>
      <c r="H312" s="256"/>
      <c r="I312" s="256"/>
      <c r="J312" s="256"/>
      <c r="K312" s="256"/>
      <c r="L312" s="256"/>
      <c r="M312" s="256"/>
      <c r="N312" s="246"/>
      <c r="O312" s="255"/>
      <c r="P312" s="255"/>
      <c r="Q312" s="255"/>
      <c r="R312" s="255"/>
      <c r="S312" s="255"/>
      <c r="T312" s="255"/>
      <c r="U312" s="255"/>
      <c r="V312" s="255"/>
      <c r="W312" s="255"/>
      <c r="X312" s="255"/>
      <c r="Y312" s="255"/>
      <c r="Z312" s="255"/>
      <c r="AA312" s="255"/>
      <c r="AB312" s="255"/>
      <c r="AC312" s="255"/>
      <c r="AD312" s="255"/>
      <c r="AE312" s="1027"/>
      <c r="AF312" s="1027"/>
      <c r="AG312" s="1027"/>
    </row>
    <row r="313" spans="1:33" x14ac:dyDescent="0.25">
      <c r="A313" s="1015" t="s">
        <v>531</v>
      </c>
      <c r="B313" s="1016" t="s">
        <v>524</v>
      </c>
      <c r="C313" s="1034"/>
      <c r="D313" s="1034"/>
      <c r="E313" s="1026"/>
      <c r="F313" s="256"/>
      <c r="G313" s="256"/>
      <c r="H313" s="256"/>
      <c r="I313" s="256"/>
      <c r="J313" s="256"/>
      <c r="K313" s="256"/>
      <c r="L313" s="256"/>
      <c r="M313" s="256"/>
      <c r="N313" s="256"/>
      <c r="O313" s="246"/>
      <c r="P313" s="255"/>
      <c r="Q313" s="255"/>
      <c r="R313" s="255"/>
      <c r="S313" s="255"/>
      <c r="T313" s="255"/>
      <c r="U313" s="255"/>
      <c r="V313" s="255"/>
      <c r="W313" s="255"/>
      <c r="X313" s="255"/>
      <c r="Y313" s="255"/>
      <c r="Z313" s="255"/>
      <c r="AA313" s="255"/>
      <c r="AB313" s="255"/>
      <c r="AC313" s="255"/>
      <c r="AD313" s="255"/>
      <c r="AE313" s="1027"/>
      <c r="AF313" s="1027"/>
      <c r="AG313" s="1027"/>
    </row>
    <row r="314" spans="1:33" x14ac:dyDescent="0.25">
      <c r="A314" s="1015" t="s">
        <v>531</v>
      </c>
      <c r="B314" s="1016" t="s">
        <v>525</v>
      </c>
      <c r="C314" s="1034"/>
      <c r="D314" s="1034"/>
      <c r="E314" s="1026"/>
      <c r="F314" s="256"/>
      <c r="G314" s="256"/>
      <c r="H314" s="256"/>
      <c r="I314" s="256"/>
      <c r="J314" s="256"/>
      <c r="K314" s="256"/>
      <c r="L314" s="256"/>
      <c r="M314" s="256"/>
      <c r="N314" s="256"/>
      <c r="O314" s="256"/>
      <c r="P314" s="246"/>
      <c r="Q314" s="255"/>
      <c r="R314" s="255"/>
      <c r="S314" s="255"/>
      <c r="T314" s="255"/>
      <c r="U314" s="255"/>
      <c r="V314" s="255"/>
      <c r="W314" s="255"/>
      <c r="X314" s="255"/>
      <c r="Y314" s="255"/>
      <c r="Z314" s="255"/>
      <c r="AA314" s="255"/>
      <c r="AB314" s="255"/>
      <c r="AC314" s="255"/>
      <c r="AD314" s="255"/>
      <c r="AE314" s="1027"/>
      <c r="AF314" s="1027"/>
      <c r="AG314" s="1027"/>
    </row>
    <row r="315" spans="1:33" x14ac:dyDescent="0.25">
      <c r="A315" s="1015" t="s">
        <v>531</v>
      </c>
      <c r="B315" s="1016" t="s">
        <v>526</v>
      </c>
      <c r="C315" s="1034"/>
      <c r="D315" s="1034"/>
      <c r="E315" s="1026"/>
      <c r="F315" s="256"/>
      <c r="G315" s="256"/>
      <c r="H315" s="256"/>
      <c r="I315" s="256"/>
      <c r="J315" s="256"/>
      <c r="K315" s="256"/>
      <c r="L315" s="256"/>
      <c r="M315" s="256"/>
      <c r="N315" s="256"/>
      <c r="O315" s="256"/>
      <c r="P315" s="256"/>
      <c r="Q315" s="246"/>
      <c r="R315" s="255"/>
      <c r="S315" s="255"/>
      <c r="T315" s="255"/>
      <c r="U315" s="255"/>
      <c r="V315" s="255"/>
      <c r="W315" s="255"/>
      <c r="X315" s="255"/>
      <c r="Y315" s="255"/>
      <c r="Z315" s="255"/>
      <c r="AA315" s="255"/>
      <c r="AB315" s="255"/>
      <c r="AC315" s="255"/>
      <c r="AD315" s="255"/>
      <c r="AE315" s="1027"/>
      <c r="AF315" s="1027"/>
      <c r="AG315" s="1027"/>
    </row>
    <row r="316" spans="1:33" x14ac:dyDescent="0.25">
      <c r="A316" s="1015" t="s">
        <v>531</v>
      </c>
      <c r="B316" s="1016" t="s">
        <v>527</v>
      </c>
      <c r="C316" s="1034"/>
      <c r="D316" s="1034"/>
      <c r="E316" s="1026"/>
      <c r="F316" s="256"/>
      <c r="G316" s="256"/>
      <c r="H316" s="256"/>
      <c r="I316" s="256"/>
      <c r="J316" s="256"/>
      <c r="K316" s="256"/>
      <c r="L316" s="256"/>
      <c r="M316" s="256"/>
      <c r="N316" s="256"/>
      <c r="O316" s="256"/>
      <c r="P316" s="256"/>
      <c r="Q316" s="256"/>
      <c r="R316" s="246"/>
      <c r="S316" s="255"/>
      <c r="T316" s="255"/>
      <c r="U316" s="255"/>
      <c r="V316" s="255"/>
      <c r="W316" s="255"/>
      <c r="X316" s="255"/>
      <c r="Y316" s="255"/>
      <c r="Z316" s="255"/>
      <c r="AA316" s="255"/>
      <c r="AB316" s="255"/>
      <c r="AC316" s="255"/>
      <c r="AD316" s="255"/>
      <c r="AE316" s="1027"/>
      <c r="AF316" s="1027"/>
      <c r="AG316" s="1027"/>
    </row>
    <row r="317" spans="1:33" x14ac:dyDescent="0.25">
      <c r="A317" s="1015" t="s">
        <v>531</v>
      </c>
      <c r="B317" s="1016" t="s">
        <v>528</v>
      </c>
      <c r="C317" s="1034"/>
      <c r="D317" s="1034"/>
      <c r="E317" s="1026"/>
      <c r="F317" s="256"/>
      <c r="G317" s="256"/>
      <c r="H317" s="256"/>
      <c r="I317" s="256"/>
      <c r="J317" s="256"/>
      <c r="K317" s="256"/>
      <c r="L317" s="256"/>
      <c r="M317" s="256"/>
      <c r="N317" s="256"/>
      <c r="O317" s="256"/>
      <c r="P317" s="256"/>
      <c r="Q317" s="256"/>
      <c r="R317" s="256"/>
      <c r="S317" s="246"/>
      <c r="T317" s="255"/>
      <c r="U317" s="255"/>
      <c r="V317" s="255"/>
      <c r="W317" s="255"/>
      <c r="X317" s="255"/>
      <c r="Y317" s="255"/>
      <c r="Z317" s="255"/>
      <c r="AA317" s="255"/>
      <c r="AB317" s="255"/>
      <c r="AC317" s="255"/>
      <c r="AD317" s="255"/>
      <c r="AE317" s="1027"/>
      <c r="AF317" s="1027"/>
      <c r="AG317" s="1027"/>
    </row>
    <row r="318" spans="1:33" x14ac:dyDescent="0.25">
      <c r="A318" s="1015" t="s">
        <v>531</v>
      </c>
      <c r="B318" s="1016" t="s">
        <v>532</v>
      </c>
      <c r="C318" s="1034"/>
      <c r="D318" s="1034"/>
      <c r="E318" s="1026"/>
      <c r="F318" s="256"/>
      <c r="G318" s="256"/>
      <c r="H318" s="256"/>
      <c r="I318" s="256"/>
      <c r="J318" s="256"/>
      <c r="K318" s="256"/>
      <c r="L318" s="256"/>
      <c r="M318" s="256"/>
      <c r="N318" s="256"/>
      <c r="O318" s="256"/>
      <c r="P318" s="256"/>
      <c r="Q318" s="256"/>
      <c r="R318" s="256"/>
      <c r="S318" s="256"/>
      <c r="T318" s="246"/>
      <c r="U318" s="255"/>
      <c r="V318" s="255"/>
      <c r="W318" s="255"/>
      <c r="X318" s="255"/>
      <c r="Y318" s="255"/>
      <c r="Z318" s="255"/>
      <c r="AA318" s="255"/>
      <c r="AB318" s="255"/>
      <c r="AC318" s="255"/>
      <c r="AD318" s="255"/>
      <c r="AE318" s="1027"/>
      <c r="AF318" s="1027"/>
      <c r="AG318" s="1027"/>
    </row>
    <row r="319" spans="1:33" x14ac:dyDescent="0.25">
      <c r="A319" s="1015" t="s">
        <v>531</v>
      </c>
      <c r="B319" s="1016" t="s">
        <v>533</v>
      </c>
      <c r="C319" s="1034"/>
      <c r="D319" s="1034"/>
      <c r="E319" s="1026"/>
      <c r="F319" s="256"/>
      <c r="G319" s="256"/>
      <c r="H319" s="256"/>
      <c r="I319" s="256"/>
      <c r="J319" s="256"/>
      <c r="K319" s="256"/>
      <c r="L319" s="256"/>
      <c r="M319" s="256"/>
      <c r="N319" s="256"/>
      <c r="O319" s="256"/>
      <c r="P319" s="256"/>
      <c r="Q319" s="256"/>
      <c r="R319" s="256"/>
      <c r="S319" s="256"/>
      <c r="T319" s="256"/>
      <c r="U319" s="246"/>
      <c r="V319" s="255"/>
      <c r="W319" s="255"/>
      <c r="X319" s="255"/>
      <c r="Y319" s="255"/>
      <c r="Z319" s="255"/>
      <c r="AA319" s="255"/>
      <c r="AB319" s="255"/>
      <c r="AC319" s="255"/>
      <c r="AD319" s="255"/>
      <c r="AE319" s="1027"/>
      <c r="AF319" s="1027"/>
      <c r="AG319" s="1027"/>
    </row>
    <row r="320" spans="1:33" x14ac:dyDescent="0.25">
      <c r="A320" s="1015" t="s">
        <v>531</v>
      </c>
      <c r="B320" s="1016" t="s">
        <v>534</v>
      </c>
      <c r="C320" s="1034"/>
      <c r="D320" s="1034"/>
      <c r="E320" s="1026"/>
      <c r="F320" s="256"/>
      <c r="G320" s="256"/>
      <c r="H320" s="256"/>
      <c r="I320" s="256"/>
      <c r="J320" s="256"/>
      <c r="K320" s="256"/>
      <c r="L320" s="256"/>
      <c r="M320" s="256"/>
      <c r="N320" s="256"/>
      <c r="O320" s="256"/>
      <c r="P320" s="256"/>
      <c r="Q320" s="256"/>
      <c r="R320" s="256"/>
      <c r="S320" s="256"/>
      <c r="T320" s="256"/>
      <c r="U320" s="256"/>
      <c r="V320" s="246"/>
      <c r="W320" s="255"/>
      <c r="X320" s="255"/>
      <c r="Y320" s="255"/>
      <c r="Z320" s="255"/>
      <c r="AA320" s="255"/>
      <c r="AB320" s="255"/>
      <c r="AC320" s="255"/>
      <c r="AD320" s="255"/>
      <c r="AE320" s="1027"/>
      <c r="AF320" s="1027"/>
      <c r="AG320" s="1027"/>
    </row>
    <row r="321" spans="1:33" x14ac:dyDescent="0.25">
      <c r="A321" s="1015" t="s">
        <v>531</v>
      </c>
      <c r="B321" s="1016" t="s">
        <v>544</v>
      </c>
      <c r="C321" s="1034"/>
      <c r="D321" s="1034"/>
      <c r="E321" s="1026"/>
      <c r="F321" s="256"/>
      <c r="G321" s="256"/>
      <c r="H321" s="256"/>
      <c r="I321" s="256"/>
      <c r="J321" s="256"/>
      <c r="K321" s="256"/>
      <c r="L321" s="256"/>
      <c r="M321" s="256"/>
      <c r="N321" s="256"/>
      <c r="O321" s="256"/>
      <c r="P321" s="256"/>
      <c r="Q321" s="256"/>
      <c r="R321" s="256"/>
      <c r="S321" s="256"/>
      <c r="T321" s="256"/>
      <c r="U321" s="256"/>
      <c r="V321" s="256"/>
      <c r="W321" s="246"/>
      <c r="X321" s="255"/>
      <c r="Y321" s="255"/>
      <c r="Z321" s="255"/>
      <c r="AA321" s="255"/>
      <c r="AB321" s="255"/>
      <c r="AC321" s="255"/>
      <c r="AD321" s="255"/>
      <c r="AE321" s="1027"/>
      <c r="AF321" s="1027"/>
      <c r="AG321" s="1027"/>
    </row>
    <row r="322" spans="1:33" x14ac:dyDescent="0.25">
      <c r="A322" s="1015" t="s">
        <v>531</v>
      </c>
      <c r="B322" s="1016" t="s">
        <v>545</v>
      </c>
      <c r="C322" s="1034"/>
      <c r="D322" s="1034"/>
      <c r="E322" s="1026"/>
      <c r="F322" s="256"/>
      <c r="G322" s="256"/>
      <c r="H322" s="256"/>
      <c r="I322" s="256"/>
      <c r="J322" s="256"/>
      <c r="K322" s="256"/>
      <c r="L322" s="256"/>
      <c r="M322" s="256"/>
      <c r="N322" s="256"/>
      <c r="O322" s="256"/>
      <c r="P322" s="256"/>
      <c r="Q322" s="256"/>
      <c r="R322" s="256"/>
      <c r="S322" s="256"/>
      <c r="T322" s="256"/>
      <c r="U322" s="256"/>
      <c r="V322" s="256"/>
      <c r="W322" s="256"/>
      <c r="X322" s="246"/>
      <c r="Y322" s="255"/>
      <c r="Z322" s="255"/>
      <c r="AA322" s="255"/>
      <c r="AB322" s="255"/>
      <c r="AC322" s="255"/>
      <c r="AD322" s="255"/>
      <c r="AE322" s="1027"/>
      <c r="AF322" s="1027"/>
      <c r="AG322" s="1027"/>
    </row>
    <row r="323" spans="1:33" x14ac:dyDescent="0.25">
      <c r="A323" s="1015" t="s">
        <v>531</v>
      </c>
      <c r="B323" s="1016" t="s">
        <v>546</v>
      </c>
      <c r="C323" s="1034"/>
      <c r="D323" s="1034"/>
      <c r="E323" s="1026"/>
      <c r="F323" s="256"/>
      <c r="G323" s="256"/>
      <c r="H323" s="256"/>
      <c r="I323" s="256"/>
      <c r="J323" s="256"/>
      <c r="K323" s="256"/>
      <c r="L323" s="256"/>
      <c r="M323" s="256"/>
      <c r="N323" s="256"/>
      <c r="O323" s="256"/>
      <c r="P323" s="256"/>
      <c r="Q323" s="256"/>
      <c r="R323" s="256"/>
      <c r="S323" s="256"/>
      <c r="T323" s="256"/>
      <c r="U323" s="256"/>
      <c r="V323" s="256"/>
      <c r="W323" s="256"/>
      <c r="X323" s="256"/>
      <c r="Y323" s="246"/>
      <c r="Z323" s="1027"/>
      <c r="AA323" s="1027"/>
      <c r="AB323" s="1027"/>
      <c r="AC323" s="1027"/>
      <c r="AD323" s="1027"/>
      <c r="AE323" s="1027"/>
      <c r="AF323" s="1027"/>
      <c r="AG323" s="1027"/>
    </row>
    <row r="324" spans="1:33" x14ac:dyDescent="0.25">
      <c r="A324" s="1015" t="s">
        <v>531</v>
      </c>
      <c r="B324" s="1016" t="s">
        <v>1428</v>
      </c>
      <c r="C324" s="244"/>
      <c r="D324" s="244"/>
      <c r="E324" s="1029"/>
      <c r="F324" s="256"/>
      <c r="G324" s="256"/>
      <c r="H324" s="256"/>
      <c r="I324" s="256"/>
      <c r="J324" s="256"/>
      <c r="K324" s="256"/>
      <c r="L324" s="256"/>
      <c r="M324" s="256"/>
      <c r="N324" s="256"/>
      <c r="O324" s="256"/>
      <c r="P324" s="256"/>
      <c r="Q324" s="256"/>
      <c r="R324" s="256"/>
      <c r="S324" s="256"/>
      <c r="T324" s="256"/>
      <c r="U324" s="256"/>
      <c r="V324" s="256"/>
      <c r="W324" s="256"/>
      <c r="X324" s="256"/>
      <c r="Y324" s="256"/>
      <c r="Z324" s="246"/>
      <c r="AA324" s="255"/>
      <c r="AB324" s="255"/>
      <c r="AC324" s="255"/>
      <c r="AD324" s="255"/>
      <c r="AE324" s="244"/>
      <c r="AF324" s="244"/>
      <c r="AG324" s="1027"/>
    </row>
    <row r="325" spans="1:33" x14ac:dyDescent="0.25">
      <c r="A325" s="1015" t="s">
        <v>531</v>
      </c>
      <c r="B325" s="1016" t="s">
        <v>1429</v>
      </c>
      <c r="C325" s="244"/>
      <c r="D325" s="244"/>
      <c r="E325" s="1029"/>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46"/>
      <c r="AB325" s="255"/>
      <c r="AC325" s="255"/>
      <c r="AD325" s="255"/>
      <c r="AE325" s="244"/>
      <c r="AF325" s="244"/>
      <c r="AG325" s="1027"/>
    </row>
    <row r="326" spans="1:33" x14ac:dyDescent="0.25">
      <c r="A326" s="1015" t="s">
        <v>531</v>
      </c>
      <c r="B326" s="1016" t="s">
        <v>1430</v>
      </c>
      <c r="C326" s="244"/>
      <c r="D326" s="244"/>
      <c r="E326" s="1029"/>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46"/>
      <c r="AC326" s="255"/>
      <c r="AD326" s="255"/>
      <c r="AE326" s="244"/>
      <c r="AF326" s="244"/>
      <c r="AG326" s="1027"/>
    </row>
    <row r="327" spans="1:33" x14ac:dyDescent="0.25">
      <c r="A327" s="1015" t="s">
        <v>531</v>
      </c>
      <c r="B327" s="1016" t="s">
        <v>1431</v>
      </c>
      <c r="C327" s="244"/>
      <c r="D327" s="244"/>
      <c r="E327" s="1029"/>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46"/>
      <c r="AD327" s="255"/>
      <c r="AE327" s="244"/>
      <c r="AF327" s="244"/>
      <c r="AG327" s="1027"/>
    </row>
    <row r="328" spans="1:33" x14ac:dyDescent="0.25">
      <c r="A328" s="1015" t="s">
        <v>531</v>
      </c>
      <c r="B328" s="1016" t="s">
        <v>1432</v>
      </c>
      <c r="C328" s="244"/>
      <c r="D328" s="244"/>
      <c r="E328" s="1029"/>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46"/>
      <c r="AE328" s="244"/>
      <c r="AF328" s="244"/>
      <c r="AG328" s="1027"/>
    </row>
    <row r="329" spans="1:33" ht="13" x14ac:dyDescent="0.3">
      <c r="A329" s="1019"/>
      <c r="B329" s="1020" t="s">
        <v>270</v>
      </c>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row>
  </sheetData>
  <mergeCells count="44">
    <mergeCell ref="A2:T2"/>
    <mergeCell ref="A3:T3"/>
    <mergeCell ref="A4:T4"/>
    <mergeCell ref="B6:B7"/>
    <mergeCell ref="C6:C7"/>
    <mergeCell ref="D6:D7"/>
    <mergeCell ref="E6:E7"/>
    <mergeCell ref="F6:AD6"/>
    <mergeCell ref="C37:C38"/>
    <mergeCell ref="D37:D38"/>
    <mergeCell ref="E37:E38"/>
    <mergeCell ref="F37:AD37"/>
    <mergeCell ref="C70:C71"/>
    <mergeCell ref="D70:D71"/>
    <mergeCell ref="E70:E71"/>
    <mergeCell ref="F70:AD70"/>
    <mergeCell ref="C103:C104"/>
    <mergeCell ref="D103:D104"/>
    <mergeCell ref="E103:E104"/>
    <mergeCell ref="F103:AD103"/>
    <mergeCell ref="C136:C137"/>
    <mergeCell ref="D136:D137"/>
    <mergeCell ref="E136:E137"/>
    <mergeCell ref="F136:AD136"/>
    <mergeCell ref="C169:C170"/>
    <mergeCell ref="D169:D170"/>
    <mergeCell ref="E169:E170"/>
    <mergeCell ref="F169:AD169"/>
    <mergeCell ref="C202:C203"/>
    <mergeCell ref="D202:D203"/>
    <mergeCell ref="E202:E203"/>
    <mergeCell ref="F202:AD202"/>
    <mergeCell ref="C301:C302"/>
    <mergeCell ref="D301:D302"/>
    <mergeCell ref="E301:E302"/>
    <mergeCell ref="F301:AD301"/>
    <mergeCell ref="C235:C236"/>
    <mergeCell ref="D235:D236"/>
    <mergeCell ref="E235:E236"/>
    <mergeCell ref="F235:AD235"/>
    <mergeCell ref="C268:C269"/>
    <mergeCell ref="D268:D269"/>
    <mergeCell ref="E268:E269"/>
    <mergeCell ref="F268:AD26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S39" sqref="S39"/>
    </sheetView>
  </sheetViews>
  <sheetFormatPr defaultColWidth="9.36328125" defaultRowHeight="14" x14ac:dyDescent="0.3"/>
  <cols>
    <col min="1" max="1" width="9.36328125" style="250"/>
    <col min="2" max="2" width="7.453125" style="250" bestFit="1" customWidth="1"/>
    <col min="3" max="3" width="32" style="250" bestFit="1" customWidth="1"/>
    <col min="4" max="4" width="8.6328125" style="250" customWidth="1"/>
    <col min="5" max="5" width="18.36328125" style="250" customWidth="1"/>
    <col min="6" max="6" width="13.6328125" style="250" bestFit="1" customWidth="1"/>
    <col min="7" max="8" width="19.36328125" style="250" customWidth="1"/>
    <col min="9" max="9" width="21.54296875" style="250" customWidth="1"/>
    <col min="10" max="10" width="13.54296875" style="250" customWidth="1"/>
    <col min="11" max="11" width="18.36328125" style="250" customWidth="1"/>
    <col min="12" max="12" width="20" style="250" customWidth="1"/>
    <col min="13" max="13" width="18.453125" style="250" customWidth="1"/>
    <col min="14" max="14" width="17.6328125" style="250" customWidth="1"/>
    <col min="15" max="15" width="17.36328125" style="250" customWidth="1"/>
    <col min="16" max="16384" width="9.36328125" style="250"/>
  </cols>
  <sheetData>
    <row r="2" spans="2:15" x14ac:dyDescent="0.3">
      <c r="B2" s="1758" t="str">
        <f>Index!B2</f>
        <v xml:space="preserve">      Maharashtra State Power Generation Company Ltd.</v>
      </c>
      <c r="C2" s="1758"/>
      <c r="D2" s="1758"/>
      <c r="E2" s="1758"/>
      <c r="F2" s="1758"/>
      <c r="G2" s="1758"/>
      <c r="H2" s="1758"/>
      <c r="I2" s="1758"/>
      <c r="J2" s="1758"/>
      <c r="K2" s="1758"/>
      <c r="L2" s="1758"/>
      <c r="M2" s="1758"/>
      <c r="N2" s="1758"/>
      <c r="O2" s="1758"/>
    </row>
    <row r="3" spans="2:15" x14ac:dyDescent="0.3">
      <c r="B3" s="1758" t="str">
        <f>Index!B3</f>
        <v>MYT Petition Formats for Parli Units 6 &amp; 7</v>
      </c>
      <c r="C3" s="1758"/>
      <c r="D3" s="1758"/>
      <c r="E3" s="1758"/>
      <c r="F3" s="1758"/>
      <c r="G3" s="1758"/>
      <c r="H3" s="1758"/>
      <c r="I3" s="1758"/>
      <c r="J3" s="1758"/>
      <c r="K3" s="1758"/>
      <c r="L3" s="1758"/>
      <c r="M3" s="1758"/>
      <c r="N3" s="1758"/>
      <c r="O3" s="1758"/>
    </row>
    <row r="4" spans="2:15" x14ac:dyDescent="0.3">
      <c r="B4" s="1973" t="s">
        <v>734</v>
      </c>
      <c r="C4" s="1973"/>
      <c r="D4" s="1973"/>
      <c r="E4" s="1973"/>
      <c r="F4" s="1973"/>
      <c r="G4" s="1973"/>
      <c r="H4" s="1973"/>
      <c r="I4" s="1973"/>
      <c r="J4" s="1973"/>
      <c r="K4" s="1973"/>
      <c r="L4" s="1973"/>
      <c r="M4" s="1973"/>
      <c r="N4" s="1973"/>
      <c r="O4" s="1973"/>
    </row>
    <row r="5" spans="2:15" x14ac:dyDescent="0.3">
      <c r="B5" s="14"/>
      <c r="C5" s="14"/>
      <c r="D5" s="14"/>
      <c r="E5" s="14"/>
      <c r="F5" s="14"/>
      <c r="G5" s="14"/>
      <c r="H5" s="14"/>
      <c r="I5" s="14"/>
      <c r="J5" s="14"/>
      <c r="K5" s="14"/>
      <c r="L5" s="14"/>
    </row>
    <row r="6" spans="2:15" x14ac:dyDescent="0.3">
      <c r="B6" s="2021" t="s">
        <v>736</v>
      </c>
      <c r="C6" s="2021"/>
      <c r="D6" s="251"/>
      <c r="E6" s="14"/>
      <c r="F6" s="14"/>
      <c r="G6" s="14"/>
      <c r="H6" s="14"/>
      <c r="I6" s="14"/>
      <c r="J6" s="14"/>
      <c r="K6" s="14"/>
      <c r="L6" s="14"/>
    </row>
    <row r="8" spans="2:15" ht="79.25" customHeight="1" x14ac:dyDescent="0.3">
      <c r="B8" s="1760" t="s">
        <v>339</v>
      </c>
      <c r="C8" s="1760" t="s">
        <v>557</v>
      </c>
      <c r="D8" s="1760" t="s">
        <v>568</v>
      </c>
      <c r="E8" s="254" t="s">
        <v>639</v>
      </c>
      <c r="F8" s="1752" t="s">
        <v>558</v>
      </c>
      <c r="G8" s="1752"/>
      <c r="H8" s="1752"/>
      <c r="I8" s="1752"/>
      <c r="J8" s="1752"/>
      <c r="K8" s="1752" t="s">
        <v>562</v>
      </c>
      <c r="L8" s="1752"/>
      <c r="M8" s="1752"/>
      <c r="N8" s="1752" t="s">
        <v>566</v>
      </c>
      <c r="O8" s="1752" t="s">
        <v>567</v>
      </c>
    </row>
    <row r="9" spans="2:15" ht="42.75" customHeight="1" x14ac:dyDescent="0.3">
      <c r="B9" s="1795"/>
      <c r="C9" s="1795"/>
      <c r="D9" s="1795"/>
      <c r="E9" s="229" t="s">
        <v>641</v>
      </c>
      <c r="F9" s="228" t="s">
        <v>564</v>
      </c>
      <c r="G9" s="228" t="s">
        <v>559</v>
      </c>
      <c r="H9" s="252" t="s">
        <v>643</v>
      </c>
      <c r="I9" s="229" t="s">
        <v>560</v>
      </c>
      <c r="J9" s="229" t="s">
        <v>561</v>
      </c>
      <c r="K9" s="229" t="s">
        <v>563</v>
      </c>
      <c r="L9" s="229" t="s">
        <v>565</v>
      </c>
      <c r="M9" s="229" t="s">
        <v>642</v>
      </c>
      <c r="N9" s="1752"/>
      <c r="O9" s="1752"/>
    </row>
    <row r="10" spans="2:15" x14ac:dyDescent="0.3">
      <c r="B10" s="2015">
        <f>B9+1</f>
        <v>1</v>
      </c>
      <c r="C10" s="2018"/>
      <c r="D10" s="125" t="s">
        <v>278</v>
      </c>
      <c r="E10" s="2022" t="s">
        <v>773</v>
      </c>
      <c r="F10" s="2023"/>
      <c r="G10" s="2023"/>
      <c r="H10" s="2023"/>
      <c r="I10" s="2023"/>
      <c r="J10" s="2023"/>
      <c r="K10" s="2023"/>
      <c r="L10" s="2023"/>
      <c r="M10" s="2023"/>
      <c r="N10" s="2023"/>
      <c r="O10" s="2024"/>
    </row>
    <row r="11" spans="2:15" x14ac:dyDescent="0.3">
      <c r="B11" s="2016"/>
      <c r="C11" s="2019"/>
      <c r="D11" s="125" t="s">
        <v>279</v>
      </c>
      <c r="E11" s="2025"/>
      <c r="F11" s="2026"/>
      <c r="G11" s="2026"/>
      <c r="H11" s="2026"/>
      <c r="I11" s="2026"/>
      <c r="J11" s="2026"/>
      <c r="K11" s="2026"/>
      <c r="L11" s="2026"/>
      <c r="M11" s="2026"/>
      <c r="N11" s="2026"/>
      <c r="O11" s="2027"/>
    </row>
    <row r="12" spans="2:15" x14ac:dyDescent="0.3">
      <c r="B12" s="2016"/>
      <c r="C12" s="2019"/>
      <c r="D12" s="125" t="s">
        <v>280</v>
      </c>
      <c r="E12" s="2025"/>
      <c r="F12" s="2026"/>
      <c r="G12" s="2026"/>
      <c r="H12" s="2026"/>
      <c r="I12" s="2026"/>
      <c r="J12" s="2026"/>
      <c r="K12" s="2026"/>
      <c r="L12" s="2026"/>
      <c r="M12" s="2026"/>
      <c r="N12" s="2026"/>
      <c r="O12" s="2027"/>
    </row>
    <row r="13" spans="2:15" x14ac:dyDescent="0.3">
      <c r="B13" s="2016"/>
      <c r="C13" s="2019"/>
      <c r="D13" s="125" t="s">
        <v>569</v>
      </c>
      <c r="E13" s="2025"/>
      <c r="F13" s="2026"/>
      <c r="G13" s="2026"/>
      <c r="H13" s="2026"/>
      <c r="I13" s="2026"/>
      <c r="J13" s="2026"/>
      <c r="K13" s="2026"/>
      <c r="L13" s="2026"/>
      <c r="M13" s="2026"/>
      <c r="N13" s="2026"/>
      <c r="O13" s="2027"/>
    </row>
    <row r="14" spans="2:15" x14ac:dyDescent="0.3">
      <c r="B14" s="2016"/>
      <c r="C14" s="2019"/>
      <c r="D14" s="125" t="s">
        <v>282</v>
      </c>
      <c r="E14" s="2025"/>
      <c r="F14" s="2026"/>
      <c r="G14" s="2026"/>
      <c r="H14" s="2026"/>
      <c r="I14" s="2026"/>
      <c r="J14" s="2026"/>
      <c r="K14" s="2026"/>
      <c r="L14" s="2026"/>
      <c r="M14" s="2026"/>
      <c r="N14" s="2026"/>
      <c r="O14" s="2027"/>
    </row>
    <row r="15" spans="2:15" x14ac:dyDescent="0.3">
      <c r="B15" s="2016"/>
      <c r="C15" s="2019"/>
      <c r="D15" s="125" t="s">
        <v>283</v>
      </c>
      <c r="E15" s="2025"/>
      <c r="F15" s="2026"/>
      <c r="G15" s="2026"/>
      <c r="H15" s="2026"/>
      <c r="I15" s="2026"/>
      <c r="J15" s="2026"/>
      <c r="K15" s="2026"/>
      <c r="L15" s="2026"/>
      <c r="M15" s="2026"/>
      <c r="N15" s="2026"/>
      <c r="O15" s="2027"/>
    </row>
    <row r="16" spans="2:15" x14ac:dyDescent="0.3">
      <c r="B16" s="2016"/>
      <c r="C16" s="2019"/>
      <c r="D16" s="125" t="s">
        <v>284</v>
      </c>
      <c r="E16" s="2025"/>
      <c r="F16" s="2026"/>
      <c r="G16" s="2026"/>
      <c r="H16" s="2026"/>
      <c r="I16" s="2026"/>
      <c r="J16" s="2026"/>
      <c r="K16" s="2026"/>
      <c r="L16" s="2026"/>
      <c r="M16" s="2026"/>
      <c r="N16" s="2026"/>
      <c r="O16" s="2027"/>
    </row>
    <row r="17" spans="2:15" x14ac:dyDescent="0.3">
      <c r="B17" s="2016"/>
      <c r="C17" s="2019"/>
      <c r="D17" s="125" t="s">
        <v>570</v>
      </c>
      <c r="E17" s="2025"/>
      <c r="F17" s="2026"/>
      <c r="G17" s="2026"/>
      <c r="H17" s="2026"/>
      <c r="I17" s="2026"/>
      <c r="J17" s="2026"/>
      <c r="K17" s="2026"/>
      <c r="L17" s="2026"/>
      <c r="M17" s="2026"/>
      <c r="N17" s="2026"/>
      <c r="O17" s="2027"/>
    </row>
    <row r="18" spans="2:15" x14ac:dyDescent="0.3">
      <c r="B18" s="2016"/>
      <c r="C18" s="2019"/>
      <c r="D18" s="125" t="s">
        <v>286</v>
      </c>
      <c r="E18" s="2025"/>
      <c r="F18" s="2026"/>
      <c r="G18" s="2026"/>
      <c r="H18" s="2026"/>
      <c r="I18" s="2026"/>
      <c r="J18" s="2026"/>
      <c r="K18" s="2026"/>
      <c r="L18" s="2026"/>
      <c r="M18" s="2026"/>
      <c r="N18" s="2026"/>
      <c r="O18" s="2027"/>
    </row>
    <row r="19" spans="2:15" x14ac:dyDescent="0.3">
      <c r="B19" s="2016"/>
      <c r="C19" s="2019"/>
      <c r="D19" s="125" t="s">
        <v>287</v>
      </c>
      <c r="E19" s="2025"/>
      <c r="F19" s="2026"/>
      <c r="G19" s="2026"/>
      <c r="H19" s="2026"/>
      <c r="I19" s="2026"/>
      <c r="J19" s="2026"/>
      <c r="K19" s="2026"/>
      <c r="L19" s="2026"/>
      <c r="M19" s="2026"/>
      <c r="N19" s="2026"/>
      <c r="O19" s="2027"/>
    </row>
    <row r="20" spans="2:15" x14ac:dyDescent="0.3">
      <c r="B20" s="2016"/>
      <c r="C20" s="2019"/>
      <c r="D20" s="125" t="s">
        <v>288</v>
      </c>
      <c r="E20" s="2025"/>
      <c r="F20" s="2026"/>
      <c r="G20" s="2026"/>
      <c r="H20" s="2026"/>
      <c r="I20" s="2026"/>
      <c r="J20" s="2026"/>
      <c r="K20" s="2026"/>
      <c r="L20" s="2026"/>
      <c r="M20" s="2026"/>
      <c r="N20" s="2026"/>
      <c r="O20" s="2027"/>
    </row>
    <row r="21" spans="2:15" x14ac:dyDescent="0.3">
      <c r="B21" s="2017"/>
      <c r="C21" s="2020"/>
      <c r="D21" s="125" t="s">
        <v>289</v>
      </c>
      <c r="E21" s="2025"/>
      <c r="F21" s="2026"/>
      <c r="G21" s="2026"/>
      <c r="H21" s="2026"/>
      <c r="I21" s="2026"/>
      <c r="J21" s="2026"/>
      <c r="K21" s="2026"/>
      <c r="L21" s="2026"/>
      <c r="M21" s="2026"/>
      <c r="N21" s="2026"/>
      <c r="O21" s="2027"/>
    </row>
    <row r="22" spans="2:15" x14ac:dyDescent="0.3">
      <c r="B22" s="2015">
        <f>B10+1</f>
        <v>2</v>
      </c>
      <c r="C22" s="2018"/>
      <c r="D22" s="125" t="s">
        <v>278</v>
      </c>
      <c r="E22" s="2025"/>
      <c r="F22" s="2026"/>
      <c r="G22" s="2026"/>
      <c r="H22" s="2026"/>
      <c r="I22" s="2026"/>
      <c r="J22" s="2026"/>
      <c r="K22" s="2026"/>
      <c r="L22" s="2026"/>
      <c r="M22" s="2026"/>
      <c r="N22" s="2026"/>
      <c r="O22" s="2027"/>
    </row>
    <row r="23" spans="2:15" x14ac:dyDescent="0.3">
      <c r="B23" s="2016"/>
      <c r="C23" s="2019"/>
      <c r="D23" s="125" t="s">
        <v>279</v>
      </c>
      <c r="E23" s="2025"/>
      <c r="F23" s="2026"/>
      <c r="G23" s="2026"/>
      <c r="H23" s="2026"/>
      <c r="I23" s="2026"/>
      <c r="J23" s="2026"/>
      <c r="K23" s="2026"/>
      <c r="L23" s="2026"/>
      <c r="M23" s="2026"/>
      <c r="N23" s="2026"/>
      <c r="O23" s="2027"/>
    </row>
    <row r="24" spans="2:15" x14ac:dyDescent="0.3">
      <c r="B24" s="2016"/>
      <c r="C24" s="2019"/>
      <c r="D24" s="125" t="s">
        <v>280</v>
      </c>
      <c r="E24" s="2025"/>
      <c r="F24" s="2026"/>
      <c r="G24" s="2026"/>
      <c r="H24" s="2026"/>
      <c r="I24" s="2026"/>
      <c r="J24" s="2026"/>
      <c r="K24" s="2026"/>
      <c r="L24" s="2026"/>
      <c r="M24" s="2026"/>
      <c r="N24" s="2026"/>
      <c r="O24" s="2027"/>
    </row>
    <row r="25" spans="2:15" x14ac:dyDescent="0.3">
      <c r="B25" s="2016"/>
      <c r="C25" s="2019"/>
      <c r="D25" s="125" t="s">
        <v>569</v>
      </c>
      <c r="E25" s="2025"/>
      <c r="F25" s="2026"/>
      <c r="G25" s="2026"/>
      <c r="H25" s="2026"/>
      <c r="I25" s="2026"/>
      <c r="J25" s="2026"/>
      <c r="K25" s="2026"/>
      <c r="L25" s="2026"/>
      <c r="M25" s="2026"/>
      <c r="N25" s="2026"/>
      <c r="O25" s="2027"/>
    </row>
    <row r="26" spans="2:15" x14ac:dyDescent="0.3">
      <c r="B26" s="2016"/>
      <c r="C26" s="2019"/>
      <c r="D26" s="125" t="s">
        <v>282</v>
      </c>
      <c r="E26" s="2025"/>
      <c r="F26" s="2026"/>
      <c r="G26" s="2026"/>
      <c r="H26" s="2026"/>
      <c r="I26" s="2026"/>
      <c r="J26" s="2026"/>
      <c r="K26" s="2026"/>
      <c r="L26" s="2026"/>
      <c r="M26" s="2026"/>
      <c r="N26" s="2026"/>
      <c r="O26" s="2027"/>
    </row>
    <row r="27" spans="2:15" x14ac:dyDescent="0.3">
      <c r="B27" s="2016"/>
      <c r="C27" s="2019"/>
      <c r="D27" s="125" t="s">
        <v>283</v>
      </c>
      <c r="E27" s="2025"/>
      <c r="F27" s="2026"/>
      <c r="G27" s="2026"/>
      <c r="H27" s="2026"/>
      <c r="I27" s="2026"/>
      <c r="J27" s="2026"/>
      <c r="K27" s="2026"/>
      <c r="L27" s="2026"/>
      <c r="M27" s="2026"/>
      <c r="N27" s="2026"/>
      <c r="O27" s="2027"/>
    </row>
    <row r="28" spans="2:15" x14ac:dyDescent="0.3">
      <c r="B28" s="2016"/>
      <c r="C28" s="2019"/>
      <c r="D28" s="125" t="s">
        <v>284</v>
      </c>
      <c r="E28" s="2025"/>
      <c r="F28" s="2026"/>
      <c r="G28" s="2026"/>
      <c r="H28" s="2026"/>
      <c r="I28" s="2026"/>
      <c r="J28" s="2026"/>
      <c r="K28" s="2026"/>
      <c r="L28" s="2026"/>
      <c r="M28" s="2026"/>
      <c r="N28" s="2026"/>
      <c r="O28" s="2027"/>
    </row>
    <row r="29" spans="2:15" x14ac:dyDescent="0.3">
      <c r="B29" s="2016"/>
      <c r="C29" s="2019"/>
      <c r="D29" s="125" t="s">
        <v>570</v>
      </c>
      <c r="E29" s="2025"/>
      <c r="F29" s="2026"/>
      <c r="G29" s="2026"/>
      <c r="H29" s="2026"/>
      <c r="I29" s="2026"/>
      <c r="J29" s="2026"/>
      <c r="K29" s="2026"/>
      <c r="L29" s="2026"/>
      <c r="M29" s="2026"/>
      <c r="N29" s="2026"/>
      <c r="O29" s="2027"/>
    </row>
    <row r="30" spans="2:15" x14ac:dyDescent="0.3">
      <c r="B30" s="2016"/>
      <c r="C30" s="2019"/>
      <c r="D30" s="125" t="s">
        <v>286</v>
      </c>
      <c r="E30" s="2025"/>
      <c r="F30" s="2026"/>
      <c r="G30" s="2026"/>
      <c r="H30" s="2026"/>
      <c r="I30" s="2026"/>
      <c r="J30" s="2026"/>
      <c r="K30" s="2026"/>
      <c r="L30" s="2026"/>
      <c r="M30" s="2026"/>
      <c r="N30" s="2026"/>
      <c r="O30" s="2027"/>
    </row>
    <row r="31" spans="2:15" x14ac:dyDescent="0.3">
      <c r="B31" s="2016"/>
      <c r="C31" s="2019"/>
      <c r="D31" s="125" t="s">
        <v>287</v>
      </c>
      <c r="E31" s="2025"/>
      <c r="F31" s="2026"/>
      <c r="G31" s="2026"/>
      <c r="H31" s="2026"/>
      <c r="I31" s="2026"/>
      <c r="J31" s="2026"/>
      <c r="K31" s="2026"/>
      <c r="L31" s="2026"/>
      <c r="M31" s="2026"/>
      <c r="N31" s="2026"/>
      <c r="O31" s="2027"/>
    </row>
    <row r="32" spans="2:15" x14ac:dyDescent="0.3">
      <c r="B32" s="2016"/>
      <c r="C32" s="2019"/>
      <c r="D32" s="125" t="s">
        <v>288</v>
      </c>
      <c r="E32" s="2025"/>
      <c r="F32" s="2026"/>
      <c r="G32" s="2026"/>
      <c r="H32" s="2026"/>
      <c r="I32" s="2026"/>
      <c r="J32" s="2026"/>
      <c r="K32" s="2026"/>
      <c r="L32" s="2026"/>
      <c r="M32" s="2026"/>
      <c r="N32" s="2026"/>
      <c r="O32" s="2027"/>
    </row>
    <row r="33" spans="2:15" x14ac:dyDescent="0.3">
      <c r="B33" s="2017"/>
      <c r="C33" s="2020"/>
      <c r="D33" s="125" t="s">
        <v>289</v>
      </c>
      <c r="E33" s="2025"/>
      <c r="F33" s="2026"/>
      <c r="G33" s="2026"/>
      <c r="H33" s="2026"/>
      <c r="I33" s="2026"/>
      <c r="J33" s="2026"/>
      <c r="K33" s="2026"/>
      <c r="L33" s="2026"/>
      <c r="M33" s="2026"/>
      <c r="N33" s="2026"/>
      <c r="O33" s="2027"/>
    </row>
    <row r="34" spans="2:15" x14ac:dyDescent="0.3">
      <c r="B34" s="99">
        <v>3</v>
      </c>
      <c r="C34" s="124"/>
      <c r="D34" s="124"/>
      <c r="E34" s="2025"/>
      <c r="F34" s="2026"/>
      <c r="G34" s="2026"/>
      <c r="H34" s="2026"/>
      <c r="I34" s="2026"/>
      <c r="J34" s="2026"/>
      <c r="K34" s="2026"/>
      <c r="L34" s="2026"/>
      <c r="M34" s="2026"/>
      <c r="N34" s="2026"/>
      <c r="O34" s="2027"/>
    </row>
    <row r="35" spans="2:15" x14ac:dyDescent="0.3">
      <c r="B35" s="99" t="s">
        <v>475</v>
      </c>
      <c r="C35" s="126"/>
      <c r="D35" s="126"/>
      <c r="E35" s="2028"/>
      <c r="F35" s="2029"/>
      <c r="G35" s="2029"/>
      <c r="H35" s="2029"/>
      <c r="I35" s="2029"/>
      <c r="J35" s="2029"/>
      <c r="K35" s="2029"/>
      <c r="L35" s="2029"/>
      <c r="M35" s="2029"/>
      <c r="N35" s="2029"/>
      <c r="O35" s="2030"/>
    </row>
    <row r="37" spans="2:15" x14ac:dyDescent="0.3">
      <c r="B37" s="2021" t="s">
        <v>1021</v>
      </c>
      <c r="C37" s="2021"/>
      <c r="D37" s="299"/>
      <c r="E37" s="14"/>
      <c r="F37" s="14"/>
      <c r="G37" s="14"/>
      <c r="H37" s="14"/>
      <c r="I37" s="14"/>
      <c r="J37" s="14"/>
      <c r="K37" s="14"/>
      <c r="L37" s="14"/>
    </row>
    <row r="39" spans="2:15" ht="79.25" customHeight="1" x14ac:dyDescent="0.3">
      <c r="B39" s="1760" t="s">
        <v>339</v>
      </c>
      <c r="C39" s="1760" t="s">
        <v>557</v>
      </c>
      <c r="D39" s="1760" t="s">
        <v>568</v>
      </c>
      <c r="E39" s="292" t="s">
        <v>639</v>
      </c>
      <c r="F39" s="1752" t="s">
        <v>558</v>
      </c>
      <c r="G39" s="1752"/>
      <c r="H39" s="1752"/>
      <c r="I39" s="1752"/>
      <c r="J39" s="1752"/>
      <c r="K39" s="1752" t="s">
        <v>562</v>
      </c>
      <c r="L39" s="1752"/>
      <c r="M39" s="1752"/>
      <c r="N39" s="1752" t="s">
        <v>740</v>
      </c>
      <c r="O39" s="1752" t="s">
        <v>567</v>
      </c>
    </row>
    <row r="40" spans="2:15" ht="42.75" customHeight="1" x14ac:dyDescent="0.3">
      <c r="B40" s="1795"/>
      <c r="C40" s="1795"/>
      <c r="D40" s="1795"/>
      <c r="E40" s="291" t="s">
        <v>641</v>
      </c>
      <c r="F40" s="289" t="s">
        <v>564</v>
      </c>
      <c r="G40" s="289" t="s">
        <v>559</v>
      </c>
      <c r="H40" s="289" t="s">
        <v>643</v>
      </c>
      <c r="I40" s="291" t="s">
        <v>683</v>
      </c>
      <c r="J40" s="291" t="s">
        <v>738</v>
      </c>
      <c r="K40" s="291" t="s">
        <v>563</v>
      </c>
      <c r="L40" s="291" t="s">
        <v>739</v>
      </c>
      <c r="M40" s="291" t="s">
        <v>642</v>
      </c>
      <c r="N40" s="1752"/>
      <c r="O40" s="1752"/>
    </row>
    <row r="41" spans="2:15" x14ac:dyDescent="0.3">
      <c r="B41" s="2015">
        <f>B40+1</f>
        <v>1</v>
      </c>
      <c r="C41" s="2018"/>
      <c r="D41" s="125" t="s">
        <v>278</v>
      </c>
      <c r="E41" s="2022" t="s">
        <v>773</v>
      </c>
      <c r="F41" s="2023"/>
      <c r="G41" s="2023"/>
      <c r="H41" s="2023"/>
      <c r="I41" s="2023"/>
      <c r="J41" s="2023"/>
      <c r="K41" s="2023"/>
      <c r="L41" s="2023"/>
      <c r="M41" s="2023"/>
      <c r="N41" s="2023"/>
      <c r="O41" s="2024"/>
    </row>
    <row r="42" spans="2:15" x14ac:dyDescent="0.3">
      <c r="B42" s="2016"/>
      <c r="C42" s="2019"/>
      <c r="D42" s="125" t="s">
        <v>279</v>
      </c>
      <c r="E42" s="2025"/>
      <c r="F42" s="2026"/>
      <c r="G42" s="2026"/>
      <c r="H42" s="2026"/>
      <c r="I42" s="2026"/>
      <c r="J42" s="2026"/>
      <c r="K42" s="2026"/>
      <c r="L42" s="2026"/>
      <c r="M42" s="2026"/>
      <c r="N42" s="2026"/>
      <c r="O42" s="2027"/>
    </row>
    <row r="43" spans="2:15" x14ac:dyDescent="0.3">
      <c r="B43" s="2016"/>
      <c r="C43" s="2019"/>
      <c r="D43" s="125" t="s">
        <v>280</v>
      </c>
      <c r="E43" s="2025"/>
      <c r="F43" s="2026"/>
      <c r="G43" s="2026"/>
      <c r="H43" s="2026"/>
      <c r="I43" s="2026"/>
      <c r="J43" s="2026"/>
      <c r="K43" s="2026"/>
      <c r="L43" s="2026"/>
      <c r="M43" s="2026"/>
      <c r="N43" s="2026"/>
      <c r="O43" s="2027"/>
    </row>
    <row r="44" spans="2:15" x14ac:dyDescent="0.3">
      <c r="B44" s="2016"/>
      <c r="C44" s="2019"/>
      <c r="D44" s="125" t="s">
        <v>569</v>
      </c>
      <c r="E44" s="2025"/>
      <c r="F44" s="2026"/>
      <c r="G44" s="2026"/>
      <c r="H44" s="2026"/>
      <c r="I44" s="2026"/>
      <c r="J44" s="2026"/>
      <c r="K44" s="2026"/>
      <c r="L44" s="2026"/>
      <c r="M44" s="2026"/>
      <c r="N44" s="2026"/>
      <c r="O44" s="2027"/>
    </row>
    <row r="45" spans="2:15" x14ac:dyDescent="0.3">
      <c r="B45" s="2016"/>
      <c r="C45" s="2019"/>
      <c r="D45" s="125" t="s">
        <v>282</v>
      </c>
      <c r="E45" s="2025"/>
      <c r="F45" s="2026"/>
      <c r="G45" s="2026"/>
      <c r="H45" s="2026"/>
      <c r="I45" s="2026"/>
      <c r="J45" s="2026"/>
      <c r="K45" s="2026"/>
      <c r="L45" s="2026"/>
      <c r="M45" s="2026"/>
      <c r="N45" s="2026"/>
      <c r="O45" s="2027"/>
    </row>
    <row r="46" spans="2:15" x14ac:dyDescent="0.3">
      <c r="B46" s="2016"/>
      <c r="C46" s="2019"/>
      <c r="D46" s="125" t="s">
        <v>283</v>
      </c>
      <c r="E46" s="2025"/>
      <c r="F46" s="2026"/>
      <c r="G46" s="2026"/>
      <c r="H46" s="2026"/>
      <c r="I46" s="2026"/>
      <c r="J46" s="2026"/>
      <c r="K46" s="2026"/>
      <c r="L46" s="2026"/>
      <c r="M46" s="2026"/>
      <c r="N46" s="2026"/>
      <c r="O46" s="2027"/>
    </row>
    <row r="47" spans="2:15" x14ac:dyDescent="0.3">
      <c r="B47" s="2016"/>
      <c r="C47" s="2019"/>
      <c r="D47" s="125" t="s">
        <v>284</v>
      </c>
      <c r="E47" s="2025"/>
      <c r="F47" s="2026"/>
      <c r="G47" s="2026"/>
      <c r="H47" s="2026"/>
      <c r="I47" s="2026"/>
      <c r="J47" s="2026"/>
      <c r="K47" s="2026"/>
      <c r="L47" s="2026"/>
      <c r="M47" s="2026"/>
      <c r="N47" s="2026"/>
      <c r="O47" s="2027"/>
    </row>
    <row r="48" spans="2:15" x14ac:dyDescent="0.3">
      <c r="B48" s="2016"/>
      <c r="C48" s="2019"/>
      <c r="D48" s="125" t="s">
        <v>570</v>
      </c>
      <c r="E48" s="2025"/>
      <c r="F48" s="2026"/>
      <c r="G48" s="2026"/>
      <c r="H48" s="2026"/>
      <c r="I48" s="2026"/>
      <c r="J48" s="2026"/>
      <c r="K48" s="2026"/>
      <c r="L48" s="2026"/>
      <c r="M48" s="2026"/>
      <c r="N48" s="2026"/>
      <c r="O48" s="2027"/>
    </row>
    <row r="49" spans="2:15" x14ac:dyDescent="0.3">
      <c r="B49" s="2016"/>
      <c r="C49" s="2019"/>
      <c r="D49" s="125" t="s">
        <v>286</v>
      </c>
      <c r="E49" s="2025"/>
      <c r="F49" s="2026"/>
      <c r="G49" s="2026"/>
      <c r="H49" s="2026"/>
      <c r="I49" s="2026"/>
      <c r="J49" s="2026"/>
      <c r="K49" s="2026"/>
      <c r="L49" s="2026"/>
      <c r="M49" s="2026"/>
      <c r="N49" s="2026"/>
      <c r="O49" s="2027"/>
    </row>
    <row r="50" spans="2:15" x14ac:dyDescent="0.3">
      <c r="B50" s="2016"/>
      <c r="C50" s="2019"/>
      <c r="D50" s="125" t="s">
        <v>287</v>
      </c>
      <c r="E50" s="2025"/>
      <c r="F50" s="2026"/>
      <c r="G50" s="2026"/>
      <c r="H50" s="2026"/>
      <c r="I50" s="2026"/>
      <c r="J50" s="2026"/>
      <c r="K50" s="2026"/>
      <c r="L50" s="2026"/>
      <c r="M50" s="2026"/>
      <c r="N50" s="2026"/>
      <c r="O50" s="2027"/>
    </row>
    <row r="51" spans="2:15" x14ac:dyDescent="0.3">
      <c r="B51" s="2016"/>
      <c r="C51" s="2019"/>
      <c r="D51" s="125" t="s">
        <v>288</v>
      </c>
      <c r="E51" s="2025"/>
      <c r="F51" s="2026"/>
      <c r="G51" s="2026"/>
      <c r="H51" s="2026"/>
      <c r="I51" s="2026"/>
      <c r="J51" s="2026"/>
      <c r="K51" s="2026"/>
      <c r="L51" s="2026"/>
      <c r="M51" s="2026"/>
      <c r="N51" s="2026"/>
      <c r="O51" s="2027"/>
    </row>
    <row r="52" spans="2:15" x14ac:dyDescent="0.3">
      <c r="B52" s="2017"/>
      <c r="C52" s="2020"/>
      <c r="D52" s="125" t="s">
        <v>289</v>
      </c>
      <c r="E52" s="2025"/>
      <c r="F52" s="2026"/>
      <c r="G52" s="2026"/>
      <c r="H52" s="2026"/>
      <c r="I52" s="2026"/>
      <c r="J52" s="2026"/>
      <c r="K52" s="2026"/>
      <c r="L52" s="2026"/>
      <c r="M52" s="2026"/>
      <c r="N52" s="2026"/>
      <c r="O52" s="2027"/>
    </row>
    <row r="53" spans="2:15" x14ac:dyDescent="0.3">
      <c r="B53" s="2015">
        <f>B41+1</f>
        <v>2</v>
      </c>
      <c r="C53" s="2018"/>
      <c r="D53" s="125" t="s">
        <v>278</v>
      </c>
      <c r="E53" s="2025"/>
      <c r="F53" s="2026"/>
      <c r="G53" s="2026"/>
      <c r="H53" s="2026"/>
      <c r="I53" s="2026"/>
      <c r="J53" s="2026"/>
      <c r="K53" s="2026"/>
      <c r="L53" s="2026"/>
      <c r="M53" s="2026"/>
      <c r="N53" s="2026"/>
      <c r="O53" s="2027"/>
    </row>
    <row r="54" spans="2:15" x14ac:dyDescent="0.3">
      <c r="B54" s="2016"/>
      <c r="C54" s="2019"/>
      <c r="D54" s="125" t="s">
        <v>279</v>
      </c>
      <c r="E54" s="2025"/>
      <c r="F54" s="2026"/>
      <c r="G54" s="2026"/>
      <c r="H54" s="2026"/>
      <c r="I54" s="2026"/>
      <c r="J54" s="2026"/>
      <c r="K54" s="2026"/>
      <c r="L54" s="2026"/>
      <c r="M54" s="2026"/>
      <c r="N54" s="2026"/>
      <c r="O54" s="2027"/>
    </row>
    <row r="55" spans="2:15" x14ac:dyDescent="0.3">
      <c r="B55" s="2016"/>
      <c r="C55" s="2019"/>
      <c r="D55" s="125" t="s">
        <v>280</v>
      </c>
      <c r="E55" s="2025"/>
      <c r="F55" s="2026"/>
      <c r="G55" s="2026"/>
      <c r="H55" s="2026"/>
      <c r="I55" s="2026"/>
      <c r="J55" s="2026"/>
      <c r="K55" s="2026"/>
      <c r="L55" s="2026"/>
      <c r="M55" s="2026"/>
      <c r="N55" s="2026"/>
      <c r="O55" s="2027"/>
    </row>
    <row r="56" spans="2:15" x14ac:dyDescent="0.3">
      <c r="B56" s="2016"/>
      <c r="C56" s="2019"/>
      <c r="D56" s="125" t="s">
        <v>569</v>
      </c>
      <c r="E56" s="2025"/>
      <c r="F56" s="2026"/>
      <c r="G56" s="2026"/>
      <c r="H56" s="2026"/>
      <c r="I56" s="2026"/>
      <c r="J56" s="2026"/>
      <c r="K56" s="2026"/>
      <c r="L56" s="2026"/>
      <c r="M56" s="2026"/>
      <c r="N56" s="2026"/>
      <c r="O56" s="2027"/>
    </row>
    <row r="57" spans="2:15" x14ac:dyDescent="0.3">
      <c r="B57" s="2016"/>
      <c r="C57" s="2019"/>
      <c r="D57" s="125" t="s">
        <v>282</v>
      </c>
      <c r="E57" s="2025"/>
      <c r="F57" s="2026"/>
      <c r="G57" s="2026"/>
      <c r="H57" s="2026"/>
      <c r="I57" s="2026"/>
      <c r="J57" s="2026"/>
      <c r="K57" s="2026"/>
      <c r="L57" s="2026"/>
      <c r="M57" s="2026"/>
      <c r="N57" s="2026"/>
      <c r="O57" s="2027"/>
    </row>
    <row r="58" spans="2:15" x14ac:dyDescent="0.3">
      <c r="B58" s="2016"/>
      <c r="C58" s="2019"/>
      <c r="D58" s="125" t="s">
        <v>283</v>
      </c>
      <c r="E58" s="2025"/>
      <c r="F58" s="2026"/>
      <c r="G58" s="2026"/>
      <c r="H58" s="2026"/>
      <c r="I58" s="2026"/>
      <c r="J58" s="2026"/>
      <c r="K58" s="2026"/>
      <c r="L58" s="2026"/>
      <c r="M58" s="2026"/>
      <c r="N58" s="2026"/>
      <c r="O58" s="2027"/>
    </row>
    <row r="59" spans="2:15" x14ac:dyDescent="0.3">
      <c r="B59" s="2016"/>
      <c r="C59" s="2019"/>
      <c r="D59" s="125" t="s">
        <v>284</v>
      </c>
      <c r="E59" s="2025"/>
      <c r="F59" s="2026"/>
      <c r="G59" s="2026"/>
      <c r="H59" s="2026"/>
      <c r="I59" s="2026"/>
      <c r="J59" s="2026"/>
      <c r="K59" s="2026"/>
      <c r="L59" s="2026"/>
      <c r="M59" s="2026"/>
      <c r="N59" s="2026"/>
      <c r="O59" s="2027"/>
    </row>
    <row r="60" spans="2:15" x14ac:dyDescent="0.3">
      <c r="B60" s="2016"/>
      <c r="C60" s="2019"/>
      <c r="D60" s="125" t="s">
        <v>570</v>
      </c>
      <c r="E60" s="2025"/>
      <c r="F60" s="2026"/>
      <c r="G60" s="2026"/>
      <c r="H60" s="2026"/>
      <c r="I60" s="2026"/>
      <c r="J60" s="2026"/>
      <c r="K60" s="2026"/>
      <c r="L60" s="2026"/>
      <c r="M60" s="2026"/>
      <c r="N60" s="2026"/>
      <c r="O60" s="2027"/>
    </row>
    <row r="61" spans="2:15" x14ac:dyDescent="0.3">
      <c r="B61" s="2016"/>
      <c r="C61" s="2019"/>
      <c r="D61" s="125" t="s">
        <v>286</v>
      </c>
      <c r="E61" s="2025"/>
      <c r="F61" s="2026"/>
      <c r="G61" s="2026"/>
      <c r="H61" s="2026"/>
      <c r="I61" s="2026"/>
      <c r="J61" s="2026"/>
      <c r="K61" s="2026"/>
      <c r="L61" s="2026"/>
      <c r="M61" s="2026"/>
      <c r="N61" s="2026"/>
      <c r="O61" s="2027"/>
    </row>
    <row r="62" spans="2:15" x14ac:dyDescent="0.3">
      <c r="B62" s="2016"/>
      <c r="C62" s="2019"/>
      <c r="D62" s="125" t="s">
        <v>287</v>
      </c>
      <c r="E62" s="2025"/>
      <c r="F62" s="2026"/>
      <c r="G62" s="2026"/>
      <c r="H62" s="2026"/>
      <c r="I62" s="2026"/>
      <c r="J62" s="2026"/>
      <c r="K62" s="2026"/>
      <c r="L62" s="2026"/>
      <c r="M62" s="2026"/>
      <c r="N62" s="2026"/>
      <c r="O62" s="2027"/>
    </row>
    <row r="63" spans="2:15" x14ac:dyDescent="0.3">
      <c r="B63" s="2016"/>
      <c r="C63" s="2019"/>
      <c r="D63" s="125" t="s">
        <v>288</v>
      </c>
      <c r="E63" s="2025"/>
      <c r="F63" s="2026"/>
      <c r="G63" s="2026"/>
      <c r="H63" s="2026"/>
      <c r="I63" s="2026"/>
      <c r="J63" s="2026"/>
      <c r="K63" s="2026"/>
      <c r="L63" s="2026"/>
      <c r="M63" s="2026"/>
      <c r="N63" s="2026"/>
      <c r="O63" s="2027"/>
    </row>
    <row r="64" spans="2:15" x14ac:dyDescent="0.3">
      <c r="B64" s="2017"/>
      <c r="C64" s="2020"/>
      <c r="D64" s="125" t="s">
        <v>289</v>
      </c>
      <c r="E64" s="2025"/>
      <c r="F64" s="2026"/>
      <c r="G64" s="2026"/>
      <c r="H64" s="2026"/>
      <c r="I64" s="2026"/>
      <c r="J64" s="2026"/>
      <c r="K64" s="2026"/>
      <c r="L64" s="2026"/>
      <c r="M64" s="2026"/>
      <c r="N64" s="2026"/>
      <c r="O64" s="2027"/>
    </row>
    <row r="65" spans="2:15" x14ac:dyDescent="0.3">
      <c r="B65" s="99">
        <v>3</v>
      </c>
      <c r="C65" s="124"/>
      <c r="D65" s="124"/>
      <c r="E65" s="2025"/>
      <c r="F65" s="2026"/>
      <c r="G65" s="2026"/>
      <c r="H65" s="2026"/>
      <c r="I65" s="2026"/>
      <c r="J65" s="2026"/>
      <c r="K65" s="2026"/>
      <c r="L65" s="2026"/>
      <c r="M65" s="2026"/>
      <c r="N65" s="2026"/>
      <c r="O65" s="2027"/>
    </row>
    <row r="66" spans="2:15" x14ac:dyDescent="0.3">
      <c r="B66" s="99" t="s">
        <v>475</v>
      </c>
      <c r="C66" s="126"/>
      <c r="D66" s="126"/>
      <c r="E66" s="2028"/>
      <c r="F66" s="2029"/>
      <c r="G66" s="2029"/>
      <c r="H66" s="2029"/>
      <c r="I66" s="2029"/>
      <c r="J66" s="2029"/>
      <c r="K66" s="2029"/>
      <c r="L66" s="2029"/>
      <c r="M66" s="2029"/>
      <c r="N66" s="2029"/>
      <c r="O66" s="2030"/>
    </row>
    <row r="68" spans="2:15" x14ac:dyDescent="0.3">
      <c r="B68" s="250" t="s">
        <v>735</v>
      </c>
    </row>
    <row r="70" spans="2:15" x14ac:dyDescent="0.3">
      <c r="B70" s="2021" t="s">
        <v>1022</v>
      </c>
      <c r="C70" s="2021"/>
      <c r="D70" s="251"/>
      <c r="E70" s="14"/>
      <c r="F70" s="14"/>
      <c r="G70" s="14"/>
      <c r="H70" s="14"/>
      <c r="I70" s="14"/>
      <c r="J70" s="14"/>
      <c r="K70" s="14"/>
      <c r="L70" s="14"/>
    </row>
    <row r="72" spans="2:15" ht="56" x14ac:dyDescent="0.3">
      <c r="B72" s="1760" t="s">
        <v>339</v>
      </c>
      <c r="C72" s="1760" t="s">
        <v>557</v>
      </c>
      <c r="D72" s="1760" t="s">
        <v>568</v>
      </c>
      <c r="E72" s="254" t="s">
        <v>639</v>
      </c>
      <c r="F72" s="1752" t="s">
        <v>558</v>
      </c>
      <c r="G72" s="1752"/>
      <c r="H72" s="1752"/>
      <c r="I72" s="1752"/>
      <c r="J72" s="1752"/>
      <c r="K72" s="1752" t="s">
        <v>562</v>
      </c>
      <c r="L72" s="1752"/>
      <c r="M72" s="1752"/>
      <c r="N72" s="1752" t="s">
        <v>566</v>
      </c>
      <c r="O72" s="1752" t="s">
        <v>567</v>
      </c>
    </row>
    <row r="73" spans="2:15" ht="28" x14ac:dyDescent="0.3">
      <c r="B73" s="1795"/>
      <c r="C73" s="1795"/>
      <c r="D73" s="1795"/>
      <c r="E73" s="253" t="s">
        <v>641</v>
      </c>
      <c r="F73" s="252" t="s">
        <v>564</v>
      </c>
      <c r="G73" s="252" t="s">
        <v>559</v>
      </c>
      <c r="H73" s="252" t="s">
        <v>643</v>
      </c>
      <c r="I73" s="253" t="s">
        <v>560</v>
      </c>
      <c r="J73" s="253" t="s">
        <v>561</v>
      </c>
      <c r="K73" s="253" t="s">
        <v>563</v>
      </c>
      <c r="L73" s="253" t="s">
        <v>565</v>
      </c>
      <c r="M73" s="253" t="s">
        <v>642</v>
      </c>
      <c r="N73" s="1752"/>
      <c r="O73" s="1752"/>
    </row>
    <row r="74" spans="2:15" x14ac:dyDescent="0.3">
      <c r="B74" s="2015">
        <f>B73+1</f>
        <v>1</v>
      </c>
      <c r="C74" s="2018"/>
      <c r="D74" s="125" t="s">
        <v>278</v>
      </c>
      <c r="E74" s="2022" t="s">
        <v>773</v>
      </c>
      <c r="F74" s="2023"/>
      <c r="G74" s="2023"/>
      <c r="H74" s="2023"/>
      <c r="I74" s="2023"/>
      <c r="J74" s="2023"/>
      <c r="K74" s="2023"/>
      <c r="L74" s="2023"/>
      <c r="M74" s="2023"/>
      <c r="N74" s="2023"/>
      <c r="O74" s="2024"/>
    </row>
    <row r="75" spans="2:15" x14ac:dyDescent="0.3">
      <c r="B75" s="2016"/>
      <c r="C75" s="2019"/>
      <c r="D75" s="125" t="s">
        <v>279</v>
      </c>
      <c r="E75" s="2025"/>
      <c r="F75" s="2026"/>
      <c r="G75" s="2026"/>
      <c r="H75" s="2026"/>
      <c r="I75" s="2026"/>
      <c r="J75" s="2026"/>
      <c r="K75" s="2026"/>
      <c r="L75" s="2026"/>
      <c r="M75" s="2026"/>
      <c r="N75" s="2026"/>
      <c r="O75" s="2027"/>
    </row>
    <row r="76" spans="2:15" x14ac:dyDescent="0.3">
      <c r="B76" s="2016"/>
      <c r="C76" s="2019"/>
      <c r="D76" s="125" t="s">
        <v>280</v>
      </c>
      <c r="E76" s="2025"/>
      <c r="F76" s="2026"/>
      <c r="G76" s="2026"/>
      <c r="H76" s="2026"/>
      <c r="I76" s="2026"/>
      <c r="J76" s="2026"/>
      <c r="K76" s="2026"/>
      <c r="L76" s="2026"/>
      <c r="M76" s="2026"/>
      <c r="N76" s="2026"/>
      <c r="O76" s="2027"/>
    </row>
    <row r="77" spans="2:15" x14ac:dyDescent="0.3">
      <c r="B77" s="2016"/>
      <c r="C77" s="2019"/>
      <c r="D77" s="125" t="s">
        <v>569</v>
      </c>
      <c r="E77" s="2025"/>
      <c r="F77" s="2026"/>
      <c r="G77" s="2026"/>
      <c r="H77" s="2026"/>
      <c r="I77" s="2026"/>
      <c r="J77" s="2026"/>
      <c r="K77" s="2026"/>
      <c r="L77" s="2026"/>
      <c r="M77" s="2026"/>
      <c r="N77" s="2026"/>
      <c r="O77" s="2027"/>
    </row>
    <row r="78" spans="2:15" x14ac:dyDescent="0.3">
      <c r="B78" s="2016"/>
      <c r="C78" s="2019"/>
      <c r="D78" s="125" t="s">
        <v>282</v>
      </c>
      <c r="E78" s="2025"/>
      <c r="F78" s="2026"/>
      <c r="G78" s="2026"/>
      <c r="H78" s="2026"/>
      <c r="I78" s="2026"/>
      <c r="J78" s="2026"/>
      <c r="K78" s="2026"/>
      <c r="L78" s="2026"/>
      <c r="M78" s="2026"/>
      <c r="N78" s="2026"/>
      <c r="O78" s="2027"/>
    </row>
    <row r="79" spans="2:15" x14ac:dyDescent="0.3">
      <c r="B79" s="2016"/>
      <c r="C79" s="2019"/>
      <c r="D79" s="125" t="s">
        <v>283</v>
      </c>
      <c r="E79" s="2025"/>
      <c r="F79" s="2026"/>
      <c r="G79" s="2026"/>
      <c r="H79" s="2026"/>
      <c r="I79" s="2026"/>
      <c r="J79" s="2026"/>
      <c r="K79" s="2026"/>
      <c r="L79" s="2026"/>
      <c r="M79" s="2026"/>
      <c r="N79" s="2026"/>
      <c r="O79" s="2027"/>
    </row>
    <row r="80" spans="2:15" x14ac:dyDescent="0.3">
      <c r="B80" s="2016"/>
      <c r="C80" s="2019"/>
      <c r="D80" s="125" t="s">
        <v>284</v>
      </c>
      <c r="E80" s="2025"/>
      <c r="F80" s="2026"/>
      <c r="G80" s="2026"/>
      <c r="H80" s="2026"/>
      <c r="I80" s="2026"/>
      <c r="J80" s="2026"/>
      <c r="K80" s="2026"/>
      <c r="L80" s="2026"/>
      <c r="M80" s="2026"/>
      <c r="N80" s="2026"/>
      <c r="O80" s="2027"/>
    </row>
    <row r="81" spans="2:15" x14ac:dyDescent="0.3">
      <c r="B81" s="2016"/>
      <c r="C81" s="2019"/>
      <c r="D81" s="125" t="s">
        <v>570</v>
      </c>
      <c r="E81" s="2025"/>
      <c r="F81" s="2026"/>
      <c r="G81" s="2026"/>
      <c r="H81" s="2026"/>
      <c r="I81" s="2026"/>
      <c r="J81" s="2026"/>
      <c r="K81" s="2026"/>
      <c r="L81" s="2026"/>
      <c r="M81" s="2026"/>
      <c r="N81" s="2026"/>
      <c r="O81" s="2027"/>
    </row>
    <row r="82" spans="2:15" x14ac:dyDescent="0.3">
      <c r="B82" s="2016"/>
      <c r="C82" s="2019"/>
      <c r="D82" s="125" t="s">
        <v>286</v>
      </c>
      <c r="E82" s="2025"/>
      <c r="F82" s="2026"/>
      <c r="G82" s="2026"/>
      <c r="H82" s="2026"/>
      <c r="I82" s="2026"/>
      <c r="J82" s="2026"/>
      <c r="K82" s="2026"/>
      <c r="L82" s="2026"/>
      <c r="M82" s="2026"/>
      <c r="N82" s="2026"/>
      <c r="O82" s="2027"/>
    </row>
    <row r="83" spans="2:15" x14ac:dyDescent="0.3">
      <c r="B83" s="2016"/>
      <c r="C83" s="2019"/>
      <c r="D83" s="125" t="s">
        <v>287</v>
      </c>
      <c r="E83" s="2025"/>
      <c r="F83" s="2026"/>
      <c r="G83" s="2026"/>
      <c r="H83" s="2026"/>
      <c r="I83" s="2026"/>
      <c r="J83" s="2026"/>
      <c r="K83" s="2026"/>
      <c r="L83" s="2026"/>
      <c r="M83" s="2026"/>
      <c r="N83" s="2026"/>
      <c r="O83" s="2027"/>
    </row>
    <row r="84" spans="2:15" x14ac:dyDescent="0.3">
      <c r="B84" s="2016"/>
      <c r="C84" s="2019"/>
      <c r="D84" s="125" t="s">
        <v>288</v>
      </c>
      <c r="E84" s="2025"/>
      <c r="F84" s="2026"/>
      <c r="G84" s="2026"/>
      <c r="H84" s="2026"/>
      <c r="I84" s="2026"/>
      <c r="J84" s="2026"/>
      <c r="K84" s="2026"/>
      <c r="L84" s="2026"/>
      <c r="M84" s="2026"/>
      <c r="N84" s="2026"/>
      <c r="O84" s="2027"/>
    </row>
    <row r="85" spans="2:15" x14ac:dyDescent="0.3">
      <c r="B85" s="2017"/>
      <c r="C85" s="2020"/>
      <c r="D85" s="125" t="s">
        <v>289</v>
      </c>
      <c r="E85" s="2025"/>
      <c r="F85" s="2026"/>
      <c r="G85" s="2026"/>
      <c r="H85" s="2026"/>
      <c r="I85" s="2026"/>
      <c r="J85" s="2026"/>
      <c r="K85" s="2026"/>
      <c r="L85" s="2026"/>
      <c r="M85" s="2026"/>
      <c r="N85" s="2026"/>
      <c r="O85" s="2027"/>
    </row>
    <row r="86" spans="2:15" x14ac:dyDescent="0.3">
      <c r="B86" s="2015">
        <f>B74+1</f>
        <v>2</v>
      </c>
      <c r="C86" s="2018"/>
      <c r="D86" s="125" t="s">
        <v>278</v>
      </c>
      <c r="E86" s="2025"/>
      <c r="F86" s="2026"/>
      <c r="G86" s="2026"/>
      <c r="H86" s="2026"/>
      <c r="I86" s="2026"/>
      <c r="J86" s="2026"/>
      <c r="K86" s="2026"/>
      <c r="L86" s="2026"/>
      <c r="M86" s="2026"/>
      <c r="N86" s="2026"/>
      <c r="O86" s="2027"/>
    </row>
    <row r="87" spans="2:15" x14ac:dyDescent="0.3">
      <c r="B87" s="2016"/>
      <c r="C87" s="2019"/>
      <c r="D87" s="125" t="s">
        <v>279</v>
      </c>
      <c r="E87" s="2025"/>
      <c r="F87" s="2026"/>
      <c r="G87" s="2026"/>
      <c r="H87" s="2026"/>
      <c r="I87" s="2026"/>
      <c r="J87" s="2026"/>
      <c r="K87" s="2026"/>
      <c r="L87" s="2026"/>
      <c r="M87" s="2026"/>
      <c r="N87" s="2026"/>
      <c r="O87" s="2027"/>
    </row>
    <row r="88" spans="2:15" x14ac:dyDescent="0.3">
      <c r="B88" s="2016"/>
      <c r="C88" s="2019"/>
      <c r="D88" s="125" t="s">
        <v>280</v>
      </c>
      <c r="E88" s="2025"/>
      <c r="F88" s="2026"/>
      <c r="G88" s="2026"/>
      <c r="H88" s="2026"/>
      <c r="I88" s="2026"/>
      <c r="J88" s="2026"/>
      <c r="K88" s="2026"/>
      <c r="L88" s="2026"/>
      <c r="M88" s="2026"/>
      <c r="N88" s="2026"/>
      <c r="O88" s="2027"/>
    </row>
    <row r="89" spans="2:15" x14ac:dyDescent="0.3">
      <c r="B89" s="2016"/>
      <c r="C89" s="2019"/>
      <c r="D89" s="125" t="s">
        <v>569</v>
      </c>
      <c r="E89" s="2025"/>
      <c r="F89" s="2026"/>
      <c r="G89" s="2026"/>
      <c r="H89" s="2026"/>
      <c r="I89" s="2026"/>
      <c r="J89" s="2026"/>
      <c r="K89" s="2026"/>
      <c r="L89" s="2026"/>
      <c r="M89" s="2026"/>
      <c r="N89" s="2026"/>
      <c r="O89" s="2027"/>
    </row>
    <row r="90" spans="2:15" x14ac:dyDescent="0.3">
      <c r="B90" s="2016"/>
      <c r="C90" s="2019"/>
      <c r="D90" s="125" t="s">
        <v>282</v>
      </c>
      <c r="E90" s="2025"/>
      <c r="F90" s="2026"/>
      <c r="G90" s="2026"/>
      <c r="H90" s="2026"/>
      <c r="I90" s="2026"/>
      <c r="J90" s="2026"/>
      <c r="K90" s="2026"/>
      <c r="L90" s="2026"/>
      <c r="M90" s="2026"/>
      <c r="N90" s="2026"/>
      <c r="O90" s="2027"/>
    </row>
    <row r="91" spans="2:15" x14ac:dyDescent="0.3">
      <c r="B91" s="2016"/>
      <c r="C91" s="2019"/>
      <c r="D91" s="125" t="s">
        <v>283</v>
      </c>
      <c r="E91" s="2025"/>
      <c r="F91" s="2026"/>
      <c r="G91" s="2026"/>
      <c r="H91" s="2026"/>
      <c r="I91" s="2026"/>
      <c r="J91" s="2026"/>
      <c r="K91" s="2026"/>
      <c r="L91" s="2026"/>
      <c r="M91" s="2026"/>
      <c r="N91" s="2026"/>
      <c r="O91" s="2027"/>
    </row>
    <row r="92" spans="2:15" x14ac:dyDescent="0.3">
      <c r="B92" s="2016"/>
      <c r="C92" s="2019"/>
      <c r="D92" s="125" t="s">
        <v>284</v>
      </c>
      <c r="E92" s="2025"/>
      <c r="F92" s="2026"/>
      <c r="G92" s="2026"/>
      <c r="H92" s="2026"/>
      <c r="I92" s="2026"/>
      <c r="J92" s="2026"/>
      <c r="K92" s="2026"/>
      <c r="L92" s="2026"/>
      <c r="M92" s="2026"/>
      <c r="N92" s="2026"/>
      <c r="O92" s="2027"/>
    </row>
    <row r="93" spans="2:15" x14ac:dyDescent="0.3">
      <c r="B93" s="2016"/>
      <c r="C93" s="2019"/>
      <c r="D93" s="125" t="s">
        <v>570</v>
      </c>
      <c r="E93" s="2025"/>
      <c r="F93" s="2026"/>
      <c r="G93" s="2026"/>
      <c r="H93" s="2026"/>
      <c r="I93" s="2026"/>
      <c r="J93" s="2026"/>
      <c r="K93" s="2026"/>
      <c r="L93" s="2026"/>
      <c r="M93" s="2026"/>
      <c r="N93" s="2026"/>
      <c r="O93" s="2027"/>
    </row>
    <row r="94" spans="2:15" x14ac:dyDescent="0.3">
      <c r="B94" s="2016"/>
      <c r="C94" s="2019"/>
      <c r="D94" s="125" t="s">
        <v>286</v>
      </c>
      <c r="E94" s="2025"/>
      <c r="F94" s="2026"/>
      <c r="G94" s="2026"/>
      <c r="H94" s="2026"/>
      <c r="I94" s="2026"/>
      <c r="J94" s="2026"/>
      <c r="K94" s="2026"/>
      <c r="L94" s="2026"/>
      <c r="M94" s="2026"/>
      <c r="N94" s="2026"/>
      <c r="O94" s="2027"/>
    </row>
    <row r="95" spans="2:15" x14ac:dyDescent="0.3">
      <c r="B95" s="2016"/>
      <c r="C95" s="2019"/>
      <c r="D95" s="125" t="s">
        <v>287</v>
      </c>
      <c r="E95" s="2025"/>
      <c r="F95" s="2026"/>
      <c r="G95" s="2026"/>
      <c r="H95" s="2026"/>
      <c r="I95" s="2026"/>
      <c r="J95" s="2026"/>
      <c r="K95" s="2026"/>
      <c r="L95" s="2026"/>
      <c r="M95" s="2026"/>
      <c r="N95" s="2026"/>
      <c r="O95" s="2027"/>
    </row>
    <row r="96" spans="2:15" x14ac:dyDescent="0.3">
      <c r="B96" s="2016"/>
      <c r="C96" s="2019"/>
      <c r="D96" s="125" t="s">
        <v>288</v>
      </c>
      <c r="E96" s="2025"/>
      <c r="F96" s="2026"/>
      <c r="G96" s="2026"/>
      <c r="H96" s="2026"/>
      <c r="I96" s="2026"/>
      <c r="J96" s="2026"/>
      <c r="K96" s="2026"/>
      <c r="L96" s="2026"/>
      <c r="M96" s="2026"/>
      <c r="N96" s="2026"/>
      <c r="O96" s="2027"/>
    </row>
    <row r="97" spans="2:15" x14ac:dyDescent="0.3">
      <c r="B97" s="2017"/>
      <c r="C97" s="2020"/>
      <c r="D97" s="125" t="s">
        <v>289</v>
      </c>
      <c r="E97" s="2025"/>
      <c r="F97" s="2026"/>
      <c r="G97" s="2026"/>
      <c r="H97" s="2026"/>
      <c r="I97" s="2026"/>
      <c r="J97" s="2026"/>
      <c r="K97" s="2026"/>
      <c r="L97" s="2026"/>
      <c r="M97" s="2026"/>
      <c r="N97" s="2026"/>
      <c r="O97" s="2027"/>
    </row>
    <row r="98" spans="2:15" x14ac:dyDescent="0.3">
      <c r="B98" s="99">
        <v>3</v>
      </c>
      <c r="C98" s="124"/>
      <c r="D98" s="124"/>
      <c r="E98" s="2025"/>
      <c r="F98" s="2026"/>
      <c r="G98" s="2026"/>
      <c r="H98" s="2026"/>
      <c r="I98" s="2026"/>
      <c r="J98" s="2026"/>
      <c r="K98" s="2026"/>
      <c r="L98" s="2026"/>
      <c r="M98" s="2026"/>
      <c r="N98" s="2026"/>
      <c r="O98" s="2027"/>
    </row>
    <row r="99" spans="2:15" x14ac:dyDescent="0.3">
      <c r="B99" s="99" t="s">
        <v>475</v>
      </c>
      <c r="C99" s="126"/>
      <c r="D99" s="126"/>
      <c r="E99" s="2028"/>
      <c r="F99" s="2029"/>
      <c r="G99" s="2029"/>
      <c r="H99" s="2029"/>
      <c r="I99" s="2029"/>
      <c r="J99" s="2029"/>
      <c r="K99" s="2029"/>
      <c r="L99" s="2029"/>
      <c r="M99" s="2029"/>
      <c r="N99" s="2029"/>
      <c r="O99" s="2030"/>
    </row>
    <row r="101" spans="2:15" x14ac:dyDescent="0.3">
      <c r="B101" s="2021" t="s">
        <v>1023</v>
      </c>
      <c r="C101" s="2021"/>
      <c r="D101" s="299"/>
      <c r="E101" s="14"/>
      <c r="F101" s="14"/>
      <c r="G101" s="14"/>
      <c r="H101" s="14"/>
      <c r="I101" s="14"/>
      <c r="J101" s="14"/>
      <c r="K101" s="14"/>
      <c r="L101" s="14"/>
    </row>
    <row r="103" spans="2:15" ht="56" x14ac:dyDescent="0.3">
      <c r="B103" s="1760" t="s">
        <v>339</v>
      </c>
      <c r="C103" s="1760" t="s">
        <v>557</v>
      </c>
      <c r="D103" s="1760" t="s">
        <v>568</v>
      </c>
      <c r="E103" s="292" t="s">
        <v>639</v>
      </c>
      <c r="F103" s="1752" t="s">
        <v>558</v>
      </c>
      <c r="G103" s="1752"/>
      <c r="H103" s="1752"/>
      <c r="I103" s="1752"/>
      <c r="J103" s="1752"/>
      <c r="K103" s="1752" t="s">
        <v>562</v>
      </c>
      <c r="L103" s="1752"/>
      <c r="M103" s="1752"/>
      <c r="N103" s="1752" t="s">
        <v>740</v>
      </c>
      <c r="O103" s="1752" t="s">
        <v>567</v>
      </c>
    </row>
    <row r="104" spans="2:15" ht="28" x14ac:dyDescent="0.3">
      <c r="B104" s="1795"/>
      <c r="C104" s="1795"/>
      <c r="D104" s="1795"/>
      <c r="E104" s="291" t="s">
        <v>641</v>
      </c>
      <c r="F104" s="289" t="s">
        <v>564</v>
      </c>
      <c r="G104" s="289" t="s">
        <v>559</v>
      </c>
      <c r="H104" s="289" t="s">
        <v>643</v>
      </c>
      <c r="I104" s="291" t="s">
        <v>683</v>
      </c>
      <c r="J104" s="291" t="s">
        <v>738</v>
      </c>
      <c r="K104" s="291" t="s">
        <v>563</v>
      </c>
      <c r="L104" s="291" t="s">
        <v>739</v>
      </c>
      <c r="M104" s="291" t="s">
        <v>642</v>
      </c>
      <c r="N104" s="1752"/>
      <c r="O104" s="1752"/>
    </row>
    <row r="105" spans="2:15" x14ac:dyDescent="0.3">
      <c r="B105" s="2015">
        <f>B104+1</f>
        <v>1</v>
      </c>
      <c r="C105" s="2018"/>
      <c r="D105" s="125" t="s">
        <v>278</v>
      </c>
      <c r="E105" s="2022" t="s">
        <v>773</v>
      </c>
      <c r="F105" s="2023"/>
      <c r="G105" s="2023"/>
      <c r="H105" s="2023"/>
      <c r="I105" s="2023"/>
      <c r="J105" s="2023"/>
      <c r="K105" s="2023"/>
      <c r="L105" s="2023"/>
      <c r="M105" s="2023"/>
      <c r="N105" s="2023"/>
      <c r="O105" s="2024"/>
    </row>
    <row r="106" spans="2:15" x14ac:dyDescent="0.3">
      <c r="B106" s="2016"/>
      <c r="C106" s="2019"/>
      <c r="D106" s="125" t="s">
        <v>279</v>
      </c>
      <c r="E106" s="2025"/>
      <c r="F106" s="2026"/>
      <c r="G106" s="2026"/>
      <c r="H106" s="2026"/>
      <c r="I106" s="2026"/>
      <c r="J106" s="2026"/>
      <c r="K106" s="2026"/>
      <c r="L106" s="2026"/>
      <c r="M106" s="2026"/>
      <c r="N106" s="2026"/>
      <c r="O106" s="2027"/>
    </row>
    <row r="107" spans="2:15" x14ac:dyDescent="0.3">
      <c r="B107" s="2016"/>
      <c r="C107" s="2019"/>
      <c r="D107" s="125" t="s">
        <v>280</v>
      </c>
      <c r="E107" s="2025"/>
      <c r="F107" s="2026"/>
      <c r="G107" s="2026"/>
      <c r="H107" s="2026"/>
      <c r="I107" s="2026"/>
      <c r="J107" s="2026"/>
      <c r="K107" s="2026"/>
      <c r="L107" s="2026"/>
      <c r="M107" s="2026"/>
      <c r="N107" s="2026"/>
      <c r="O107" s="2027"/>
    </row>
    <row r="108" spans="2:15" x14ac:dyDescent="0.3">
      <c r="B108" s="2016"/>
      <c r="C108" s="2019"/>
      <c r="D108" s="125" t="s">
        <v>569</v>
      </c>
      <c r="E108" s="2025"/>
      <c r="F108" s="2026"/>
      <c r="G108" s="2026"/>
      <c r="H108" s="2026"/>
      <c r="I108" s="2026"/>
      <c r="J108" s="2026"/>
      <c r="K108" s="2026"/>
      <c r="L108" s="2026"/>
      <c r="M108" s="2026"/>
      <c r="N108" s="2026"/>
      <c r="O108" s="2027"/>
    </row>
    <row r="109" spans="2:15" x14ac:dyDescent="0.3">
      <c r="B109" s="2016"/>
      <c r="C109" s="2019"/>
      <c r="D109" s="125" t="s">
        <v>282</v>
      </c>
      <c r="E109" s="2025"/>
      <c r="F109" s="2026"/>
      <c r="G109" s="2026"/>
      <c r="H109" s="2026"/>
      <c r="I109" s="2026"/>
      <c r="J109" s="2026"/>
      <c r="K109" s="2026"/>
      <c r="L109" s="2026"/>
      <c r="M109" s="2026"/>
      <c r="N109" s="2026"/>
      <c r="O109" s="2027"/>
    </row>
    <row r="110" spans="2:15" x14ac:dyDescent="0.3">
      <c r="B110" s="2016"/>
      <c r="C110" s="2019"/>
      <c r="D110" s="125" t="s">
        <v>283</v>
      </c>
      <c r="E110" s="2025"/>
      <c r="F110" s="2026"/>
      <c r="G110" s="2026"/>
      <c r="H110" s="2026"/>
      <c r="I110" s="2026"/>
      <c r="J110" s="2026"/>
      <c r="K110" s="2026"/>
      <c r="L110" s="2026"/>
      <c r="M110" s="2026"/>
      <c r="N110" s="2026"/>
      <c r="O110" s="2027"/>
    </row>
    <row r="111" spans="2:15" x14ac:dyDescent="0.3">
      <c r="B111" s="2016"/>
      <c r="C111" s="2019"/>
      <c r="D111" s="125" t="s">
        <v>284</v>
      </c>
      <c r="E111" s="2025"/>
      <c r="F111" s="2026"/>
      <c r="G111" s="2026"/>
      <c r="H111" s="2026"/>
      <c r="I111" s="2026"/>
      <c r="J111" s="2026"/>
      <c r="K111" s="2026"/>
      <c r="L111" s="2026"/>
      <c r="M111" s="2026"/>
      <c r="N111" s="2026"/>
      <c r="O111" s="2027"/>
    </row>
    <row r="112" spans="2:15" x14ac:dyDescent="0.3">
      <c r="B112" s="2016"/>
      <c r="C112" s="2019"/>
      <c r="D112" s="125" t="s">
        <v>570</v>
      </c>
      <c r="E112" s="2025"/>
      <c r="F112" s="2026"/>
      <c r="G112" s="2026"/>
      <c r="H112" s="2026"/>
      <c r="I112" s="2026"/>
      <c r="J112" s="2026"/>
      <c r="K112" s="2026"/>
      <c r="L112" s="2026"/>
      <c r="M112" s="2026"/>
      <c r="N112" s="2026"/>
      <c r="O112" s="2027"/>
    </row>
    <row r="113" spans="2:15" x14ac:dyDescent="0.3">
      <c r="B113" s="2016"/>
      <c r="C113" s="2019"/>
      <c r="D113" s="125" t="s">
        <v>286</v>
      </c>
      <c r="E113" s="2025"/>
      <c r="F113" s="2026"/>
      <c r="G113" s="2026"/>
      <c r="H113" s="2026"/>
      <c r="I113" s="2026"/>
      <c r="J113" s="2026"/>
      <c r="K113" s="2026"/>
      <c r="L113" s="2026"/>
      <c r="M113" s="2026"/>
      <c r="N113" s="2026"/>
      <c r="O113" s="2027"/>
    </row>
    <row r="114" spans="2:15" x14ac:dyDescent="0.3">
      <c r="B114" s="2016"/>
      <c r="C114" s="2019"/>
      <c r="D114" s="125" t="s">
        <v>287</v>
      </c>
      <c r="E114" s="2025"/>
      <c r="F114" s="2026"/>
      <c r="G114" s="2026"/>
      <c r="H114" s="2026"/>
      <c r="I114" s="2026"/>
      <c r="J114" s="2026"/>
      <c r="K114" s="2026"/>
      <c r="L114" s="2026"/>
      <c r="M114" s="2026"/>
      <c r="N114" s="2026"/>
      <c r="O114" s="2027"/>
    </row>
    <row r="115" spans="2:15" x14ac:dyDescent="0.3">
      <c r="B115" s="2016"/>
      <c r="C115" s="2019"/>
      <c r="D115" s="125" t="s">
        <v>288</v>
      </c>
      <c r="E115" s="2025"/>
      <c r="F115" s="2026"/>
      <c r="G115" s="2026"/>
      <c r="H115" s="2026"/>
      <c r="I115" s="2026"/>
      <c r="J115" s="2026"/>
      <c r="K115" s="2026"/>
      <c r="L115" s="2026"/>
      <c r="M115" s="2026"/>
      <c r="N115" s="2026"/>
      <c r="O115" s="2027"/>
    </row>
    <row r="116" spans="2:15" x14ac:dyDescent="0.3">
      <c r="B116" s="2017"/>
      <c r="C116" s="2020"/>
      <c r="D116" s="125" t="s">
        <v>289</v>
      </c>
      <c r="E116" s="2025"/>
      <c r="F116" s="2026"/>
      <c r="G116" s="2026"/>
      <c r="H116" s="2026"/>
      <c r="I116" s="2026"/>
      <c r="J116" s="2026"/>
      <c r="K116" s="2026"/>
      <c r="L116" s="2026"/>
      <c r="M116" s="2026"/>
      <c r="N116" s="2026"/>
      <c r="O116" s="2027"/>
    </row>
    <row r="117" spans="2:15" x14ac:dyDescent="0.3">
      <c r="B117" s="2015">
        <f>B105+1</f>
        <v>2</v>
      </c>
      <c r="C117" s="2018"/>
      <c r="D117" s="125" t="s">
        <v>278</v>
      </c>
      <c r="E117" s="2025"/>
      <c r="F117" s="2026"/>
      <c r="G117" s="2026"/>
      <c r="H117" s="2026"/>
      <c r="I117" s="2026"/>
      <c r="J117" s="2026"/>
      <c r="K117" s="2026"/>
      <c r="L117" s="2026"/>
      <c r="M117" s="2026"/>
      <c r="N117" s="2026"/>
      <c r="O117" s="2027"/>
    </row>
    <row r="118" spans="2:15" x14ac:dyDescent="0.3">
      <c r="B118" s="2016"/>
      <c r="C118" s="2019"/>
      <c r="D118" s="125" t="s">
        <v>279</v>
      </c>
      <c r="E118" s="2025"/>
      <c r="F118" s="2026"/>
      <c r="G118" s="2026"/>
      <c r="H118" s="2026"/>
      <c r="I118" s="2026"/>
      <c r="J118" s="2026"/>
      <c r="K118" s="2026"/>
      <c r="L118" s="2026"/>
      <c r="M118" s="2026"/>
      <c r="N118" s="2026"/>
      <c r="O118" s="2027"/>
    </row>
    <row r="119" spans="2:15" x14ac:dyDescent="0.3">
      <c r="B119" s="2016"/>
      <c r="C119" s="2019"/>
      <c r="D119" s="125" t="s">
        <v>280</v>
      </c>
      <c r="E119" s="2025"/>
      <c r="F119" s="2026"/>
      <c r="G119" s="2026"/>
      <c r="H119" s="2026"/>
      <c r="I119" s="2026"/>
      <c r="J119" s="2026"/>
      <c r="K119" s="2026"/>
      <c r="L119" s="2026"/>
      <c r="M119" s="2026"/>
      <c r="N119" s="2026"/>
      <c r="O119" s="2027"/>
    </row>
    <row r="120" spans="2:15" x14ac:dyDescent="0.3">
      <c r="B120" s="2016"/>
      <c r="C120" s="2019"/>
      <c r="D120" s="125" t="s">
        <v>569</v>
      </c>
      <c r="E120" s="2025"/>
      <c r="F120" s="2026"/>
      <c r="G120" s="2026"/>
      <c r="H120" s="2026"/>
      <c r="I120" s="2026"/>
      <c r="J120" s="2026"/>
      <c r="K120" s="2026"/>
      <c r="L120" s="2026"/>
      <c r="M120" s="2026"/>
      <c r="N120" s="2026"/>
      <c r="O120" s="2027"/>
    </row>
    <row r="121" spans="2:15" x14ac:dyDescent="0.3">
      <c r="B121" s="2016"/>
      <c r="C121" s="2019"/>
      <c r="D121" s="125" t="s">
        <v>282</v>
      </c>
      <c r="E121" s="2025"/>
      <c r="F121" s="2026"/>
      <c r="G121" s="2026"/>
      <c r="H121" s="2026"/>
      <c r="I121" s="2026"/>
      <c r="J121" s="2026"/>
      <c r="K121" s="2026"/>
      <c r="L121" s="2026"/>
      <c r="M121" s="2026"/>
      <c r="N121" s="2026"/>
      <c r="O121" s="2027"/>
    </row>
    <row r="122" spans="2:15" x14ac:dyDescent="0.3">
      <c r="B122" s="2016"/>
      <c r="C122" s="2019"/>
      <c r="D122" s="125" t="s">
        <v>283</v>
      </c>
      <c r="E122" s="2025"/>
      <c r="F122" s="2026"/>
      <c r="G122" s="2026"/>
      <c r="H122" s="2026"/>
      <c r="I122" s="2026"/>
      <c r="J122" s="2026"/>
      <c r="K122" s="2026"/>
      <c r="L122" s="2026"/>
      <c r="M122" s="2026"/>
      <c r="N122" s="2026"/>
      <c r="O122" s="2027"/>
    </row>
    <row r="123" spans="2:15" x14ac:dyDescent="0.3">
      <c r="B123" s="2016"/>
      <c r="C123" s="2019"/>
      <c r="D123" s="125" t="s">
        <v>284</v>
      </c>
      <c r="E123" s="2025"/>
      <c r="F123" s="2026"/>
      <c r="G123" s="2026"/>
      <c r="H123" s="2026"/>
      <c r="I123" s="2026"/>
      <c r="J123" s="2026"/>
      <c r="K123" s="2026"/>
      <c r="L123" s="2026"/>
      <c r="M123" s="2026"/>
      <c r="N123" s="2026"/>
      <c r="O123" s="2027"/>
    </row>
    <row r="124" spans="2:15" x14ac:dyDescent="0.3">
      <c r="B124" s="2016"/>
      <c r="C124" s="2019"/>
      <c r="D124" s="125" t="s">
        <v>570</v>
      </c>
      <c r="E124" s="2025"/>
      <c r="F124" s="2026"/>
      <c r="G124" s="2026"/>
      <c r="H124" s="2026"/>
      <c r="I124" s="2026"/>
      <c r="J124" s="2026"/>
      <c r="K124" s="2026"/>
      <c r="L124" s="2026"/>
      <c r="M124" s="2026"/>
      <c r="N124" s="2026"/>
      <c r="O124" s="2027"/>
    </row>
    <row r="125" spans="2:15" x14ac:dyDescent="0.3">
      <c r="B125" s="2016"/>
      <c r="C125" s="2019"/>
      <c r="D125" s="125" t="s">
        <v>286</v>
      </c>
      <c r="E125" s="2025"/>
      <c r="F125" s="2026"/>
      <c r="G125" s="2026"/>
      <c r="H125" s="2026"/>
      <c r="I125" s="2026"/>
      <c r="J125" s="2026"/>
      <c r="K125" s="2026"/>
      <c r="L125" s="2026"/>
      <c r="M125" s="2026"/>
      <c r="N125" s="2026"/>
      <c r="O125" s="2027"/>
    </row>
    <row r="126" spans="2:15" x14ac:dyDescent="0.3">
      <c r="B126" s="2016"/>
      <c r="C126" s="2019"/>
      <c r="D126" s="125" t="s">
        <v>287</v>
      </c>
      <c r="E126" s="2025"/>
      <c r="F126" s="2026"/>
      <c r="G126" s="2026"/>
      <c r="H126" s="2026"/>
      <c r="I126" s="2026"/>
      <c r="J126" s="2026"/>
      <c r="K126" s="2026"/>
      <c r="L126" s="2026"/>
      <c r="M126" s="2026"/>
      <c r="N126" s="2026"/>
      <c r="O126" s="2027"/>
    </row>
    <row r="127" spans="2:15" x14ac:dyDescent="0.3">
      <c r="B127" s="2016"/>
      <c r="C127" s="2019"/>
      <c r="D127" s="125" t="s">
        <v>288</v>
      </c>
      <c r="E127" s="2025"/>
      <c r="F127" s="2026"/>
      <c r="G127" s="2026"/>
      <c r="H127" s="2026"/>
      <c r="I127" s="2026"/>
      <c r="J127" s="2026"/>
      <c r="K127" s="2026"/>
      <c r="L127" s="2026"/>
      <c r="M127" s="2026"/>
      <c r="N127" s="2026"/>
      <c r="O127" s="2027"/>
    </row>
    <row r="128" spans="2:15" x14ac:dyDescent="0.3">
      <c r="B128" s="2017"/>
      <c r="C128" s="2020"/>
      <c r="D128" s="125" t="s">
        <v>289</v>
      </c>
      <c r="E128" s="2025"/>
      <c r="F128" s="2026"/>
      <c r="G128" s="2026"/>
      <c r="H128" s="2026"/>
      <c r="I128" s="2026"/>
      <c r="J128" s="2026"/>
      <c r="K128" s="2026"/>
      <c r="L128" s="2026"/>
      <c r="M128" s="2026"/>
      <c r="N128" s="2026"/>
      <c r="O128" s="2027"/>
    </row>
    <row r="129" spans="2:15" x14ac:dyDescent="0.3">
      <c r="B129" s="99">
        <v>3</v>
      </c>
      <c r="C129" s="124"/>
      <c r="D129" s="124"/>
      <c r="E129" s="2025"/>
      <c r="F129" s="2026"/>
      <c r="G129" s="2026"/>
      <c r="H129" s="2026"/>
      <c r="I129" s="2026"/>
      <c r="J129" s="2026"/>
      <c r="K129" s="2026"/>
      <c r="L129" s="2026"/>
      <c r="M129" s="2026"/>
      <c r="N129" s="2026"/>
      <c r="O129" s="2027"/>
    </row>
    <row r="130" spans="2:15" x14ac:dyDescent="0.3">
      <c r="B130" s="99" t="s">
        <v>475</v>
      </c>
      <c r="C130" s="126"/>
      <c r="D130" s="126"/>
      <c r="E130" s="2028"/>
      <c r="F130" s="2029"/>
      <c r="G130" s="2029"/>
      <c r="H130" s="2029"/>
      <c r="I130" s="2029"/>
      <c r="J130" s="2029"/>
      <c r="K130" s="2029"/>
      <c r="L130" s="2029"/>
      <c r="M130" s="2029"/>
      <c r="N130" s="2029"/>
      <c r="O130" s="2030"/>
    </row>
    <row r="132" spans="2:15" x14ac:dyDescent="0.3">
      <c r="B132" s="250" t="s">
        <v>735</v>
      </c>
    </row>
    <row r="135" spans="2:15" x14ac:dyDescent="0.3">
      <c r="B135" s="2021" t="s">
        <v>1024</v>
      </c>
      <c r="C135" s="2021"/>
      <c r="D135" s="251"/>
      <c r="E135" s="14"/>
      <c r="F135" s="14"/>
      <c r="G135" s="14"/>
      <c r="H135" s="14"/>
      <c r="I135" s="14"/>
      <c r="J135" s="14"/>
      <c r="K135" s="14"/>
      <c r="L135" s="14"/>
    </row>
    <row r="137" spans="2:15" ht="56" x14ac:dyDescent="0.3">
      <c r="B137" s="1760" t="s">
        <v>339</v>
      </c>
      <c r="C137" s="1760" t="s">
        <v>557</v>
      </c>
      <c r="D137" s="1760" t="s">
        <v>568</v>
      </c>
      <c r="E137" s="254" t="s">
        <v>639</v>
      </c>
      <c r="F137" s="1752" t="s">
        <v>558</v>
      </c>
      <c r="G137" s="1752"/>
      <c r="H137" s="1752"/>
      <c r="I137" s="1752"/>
      <c r="J137" s="1752"/>
      <c r="K137" s="1752" t="s">
        <v>562</v>
      </c>
      <c r="L137" s="1752"/>
      <c r="M137" s="1752"/>
      <c r="N137" s="1752" t="s">
        <v>566</v>
      </c>
      <c r="O137" s="1752" t="s">
        <v>567</v>
      </c>
    </row>
    <row r="138" spans="2:15" ht="28" x14ac:dyDescent="0.3">
      <c r="B138" s="1795"/>
      <c r="C138" s="1795"/>
      <c r="D138" s="1795"/>
      <c r="E138" s="253" t="s">
        <v>641</v>
      </c>
      <c r="F138" s="252" t="s">
        <v>564</v>
      </c>
      <c r="G138" s="252" t="s">
        <v>559</v>
      </c>
      <c r="H138" s="252" t="s">
        <v>643</v>
      </c>
      <c r="I138" s="253" t="s">
        <v>560</v>
      </c>
      <c r="J138" s="253" t="s">
        <v>561</v>
      </c>
      <c r="K138" s="253" t="s">
        <v>563</v>
      </c>
      <c r="L138" s="253" t="s">
        <v>565</v>
      </c>
      <c r="M138" s="253" t="s">
        <v>642</v>
      </c>
      <c r="N138" s="1752"/>
      <c r="O138" s="1752"/>
    </row>
    <row r="139" spans="2:15" x14ac:dyDescent="0.3">
      <c r="B139" s="2015">
        <f>B138+1</f>
        <v>1</v>
      </c>
      <c r="C139" s="2018"/>
      <c r="D139" s="125" t="s">
        <v>278</v>
      </c>
      <c r="E139" s="2022" t="s">
        <v>773</v>
      </c>
      <c r="F139" s="2023"/>
      <c r="G139" s="2023"/>
      <c r="H139" s="2023"/>
      <c r="I139" s="2023"/>
      <c r="J139" s="2023"/>
      <c r="K139" s="2023"/>
      <c r="L139" s="2023"/>
      <c r="M139" s="2023"/>
      <c r="N139" s="2023"/>
      <c r="O139" s="2024"/>
    </row>
    <row r="140" spans="2:15" x14ac:dyDescent="0.3">
      <c r="B140" s="2016"/>
      <c r="C140" s="2019"/>
      <c r="D140" s="125" t="s">
        <v>279</v>
      </c>
      <c r="E140" s="2025"/>
      <c r="F140" s="2026"/>
      <c r="G140" s="2026"/>
      <c r="H140" s="2026"/>
      <c r="I140" s="2026"/>
      <c r="J140" s="2026"/>
      <c r="K140" s="2026"/>
      <c r="L140" s="2026"/>
      <c r="M140" s="2026"/>
      <c r="N140" s="2026"/>
      <c r="O140" s="2027"/>
    </row>
    <row r="141" spans="2:15" x14ac:dyDescent="0.3">
      <c r="B141" s="2016"/>
      <c r="C141" s="2019"/>
      <c r="D141" s="125" t="s">
        <v>280</v>
      </c>
      <c r="E141" s="2025"/>
      <c r="F141" s="2026"/>
      <c r="G141" s="2026"/>
      <c r="H141" s="2026"/>
      <c r="I141" s="2026"/>
      <c r="J141" s="2026"/>
      <c r="K141" s="2026"/>
      <c r="L141" s="2026"/>
      <c r="M141" s="2026"/>
      <c r="N141" s="2026"/>
      <c r="O141" s="2027"/>
    </row>
    <row r="142" spans="2:15" x14ac:dyDescent="0.3">
      <c r="B142" s="2016"/>
      <c r="C142" s="2019"/>
      <c r="D142" s="125" t="s">
        <v>569</v>
      </c>
      <c r="E142" s="2025"/>
      <c r="F142" s="2026"/>
      <c r="G142" s="2026"/>
      <c r="H142" s="2026"/>
      <c r="I142" s="2026"/>
      <c r="J142" s="2026"/>
      <c r="K142" s="2026"/>
      <c r="L142" s="2026"/>
      <c r="M142" s="2026"/>
      <c r="N142" s="2026"/>
      <c r="O142" s="2027"/>
    </row>
    <row r="143" spans="2:15" x14ac:dyDescent="0.3">
      <c r="B143" s="2016"/>
      <c r="C143" s="2019"/>
      <c r="D143" s="125" t="s">
        <v>282</v>
      </c>
      <c r="E143" s="2025"/>
      <c r="F143" s="2026"/>
      <c r="G143" s="2026"/>
      <c r="H143" s="2026"/>
      <c r="I143" s="2026"/>
      <c r="J143" s="2026"/>
      <c r="K143" s="2026"/>
      <c r="L143" s="2026"/>
      <c r="M143" s="2026"/>
      <c r="N143" s="2026"/>
      <c r="O143" s="2027"/>
    </row>
    <row r="144" spans="2:15" x14ac:dyDescent="0.3">
      <c r="B144" s="2016"/>
      <c r="C144" s="2019"/>
      <c r="D144" s="125" t="s">
        <v>283</v>
      </c>
      <c r="E144" s="2025"/>
      <c r="F144" s="2026"/>
      <c r="G144" s="2026"/>
      <c r="H144" s="2026"/>
      <c r="I144" s="2026"/>
      <c r="J144" s="2026"/>
      <c r="K144" s="2026"/>
      <c r="L144" s="2026"/>
      <c r="M144" s="2026"/>
      <c r="N144" s="2026"/>
      <c r="O144" s="2027"/>
    </row>
    <row r="145" spans="2:15" x14ac:dyDescent="0.3">
      <c r="B145" s="2016"/>
      <c r="C145" s="2019"/>
      <c r="D145" s="125" t="s">
        <v>284</v>
      </c>
      <c r="E145" s="2025"/>
      <c r="F145" s="2026"/>
      <c r="G145" s="2026"/>
      <c r="H145" s="2026"/>
      <c r="I145" s="2026"/>
      <c r="J145" s="2026"/>
      <c r="K145" s="2026"/>
      <c r="L145" s="2026"/>
      <c r="M145" s="2026"/>
      <c r="N145" s="2026"/>
      <c r="O145" s="2027"/>
    </row>
    <row r="146" spans="2:15" x14ac:dyDescent="0.3">
      <c r="B146" s="2016"/>
      <c r="C146" s="2019"/>
      <c r="D146" s="125" t="s">
        <v>570</v>
      </c>
      <c r="E146" s="2025"/>
      <c r="F146" s="2026"/>
      <c r="G146" s="2026"/>
      <c r="H146" s="2026"/>
      <c r="I146" s="2026"/>
      <c r="J146" s="2026"/>
      <c r="K146" s="2026"/>
      <c r="L146" s="2026"/>
      <c r="M146" s="2026"/>
      <c r="N146" s="2026"/>
      <c r="O146" s="2027"/>
    </row>
    <row r="147" spans="2:15" x14ac:dyDescent="0.3">
      <c r="B147" s="2016"/>
      <c r="C147" s="2019"/>
      <c r="D147" s="125" t="s">
        <v>286</v>
      </c>
      <c r="E147" s="2025"/>
      <c r="F147" s="2026"/>
      <c r="G147" s="2026"/>
      <c r="H147" s="2026"/>
      <c r="I147" s="2026"/>
      <c r="J147" s="2026"/>
      <c r="K147" s="2026"/>
      <c r="L147" s="2026"/>
      <c r="M147" s="2026"/>
      <c r="N147" s="2026"/>
      <c r="O147" s="2027"/>
    </row>
    <row r="148" spans="2:15" x14ac:dyDescent="0.3">
      <c r="B148" s="2016"/>
      <c r="C148" s="2019"/>
      <c r="D148" s="125" t="s">
        <v>287</v>
      </c>
      <c r="E148" s="2025"/>
      <c r="F148" s="2026"/>
      <c r="G148" s="2026"/>
      <c r="H148" s="2026"/>
      <c r="I148" s="2026"/>
      <c r="J148" s="2026"/>
      <c r="K148" s="2026"/>
      <c r="L148" s="2026"/>
      <c r="M148" s="2026"/>
      <c r="N148" s="2026"/>
      <c r="O148" s="2027"/>
    </row>
    <row r="149" spans="2:15" x14ac:dyDescent="0.3">
      <c r="B149" s="2016"/>
      <c r="C149" s="2019"/>
      <c r="D149" s="125" t="s">
        <v>288</v>
      </c>
      <c r="E149" s="2025"/>
      <c r="F149" s="2026"/>
      <c r="G149" s="2026"/>
      <c r="H149" s="2026"/>
      <c r="I149" s="2026"/>
      <c r="J149" s="2026"/>
      <c r="K149" s="2026"/>
      <c r="L149" s="2026"/>
      <c r="M149" s="2026"/>
      <c r="N149" s="2026"/>
      <c r="O149" s="2027"/>
    </row>
    <row r="150" spans="2:15" x14ac:dyDescent="0.3">
      <c r="B150" s="2017"/>
      <c r="C150" s="2020"/>
      <c r="D150" s="125" t="s">
        <v>289</v>
      </c>
      <c r="E150" s="2025"/>
      <c r="F150" s="2026"/>
      <c r="G150" s="2026"/>
      <c r="H150" s="2026"/>
      <c r="I150" s="2026"/>
      <c r="J150" s="2026"/>
      <c r="K150" s="2026"/>
      <c r="L150" s="2026"/>
      <c r="M150" s="2026"/>
      <c r="N150" s="2026"/>
      <c r="O150" s="2027"/>
    </row>
    <row r="151" spans="2:15" x14ac:dyDescent="0.3">
      <c r="B151" s="2015">
        <f>B139+1</f>
        <v>2</v>
      </c>
      <c r="C151" s="2018"/>
      <c r="D151" s="125" t="s">
        <v>278</v>
      </c>
      <c r="E151" s="2025"/>
      <c r="F151" s="2026"/>
      <c r="G151" s="2026"/>
      <c r="H151" s="2026"/>
      <c r="I151" s="2026"/>
      <c r="J151" s="2026"/>
      <c r="K151" s="2026"/>
      <c r="L151" s="2026"/>
      <c r="M151" s="2026"/>
      <c r="N151" s="2026"/>
      <c r="O151" s="2027"/>
    </row>
    <row r="152" spans="2:15" x14ac:dyDescent="0.3">
      <c r="B152" s="2016"/>
      <c r="C152" s="2019"/>
      <c r="D152" s="125" t="s">
        <v>279</v>
      </c>
      <c r="E152" s="2025"/>
      <c r="F152" s="2026"/>
      <c r="G152" s="2026"/>
      <c r="H152" s="2026"/>
      <c r="I152" s="2026"/>
      <c r="J152" s="2026"/>
      <c r="K152" s="2026"/>
      <c r="L152" s="2026"/>
      <c r="M152" s="2026"/>
      <c r="N152" s="2026"/>
      <c r="O152" s="2027"/>
    </row>
    <row r="153" spans="2:15" x14ac:dyDescent="0.3">
      <c r="B153" s="2016"/>
      <c r="C153" s="2019"/>
      <c r="D153" s="125" t="s">
        <v>280</v>
      </c>
      <c r="E153" s="2025"/>
      <c r="F153" s="2026"/>
      <c r="G153" s="2026"/>
      <c r="H153" s="2026"/>
      <c r="I153" s="2026"/>
      <c r="J153" s="2026"/>
      <c r="K153" s="2026"/>
      <c r="L153" s="2026"/>
      <c r="M153" s="2026"/>
      <c r="N153" s="2026"/>
      <c r="O153" s="2027"/>
    </row>
    <row r="154" spans="2:15" x14ac:dyDescent="0.3">
      <c r="B154" s="2016"/>
      <c r="C154" s="2019"/>
      <c r="D154" s="125" t="s">
        <v>569</v>
      </c>
      <c r="E154" s="2025"/>
      <c r="F154" s="2026"/>
      <c r="G154" s="2026"/>
      <c r="H154" s="2026"/>
      <c r="I154" s="2026"/>
      <c r="J154" s="2026"/>
      <c r="K154" s="2026"/>
      <c r="L154" s="2026"/>
      <c r="M154" s="2026"/>
      <c r="N154" s="2026"/>
      <c r="O154" s="2027"/>
    </row>
    <row r="155" spans="2:15" x14ac:dyDescent="0.3">
      <c r="B155" s="2016"/>
      <c r="C155" s="2019"/>
      <c r="D155" s="125" t="s">
        <v>282</v>
      </c>
      <c r="E155" s="2025"/>
      <c r="F155" s="2026"/>
      <c r="G155" s="2026"/>
      <c r="H155" s="2026"/>
      <c r="I155" s="2026"/>
      <c r="J155" s="2026"/>
      <c r="K155" s="2026"/>
      <c r="L155" s="2026"/>
      <c r="M155" s="2026"/>
      <c r="N155" s="2026"/>
      <c r="O155" s="2027"/>
    </row>
    <row r="156" spans="2:15" x14ac:dyDescent="0.3">
      <c r="B156" s="2016"/>
      <c r="C156" s="2019"/>
      <c r="D156" s="125" t="s">
        <v>283</v>
      </c>
      <c r="E156" s="2025"/>
      <c r="F156" s="2026"/>
      <c r="G156" s="2026"/>
      <c r="H156" s="2026"/>
      <c r="I156" s="2026"/>
      <c r="J156" s="2026"/>
      <c r="K156" s="2026"/>
      <c r="L156" s="2026"/>
      <c r="M156" s="2026"/>
      <c r="N156" s="2026"/>
      <c r="O156" s="2027"/>
    </row>
    <row r="157" spans="2:15" x14ac:dyDescent="0.3">
      <c r="B157" s="2016"/>
      <c r="C157" s="2019"/>
      <c r="D157" s="125" t="s">
        <v>284</v>
      </c>
      <c r="E157" s="2025"/>
      <c r="F157" s="2026"/>
      <c r="G157" s="2026"/>
      <c r="H157" s="2026"/>
      <c r="I157" s="2026"/>
      <c r="J157" s="2026"/>
      <c r="K157" s="2026"/>
      <c r="L157" s="2026"/>
      <c r="M157" s="2026"/>
      <c r="N157" s="2026"/>
      <c r="O157" s="2027"/>
    </row>
    <row r="158" spans="2:15" x14ac:dyDescent="0.3">
      <c r="B158" s="2016"/>
      <c r="C158" s="2019"/>
      <c r="D158" s="125" t="s">
        <v>570</v>
      </c>
      <c r="E158" s="2025"/>
      <c r="F158" s="2026"/>
      <c r="G158" s="2026"/>
      <c r="H158" s="2026"/>
      <c r="I158" s="2026"/>
      <c r="J158" s="2026"/>
      <c r="K158" s="2026"/>
      <c r="L158" s="2026"/>
      <c r="M158" s="2026"/>
      <c r="N158" s="2026"/>
      <c r="O158" s="2027"/>
    </row>
    <row r="159" spans="2:15" x14ac:dyDescent="0.3">
      <c r="B159" s="2016"/>
      <c r="C159" s="2019"/>
      <c r="D159" s="125" t="s">
        <v>286</v>
      </c>
      <c r="E159" s="2025"/>
      <c r="F159" s="2026"/>
      <c r="G159" s="2026"/>
      <c r="H159" s="2026"/>
      <c r="I159" s="2026"/>
      <c r="J159" s="2026"/>
      <c r="K159" s="2026"/>
      <c r="L159" s="2026"/>
      <c r="M159" s="2026"/>
      <c r="N159" s="2026"/>
      <c r="O159" s="2027"/>
    </row>
    <row r="160" spans="2:15" x14ac:dyDescent="0.3">
      <c r="B160" s="2016"/>
      <c r="C160" s="2019"/>
      <c r="D160" s="125" t="s">
        <v>287</v>
      </c>
      <c r="E160" s="2025"/>
      <c r="F160" s="2026"/>
      <c r="G160" s="2026"/>
      <c r="H160" s="2026"/>
      <c r="I160" s="2026"/>
      <c r="J160" s="2026"/>
      <c r="K160" s="2026"/>
      <c r="L160" s="2026"/>
      <c r="M160" s="2026"/>
      <c r="N160" s="2026"/>
      <c r="O160" s="2027"/>
    </row>
    <row r="161" spans="2:15" x14ac:dyDescent="0.3">
      <c r="B161" s="2016"/>
      <c r="C161" s="2019"/>
      <c r="D161" s="125" t="s">
        <v>288</v>
      </c>
      <c r="E161" s="2025"/>
      <c r="F161" s="2026"/>
      <c r="G161" s="2026"/>
      <c r="H161" s="2026"/>
      <c r="I161" s="2026"/>
      <c r="J161" s="2026"/>
      <c r="K161" s="2026"/>
      <c r="L161" s="2026"/>
      <c r="M161" s="2026"/>
      <c r="N161" s="2026"/>
      <c r="O161" s="2027"/>
    </row>
    <row r="162" spans="2:15" x14ac:dyDescent="0.3">
      <c r="B162" s="2017"/>
      <c r="C162" s="2020"/>
      <c r="D162" s="125" t="s">
        <v>289</v>
      </c>
      <c r="E162" s="2025"/>
      <c r="F162" s="2026"/>
      <c r="G162" s="2026"/>
      <c r="H162" s="2026"/>
      <c r="I162" s="2026"/>
      <c r="J162" s="2026"/>
      <c r="K162" s="2026"/>
      <c r="L162" s="2026"/>
      <c r="M162" s="2026"/>
      <c r="N162" s="2026"/>
      <c r="O162" s="2027"/>
    </row>
    <row r="163" spans="2:15" x14ac:dyDescent="0.3">
      <c r="B163" s="99">
        <v>3</v>
      </c>
      <c r="C163" s="124"/>
      <c r="D163" s="124"/>
      <c r="E163" s="2025"/>
      <c r="F163" s="2026"/>
      <c r="G163" s="2026"/>
      <c r="H163" s="2026"/>
      <c r="I163" s="2026"/>
      <c r="J163" s="2026"/>
      <c r="K163" s="2026"/>
      <c r="L163" s="2026"/>
      <c r="M163" s="2026"/>
      <c r="N163" s="2026"/>
      <c r="O163" s="2027"/>
    </row>
    <row r="164" spans="2:15" x14ac:dyDescent="0.3">
      <c r="B164" s="99" t="s">
        <v>475</v>
      </c>
      <c r="C164" s="126"/>
      <c r="D164" s="126"/>
      <c r="E164" s="2028"/>
      <c r="F164" s="2029"/>
      <c r="G164" s="2029"/>
      <c r="H164" s="2029"/>
      <c r="I164" s="2029"/>
      <c r="J164" s="2029"/>
      <c r="K164" s="2029"/>
      <c r="L164" s="2029"/>
      <c r="M164" s="2029"/>
      <c r="N164" s="2029"/>
      <c r="O164" s="2030"/>
    </row>
    <row r="166" spans="2:15" x14ac:dyDescent="0.3">
      <c r="B166" s="2021" t="s">
        <v>1025</v>
      </c>
      <c r="C166" s="2021"/>
      <c r="D166" s="299"/>
      <c r="E166" s="14"/>
      <c r="F166" s="14"/>
      <c r="G166" s="14"/>
      <c r="H166" s="14"/>
      <c r="I166" s="14"/>
      <c r="J166" s="14"/>
      <c r="K166" s="14"/>
      <c r="L166" s="14"/>
    </row>
    <row r="168" spans="2:15" ht="56" x14ac:dyDescent="0.3">
      <c r="B168" s="1760" t="s">
        <v>339</v>
      </c>
      <c r="C168" s="1760" t="s">
        <v>557</v>
      </c>
      <c r="D168" s="1760" t="s">
        <v>568</v>
      </c>
      <c r="E168" s="292" t="s">
        <v>639</v>
      </c>
      <c r="F168" s="1752" t="s">
        <v>558</v>
      </c>
      <c r="G168" s="1752"/>
      <c r="H168" s="1752"/>
      <c r="I168" s="1752"/>
      <c r="J168" s="1752"/>
      <c r="K168" s="1752" t="s">
        <v>562</v>
      </c>
      <c r="L168" s="1752"/>
      <c r="M168" s="1752"/>
      <c r="N168" s="1752" t="s">
        <v>740</v>
      </c>
      <c r="O168" s="1752" t="s">
        <v>567</v>
      </c>
    </row>
    <row r="169" spans="2:15" ht="28" x14ac:dyDescent="0.3">
      <c r="B169" s="1795"/>
      <c r="C169" s="1795"/>
      <c r="D169" s="1795"/>
      <c r="E169" s="291" t="s">
        <v>641</v>
      </c>
      <c r="F169" s="289" t="s">
        <v>564</v>
      </c>
      <c r="G169" s="289" t="s">
        <v>559</v>
      </c>
      <c r="H169" s="289" t="s">
        <v>643</v>
      </c>
      <c r="I169" s="291" t="s">
        <v>683</v>
      </c>
      <c r="J169" s="291" t="s">
        <v>738</v>
      </c>
      <c r="K169" s="291" t="s">
        <v>563</v>
      </c>
      <c r="L169" s="291" t="s">
        <v>739</v>
      </c>
      <c r="M169" s="291" t="s">
        <v>642</v>
      </c>
      <c r="N169" s="1752"/>
      <c r="O169" s="1752"/>
    </row>
    <row r="170" spans="2:15" x14ac:dyDescent="0.3">
      <c r="B170" s="2015">
        <f>B169+1</f>
        <v>1</v>
      </c>
      <c r="C170" s="2018"/>
      <c r="D170" s="125" t="s">
        <v>278</v>
      </c>
      <c r="E170" s="2031" t="s">
        <v>773</v>
      </c>
      <c r="F170" s="2032"/>
      <c r="G170" s="2032"/>
      <c r="H170" s="2032"/>
      <c r="I170" s="2032"/>
      <c r="J170" s="2032"/>
      <c r="K170" s="2032"/>
      <c r="L170" s="2032"/>
      <c r="M170" s="2032"/>
      <c r="N170" s="2032"/>
      <c r="O170" s="2033"/>
    </row>
    <row r="171" spans="2:15" x14ac:dyDescent="0.3">
      <c r="B171" s="2016"/>
      <c r="C171" s="2019"/>
      <c r="D171" s="125" t="s">
        <v>279</v>
      </c>
      <c r="E171" s="2034"/>
      <c r="F171" s="2035"/>
      <c r="G171" s="2035"/>
      <c r="H171" s="2035"/>
      <c r="I171" s="2035"/>
      <c r="J171" s="2035"/>
      <c r="K171" s="2035"/>
      <c r="L171" s="2035"/>
      <c r="M171" s="2035"/>
      <c r="N171" s="2035"/>
      <c r="O171" s="2036"/>
    </row>
    <row r="172" spans="2:15" x14ac:dyDescent="0.3">
      <c r="B172" s="2016"/>
      <c r="C172" s="2019"/>
      <c r="D172" s="125" t="s">
        <v>280</v>
      </c>
      <c r="E172" s="2034"/>
      <c r="F172" s="2035"/>
      <c r="G172" s="2035"/>
      <c r="H172" s="2035"/>
      <c r="I172" s="2035"/>
      <c r="J172" s="2035"/>
      <c r="K172" s="2035"/>
      <c r="L172" s="2035"/>
      <c r="M172" s="2035"/>
      <c r="N172" s="2035"/>
      <c r="O172" s="2036"/>
    </row>
    <row r="173" spans="2:15" x14ac:dyDescent="0.3">
      <c r="B173" s="2016"/>
      <c r="C173" s="2019"/>
      <c r="D173" s="125" t="s">
        <v>569</v>
      </c>
      <c r="E173" s="2034"/>
      <c r="F173" s="2035"/>
      <c r="G173" s="2035"/>
      <c r="H173" s="2035"/>
      <c r="I173" s="2035"/>
      <c r="J173" s="2035"/>
      <c r="K173" s="2035"/>
      <c r="L173" s="2035"/>
      <c r="M173" s="2035"/>
      <c r="N173" s="2035"/>
      <c r="O173" s="2036"/>
    </row>
    <row r="174" spans="2:15" x14ac:dyDescent="0.3">
      <c r="B174" s="2016"/>
      <c r="C174" s="2019"/>
      <c r="D174" s="125" t="s">
        <v>282</v>
      </c>
      <c r="E174" s="2034"/>
      <c r="F174" s="2035"/>
      <c r="G174" s="2035"/>
      <c r="H174" s="2035"/>
      <c r="I174" s="2035"/>
      <c r="J174" s="2035"/>
      <c r="K174" s="2035"/>
      <c r="L174" s="2035"/>
      <c r="M174" s="2035"/>
      <c r="N174" s="2035"/>
      <c r="O174" s="2036"/>
    </row>
    <row r="175" spans="2:15" x14ac:dyDescent="0.3">
      <c r="B175" s="2016"/>
      <c r="C175" s="2019"/>
      <c r="D175" s="125" t="s">
        <v>283</v>
      </c>
      <c r="E175" s="2034"/>
      <c r="F175" s="2035"/>
      <c r="G175" s="2035"/>
      <c r="H175" s="2035"/>
      <c r="I175" s="2035"/>
      <c r="J175" s="2035"/>
      <c r="K175" s="2035"/>
      <c r="L175" s="2035"/>
      <c r="M175" s="2035"/>
      <c r="N175" s="2035"/>
      <c r="O175" s="2036"/>
    </row>
    <row r="176" spans="2:15" x14ac:dyDescent="0.3">
      <c r="B176" s="2015">
        <f>B170+1</f>
        <v>2</v>
      </c>
      <c r="C176" s="2018"/>
      <c r="D176" s="125" t="s">
        <v>278</v>
      </c>
      <c r="E176" s="2034"/>
      <c r="F176" s="2035"/>
      <c r="G176" s="2035"/>
      <c r="H176" s="2035"/>
      <c r="I176" s="2035"/>
      <c r="J176" s="2035"/>
      <c r="K176" s="2035"/>
      <c r="L176" s="2035"/>
      <c r="M176" s="2035"/>
      <c r="N176" s="2035"/>
      <c r="O176" s="2036"/>
    </row>
    <row r="177" spans="2:15" x14ac:dyDescent="0.3">
      <c r="B177" s="2016"/>
      <c r="C177" s="2019"/>
      <c r="D177" s="125" t="s">
        <v>279</v>
      </c>
      <c r="E177" s="2034"/>
      <c r="F177" s="2035"/>
      <c r="G177" s="2035"/>
      <c r="H177" s="2035"/>
      <c r="I177" s="2035"/>
      <c r="J177" s="2035"/>
      <c r="K177" s="2035"/>
      <c r="L177" s="2035"/>
      <c r="M177" s="2035"/>
      <c r="N177" s="2035"/>
      <c r="O177" s="2036"/>
    </row>
    <row r="178" spans="2:15" x14ac:dyDescent="0.3">
      <c r="B178" s="2016"/>
      <c r="C178" s="2019"/>
      <c r="D178" s="125" t="s">
        <v>280</v>
      </c>
      <c r="E178" s="2034"/>
      <c r="F178" s="2035"/>
      <c r="G178" s="2035"/>
      <c r="H178" s="2035"/>
      <c r="I178" s="2035"/>
      <c r="J178" s="2035"/>
      <c r="K178" s="2035"/>
      <c r="L178" s="2035"/>
      <c r="M178" s="2035"/>
      <c r="N178" s="2035"/>
      <c r="O178" s="2036"/>
    </row>
    <row r="179" spans="2:15" x14ac:dyDescent="0.3">
      <c r="B179" s="2016"/>
      <c r="C179" s="2019"/>
      <c r="D179" s="125" t="s">
        <v>569</v>
      </c>
      <c r="E179" s="2034"/>
      <c r="F179" s="2035"/>
      <c r="G179" s="2035"/>
      <c r="H179" s="2035"/>
      <c r="I179" s="2035"/>
      <c r="J179" s="2035"/>
      <c r="K179" s="2035"/>
      <c r="L179" s="2035"/>
      <c r="M179" s="2035"/>
      <c r="N179" s="2035"/>
      <c r="O179" s="2036"/>
    </row>
    <row r="180" spans="2:15" x14ac:dyDescent="0.3">
      <c r="B180" s="2016"/>
      <c r="C180" s="2019"/>
      <c r="D180" s="125" t="s">
        <v>282</v>
      </c>
      <c r="E180" s="2034"/>
      <c r="F180" s="2035"/>
      <c r="G180" s="2035"/>
      <c r="H180" s="2035"/>
      <c r="I180" s="2035"/>
      <c r="J180" s="2035"/>
      <c r="K180" s="2035"/>
      <c r="L180" s="2035"/>
      <c r="M180" s="2035"/>
      <c r="N180" s="2035"/>
      <c r="O180" s="2036"/>
    </row>
    <row r="181" spans="2:15" x14ac:dyDescent="0.3">
      <c r="B181" s="2016"/>
      <c r="C181" s="2019"/>
      <c r="D181" s="125" t="s">
        <v>283</v>
      </c>
      <c r="E181" s="2034"/>
      <c r="F181" s="2035"/>
      <c r="G181" s="2035"/>
      <c r="H181" s="2035"/>
      <c r="I181" s="2035"/>
      <c r="J181" s="2035"/>
      <c r="K181" s="2035"/>
      <c r="L181" s="2035"/>
      <c r="M181" s="2035"/>
      <c r="N181" s="2035"/>
      <c r="O181" s="2036"/>
    </row>
    <row r="182" spans="2:15" x14ac:dyDescent="0.3">
      <c r="B182" s="99">
        <v>3</v>
      </c>
      <c r="C182" s="124"/>
      <c r="D182" s="124"/>
      <c r="E182" s="2034"/>
      <c r="F182" s="2035"/>
      <c r="G182" s="2035"/>
      <c r="H182" s="2035"/>
      <c r="I182" s="2035"/>
      <c r="J182" s="2035"/>
      <c r="K182" s="2035"/>
      <c r="L182" s="2035"/>
      <c r="M182" s="2035"/>
      <c r="N182" s="2035"/>
      <c r="O182" s="2036"/>
    </row>
    <row r="183" spans="2:15" x14ac:dyDescent="0.3">
      <c r="B183" s="99" t="s">
        <v>475</v>
      </c>
      <c r="C183" s="126"/>
      <c r="D183" s="126"/>
      <c r="E183" s="2037"/>
      <c r="F183" s="2038"/>
      <c r="G183" s="2038"/>
      <c r="H183" s="2038"/>
      <c r="I183" s="2038"/>
      <c r="J183" s="2038"/>
      <c r="K183" s="2038"/>
      <c r="L183" s="2038"/>
      <c r="M183" s="2038"/>
      <c r="N183" s="2038"/>
      <c r="O183" s="2039"/>
    </row>
    <row r="186" spans="2:15" x14ac:dyDescent="0.3">
      <c r="B186" s="2021" t="s">
        <v>1026</v>
      </c>
      <c r="C186" s="2021"/>
      <c r="D186" s="299"/>
      <c r="E186" s="14"/>
      <c r="F186" s="14"/>
      <c r="G186" s="14"/>
      <c r="H186" s="14"/>
      <c r="I186" s="14"/>
      <c r="J186" s="14"/>
      <c r="K186" s="14"/>
      <c r="L186" s="14"/>
    </row>
    <row r="188" spans="2:15" ht="56" x14ac:dyDescent="0.3">
      <c r="B188" s="1760" t="s">
        <v>339</v>
      </c>
      <c r="C188" s="1760" t="s">
        <v>557</v>
      </c>
      <c r="D188" s="1760" t="s">
        <v>568</v>
      </c>
      <c r="E188" s="292" t="s">
        <v>639</v>
      </c>
      <c r="F188" s="1752" t="s">
        <v>558</v>
      </c>
      <c r="G188" s="1752"/>
      <c r="H188" s="1752"/>
      <c r="I188" s="1752"/>
      <c r="J188" s="1752"/>
      <c r="K188" s="1752" t="s">
        <v>562</v>
      </c>
      <c r="L188" s="1752"/>
      <c r="M188" s="1752"/>
      <c r="N188" s="1752" t="s">
        <v>566</v>
      </c>
      <c r="O188" s="1752" t="s">
        <v>567</v>
      </c>
    </row>
    <row r="189" spans="2:15" ht="28" x14ac:dyDescent="0.3">
      <c r="B189" s="1795"/>
      <c r="C189" s="1795"/>
      <c r="D189" s="1795"/>
      <c r="E189" s="291" t="s">
        <v>641</v>
      </c>
      <c r="F189" s="289" t="s">
        <v>564</v>
      </c>
      <c r="G189" s="289" t="s">
        <v>559</v>
      </c>
      <c r="H189" s="289" t="s">
        <v>643</v>
      </c>
      <c r="I189" s="291" t="s">
        <v>560</v>
      </c>
      <c r="J189" s="291" t="s">
        <v>561</v>
      </c>
      <c r="K189" s="291" t="s">
        <v>563</v>
      </c>
      <c r="L189" s="291" t="s">
        <v>565</v>
      </c>
      <c r="M189" s="291" t="s">
        <v>642</v>
      </c>
      <c r="N189" s="1752"/>
      <c r="O189" s="1752"/>
    </row>
    <row r="190" spans="2:15" x14ac:dyDescent="0.3">
      <c r="B190" s="2015">
        <f>B189+1</f>
        <v>1</v>
      </c>
      <c r="C190" s="2018"/>
      <c r="D190" s="125" t="s">
        <v>278</v>
      </c>
      <c r="E190" s="2022" t="s">
        <v>773</v>
      </c>
      <c r="F190" s="2023"/>
      <c r="G190" s="2023"/>
      <c r="H190" s="2023"/>
      <c r="I190" s="2023"/>
      <c r="J190" s="2023"/>
      <c r="K190" s="2023"/>
      <c r="L190" s="2023"/>
      <c r="M190" s="2023"/>
      <c r="N190" s="2023"/>
      <c r="O190" s="2024"/>
    </row>
    <row r="191" spans="2:15" x14ac:dyDescent="0.3">
      <c r="B191" s="2016"/>
      <c r="C191" s="2019"/>
      <c r="D191" s="125" t="s">
        <v>279</v>
      </c>
      <c r="E191" s="2025"/>
      <c r="F191" s="2026"/>
      <c r="G191" s="2026"/>
      <c r="H191" s="2026"/>
      <c r="I191" s="2026"/>
      <c r="J191" s="2026"/>
      <c r="K191" s="2026"/>
      <c r="L191" s="2026"/>
      <c r="M191" s="2026"/>
      <c r="N191" s="2026"/>
      <c r="O191" s="2027"/>
    </row>
    <row r="192" spans="2:15" x14ac:dyDescent="0.3">
      <c r="B192" s="2016"/>
      <c r="C192" s="2019"/>
      <c r="D192" s="125" t="s">
        <v>280</v>
      </c>
      <c r="E192" s="2025"/>
      <c r="F192" s="2026"/>
      <c r="G192" s="2026"/>
      <c r="H192" s="2026"/>
      <c r="I192" s="2026"/>
      <c r="J192" s="2026"/>
      <c r="K192" s="2026"/>
      <c r="L192" s="2026"/>
      <c r="M192" s="2026"/>
      <c r="N192" s="2026"/>
      <c r="O192" s="2027"/>
    </row>
    <row r="193" spans="2:15" x14ac:dyDescent="0.3">
      <c r="B193" s="2016"/>
      <c r="C193" s="2019"/>
      <c r="D193" s="125" t="s">
        <v>569</v>
      </c>
      <c r="E193" s="2025"/>
      <c r="F193" s="2026"/>
      <c r="G193" s="2026"/>
      <c r="H193" s="2026"/>
      <c r="I193" s="2026"/>
      <c r="J193" s="2026"/>
      <c r="K193" s="2026"/>
      <c r="L193" s="2026"/>
      <c r="M193" s="2026"/>
      <c r="N193" s="2026"/>
      <c r="O193" s="2027"/>
    </row>
    <row r="194" spans="2:15" x14ac:dyDescent="0.3">
      <c r="B194" s="2016"/>
      <c r="C194" s="2019"/>
      <c r="D194" s="125" t="s">
        <v>282</v>
      </c>
      <c r="E194" s="2025"/>
      <c r="F194" s="2026"/>
      <c r="G194" s="2026"/>
      <c r="H194" s="2026"/>
      <c r="I194" s="2026"/>
      <c r="J194" s="2026"/>
      <c r="K194" s="2026"/>
      <c r="L194" s="2026"/>
      <c r="M194" s="2026"/>
      <c r="N194" s="2026"/>
      <c r="O194" s="2027"/>
    </row>
    <row r="195" spans="2:15" x14ac:dyDescent="0.3">
      <c r="B195" s="2016"/>
      <c r="C195" s="2019"/>
      <c r="D195" s="125" t="s">
        <v>283</v>
      </c>
      <c r="E195" s="2025"/>
      <c r="F195" s="2026"/>
      <c r="G195" s="2026"/>
      <c r="H195" s="2026"/>
      <c r="I195" s="2026"/>
      <c r="J195" s="2026"/>
      <c r="K195" s="2026"/>
      <c r="L195" s="2026"/>
      <c r="M195" s="2026"/>
      <c r="N195" s="2026"/>
      <c r="O195" s="2027"/>
    </row>
    <row r="196" spans="2:15" x14ac:dyDescent="0.3">
      <c r="B196" s="2016"/>
      <c r="C196" s="2019"/>
      <c r="D196" s="125" t="s">
        <v>284</v>
      </c>
      <c r="E196" s="2025"/>
      <c r="F196" s="2026"/>
      <c r="G196" s="2026"/>
      <c r="H196" s="2026"/>
      <c r="I196" s="2026"/>
      <c r="J196" s="2026"/>
      <c r="K196" s="2026"/>
      <c r="L196" s="2026"/>
      <c r="M196" s="2026"/>
      <c r="N196" s="2026"/>
      <c r="O196" s="2027"/>
    </row>
    <row r="197" spans="2:15" x14ac:dyDescent="0.3">
      <c r="B197" s="2016"/>
      <c r="C197" s="2019"/>
      <c r="D197" s="125" t="s">
        <v>570</v>
      </c>
      <c r="E197" s="2025"/>
      <c r="F197" s="2026"/>
      <c r="G197" s="2026"/>
      <c r="H197" s="2026"/>
      <c r="I197" s="2026"/>
      <c r="J197" s="2026"/>
      <c r="K197" s="2026"/>
      <c r="L197" s="2026"/>
      <c r="M197" s="2026"/>
      <c r="N197" s="2026"/>
      <c r="O197" s="2027"/>
    </row>
    <row r="198" spans="2:15" x14ac:dyDescent="0.3">
      <c r="B198" s="2016"/>
      <c r="C198" s="2019"/>
      <c r="D198" s="125" t="s">
        <v>286</v>
      </c>
      <c r="E198" s="2025"/>
      <c r="F198" s="2026"/>
      <c r="G198" s="2026"/>
      <c r="H198" s="2026"/>
      <c r="I198" s="2026"/>
      <c r="J198" s="2026"/>
      <c r="K198" s="2026"/>
      <c r="L198" s="2026"/>
      <c r="M198" s="2026"/>
      <c r="N198" s="2026"/>
      <c r="O198" s="2027"/>
    </row>
    <row r="199" spans="2:15" x14ac:dyDescent="0.3">
      <c r="B199" s="2016"/>
      <c r="C199" s="2019"/>
      <c r="D199" s="125" t="s">
        <v>287</v>
      </c>
      <c r="E199" s="2025"/>
      <c r="F199" s="2026"/>
      <c r="G199" s="2026"/>
      <c r="H199" s="2026"/>
      <c r="I199" s="2026"/>
      <c r="J199" s="2026"/>
      <c r="K199" s="2026"/>
      <c r="L199" s="2026"/>
      <c r="M199" s="2026"/>
      <c r="N199" s="2026"/>
      <c r="O199" s="2027"/>
    </row>
    <row r="200" spans="2:15" x14ac:dyDescent="0.3">
      <c r="B200" s="2016"/>
      <c r="C200" s="2019"/>
      <c r="D200" s="125" t="s">
        <v>288</v>
      </c>
      <c r="E200" s="2025"/>
      <c r="F200" s="2026"/>
      <c r="G200" s="2026"/>
      <c r="H200" s="2026"/>
      <c r="I200" s="2026"/>
      <c r="J200" s="2026"/>
      <c r="K200" s="2026"/>
      <c r="L200" s="2026"/>
      <c r="M200" s="2026"/>
      <c r="N200" s="2026"/>
      <c r="O200" s="2027"/>
    </row>
    <row r="201" spans="2:15" x14ac:dyDescent="0.3">
      <c r="B201" s="2017"/>
      <c r="C201" s="2020"/>
      <c r="D201" s="125" t="s">
        <v>289</v>
      </c>
      <c r="E201" s="2025"/>
      <c r="F201" s="2026"/>
      <c r="G201" s="2026"/>
      <c r="H201" s="2026"/>
      <c r="I201" s="2026"/>
      <c r="J201" s="2026"/>
      <c r="K201" s="2026"/>
      <c r="L201" s="2026"/>
      <c r="M201" s="2026"/>
      <c r="N201" s="2026"/>
      <c r="O201" s="2027"/>
    </row>
    <row r="202" spans="2:15" x14ac:dyDescent="0.3">
      <c r="B202" s="2015">
        <f>B190+1</f>
        <v>2</v>
      </c>
      <c r="C202" s="2018"/>
      <c r="D202" s="125" t="s">
        <v>278</v>
      </c>
      <c r="E202" s="2025"/>
      <c r="F202" s="2026"/>
      <c r="G202" s="2026"/>
      <c r="H202" s="2026"/>
      <c r="I202" s="2026"/>
      <c r="J202" s="2026"/>
      <c r="K202" s="2026"/>
      <c r="L202" s="2026"/>
      <c r="M202" s="2026"/>
      <c r="N202" s="2026"/>
      <c r="O202" s="2027"/>
    </row>
    <row r="203" spans="2:15" x14ac:dyDescent="0.3">
      <c r="B203" s="2016"/>
      <c r="C203" s="2019"/>
      <c r="D203" s="125" t="s">
        <v>279</v>
      </c>
      <c r="E203" s="2025"/>
      <c r="F203" s="2026"/>
      <c r="G203" s="2026"/>
      <c r="H203" s="2026"/>
      <c r="I203" s="2026"/>
      <c r="J203" s="2026"/>
      <c r="K203" s="2026"/>
      <c r="L203" s="2026"/>
      <c r="M203" s="2026"/>
      <c r="N203" s="2026"/>
      <c r="O203" s="2027"/>
    </row>
    <row r="204" spans="2:15" x14ac:dyDescent="0.3">
      <c r="B204" s="2016"/>
      <c r="C204" s="2019"/>
      <c r="D204" s="125" t="s">
        <v>280</v>
      </c>
      <c r="E204" s="2025"/>
      <c r="F204" s="2026"/>
      <c r="G204" s="2026"/>
      <c r="H204" s="2026"/>
      <c r="I204" s="2026"/>
      <c r="J204" s="2026"/>
      <c r="K204" s="2026"/>
      <c r="L204" s="2026"/>
      <c r="M204" s="2026"/>
      <c r="N204" s="2026"/>
      <c r="O204" s="2027"/>
    </row>
    <row r="205" spans="2:15" x14ac:dyDescent="0.3">
      <c r="B205" s="2016"/>
      <c r="C205" s="2019"/>
      <c r="D205" s="125" t="s">
        <v>569</v>
      </c>
      <c r="E205" s="2025"/>
      <c r="F205" s="2026"/>
      <c r="G205" s="2026"/>
      <c r="H205" s="2026"/>
      <c r="I205" s="2026"/>
      <c r="J205" s="2026"/>
      <c r="K205" s="2026"/>
      <c r="L205" s="2026"/>
      <c r="M205" s="2026"/>
      <c r="N205" s="2026"/>
      <c r="O205" s="2027"/>
    </row>
    <row r="206" spans="2:15" x14ac:dyDescent="0.3">
      <c r="B206" s="2016"/>
      <c r="C206" s="2019"/>
      <c r="D206" s="125" t="s">
        <v>282</v>
      </c>
      <c r="E206" s="2025"/>
      <c r="F206" s="2026"/>
      <c r="G206" s="2026"/>
      <c r="H206" s="2026"/>
      <c r="I206" s="2026"/>
      <c r="J206" s="2026"/>
      <c r="K206" s="2026"/>
      <c r="L206" s="2026"/>
      <c r="M206" s="2026"/>
      <c r="N206" s="2026"/>
      <c r="O206" s="2027"/>
    </row>
    <row r="207" spans="2:15" x14ac:dyDescent="0.3">
      <c r="B207" s="2016"/>
      <c r="C207" s="2019"/>
      <c r="D207" s="125" t="s">
        <v>283</v>
      </c>
      <c r="E207" s="2025"/>
      <c r="F207" s="2026"/>
      <c r="G207" s="2026"/>
      <c r="H207" s="2026"/>
      <c r="I207" s="2026"/>
      <c r="J207" s="2026"/>
      <c r="K207" s="2026"/>
      <c r="L207" s="2026"/>
      <c r="M207" s="2026"/>
      <c r="N207" s="2026"/>
      <c r="O207" s="2027"/>
    </row>
    <row r="208" spans="2:15" x14ac:dyDescent="0.3">
      <c r="B208" s="2016"/>
      <c r="C208" s="2019"/>
      <c r="D208" s="125" t="s">
        <v>284</v>
      </c>
      <c r="E208" s="2025"/>
      <c r="F208" s="2026"/>
      <c r="G208" s="2026"/>
      <c r="H208" s="2026"/>
      <c r="I208" s="2026"/>
      <c r="J208" s="2026"/>
      <c r="K208" s="2026"/>
      <c r="L208" s="2026"/>
      <c r="M208" s="2026"/>
      <c r="N208" s="2026"/>
      <c r="O208" s="2027"/>
    </row>
    <row r="209" spans="2:15" x14ac:dyDescent="0.3">
      <c r="B209" s="2016"/>
      <c r="C209" s="2019"/>
      <c r="D209" s="125" t="s">
        <v>570</v>
      </c>
      <c r="E209" s="2025"/>
      <c r="F209" s="2026"/>
      <c r="G209" s="2026"/>
      <c r="H209" s="2026"/>
      <c r="I209" s="2026"/>
      <c r="J209" s="2026"/>
      <c r="K209" s="2026"/>
      <c r="L209" s="2026"/>
      <c r="M209" s="2026"/>
      <c r="N209" s="2026"/>
      <c r="O209" s="2027"/>
    </row>
    <row r="210" spans="2:15" x14ac:dyDescent="0.3">
      <c r="B210" s="2016"/>
      <c r="C210" s="2019"/>
      <c r="D210" s="125" t="s">
        <v>286</v>
      </c>
      <c r="E210" s="2025"/>
      <c r="F210" s="2026"/>
      <c r="G210" s="2026"/>
      <c r="H210" s="2026"/>
      <c r="I210" s="2026"/>
      <c r="J210" s="2026"/>
      <c r="K210" s="2026"/>
      <c r="L210" s="2026"/>
      <c r="M210" s="2026"/>
      <c r="N210" s="2026"/>
      <c r="O210" s="2027"/>
    </row>
    <row r="211" spans="2:15" x14ac:dyDescent="0.3">
      <c r="B211" s="2016"/>
      <c r="C211" s="2019"/>
      <c r="D211" s="125" t="s">
        <v>287</v>
      </c>
      <c r="E211" s="2025"/>
      <c r="F211" s="2026"/>
      <c r="G211" s="2026"/>
      <c r="H211" s="2026"/>
      <c r="I211" s="2026"/>
      <c r="J211" s="2026"/>
      <c r="K211" s="2026"/>
      <c r="L211" s="2026"/>
      <c r="M211" s="2026"/>
      <c r="N211" s="2026"/>
      <c r="O211" s="2027"/>
    </row>
    <row r="212" spans="2:15" x14ac:dyDescent="0.3">
      <c r="B212" s="2016"/>
      <c r="C212" s="2019"/>
      <c r="D212" s="125" t="s">
        <v>288</v>
      </c>
      <c r="E212" s="2025"/>
      <c r="F212" s="2026"/>
      <c r="G212" s="2026"/>
      <c r="H212" s="2026"/>
      <c r="I212" s="2026"/>
      <c r="J212" s="2026"/>
      <c r="K212" s="2026"/>
      <c r="L212" s="2026"/>
      <c r="M212" s="2026"/>
      <c r="N212" s="2026"/>
      <c r="O212" s="2027"/>
    </row>
    <row r="213" spans="2:15" x14ac:dyDescent="0.3">
      <c r="B213" s="2017"/>
      <c r="C213" s="2020"/>
      <c r="D213" s="125" t="s">
        <v>289</v>
      </c>
      <c r="E213" s="2025"/>
      <c r="F213" s="2026"/>
      <c r="G213" s="2026"/>
      <c r="H213" s="2026"/>
      <c r="I213" s="2026"/>
      <c r="J213" s="2026"/>
      <c r="K213" s="2026"/>
      <c r="L213" s="2026"/>
      <c r="M213" s="2026"/>
      <c r="N213" s="2026"/>
      <c r="O213" s="2027"/>
    </row>
    <row r="214" spans="2:15" x14ac:dyDescent="0.3">
      <c r="B214" s="99">
        <v>3</v>
      </c>
      <c r="C214" s="124"/>
      <c r="D214" s="124"/>
      <c r="E214" s="2025"/>
      <c r="F214" s="2026"/>
      <c r="G214" s="2026"/>
      <c r="H214" s="2026"/>
      <c r="I214" s="2026"/>
      <c r="J214" s="2026"/>
      <c r="K214" s="2026"/>
      <c r="L214" s="2026"/>
      <c r="M214" s="2026"/>
      <c r="N214" s="2026"/>
      <c r="O214" s="2027"/>
    </row>
    <row r="215" spans="2:15" x14ac:dyDescent="0.3">
      <c r="B215" s="99" t="s">
        <v>475</v>
      </c>
      <c r="C215" s="126"/>
      <c r="D215" s="126"/>
      <c r="E215" s="2028"/>
      <c r="F215" s="2029"/>
      <c r="G215" s="2029"/>
      <c r="H215" s="2029"/>
      <c r="I215" s="2029"/>
      <c r="J215" s="2029"/>
      <c r="K215" s="2029"/>
      <c r="L215" s="2029"/>
      <c r="M215" s="2029"/>
      <c r="N215" s="2029"/>
      <c r="O215" s="2030"/>
    </row>
    <row r="217" spans="2:15" x14ac:dyDescent="0.3">
      <c r="B217" s="250" t="s">
        <v>571</v>
      </c>
    </row>
    <row r="218" spans="2:15" x14ac:dyDescent="0.3">
      <c r="B218" s="250" t="s">
        <v>638</v>
      </c>
    </row>
    <row r="219" spans="2:15" x14ac:dyDescent="0.3">
      <c r="B219" s="250" t="s">
        <v>572</v>
      </c>
    </row>
    <row r="220" spans="2:15" x14ac:dyDescent="0.3">
      <c r="B220" s="250" t="s">
        <v>640</v>
      </c>
    </row>
    <row r="222" spans="2:15" x14ac:dyDescent="0.3">
      <c r="B222" s="2021" t="s">
        <v>1027</v>
      </c>
      <c r="C222" s="2021"/>
      <c r="D222" s="299"/>
      <c r="E222" s="14"/>
      <c r="F222" s="14"/>
      <c r="G222" s="14"/>
      <c r="H222" s="14"/>
      <c r="I222" s="14"/>
      <c r="J222" s="14"/>
      <c r="K222" s="14"/>
      <c r="L222" s="14"/>
    </row>
    <row r="224" spans="2:15" ht="57" customHeight="1" x14ac:dyDescent="0.3">
      <c r="B224" s="1760" t="s">
        <v>339</v>
      </c>
      <c r="C224" s="1760" t="s">
        <v>557</v>
      </c>
      <c r="D224" s="1760" t="s">
        <v>568</v>
      </c>
      <c r="E224" s="292" t="s">
        <v>639</v>
      </c>
      <c r="F224" s="1754" t="s">
        <v>558</v>
      </c>
      <c r="G224" s="1755"/>
      <c r="H224" s="1755"/>
      <c r="I224" s="1755"/>
      <c r="J224" s="1756"/>
      <c r="K224" s="1754" t="s">
        <v>562</v>
      </c>
      <c r="L224" s="1755"/>
      <c r="M224" s="1756"/>
      <c r="N224" s="1760" t="s">
        <v>566</v>
      </c>
      <c r="O224" s="1760" t="s">
        <v>567</v>
      </c>
    </row>
    <row r="225" spans="2:15" ht="28" x14ac:dyDescent="0.3">
      <c r="B225" s="1795"/>
      <c r="C225" s="1795"/>
      <c r="D225" s="1795"/>
      <c r="E225" s="291" t="s">
        <v>641</v>
      </c>
      <c r="F225" s="289" t="s">
        <v>564</v>
      </c>
      <c r="G225" s="289" t="s">
        <v>559</v>
      </c>
      <c r="H225" s="289" t="s">
        <v>643</v>
      </c>
      <c r="I225" s="291" t="s">
        <v>560</v>
      </c>
      <c r="J225" s="291" t="s">
        <v>561</v>
      </c>
      <c r="K225" s="291" t="s">
        <v>563</v>
      </c>
      <c r="L225" s="291" t="s">
        <v>565</v>
      </c>
      <c r="M225" s="291" t="s">
        <v>642</v>
      </c>
      <c r="N225" s="1795"/>
      <c r="O225" s="1795"/>
    </row>
    <row r="226" spans="2:15" x14ac:dyDescent="0.3">
      <c r="B226" s="2015">
        <f>B225+1</f>
        <v>1</v>
      </c>
      <c r="C226" s="2018"/>
      <c r="D226" s="125" t="s">
        <v>278</v>
      </c>
      <c r="E226" s="2022" t="s">
        <v>773</v>
      </c>
      <c r="F226" s="2023"/>
      <c r="G226" s="2023"/>
      <c r="H226" s="2023"/>
      <c r="I226" s="2023"/>
      <c r="J226" s="2023"/>
      <c r="K226" s="2023"/>
      <c r="L226" s="2023"/>
      <c r="M226" s="2023"/>
      <c r="N226" s="2023"/>
      <c r="O226" s="2024"/>
    </row>
    <row r="227" spans="2:15" x14ac:dyDescent="0.3">
      <c r="B227" s="2016"/>
      <c r="C227" s="2019"/>
      <c r="D227" s="125" t="s">
        <v>279</v>
      </c>
      <c r="E227" s="2025"/>
      <c r="F227" s="2026"/>
      <c r="G227" s="2026"/>
      <c r="H227" s="2026"/>
      <c r="I227" s="2026"/>
      <c r="J227" s="2026"/>
      <c r="K227" s="2026"/>
      <c r="L227" s="2026"/>
      <c r="M227" s="2026"/>
      <c r="N227" s="2026"/>
      <c r="O227" s="2027"/>
    </row>
    <row r="228" spans="2:15" x14ac:dyDescent="0.3">
      <c r="B228" s="2016"/>
      <c r="C228" s="2019"/>
      <c r="D228" s="125" t="s">
        <v>280</v>
      </c>
      <c r="E228" s="2025"/>
      <c r="F228" s="2026"/>
      <c r="G228" s="2026"/>
      <c r="H228" s="2026"/>
      <c r="I228" s="2026"/>
      <c r="J228" s="2026"/>
      <c r="K228" s="2026"/>
      <c r="L228" s="2026"/>
      <c r="M228" s="2026"/>
      <c r="N228" s="2026"/>
      <c r="O228" s="2027"/>
    </row>
    <row r="229" spans="2:15" x14ac:dyDescent="0.3">
      <c r="B229" s="2016"/>
      <c r="C229" s="2019"/>
      <c r="D229" s="125" t="s">
        <v>569</v>
      </c>
      <c r="E229" s="2025"/>
      <c r="F229" s="2026"/>
      <c r="G229" s="2026"/>
      <c r="H229" s="2026"/>
      <c r="I229" s="2026"/>
      <c r="J229" s="2026"/>
      <c r="K229" s="2026"/>
      <c r="L229" s="2026"/>
      <c r="M229" s="2026"/>
      <c r="N229" s="2026"/>
      <c r="O229" s="2027"/>
    </row>
    <row r="230" spans="2:15" x14ac:dyDescent="0.3">
      <c r="B230" s="2016"/>
      <c r="C230" s="2019"/>
      <c r="D230" s="125" t="s">
        <v>282</v>
      </c>
      <c r="E230" s="2025"/>
      <c r="F230" s="2026"/>
      <c r="G230" s="2026"/>
      <c r="H230" s="2026"/>
      <c r="I230" s="2026"/>
      <c r="J230" s="2026"/>
      <c r="K230" s="2026"/>
      <c r="L230" s="2026"/>
      <c r="M230" s="2026"/>
      <c r="N230" s="2026"/>
      <c r="O230" s="2027"/>
    </row>
    <row r="231" spans="2:15" x14ac:dyDescent="0.3">
      <c r="B231" s="2016"/>
      <c r="C231" s="2019"/>
      <c r="D231" s="125" t="s">
        <v>283</v>
      </c>
      <c r="E231" s="2025"/>
      <c r="F231" s="2026"/>
      <c r="G231" s="2026"/>
      <c r="H231" s="2026"/>
      <c r="I231" s="2026"/>
      <c r="J231" s="2026"/>
      <c r="K231" s="2026"/>
      <c r="L231" s="2026"/>
      <c r="M231" s="2026"/>
      <c r="N231" s="2026"/>
      <c r="O231" s="2027"/>
    </row>
    <row r="232" spans="2:15" x14ac:dyDescent="0.3">
      <c r="B232" s="2016"/>
      <c r="C232" s="2019"/>
      <c r="D232" s="125" t="s">
        <v>284</v>
      </c>
      <c r="E232" s="2025"/>
      <c r="F232" s="2026"/>
      <c r="G232" s="2026"/>
      <c r="H232" s="2026"/>
      <c r="I232" s="2026"/>
      <c r="J232" s="2026"/>
      <c r="K232" s="2026"/>
      <c r="L232" s="2026"/>
      <c r="M232" s="2026"/>
      <c r="N232" s="2026"/>
      <c r="O232" s="2027"/>
    </row>
    <row r="233" spans="2:15" x14ac:dyDescent="0.3">
      <c r="B233" s="2016"/>
      <c r="C233" s="2019"/>
      <c r="D233" s="125" t="s">
        <v>570</v>
      </c>
      <c r="E233" s="2025"/>
      <c r="F233" s="2026"/>
      <c r="G233" s="2026"/>
      <c r="H233" s="2026"/>
      <c r="I233" s="2026"/>
      <c r="J233" s="2026"/>
      <c r="K233" s="2026"/>
      <c r="L233" s="2026"/>
      <c r="M233" s="2026"/>
      <c r="N233" s="2026"/>
      <c r="O233" s="2027"/>
    </row>
    <row r="234" spans="2:15" x14ac:dyDescent="0.3">
      <c r="B234" s="2016"/>
      <c r="C234" s="2019"/>
      <c r="D234" s="125" t="s">
        <v>286</v>
      </c>
      <c r="E234" s="2025"/>
      <c r="F234" s="2026"/>
      <c r="G234" s="2026"/>
      <c r="H234" s="2026"/>
      <c r="I234" s="2026"/>
      <c r="J234" s="2026"/>
      <c r="K234" s="2026"/>
      <c r="L234" s="2026"/>
      <c r="M234" s="2026"/>
      <c r="N234" s="2026"/>
      <c r="O234" s="2027"/>
    </row>
    <row r="235" spans="2:15" x14ac:dyDescent="0.3">
      <c r="B235" s="2016"/>
      <c r="C235" s="2019"/>
      <c r="D235" s="125" t="s">
        <v>287</v>
      </c>
      <c r="E235" s="2025"/>
      <c r="F235" s="2026"/>
      <c r="G235" s="2026"/>
      <c r="H235" s="2026"/>
      <c r="I235" s="2026"/>
      <c r="J235" s="2026"/>
      <c r="K235" s="2026"/>
      <c r="L235" s="2026"/>
      <c r="M235" s="2026"/>
      <c r="N235" s="2026"/>
      <c r="O235" s="2027"/>
    </row>
    <row r="236" spans="2:15" x14ac:dyDescent="0.3">
      <c r="B236" s="2016"/>
      <c r="C236" s="2019"/>
      <c r="D236" s="125" t="s">
        <v>288</v>
      </c>
      <c r="E236" s="2025"/>
      <c r="F236" s="2026"/>
      <c r="G236" s="2026"/>
      <c r="H236" s="2026"/>
      <c r="I236" s="2026"/>
      <c r="J236" s="2026"/>
      <c r="K236" s="2026"/>
      <c r="L236" s="2026"/>
      <c r="M236" s="2026"/>
      <c r="N236" s="2026"/>
      <c r="O236" s="2027"/>
    </row>
    <row r="237" spans="2:15" x14ac:dyDescent="0.3">
      <c r="B237" s="2017"/>
      <c r="C237" s="2020"/>
      <c r="D237" s="125" t="s">
        <v>289</v>
      </c>
      <c r="E237" s="2025"/>
      <c r="F237" s="2026"/>
      <c r="G237" s="2026"/>
      <c r="H237" s="2026"/>
      <c r="I237" s="2026"/>
      <c r="J237" s="2026"/>
      <c r="K237" s="2026"/>
      <c r="L237" s="2026"/>
      <c r="M237" s="2026"/>
      <c r="N237" s="2026"/>
      <c r="O237" s="2027"/>
    </row>
    <row r="238" spans="2:15" x14ac:dyDescent="0.3">
      <c r="B238" s="2015">
        <f>B226+1</f>
        <v>2</v>
      </c>
      <c r="C238" s="2018"/>
      <c r="D238" s="125" t="s">
        <v>278</v>
      </c>
      <c r="E238" s="2025"/>
      <c r="F238" s="2026"/>
      <c r="G238" s="2026"/>
      <c r="H238" s="2026"/>
      <c r="I238" s="2026"/>
      <c r="J238" s="2026"/>
      <c r="K238" s="2026"/>
      <c r="L238" s="2026"/>
      <c r="M238" s="2026"/>
      <c r="N238" s="2026"/>
      <c r="O238" s="2027"/>
    </row>
    <row r="239" spans="2:15" x14ac:dyDescent="0.3">
      <c r="B239" s="2016"/>
      <c r="C239" s="2019"/>
      <c r="D239" s="125" t="s">
        <v>279</v>
      </c>
      <c r="E239" s="2025"/>
      <c r="F239" s="2026"/>
      <c r="G239" s="2026"/>
      <c r="H239" s="2026"/>
      <c r="I239" s="2026"/>
      <c r="J239" s="2026"/>
      <c r="K239" s="2026"/>
      <c r="L239" s="2026"/>
      <c r="M239" s="2026"/>
      <c r="N239" s="2026"/>
      <c r="O239" s="2027"/>
    </row>
    <row r="240" spans="2:15" x14ac:dyDescent="0.3">
      <c r="B240" s="2016"/>
      <c r="C240" s="2019"/>
      <c r="D240" s="125" t="s">
        <v>280</v>
      </c>
      <c r="E240" s="2025"/>
      <c r="F240" s="2026"/>
      <c r="G240" s="2026"/>
      <c r="H240" s="2026"/>
      <c r="I240" s="2026"/>
      <c r="J240" s="2026"/>
      <c r="K240" s="2026"/>
      <c r="L240" s="2026"/>
      <c r="M240" s="2026"/>
      <c r="N240" s="2026"/>
      <c r="O240" s="2027"/>
    </row>
    <row r="241" spans="2:15" x14ac:dyDescent="0.3">
      <c r="B241" s="2016"/>
      <c r="C241" s="2019"/>
      <c r="D241" s="125" t="s">
        <v>569</v>
      </c>
      <c r="E241" s="2025"/>
      <c r="F241" s="2026"/>
      <c r="G241" s="2026"/>
      <c r="H241" s="2026"/>
      <c r="I241" s="2026"/>
      <c r="J241" s="2026"/>
      <c r="K241" s="2026"/>
      <c r="L241" s="2026"/>
      <c r="M241" s="2026"/>
      <c r="N241" s="2026"/>
      <c r="O241" s="2027"/>
    </row>
    <row r="242" spans="2:15" x14ac:dyDescent="0.3">
      <c r="B242" s="2016"/>
      <c r="C242" s="2019"/>
      <c r="D242" s="125" t="s">
        <v>282</v>
      </c>
      <c r="E242" s="2025"/>
      <c r="F242" s="2026"/>
      <c r="G242" s="2026"/>
      <c r="H242" s="2026"/>
      <c r="I242" s="2026"/>
      <c r="J242" s="2026"/>
      <c r="K242" s="2026"/>
      <c r="L242" s="2026"/>
      <c r="M242" s="2026"/>
      <c r="N242" s="2026"/>
      <c r="O242" s="2027"/>
    </row>
    <row r="243" spans="2:15" x14ac:dyDescent="0.3">
      <c r="B243" s="2016"/>
      <c r="C243" s="2019"/>
      <c r="D243" s="125" t="s">
        <v>283</v>
      </c>
      <c r="E243" s="2025"/>
      <c r="F243" s="2026"/>
      <c r="G243" s="2026"/>
      <c r="H243" s="2026"/>
      <c r="I243" s="2026"/>
      <c r="J243" s="2026"/>
      <c r="K243" s="2026"/>
      <c r="L243" s="2026"/>
      <c r="M243" s="2026"/>
      <c r="N243" s="2026"/>
      <c r="O243" s="2027"/>
    </row>
    <row r="244" spans="2:15" x14ac:dyDescent="0.3">
      <c r="B244" s="2016"/>
      <c r="C244" s="2019"/>
      <c r="D244" s="125" t="s">
        <v>284</v>
      </c>
      <c r="E244" s="2025"/>
      <c r="F244" s="2026"/>
      <c r="G244" s="2026"/>
      <c r="H244" s="2026"/>
      <c r="I244" s="2026"/>
      <c r="J244" s="2026"/>
      <c r="K244" s="2026"/>
      <c r="L244" s="2026"/>
      <c r="M244" s="2026"/>
      <c r="N244" s="2026"/>
      <c r="O244" s="2027"/>
    </row>
    <row r="245" spans="2:15" x14ac:dyDescent="0.3">
      <c r="B245" s="2016"/>
      <c r="C245" s="2019"/>
      <c r="D245" s="125" t="s">
        <v>570</v>
      </c>
      <c r="E245" s="2025"/>
      <c r="F245" s="2026"/>
      <c r="G245" s="2026"/>
      <c r="H245" s="2026"/>
      <c r="I245" s="2026"/>
      <c r="J245" s="2026"/>
      <c r="K245" s="2026"/>
      <c r="L245" s="2026"/>
      <c r="M245" s="2026"/>
      <c r="N245" s="2026"/>
      <c r="O245" s="2027"/>
    </row>
    <row r="246" spans="2:15" x14ac:dyDescent="0.3">
      <c r="B246" s="2016"/>
      <c r="C246" s="2019"/>
      <c r="D246" s="125" t="s">
        <v>286</v>
      </c>
      <c r="E246" s="2025"/>
      <c r="F246" s="2026"/>
      <c r="G246" s="2026"/>
      <c r="H246" s="2026"/>
      <c r="I246" s="2026"/>
      <c r="J246" s="2026"/>
      <c r="K246" s="2026"/>
      <c r="L246" s="2026"/>
      <c r="M246" s="2026"/>
      <c r="N246" s="2026"/>
      <c r="O246" s="2027"/>
    </row>
    <row r="247" spans="2:15" x14ac:dyDescent="0.3">
      <c r="B247" s="2016"/>
      <c r="C247" s="2019"/>
      <c r="D247" s="125" t="s">
        <v>287</v>
      </c>
      <c r="E247" s="2025"/>
      <c r="F247" s="2026"/>
      <c r="G247" s="2026"/>
      <c r="H247" s="2026"/>
      <c r="I247" s="2026"/>
      <c r="J247" s="2026"/>
      <c r="K247" s="2026"/>
      <c r="L247" s="2026"/>
      <c r="M247" s="2026"/>
      <c r="N247" s="2026"/>
      <c r="O247" s="2027"/>
    </row>
    <row r="248" spans="2:15" x14ac:dyDescent="0.3">
      <c r="B248" s="2016"/>
      <c r="C248" s="2019"/>
      <c r="D248" s="125" t="s">
        <v>288</v>
      </c>
      <c r="E248" s="2025"/>
      <c r="F248" s="2026"/>
      <c r="G248" s="2026"/>
      <c r="H248" s="2026"/>
      <c r="I248" s="2026"/>
      <c r="J248" s="2026"/>
      <c r="K248" s="2026"/>
      <c r="L248" s="2026"/>
      <c r="M248" s="2026"/>
      <c r="N248" s="2026"/>
      <c r="O248" s="2027"/>
    </row>
    <row r="249" spans="2:15" x14ac:dyDescent="0.3">
      <c r="B249" s="2017"/>
      <c r="C249" s="2020"/>
      <c r="D249" s="125" t="s">
        <v>289</v>
      </c>
      <c r="E249" s="2025"/>
      <c r="F249" s="2026"/>
      <c r="G249" s="2026"/>
      <c r="H249" s="2026"/>
      <c r="I249" s="2026"/>
      <c r="J249" s="2026"/>
      <c r="K249" s="2026"/>
      <c r="L249" s="2026"/>
      <c r="M249" s="2026"/>
      <c r="N249" s="2026"/>
      <c r="O249" s="2027"/>
    </row>
    <row r="250" spans="2:15" x14ac:dyDescent="0.3">
      <c r="B250" s="99">
        <v>3</v>
      </c>
      <c r="C250" s="124"/>
      <c r="D250" s="124"/>
      <c r="E250" s="2025"/>
      <c r="F250" s="2026"/>
      <c r="G250" s="2026"/>
      <c r="H250" s="2026"/>
      <c r="I250" s="2026"/>
      <c r="J250" s="2026"/>
      <c r="K250" s="2026"/>
      <c r="L250" s="2026"/>
      <c r="M250" s="2026"/>
      <c r="N250" s="2026"/>
      <c r="O250" s="2027"/>
    </row>
    <row r="251" spans="2:15" x14ac:dyDescent="0.3">
      <c r="B251" s="99" t="s">
        <v>475</v>
      </c>
      <c r="C251" s="126"/>
      <c r="D251" s="126"/>
      <c r="E251" s="2028"/>
      <c r="F251" s="2029"/>
      <c r="G251" s="2029"/>
      <c r="H251" s="2029"/>
      <c r="I251" s="2029"/>
      <c r="J251" s="2029"/>
      <c r="K251" s="2029"/>
      <c r="L251" s="2029"/>
      <c r="M251" s="2029"/>
      <c r="N251" s="2029"/>
      <c r="O251" s="2030"/>
    </row>
    <row r="253" spans="2:15" x14ac:dyDescent="0.3">
      <c r="B253" s="250" t="s">
        <v>571</v>
      </c>
    </row>
    <row r="254" spans="2:15" x14ac:dyDescent="0.3">
      <c r="B254" s="250" t="s">
        <v>638</v>
      </c>
    </row>
    <row r="255" spans="2:15" x14ac:dyDescent="0.3">
      <c r="B255" s="250" t="s">
        <v>572</v>
      </c>
    </row>
    <row r="256" spans="2:15" x14ac:dyDescent="0.3">
      <c r="B256" s="250" t="s">
        <v>640</v>
      </c>
    </row>
    <row r="258" spans="2:15" x14ac:dyDescent="0.3">
      <c r="B258" s="2021" t="s">
        <v>1028</v>
      </c>
      <c r="C258" s="2021"/>
      <c r="D258" s="251"/>
      <c r="E258" s="14"/>
      <c r="F258" s="14"/>
      <c r="G258" s="14"/>
      <c r="H258" s="14"/>
      <c r="I258" s="14"/>
      <c r="J258" s="14"/>
      <c r="K258" s="14"/>
      <c r="L258" s="14"/>
    </row>
    <row r="260" spans="2:15" ht="56" x14ac:dyDescent="0.3">
      <c r="B260" s="1760" t="s">
        <v>339</v>
      </c>
      <c r="C260" s="1760" t="s">
        <v>557</v>
      </c>
      <c r="D260" s="1760" t="s">
        <v>568</v>
      </c>
      <c r="E260" s="254" t="s">
        <v>639</v>
      </c>
      <c r="F260" s="1752" t="s">
        <v>558</v>
      </c>
      <c r="G260" s="1752"/>
      <c r="H260" s="1752"/>
      <c r="I260" s="1752"/>
      <c r="J260" s="1752"/>
      <c r="K260" s="1752" t="s">
        <v>562</v>
      </c>
      <c r="L260" s="1752"/>
      <c r="M260" s="1752"/>
      <c r="N260" s="1752" t="s">
        <v>566</v>
      </c>
      <c r="O260" s="1752" t="s">
        <v>567</v>
      </c>
    </row>
    <row r="261" spans="2:15" ht="28" x14ac:dyDescent="0.3">
      <c r="B261" s="1795"/>
      <c r="C261" s="1795"/>
      <c r="D261" s="1795"/>
      <c r="E261" s="253" t="s">
        <v>641</v>
      </c>
      <c r="F261" s="252" t="s">
        <v>564</v>
      </c>
      <c r="G261" s="252" t="s">
        <v>559</v>
      </c>
      <c r="H261" s="252" t="s">
        <v>643</v>
      </c>
      <c r="I261" s="253" t="s">
        <v>560</v>
      </c>
      <c r="J261" s="253" t="s">
        <v>561</v>
      </c>
      <c r="K261" s="253" t="s">
        <v>563</v>
      </c>
      <c r="L261" s="253" t="s">
        <v>565</v>
      </c>
      <c r="M261" s="253" t="s">
        <v>642</v>
      </c>
      <c r="N261" s="1752"/>
      <c r="O261" s="1752"/>
    </row>
    <row r="262" spans="2:15" x14ac:dyDescent="0.3">
      <c r="B262" s="2015">
        <f>B261+1</f>
        <v>1</v>
      </c>
      <c r="C262" s="2018"/>
      <c r="D262" s="125" t="s">
        <v>278</v>
      </c>
      <c r="E262" s="2022" t="s">
        <v>773</v>
      </c>
      <c r="F262" s="2023"/>
      <c r="G262" s="2023"/>
      <c r="H262" s="2023"/>
      <c r="I262" s="2023"/>
      <c r="J262" s="2023"/>
      <c r="K262" s="2023"/>
      <c r="L262" s="2023"/>
      <c r="M262" s="2023"/>
      <c r="N262" s="2023"/>
      <c r="O262" s="2024"/>
    </row>
    <row r="263" spans="2:15" x14ac:dyDescent="0.3">
      <c r="B263" s="2016"/>
      <c r="C263" s="2019"/>
      <c r="D263" s="125" t="s">
        <v>279</v>
      </c>
      <c r="E263" s="2025"/>
      <c r="F263" s="2026"/>
      <c r="G263" s="2026"/>
      <c r="H263" s="2026"/>
      <c r="I263" s="2026"/>
      <c r="J263" s="2026"/>
      <c r="K263" s="2026"/>
      <c r="L263" s="2026"/>
      <c r="M263" s="2026"/>
      <c r="N263" s="2026"/>
      <c r="O263" s="2027"/>
    </row>
    <row r="264" spans="2:15" x14ac:dyDescent="0.3">
      <c r="B264" s="2016"/>
      <c r="C264" s="2019"/>
      <c r="D264" s="125" t="s">
        <v>280</v>
      </c>
      <c r="E264" s="2025"/>
      <c r="F264" s="2026"/>
      <c r="G264" s="2026"/>
      <c r="H264" s="2026"/>
      <c r="I264" s="2026"/>
      <c r="J264" s="2026"/>
      <c r="K264" s="2026"/>
      <c r="L264" s="2026"/>
      <c r="M264" s="2026"/>
      <c r="N264" s="2026"/>
      <c r="O264" s="2027"/>
    </row>
    <row r="265" spans="2:15" x14ac:dyDescent="0.3">
      <c r="B265" s="2016"/>
      <c r="C265" s="2019"/>
      <c r="D265" s="125" t="s">
        <v>569</v>
      </c>
      <c r="E265" s="2025"/>
      <c r="F265" s="2026"/>
      <c r="G265" s="2026"/>
      <c r="H265" s="2026"/>
      <c r="I265" s="2026"/>
      <c r="J265" s="2026"/>
      <c r="K265" s="2026"/>
      <c r="L265" s="2026"/>
      <c r="M265" s="2026"/>
      <c r="N265" s="2026"/>
      <c r="O265" s="2027"/>
    </row>
    <row r="266" spans="2:15" x14ac:dyDescent="0.3">
      <c r="B266" s="2016"/>
      <c r="C266" s="2019"/>
      <c r="D266" s="125" t="s">
        <v>282</v>
      </c>
      <c r="E266" s="2025"/>
      <c r="F266" s="2026"/>
      <c r="G266" s="2026"/>
      <c r="H266" s="2026"/>
      <c r="I266" s="2026"/>
      <c r="J266" s="2026"/>
      <c r="K266" s="2026"/>
      <c r="L266" s="2026"/>
      <c r="M266" s="2026"/>
      <c r="N266" s="2026"/>
      <c r="O266" s="2027"/>
    </row>
    <row r="267" spans="2:15" x14ac:dyDescent="0.3">
      <c r="B267" s="2016"/>
      <c r="C267" s="2019"/>
      <c r="D267" s="125" t="s">
        <v>283</v>
      </c>
      <c r="E267" s="2025"/>
      <c r="F267" s="2026"/>
      <c r="G267" s="2026"/>
      <c r="H267" s="2026"/>
      <c r="I267" s="2026"/>
      <c r="J267" s="2026"/>
      <c r="K267" s="2026"/>
      <c r="L267" s="2026"/>
      <c r="M267" s="2026"/>
      <c r="N267" s="2026"/>
      <c r="O267" s="2027"/>
    </row>
    <row r="268" spans="2:15" x14ac:dyDescent="0.3">
      <c r="B268" s="2016"/>
      <c r="C268" s="2019"/>
      <c r="D268" s="125" t="s">
        <v>284</v>
      </c>
      <c r="E268" s="2025"/>
      <c r="F268" s="2026"/>
      <c r="G268" s="2026"/>
      <c r="H268" s="2026"/>
      <c r="I268" s="2026"/>
      <c r="J268" s="2026"/>
      <c r="K268" s="2026"/>
      <c r="L268" s="2026"/>
      <c r="M268" s="2026"/>
      <c r="N268" s="2026"/>
      <c r="O268" s="2027"/>
    </row>
    <row r="269" spans="2:15" x14ac:dyDescent="0.3">
      <c r="B269" s="2016"/>
      <c r="C269" s="2019"/>
      <c r="D269" s="125" t="s">
        <v>570</v>
      </c>
      <c r="E269" s="2025"/>
      <c r="F269" s="2026"/>
      <c r="G269" s="2026"/>
      <c r="H269" s="2026"/>
      <c r="I269" s="2026"/>
      <c r="J269" s="2026"/>
      <c r="K269" s="2026"/>
      <c r="L269" s="2026"/>
      <c r="M269" s="2026"/>
      <c r="N269" s="2026"/>
      <c r="O269" s="2027"/>
    </row>
    <row r="270" spans="2:15" x14ac:dyDescent="0.3">
      <c r="B270" s="2016"/>
      <c r="C270" s="2019"/>
      <c r="D270" s="125" t="s">
        <v>286</v>
      </c>
      <c r="E270" s="2025"/>
      <c r="F270" s="2026"/>
      <c r="G270" s="2026"/>
      <c r="H270" s="2026"/>
      <c r="I270" s="2026"/>
      <c r="J270" s="2026"/>
      <c r="K270" s="2026"/>
      <c r="L270" s="2026"/>
      <c r="M270" s="2026"/>
      <c r="N270" s="2026"/>
      <c r="O270" s="2027"/>
    </row>
    <row r="271" spans="2:15" x14ac:dyDescent="0.3">
      <c r="B271" s="2016"/>
      <c r="C271" s="2019"/>
      <c r="D271" s="125" t="s">
        <v>287</v>
      </c>
      <c r="E271" s="2025"/>
      <c r="F271" s="2026"/>
      <c r="G271" s="2026"/>
      <c r="H271" s="2026"/>
      <c r="I271" s="2026"/>
      <c r="J271" s="2026"/>
      <c r="K271" s="2026"/>
      <c r="L271" s="2026"/>
      <c r="M271" s="2026"/>
      <c r="N271" s="2026"/>
      <c r="O271" s="2027"/>
    </row>
    <row r="272" spans="2:15" x14ac:dyDescent="0.3">
      <c r="B272" s="2016"/>
      <c r="C272" s="2019"/>
      <c r="D272" s="125" t="s">
        <v>288</v>
      </c>
      <c r="E272" s="2025"/>
      <c r="F272" s="2026"/>
      <c r="G272" s="2026"/>
      <c r="H272" s="2026"/>
      <c r="I272" s="2026"/>
      <c r="J272" s="2026"/>
      <c r="K272" s="2026"/>
      <c r="L272" s="2026"/>
      <c r="M272" s="2026"/>
      <c r="N272" s="2026"/>
      <c r="O272" s="2027"/>
    </row>
    <row r="273" spans="2:15" x14ac:dyDescent="0.3">
      <c r="B273" s="2017"/>
      <c r="C273" s="2020"/>
      <c r="D273" s="125" t="s">
        <v>289</v>
      </c>
      <c r="E273" s="2025"/>
      <c r="F273" s="2026"/>
      <c r="G273" s="2026"/>
      <c r="H273" s="2026"/>
      <c r="I273" s="2026"/>
      <c r="J273" s="2026"/>
      <c r="K273" s="2026"/>
      <c r="L273" s="2026"/>
      <c r="M273" s="2026"/>
      <c r="N273" s="2026"/>
      <c r="O273" s="2027"/>
    </row>
    <row r="274" spans="2:15" x14ac:dyDescent="0.3">
      <c r="B274" s="2015">
        <f>B262+1</f>
        <v>2</v>
      </c>
      <c r="C274" s="2018"/>
      <c r="D274" s="125" t="s">
        <v>278</v>
      </c>
      <c r="E274" s="2025"/>
      <c r="F274" s="2026"/>
      <c r="G274" s="2026"/>
      <c r="H274" s="2026"/>
      <c r="I274" s="2026"/>
      <c r="J274" s="2026"/>
      <c r="K274" s="2026"/>
      <c r="L274" s="2026"/>
      <c r="M274" s="2026"/>
      <c r="N274" s="2026"/>
      <c r="O274" s="2027"/>
    </row>
    <row r="275" spans="2:15" x14ac:dyDescent="0.3">
      <c r="B275" s="2016"/>
      <c r="C275" s="2019"/>
      <c r="D275" s="125" t="s">
        <v>279</v>
      </c>
      <c r="E275" s="2025"/>
      <c r="F275" s="2026"/>
      <c r="G275" s="2026"/>
      <c r="H275" s="2026"/>
      <c r="I275" s="2026"/>
      <c r="J275" s="2026"/>
      <c r="K275" s="2026"/>
      <c r="L275" s="2026"/>
      <c r="M275" s="2026"/>
      <c r="N275" s="2026"/>
      <c r="O275" s="2027"/>
    </row>
    <row r="276" spans="2:15" x14ac:dyDescent="0.3">
      <c r="B276" s="2016"/>
      <c r="C276" s="2019"/>
      <c r="D276" s="125" t="s">
        <v>280</v>
      </c>
      <c r="E276" s="2025"/>
      <c r="F276" s="2026"/>
      <c r="G276" s="2026"/>
      <c r="H276" s="2026"/>
      <c r="I276" s="2026"/>
      <c r="J276" s="2026"/>
      <c r="K276" s="2026"/>
      <c r="L276" s="2026"/>
      <c r="M276" s="2026"/>
      <c r="N276" s="2026"/>
      <c r="O276" s="2027"/>
    </row>
    <row r="277" spans="2:15" x14ac:dyDescent="0.3">
      <c r="B277" s="2016"/>
      <c r="C277" s="2019"/>
      <c r="D277" s="125" t="s">
        <v>569</v>
      </c>
      <c r="E277" s="2025"/>
      <c r="F277" s="2026"/>
      <c r="G277" s="2026"/>
      <c r="H277" s="2026"/>
      <c r="I277" s="2026"/>
      <c r="J277" s="2026"/>
      <c r="K277" s="2026"/>
      <c r="L277" s="2026"/>
      <c r="M277" s="2026"/>
      <c r="N277" s="2026"/>
      <c r="O277" s="2027"/>
    </row>
    <row r="278" spans="2:15" x14ac:dyDescent="0.3">
      <c r="B278" s="2016"/>
      <c r="C278" s="2019"/>
      <c r="D278" s="125" t="s">
        <v>282</v>
      </c>
      <c r="E278" s="2025"/>
      <c r="F278" s="2026"/>
      <c r="G278" s="2026"/>
      <c r="H278" s="2026"/>
      <c r="I278" s="2026"/>
      <c r="J278" s="2026"/>
      <c r="K278" s="2026"/>
      <c r="L278" s="2026"/>
      <c r="M278" s="2026"/>
      <c r="N278" s="2026"/>
      <c r="O278" s="2027"/>
    </row>
    <row r="279" spans="2:15" x14ac:dyDescent="0.3">
      <c r="B279" s="2016"/>
      <c r="C279" s="2019"/>
      <c r="D279" s="125" t="s">
        <v>283</v>
      </c>
      <c r="E279" s="2025"/>
      <c r="F279" s="2026"/>
      <c r="G279" s="2026"/>
      <c r="H279" s="2026"/>
      <c r="I279" s="2026"/>
      <c r="J279" s="2026"/>
      <c r="K279" s="2026"/>
      <c r="L279" s="2026"/>
      <c r="M279" s="2026"/>
      <c r="N279" s="2026"/>
      <c r="O279" s="2027"/>
    </row>
    <row r="280" spans="2:15" x14ac:dyDescent="0.3">
      <c r="B280" s="2016"/>
      <c r="C280" s="2019"/>
      <c r="D280" s="125" t="s">
        <v>284</v>
      </c>
      <c r="E280" s="2025"/>
      <c r="F280" s="2026"/>
      <c r="G280" s="2026"/>
      <c r="H280" s="2026"/>
      <c r="I280" s="2026"/>
      <c r="J280" s="2026"/>
      <c r="K280" s="2026"/>
      <c r="L280" s="2026"/>
      <c r="M280" s="2026"/>
      <c r="N280" s="2026"/>
      <c r="O280" s="2027"/>
    </row>
    <row r="281" spans="2:15" x14ac:dyDescent="0.3">
      <c r="B281" s="2016"/>
      <c r="C281" s="2019"/>
      <c r="D281" s="125" t="s">
        <v>570</v>
      </c>
      <c r="E281" s="2025"/>
      <c r="F281" s="2026"/>
      <c r="G281" s="2026"/>
      <c r="H281" s="2026"/>
      <c r="I281" s="2026"/>
      <c r="J281" s="2026"/>
      <c r="K281" s="2026"/>
      <c r="L281" s="2026"/>
      <c r="M281" s="2026"/>
      <c r="N281" s="2026"/>
      <c r="O281" s="2027"/>
    </row>
    <row r="282" spans="2:15" x14ac:dyDescent="0.3">
      <c r="B282" s="2016"/>
      <c r="C282" s="2019"/>
      <c r="D282" s="125" t="s">
        <v>286</v>
      </c>
      <c r="E282" s="2025"/>
      <c r="F282" s="2026"/>
      <c r="G282" s="2026"/>
      <c r="H282" s="2026"/>
      <c r="I282" s="2026"/>
      <c r="J282" s="2026"/>
      <c r="K282" s="2026"/>
      <c r="L282" s="2026"/>
      <c r="M282" s="2026"/>
      <c r="N282" s="2026"/>
      <c r="O282" s="2027"/>
    </row>
    <row r="283" spans="2:15" x14ac:dyDescent="0.3">
      <c r="B283" s="2016"/>
      <c r="C283" s="2019"/>
      <c r="D283" s="125" t="s">
        <v>287</v>
      </c>
      <c r="E283" s="2025"/>
      <c r="F283" s="2026"/>
      <c r="G283" s="2026"/>
      <c r="H283" s="2026"/>
      <c r="I283" s="2026"/>
      <c r="J283" s="2026"/>
      <c r="K283" s="2026"/>
      <c r="L283" s="2026"/>
      <c r="M283" s="2026"/>
      <c r="N283" s="2026"/>
      <c r="O283" s="2027"/>
    </row>
    <row r="284" spans="2:15" x14ac:dyDescent="0.3">
      <c r="B284" s="2016"/>
      <c r="C284" s="2019"/>
      <c r="D284" s="125" t="s">
        <v>288</v>
      </c>
      <c r="E284" s="2025"/>
      <c r="F284" s="2026"/>
      <c r="G284" s="2026"/>
      <c r="H284" s="2026"/>
      <c r="I284" s="2026"/>
      <c r="J284" s="2026"/>
      <c r="K284" s="2026"/>
      <c r="L284" s="2026"/>
      <c r="M284" s="2026"/>
      <c r="N284" s="2026"/>
      <c r="O284" s="2027"/>
    </row>
    <row r="285" spans="2:15" x14ac:dyDescent="0.3">
      <c r="B285" s="2017"/>
      <c r="C285" s="2020"/>
      <c r="D285" s="125" t="s">
        <v>289</v>
      </c>
      <c r="E285" s="2025"/>
      <c r="F285" s="2026"/>
      <c r="G285" s="2026"/>
      <c r="H285" s="2026"/>
      <c r="I285" s="2026"/>
      <c r="J285" s="2026"/>
      <c r="K285" s="2026"/>
      <c r="L285" s="2026"/>
      <c r="M285" s="2026"/>
      <c r="N285" s="2026"/>
      <c r="O285" s="2027"/>
    </row>
    <row r="286" spans="2:15" x14ac:dyDescent="0.3">
      <c r="B286" s="99">
        <v>3</v>
      </c>
      <c r="C286" s="124"/>
      <c r="D286" s="124"/>
      <c r="E286" s="2025"/>
      <c r="F286" s="2026"/>
      <c r="G286" s="2026"/>
      <c r="H286" s="2026"/>
      <c r="I286" s="2026"/>
      <c r="J286" s="2026"/>
      <c r="K286" s="2026"/>
      <c r="L286" s="2026"/>
      <c r="M286" s="2026"/>
      <c r="N286" s="2026"/>
      <c r="O286" s="2027"/>
    </row>
    <row r="287" spans="2:15" x14ac:dyDescent="0.3">
      <c r="B287" s="99" t="s">
        <v>475</v>
      </c>
      <c r="C287" s="126"/>
      <c r="D287" s="126"/>
      <c r="E287" s="2028"/>
      <c r="F287" s="2029"/>
      <c r="G287" s="2029"/>
      <c r="H287" s="2029"/>
      <c r="I287" s="2029"/>
      <c r="J287" s="2029"/>
      <c r="K287" s="2029"/>
      <c r="L287" s="2029"/>
      <c r="M287" s="2029"/>
      <c r="N287" s="2029"/>
      <c r="O287" s="2030"/>
    </row>
    <row r="289" spans="2:15" x14ac:dyDescent="0.3">
      <c r="B289" s="250" t="s">
        <v>571</v>
      </c>
    </row>
    <row r="290" spans="2:15" x14ac:dyDescent="0.3">
      <c r="B290" s="250" t="s">
        <v>638</v>
      </c>
    </row>
    <row r="291" spans="2:15" x14ac:dyDescent="0.3">
      <c r="B291" s="250" t="s">
        <v>572</v>
      </c>
    </row>
    <row r="292" spans="2:15" x14ac:dyDescent="0.3">
      <c r="B292" s="250" t="s">
        <v>640</v>
      </c>
    </row>
    <row r="295" spans="2:15" x14ac:dyDescent="0.3">
      <c r="B295" s="2021" t="s">
        <v>1029</v>
      </c>
      <c r="C295" s="2021"/>
      <c r="D295" s="723"/>
      <c r="E295" s="14"/>
      <c r="F295" s="14"/>
      <c r="G295" s="14"/>
      <c r="H295" s="14"/>
      <c r="I295" s="14"/>
      <c r="J295" s="14"/>
      <c r="K295" s="14"/>
      <c r="L295" s="14"/>
    </row>
    <row r="297" spans="2:15" ht="56" x14ac:dyDescent="0.3">
      <c r="B297" s="1760" t="s">
        <v>339</v>
      </c>
      <c r="C297" s="1760" t="s">
        <v>557</v>
      </c>
      <c r="D297" s="1760" t="s">
        <v>568</v>
      </c>
      <c r="E297" s="717" t="s">
        <v>639</v>
      </c>
      <c r="F297" s="1752" t="s">
        <v>558</v>
      </c>
      <c r="G297" s="1752"/>
      <c r="H297" s="1752"/>
      <c r="I297" s="1752"/>
      <c r="J297" s="1752"/>
      <c r="K297" s="1752" t="s">
        <v>562</v>
      </c>
      <c r="L297" s="1752"/>
      <c r="M297" s="1752"/>
      <c r="N297" s="1752" t="s">
        <v>566</v>
      </c>
      <c r="O297" s="1752" t="s">
        <v>567</v>
      </c>
    </row>
    <row r="298" spans="2:15" ht="28" x14ac:dyDescent="0.3">
      <c r="B298" s="1795"/>
      <c r="C298" s="1795"/>
      <c r="D298" s="1795"/>
      <c r="E298" s="718" t="s">
        <v>641</v>
      </c>
      <c r="F298" s="715" t="s">
        <v>564</v>
      </c>
      <c r="G298" s="715" t="s">
        <v>559</v>
      </c>
      <c r="H298" s="715" t="s">
        <v>643</v>
      </c>
      <c r="I298" s="718" t="s">
        <v>560</v>
      </c>
      <c r="J298" s="718" t="s">
        <v>561</v>
      </c>
      <c r="K298" s="718" t="s">
        <v>563</v>
      </c>
      <c r="L298" s="718" t="s">
        <v>565</v>
      </c>
      <c r="M298" s="718" t="s">
        <v>642</v>
      </c>
      <c r="N298" s="1752"/>
      <c r="O298" s="1752"/>
    </row>
    <row r="299" spans="2:15" x14ac:dyDescent="0.3">
      <c r="B299" s="2015">
        <f>B298+1</f>
        <v>1</v>
      </c>
      <c r="C299" s="2018"/>
      <c r="D299" s="125" t="s">
        <v>278</v>
      </c>
      <c r="E299" s="2022" t="s">
        <v>773</v>
      </c>
      <c r="F299" s="2023"/>
      <c r="G299" s="2023"/>
      <c r="H299" s="2023"/>
      <c r="I299" s="2023"/>
      <c r="J299" s="2023"/>
      <c r="K299" s="2023"/>
      <c r="L299" s="2023"/>
      <c r="M299" s="2023"/>
      <c r="N299" s="2023"/>
      <c r="O299" s="2024"/>
    </row>
    <row r="300" spans="2:15" x14ac:dyDescent="0.3">
      <c r="B300" s="2016"/>
      <c r="C300" s="2019"/>
      <c r="D300" s="125" t="s">
        <v>279</v>
      </c>
      <c r="E300" s="2025"/>
      <c r="F300" s="2026"/>
      <c r="G300" s="2026"/>
      <c r="H300" s="2026"/>
      <c r="I300" s="2026"/>
      <c r="J300" s="2026"/>
      <c r="K300" s="2026"/>
      <c r="L300" s="2026"/>
      <c r="M300" s="2026"/>
      <c r="N300" s="2026"/>
      <c r="O300" s="2027"/>
    </row>
    <row r="301" spans="2:15" x14ac:dyDescent="0.3">
      <c r="B301" s="2016"/>
      <c r="C301" s="2019"/>
      <c r="D301" s="125" t="s">
        <v>280</v>
      </c>
      <c r="E301" s="2025"/>
      <c r="F301" s="2026"/>
      <c r="G301" s="2026"/>
      <c r="H301" s="2026"/>
      <c r="I301" s="2026"/>
      <c r="J301" s="2026"/>
      <c r="K301" s="2026"/>
      <c r="L301" s="2026"/>
      <c r="M301" s="2026"/>
      <c r="N301" s="2026"/>
      <c r="O301" s="2027"/>
    </row>
    <row r="302" spans="2:15" x14ac:dyDescent="0.3">
      <c r="B302" s="2016"/>
      <c r="C302" s="2019"/>
      <c r="D302" s="125" t="s">
        <v>569</v>
      </c>
      <c r="E302" s="2025"/>
      <c r="F302" s="2026"/>
      <c r="G302" s="2026"/>
      <c r="H302" s="2026"/>
      <c r="I302" s="2026"/>
      <c r="J302" s="2026"/>
      <c r="K302" s="2026"/>
      <c r="L302" s="2026"/>
      <c r="M302" s="2026"/>
      <c r="N302" s="2026"/>
      <c r="O302" s="2027"/>
    </row>
    <row r="303" spans="2:15" x14ac:dyDescent="0.3">
      <c r="B303" s="2016"/>
      <c r="C303" s="2019"/>
      <c r="D303" s="125" t="s">
        <v>282</v>
      </c>
      <c r="E303" s="2025"/>
      <c r="F303" s="2026"/>
      <c r="G303" s="2026"/>
      <c r="H303" s="2026"/>
      <c r="I303" s="2026"/>
      <c r="J303" s="2026"/>
      <c r="K303" s="2026"/>
      <c r="L303" s="2026"/>
      <c r="M303" s="2026"/>
      <c r="N303" s="2026"/>
      <c r="O303" s="2027"/>
    </row>
    <row r="304" spans="2:15" x14ac:dyDescent="0.3">
      <c r="B304" s="2016"/>
      <c r="C304" s="2019"/>
      <c r="D304" s="125" t="s">
        <v>283</v>
      </c>
      <c r="E304" s="2025"/>
      <c r="F304" s="2026"/>
      <c r="G304" s="2026"/>
      <c r="H304" s="2026"/>
      <c r="I304" s="2026"/>
      <c r="J304" s="2026"/>
      <c r="K304" s="2026"/>
      <c r="L304" s="2026"/>
      <c r="M304" s="2026"/>
      <c r="N304" s="2026"/>
      <c r="O304" s="2027"/>
    </row>
    <row r="305" spans="2:15" x14ac:dyDescent="0.3">
      <c r="B305" s="2016"/>
      <c r="C305" s="2019"/>
      <c r="D305" s="125" t="s">
        <v>284</v>
      </c>
      <c r="E305" s="2025"/>
      <c r="F305" s="2026"/>
      <c r="G305" s="2026"/>
      <c r="H305" s="2026"/>
      <c r="I305" s="2026"/>
      <c r="J305" s="2026"/>
      <c r="K305" s="2026"/>
      <c r="L305" s="2026"/>
      <c r="M305" s="2026"/>
      <c r="N305" s="2026"/>
      <c r="O305" s="2027"/>
    </row>
    <row r="306" spans="2:15" x14ac:dyDescent="0.3">
      <c r="B306" s="2016"/>
      <c r="C306" s="2019"/>
      <c r="D306" s="125" t="s">
        <v>570</v>
      </c>
      <c r="E306" s="2025"/>
      <c r="F306" s="2026"/>
      <c r="G306" s="2026"/>
      <c r="H306" s="2026"/>
      <c r="I306" s="2026"/>
      <c r="J306" s="2026"/>
      <c r="K306" s="2026"/>
      <c r="L306" s="2026"/>
      <c r="M306" s="2026"/>
      <c r="N306" s="2026"/>
      <c r="O306" s="2027"/>
    </row>
    <row r="307" spans="2:15" x14ac:dyDescent="0.3">
      <c r="B307" s="2016"/>
      <c r="C307" s="2019"/>
      <c r="D307" s="125" t="s">
        <v>286</v>
      </c>
      <c r="E307" s="2025"/>
      <c r="F307" s="2026"/>
      <c r="G307" s="2026"/>
      <c r="H307" s="2026"/>
      <c r="I307" s="2026"/>
      <c r="J307" s="2026"/>
      <c r="K307" s="2026"/>
      <c r="L307" s="2026"/>
      <c r="M307" s="2026"/>
      <c r="N307" s="2026"/>
      <c r="O307" s="2027"/>
    </row>
    <row r="308" spans="2:15" x14ac:dyDescent="0.3">
      <c r="B308" s="2016"/>
      <c r="C308" s="2019"/>
      <c r="D308" s="125" t="s">
        <v>287</v>
      </c>
      <c r="E308" s="2025"/>
      <c r="F308" s="2026"/>
      <c r="G308" s="2026"/>
      <c r="H308" s="2026"/>
      <c r="I308" s="2026"/>
      <c r="J308" s="2026"/>
      <c r="K308" s="2026"/>
      <c r="L308" s="2026"/>
      <c r="M308" s="2026"/>
      <c r="N308" s="2026"/>
      <c r="O308" s="2027"/>
    </row>
    <row r="309" spans="2:15" x14ac:dyDescent="0.3">
      <c r="B309" s="2016"/>
      <c r="C309" s="2019"/>
      <c r="D309" s="125" t="s">
        <v>288</v>
      </c>
      <c r="E309" s="2025"/>
      <c r="F309" s="2026"/>
      <c r="G309" s="2026"/>
      <c r="H309" s="2026"/>
      <c r="I309" s="2026"/>
      <c r="J309" s="2026"/>
      <c r="K309" s="2026"/>
      <c r="L309" s="2026"/>
      <c r="M309" s="2026"/>
      <c r="N309" s="2026"/>
      <c r="O309" s="2027"/>
    </row>
    <row r="310" spans="2:15" x14ac:dyDescent="0.3">
      <c r="B310" s="2017"/>
      <c r="C310" s="2020"/>
      <c r="D310" s="125" t="s">
        <v>289</v>
      </c>
      <c r="E310" s="2025"/>
      <c r="F310" s="2026"/>
      <c r="G310" s="2026"/>
      <c r="H310" s="2026"/>
      <c r="I310" s="2026"/>
      <c r="J310" s="2026"/>
      <c r="K310" s="2026"/>
      <c r="L310" s="2026"/>
      <c r="M310" s="2026"/>
      <c r="N310" s="2026"/>
      <c r="O310" s="2027"/>
    </row>
    <row r="311" spans="2:15" x14ac:dyDescent="0.3">
      <c r="B311" s="2015">
        <f>B299+1</f>
        <v>2</v>
      </c>
      <c r="C311" s="2018"/>
      <c r="D311" s="125" t="s">
        <v>278</v>
      </c>
      <c r="E311" s="2025"/>
      <c r="F311" s="2026"/>
      <c r="G311" s="2026"/>
      <c r="H311" s="2026"/>
      <c r="I311" s="2026"/>
      <c r="J311" s="2026"/>
      <c r="K311" s="2026"/>
      <c r="L311" s="2026"/>
      <c r="M311" s="2026"/>
      <c r="N311" s="2026"/>
      <c r="O311" s="2027"/>
    </row>
    <row r="312" spans="2:15" x14ac:dyDescent="0.3">
      <c r="B312" s="2016"/>
      <c r="C312" s="2019"/>
      <c r="D312" s="125" t="s">
        <v>279</v>
      </c>
      <c r="E312" s="2025"/>
      <c r="F312" s="2026"/>
      <c r="G312" s="2026"/>
      <c r="H312" s="2026"/>
      <c r="I312" s="2026"/>
      <c r="J312" s="2026"/>
      <c r="K312" s="2026"/>
      <c r="L312" s="2026"/>
      <c r="M312" s="2026"/>
      <c r="N312" s="2026"/>
      <c r="O312" s="2027"/>
    </row>
    <row r="313" spans="2:15" x14ac:dyDescent="0.3">
      <c r="B313" s="2016"/>
      <c r="C313" s="2019"/>
      <c r="D313" s="125" t="s">
        <v>280</v>
      </c>
      <c r="E313" s="2025"/>
      <c r="F313" s="2026"/>
      <c r="G313" s="2026"/>
      <c r="H313" s="2026"/>
      <c r="I313" s="2026"/>
      <c r="J313" s="2026"/>
      <c r="K313" s="2026"/>
      <c r="L313" s="2026"/>
      <c r="M313" s="2026"/>
      <c r="N313" s="2026"/>
      <c r="O313" s="2027"/>
    </row>
    <row r="314" spans="2:15" x14ac:dyDescent="0.3">
      <c r="B314" s="2016"/>
      <c r="C314" s="2019"/>
      <c r="D314" s="125" t="s">
        <v>569</v>
      </c>
      <c r="E314" s="2025"/>
      <c r="F314" s="2026"/>
      <c r="G314" s="2026"/>
      <c r="H314" s="2026"/>
      <c r="I314" s="2026"/>
      <c r="J314" s="2026"/>
      <c r="K314" s="2026"/>
      <c r="L314" s="2026"/>
      <c r="M314" s="2026"/>
      <c r="N314" s="2026"/>
      <c r="O314" s="2027"/>
    </row>
    <row r="315" spans="2:15" x14ac:dyDescent="0.3">
      <c r="B315" s="2016"/>
      <c r="C315" s="2019"/>
      <c r="D315" s="125" t="s">
        <v>282</v>
      </c>
      <c r="E315" s="2025"/>
      <c r="F315" s="2026"/>
      <c r="G315" s="2026"/>
      <c r="H315" s="2026"/>
      <c r="I315" s="2026"/>
      <c r="J315" s="2026"/>
      <c r="K315" s="2026"/>
      <c r="L315" s="2026"/>
      <c r="M315" s="2026"/>
      <c r="N315" s="2026"/>
      <c r="O315" s="2027"/>
    </row>
    <row r="316" spans="2:15" x14ac:dyDescent="0.3">
      <c r="B316" s="2016"/>
      <c r="C316" s="2019"/>
      <c r="D316" s="125" t="s">
        <v>283</v>
      </c>
      <c r="E316" s="2025"/>
      <c r="F316" s="2026"/>
      <c r="G316" s="2026"/>
      <c r="H316" s="2026"/>
      <c r="I316" s="2026"/>
      <c r="J316" s="2026"/>
      <c r="K316" s="2026"/>
      <c r="L316" s="2026"/>
      <c r="M316" s="2026"/>
      <c r="N316" s="2026"/>
      <c r="O316" s="2027"/>
    </row>
    <row r="317" spans="2:15" x14ac:dyDescent="0.3">
      <c r="B317" s="2016"/>
      <c r="C317" s="2019"/>
      <c r="D317" s="125" t="s">
        <v>284</v>
      </c>
      <c r="E317" s="2025"/>
      <c r="F317" s="2026"/>
      <c r="G317" s="2026"/>
      <c r="H317" s="2026"/>
      <c r="I317" s="2026"/>
      <c r="J317" s="2026"/>
      <c r="K317" s="2026"/>
      <c r="L317" s="2026"/>
      <c r="M317" s="2026"/>
      <c r="N317" s="2026"/>
      <c r="O317" s="2027"/>
    </row>
    <row r="318" spans="2:15" x14ac:dyDescent="0.3">
      <c r="B318" s="2016"/>
      <c r="C318" s="2019"/>
      <c r="D318" s="125" t="s">
        <v>570</v>
      </c>
      <c r="E318" s="2025"/>
      <c r="F318" s="2026"/>
      <c r="G318" s="2026"/>
      <c r="H318" s="2026"/>
      <c r="I318" s="2026"/>
      <c r="J318" s="2026"/>
      <c r="K318" s="2026"/>
      <c r="L318" s="2026"/>
      <c r="M318" s="2026"/>
      <c r="N318" s="2026"/>
      <c r="O318" s="2027"/>
    </row>
    <row r="319" spans="2:15" x14ac:dyDescent="0.3">
      <c r="B319" s="2016"/>
      <c r="C319" s="2019"/>
      <c r="D319" s="125" t="s">
        <v>286</v>
      </c>
      <c r="E319" s="2025"/>
      <c r="F319" s="2026"/>
      <c r="G319" s="2026"/>
      <c r="H319" s="2026"/>
      <c r="I319" s="2026"/>
      <c r="J319" s="2026"/>
      <c r="K319" s="2026"/>
      <c r="L319" s="2026"/>
      <c r="M319" s="2026"/>
      <c r="N319" s="2026"/>
      <c r="O319" s="2027"/>
    </row>
    <row r="320" spans="2:15" x14ac:dyDescent="0.3">
      <c r="B320" s="2016"/>
      <c r="C320" s="2019"/>
      <c r="D320" s="125" t="s">
        <v>287</v>
      </c>
      <c r="E320" s="2025"/>
      <c r="F320" s="2026"/>
      <c r="G320" s="2026"/>
      <c r="H320" s="2026"/>
      <c r="I320" s="2026"/>
      <c r="J320" s="2026"/>
      <c r="K320" s="2026"/>
      <c r="L320" s="2026"/>
      <c r="M320" s="2026"/>
      <c r="N320" s="2026"/>
      <c r="O320" s="2027"/>
    </row>
    <row r="321" spans="2:15" x14ac:dyDescent="0.3">
      <c r="B321" s="2016"/>
      <c r="C321" s="2019"/>
      <c r="D321" s="125" t="s">
        <v>288</v>
      </c>
      <c r="E321" s="2025"/>
      <c r="F321" s="2026"/>
      <c r="G321" s="2026"/>
      <c r="H321" s="2026"/>
      <c r="I321" s="2026"/>
      <c r="J321" s="2026"/>
      <c r="K321" s="2026"/>
      <c r="L321" s="2026"/>
      <c r="M321" s="2026"/>
      <c r="N321" s="2026"/>
      <c r="O321" s="2027"/>
    </row>
    <row r="322" spans="2:15" x14ac:dyDescent="0.3">
      <c r="B322" s="2017"/>
      <c r="C322" s="2020"/>
      <c r="D322" s="125" t="s">
        <v>289</v>
      </c>
      <c r="E322" s="2025"/>
      <c r="F322" s="2026"/>
      <c r="G322" s="2026"/>
      <c r="H322" s="2026"/>
      <c r="I322" s="2026"/>
      <c r="J322" s="2026"/>
      <c r="K322" s="2026"/>
      <c r="L322" s="2026"/>
      <c r="M322" s="2026"/>
      <c r="N322" s="2026"/>
      <c r="O322" s="2027"/>
    </row>
    <row r="323" spans="2:15" x14ac:dyDescent="0.3">
      <c r="B323" s="99">
        <v>3</v>
      </c>
      <c r="C323" s="124"/>
      <c r="D323" s="124"/>
      <c r="E323" s="2025"/>
      <c r="F323" s="2026"/>
      <c r="G323" s="2026"/>
      <c r="H323" s="2026"/>
      <c r="I323" s="2026"/>
      <c r="J323" s="2026"/>
      <c r="K323" s="2026"/>
      <c r="L323" s="2026"/>
      <c r="M323" s="2026"/>
      <c r="N323" s="2026"/>
      <c r="O323" s="2027"/>
    </row>
    <row r="324" spans="2:15" x14ac:dyDescent="0.3">
      <c r="B324" s="99" t="s">
        <v>475</v>
      </c>
      <c r="C324" s="126"/>
      <c r="D324" s="126"/>
      <c r="E324" s="2028"/>
      <c r="F324" s="2029"/>
      <c r="G324" s="2029"/>
      <c r="H324" s="2029"/>
      <c r="I324" s="2029"/>
      <c r="J324" s="2029"/>
      <c r="K324" s="2029"/>
      <c r="L324" s="2029"/>
      <c r="M324" s="2029"/>
      <c r="N324" s="2029"/>
      <c r="O324" s="2030"/>
    </row>
    <row r="326" spans="2:15" x14ac:dyDescent="0.3">
      <c r="B326" s="250" t="s">
        <v>571</v>
      </c>
    </row>
    <row r="327" spans="2:15" x14ac:dyDescent="0.3">
      <c r="B327" s="250" t="s">
        <v>638</v>
      </c>
    </row>
    <row r="328" spans="2:15" x14ac:dyDescent="0.3">
      <c r="B328" s="250" t="s">
        <v>572</v>
      </c>
    </row>
    <row r="329" spans="2:15" x14ac:dyDescent="0.3">
      <c r="B329" s="250" t="s">
        <v>640</v>
      </c>
    </row>
    <row r="333" spans="2:15" x14ac:dyDescent="0.3">
      <c r="B333" s="2021" t="s">
        <v>1030</v>
      </c>
      <c r="C333" s="2021"/>
      <c r="D333" s="723"/>
      <c r="E333" s="14"/>
      <c r="F333" s="14"/>
      <c r="G333" s="14"/>
      <c r="H333" s="14"/>
      <c r="I333" s="14"/>
      <c r="J333" s="14"/>
      <c r="K333" s="14"/>
      <c r="L333" s="14"/>
    </row>
    <row r="335" spans="2:15" ht="56" x14ac:dyDescent="0.3">
      <c r="B335" s="1760" t="s">
        <v>339</v>
      </c>
      <c r="C335" s="1760" t="s">
        <v>557</v>
      </c>
      <c r="D335" s="1760" t="s">
        <v>568</v>
      </c>
      <c r="E335" s="717" t="s">
        <v>639</v>
      </c>
      <c r="F335" s="1752" t="s">
        <v>558</v>
      </c>
      <c r="G335" s="1752"/>
      <c r="H335" s="1752"/>
      <c r="I335" s="1752"/>
      <c r="J335" s="1752"/>
      <c r="K335" s="1752" t="s">
        <v>562</v>
      </c>
      <c r="L335" s="1752"/>
      <c r="M335" s="1752"/>
      <c r="N335" s="1752" t="s">
        <v>566</v>
      </c>
      <c r="O335" s="1752" t="s">
        <v>567</v>
      </c>
    </row>
    <row r="336" spans="2:15" ht="28" x14ac:dyDescent="0.3">
      <c r="B336" s="1795"/>
      <c r="C336" s="1795"/>
      <c r="D336" s="1795"/>
      <c r="E336" s="718" t="s">
        <v>641</v>
      </c>
      <c r="F336" s="715" t="s">
        <v>564</v>
      </c>
      <c r="G336" s="715" t="s">
        <v>559</v>
      </c>
      <c r="H336" s="715" t="s">
        <v>643</v>
      </c>
      <c r="I336" s="718" t="s">
        <v>560</v>
      </c>
      <c r="J336" s="718" t="s">
        <v>561</v>
      </c>
      <c r="K336" s="718" t="s">
        <v>563</v>
      </c>
      <c r="L336" s="718" t="s">
        <v>565</v>
      </c>
      <c r="M336" s="718" t="s">
        <v>642</v>
      </c>
      <c r="N336" s="1752"/>
      <c r="O336" s="1752"/>
    </row>
    <row r="337" spans="2:15" x14ac:dyDescent="0.3">
      <c r="B337" s="2015">
        <f>B336+1</f>
        <v>1</v>
      </c>
      <c r="C337" s="2018"/>
      <c r="D337" s="125" t="s">
        <v>278</v>
      </c>
      <c r="E337" s="2022" t="s">
        <v>773</v>
      </c>
      <c r="F337" s="2023"/>
      <c r="G337" s="2023"/>
      <c r="H337" s="2023"/>
      <c r="I337" s="2023"/>
      <c r="J337" s="2023"/>
      <c r="K337" s="2023"/>
      <c r="L337" s="2023"/>
      <c r="M337" s="2023"/>
      <c r="N337" s="2023"/>
      <c r="O337" s="2024"/>
    </row>
    <row r="338" spans="2:15" x14ac:dyDescent="0.3">
      <c r="B338" s="2016"/>
      <c r="C338" s="2019"/>
      <c r="D338" s="125" t="s">
        <v>279</v>
      </c>
      <c r="E338" s="2025"/>
      <c r="F338" s="2026"/>
      <c r="G338" s="2026"/>
      <c r="H338" s="2026"/>
      <c r="I338" s="2026"/>
      <c r="J338" s="2026"/>
      <c r="K338" s="2026"/>
      <c r="L338" s="2026"/>
      <c r="M338" s="2026"/>
      <c r="N338" s="2026"/>
      <c r="O338" s="2027"/>
    </row>
    <row r="339" spans="2:15" x14ac:dyDescent="0.3">
      <c r="B339" s="2016"/>
      <c r="C339" s="2019"/>
      <c r="D339" s="125" t="s">
        <v>280</v>
      </c>
      <c r="E339" s="2025"/>
      <c r="F339" s="2026"/>
      <c r="G339" s="2026"/>
      <c r="H339" s="2026"/>
      <c r="I339" s="2026"/>
      <c r="J339" s="2026"/>
      <c r="K339" s="2026"/>
      <c r="L339" s="2026"/>
      <c r="M339" s="2026"/>
      <c r="N339" s="2026"/>
      <c r="O339" s="2027"/>
    </row>
    <row r="340" spans="2:15" x14ac:dyDescent="0.3">
      <c r="B340" s="2016"/>
      <c r="C340" s="2019"/>
      <c r="D340" s="125" t="s">
        <v>569</v>
      </c>
      <c r="E340" s="2025"/>
      <c r="F340" s="2026"/>
      <c r="G340" s="2026"/>
      <c r="H340" s="2026"/>
      <c r="I340" s="2026"/>
      <c r="J340" s="2026"/>
      <c r="K340" s="2026"/>
      <c r="L340" s="2026"/>
      <c r="M340" s="2026"/>
      <c r="N340" s="2026"/>
      <c r="O340" s="2027"/>
    </row>
    <row r="341" spans="2:15" x14ac:dyDescent="0.3">
      <c r="B341" s="2016"/>
      <c r="C341" s="2019"/>
      <c r="D341" s="125" t="s">
        <v>282</v>
      </c>
      <c r="E341" s="2025"/>
      <c r="F341" s="2026"/>
      <c r="G341" s="2026"/>
      <c r="H341" s="2026"/>
      <c r="I341" s="2026"/>
      <c r="J341" s="2026"/>
      <c r="K341" s="2026"/>
      <c r="L341" s="2026"/>
      <c r="M341" s="2026"/>
      <c r="N341" s="2026"/>
      <c r="O341" s="2027"/>
    </row>
    <row r="342" spans="2:15" x14ac:dyDescent="0.3">
      <c r="B342" s="2016"/>
      <c r="C342" s="2019"/>
      <c r="D342" s="125" t="s">
        <v>283</v>
      </c>
      <c r="E342" s="2025"/>
      <c r="F342" s="2026"/>
      <c r="G342" s="2026"/>
      <c r="H342" s="2026"/>
      <c r="I342" s="2026"/>
      <c r="J342" s="2026"/>
      <c r="K342" s="2026"/>
      <c r="L342" s="2026"/>
      <c r="M342" s="2026"/>
      <c r="N342" s="2026"/>
      <c r="O342" s="2027"/>
    </row>
    <row r="343" spans="2:15" x14ac:dyDescent="0.3">
      <c r="B343" s="2016"/>
      <c r="C343" s="2019"/>
      <c r="D343" s="125" t="s">
        <v>284</v>
      </c>
      <c r="E343" s="2025"/>
      <c r="F343" s="2026"/>
      <c r="G343" s="2026"/>
      <c r="H343" s="2026"/>
      <c r="I343" s="2026"/>
      <c r="J343" s="2026"/>
      <c r="K343" s="2026"/>
      <c r="L343" s="2026"/>
      <c r="M343" s="2026"/>
      <c r="N343" s="2026"/>
      <c r="O343" s="2027"/>
    </row>
    <row r="344" spans="2:15" x14ac:dyDescent="0.3">
      <c r="B344" s="2016"/>
      <c r="C344" s="2019"/>
      <c r="D344" s="125" t="s">
        <v>570</v>
      </c>
      <c r="E344" s="2025"/>
      <c r="F344" s="2026"/>
      <c r="G344" s="2026"/>
      <c r="H344" s="2026"/>
      <c r="I344" s="2026"/>
      <c r="J344" s="2026"/>
      <c r="K344" s="2026"/>
      <c r="L344" s="2026"/>
      <c r="M344" s="2026"/>
      <c r="N344" s="2026"/>
      <c r="O344" s="2027"/>
    </row>
    <row r="345" spans="2:15" x14ac:dyDescent="0.3">
      <c r="B345" s="2016"/>
      <c r="C345" s="2019"/>
      <c r="D345" s="125" t="s">
        <v>286</v>
      </c>
      <c r="E345" s="2025"/>
      <c r="F345" s="2026"/>
      <c r="G345" s="2026"/>
      <c r="H345" s="2026"/>
      <c r="I345" s="2026"/>
      <c r="J345" s="2026"/>
      <c r="K345" s="2026"/>
      <c r="L345" s="2026"/>
      <c r="M345" s="2026"/>
      <c r="N345" s="2026"/>
      <c r="O345" s="2027"/>
    </row>
    <row r="346" spans="2:15" x14ac:dyDescent="0.3">
      <c r="B346" s="2016"/>
      <c r="C346" s="2019"/>
      <c r="D346" s="125" t="s">
        <v>287</v>
      </c>
      <c r="E346" s="2025"/>
      <c r="F346" s="2026"/>
      <c r="G346" s="2026"/>
      <c r="H346" s="2026"/>
      <c r="I346" s="2026"/>
      <c r="J346" s="2026"/>
      <c r="K346" s="2026"/>
      <c r="L346" s="2026"/>
      <c r="M346" s="2026"/>
      <c r="N346" s="2026"/>
      <c r="O346" s="2027"/>
    </row>
    <row r="347" spans="2:15" x14ac:dyDescent="0.3">
      <c r="B347" s="2016"/>
      <c r="C347" s="2019"/>
      <c r="D347" s="125" t="s">
        <v>288</v>
      </c>
      <c r="E347" s="2025"/>
      <c r="F347" s="2026"/>
      <c r="G347" s="2026"/>
      <c r="H347" s="2026"/>
      <c r="I347" s="2026"/>
      <c r="J347" s="2026"/>
      <c r="K347" s="2026"/>
      <c r="L347" s="2026"/>
      <c r="M347" s="2026"/>
      <c r="N347" s="2026"/>
      <c r="O347" s="2027"/>
    </row>
    <row r="348" spans="2:15" x14ac:dyDescent="0.3">
      <c r="B348" s="2017"/>
      <c r="C348" s="2020"/>
      <c r="D348" s="125" t="s">
        <v>289</v>
      </c>
      <c r="E348" s="2025"/>
      <c r="F348" s="2026"/>
      <c r="G348" s="2026"/>
      <c r="H348" s="2026"/>
      <c r="I348" s="2026"/>
      <c r="J348" s="2026"/>
      <c r="K348" s="2026"/>
      <c r="L348" s="2026"/>
      <c r="M348" s="2026"/>
      <c r="N348" s="2026"/>
      <c r="O348" s="2027"/>
    </row>
    <row r="349" spans="2:15" x14ac:dyDescent="0.3">
      <c r="B349" s="2015">
        <f>B337+1</f>
        <v>2</v>
      </c>
      <c r="C349" s="2018"/>
      <c r="D349" s="125" t="s">
        <v>278</v>
      </c>
      <c r="E349" s="2025"/>
      <c r="F349" s="2026"/>
      <c r="G349" s="2026"/>
      <c r="H349" s="2026"/>
      <c r="I349" s="2026"/>
      <c r="J349" s="2026"/>
      <c r="K349" s="2026"/>
      <c r="L349" s="2026"/>
      <c r="M349" s="2026"/>
      <c r="N349" s="2026"/>
      <c r="O349" s="2027"/>
    </row>
    <row r="350" spans="2:15" x14ac:dyDescent="0.3">
      <c r="B350" s="2016"/>
      <c r="C350" s="2019"/>
      <c r="D350" s="125" t="s">
        <v>279</v>
      </c>
      <c r="E350" s="2025"/>
      <c r="F350" s="2026"/>
      <c r="G350" s="2026"/>
      <c r="H350" s="2026"/>
      <c r="I350" s="2026"/>
      <c r="J350" s="2026"/>
      <c r="K350" s="2026"/>
      <c r="L350" s="2026"/>
      <c r="M350" s="2026"/>
      <c r="N350" s="2026"/>
      <c r="O350" s="2027"/>
    </row>
    <row r="351" spans="2:15" x14ac:dyDescent="0.3">
      <c r="B351" s="2016"/>
      <c r="C351" s="2019"/>
      <c r="D351" s="125" t="s">
        <v>280</v>
      </c>
      <c r="E351" s="2025"/>
      <c r="F351" s="2026"/>
      <c r="G351" s="2026"/>
      <c r="H351" s="2026"/>
      <c r="I351" s="2026"/>
      <c r="J351" s="2026"/>
      <c r="K351" s="2026"/>
      <c r="L351" s="2026"/>
      <c r="M351" s="2026"/>
      <c r="N351" s="2026"/>
      <c r="O351" s="2027"/>
    </row>
    <row r="352" spans="2:15" x14ac:dyDescent="0.3">
      <c r="B352" s="2016"/>
      <c r="C352" s="2019"/>
      <c r="D352" s="125" t="s">
        <v>569</v>
      </c>
      <c r="E352" s="2025"/>
      <c r="F352" s="2026"/>
      <c r="G352" s="2026"/>
      <c r="H352" s="2026"/>
      <c r="I352" s="2026"/>
      <c r="J352" s="2026"/>
      <c r="K352" s="2026"/>
      <c r="L352" s="2026"/>
      <c r="M352" s="2026"/>
      <c r="N352" s="2026"/>
      <c r="O352" s="2027"/>
    </row>
    <row r="353" spans="2:15" x14ac:dyDescent="0.3">
      <c r="B353" s="2016"/>
      <c r="C353" s="2019"/>
      <c r="D353" s="125" t="s">
        <v>282</v>
      </c>
      <c r="E353" s="2025"/>
      <c r="F353" s="2026"/>
      <c r="G353" s="2026"/>
      <c r="H353" s="2026"/>
      <c r="I353" s="2026"/>
      <c r="J353" s="2026"/>
      <c r="K353" s="2026"/>
      <c r="L353" s="2026"/>
      <c r="M353" s="2026"/>
      <c r="N353" s="2026"/>
      <c r="O353" s="2027"/>
    </row>
    <row r="354" spans="2:15" x14ac:dyDescent="0.3">
      <c r="B354" s="2016"/>
      <c r="C354" s="2019"/>
      <c r="D354" s="125" t="s">
        <v>283</v>
      </c>
      <c r="E354" s="2025"/>
      <c r="F354" s="2026"/>
      <c r="G354" s="2026"/>
      <c r="H354" s="2026"/>
      <c r="I354" s="2026"/>
      <c r="J354" s="2026"/>
      <c r="K354" s="2026"/>
      <c r="L354" s="2026"/>
      <c r="M354" s="2026"/>
      <c r="N354" s="2026"/>
      <c r="O354" s="2027"/>
    </row>
    <row r="355" spans="2:15" x14ac:dyDescent="0.3">
      <c r="B355" s="2016"/>
      <c r="C355" s="2019"/>
      <c r="D355" s="125" t="s">
        <v>284</v>
      </c>
      <c r="E355" s="2025"/>
      <c r="F355" s="2026"/>
      <c r="G355" s="2026"/>
      <c r="H355" s="2026"/>
      <c r="I355" s="2026"/>
      <c r="J355" s="2026"/>
      <c r="K355" s="2026"/>
      <c r="L355" s="2026"/>
      <c r="M355" s="2026"/>
      <c r="N355" s="2026"/>
      <c r="O355" s="2027"/>
    </row>
    <row r="356" spans="2:15" x14ac:dyDescent="0.3">
      <c r="B356" s="2016"/>
      <c r="C356" s="2019"/>
      <c r="D356" s="125" t="s">
        <v>570</v>
      </c>
      <c r="E356" s="2025"/>
      <c r="F356" s="2026"/>
      <c r="G356" s="2026"/>
      <c r="H356" s="2026"/>
      <c r="I356" s="2026"/>
      <c r="J356" s="2026"/>
      <c r="K356" s="2026"/>
      <c r="L356" s="2026"/>
      <c r="M356" s="2026"/>
      <c r="N356" s="2026"/>
      <c r="O356" s="2027"/>
    </row>
    <row r="357" spans="2:15" x14ac:dyDescent="0.3">
      <c r="B357" s="2016"/>
      <c r="C357" s="2019"/>
      <c r="D357" s="125" t="s">
        <v>286</v>
      </c>
      <c r="E357" s="2025"/>
      <c r="F357" s="2026"/>
      <c r="G357" s="2026"/>
      <c r="H357" s="2026"/>
      <c r="I357" s="2026"/>
      <c r="J357" s="2026"/>
      <c r="K357" s="2026"/>
      <c r="L357" s="2026"/>
      <c r="M357" s="2026"/>
      <c r="N357" s="2026"/>
      <c r="O357" s="2027"/>
    </row>
    <row r="358" spans="2:15" x14ac:dyDescent="0.3">
      <c r="B358" s="2016"/>
      <c r="C358" s="2019"/>
      <c r="D358" s="125" t="s">
        <v>287</v>
      </c>
      <c r="E358" s="2025"/>
      <c r="F358" s="2026"/>
      <c r="G358" s="2026"/>
      <c r="H358" s="2026"/>
      <c r="I358" s="2026"/>
      <c r="J358" s="2026"/>
      <c r="K358" s="2026"/>
      <c r="L358" s="2026"/>
      <c r="M358" s="2026"/>
      <c r="N358" s="2026"/>
      <c r="O358" s="2027"/>
    </row>
    <row r="359" spans="2:15" x14ac:dyDescent="0.3">
      <c r="B359" s="2016"/>
      <c r="C359" s="2019"/>
      <c r="D359" s="125" t="s">
        <v>288</v>
      </c>
      <c r="E359" s="2025"/>
      <c r="F359" s="2026"/>
      <c r="G359" s="2026"/>
      <c r="H359" s="2026"/>
      <c r="I359" s="2026"/>
      <c r="J359" s="2026"/>
      <c r="K359" s="2026"/>
      <c r="L359" s="2026"/>
      <c r="M359" s="2026"/>
      <c r="N359" s="2026"/>
      <c r="O359" s="2027"/>
    </row>
    <row r="360" spans="2:15" x14ac:dyDescent="0.3">
      <c r="B360" s="2017"/>
      <c r="C360" s="2020"/>
      <c r="D360" s="125" t="s">
        <v>289</v>
      </c>
      <c r="E360" s="2025"/>
      <c r="F360" s="2026"/>
      <c r="G360" s="2026"/>
      <c r="H360" s="2026"/>
      <c r="I360" s="2026"/>
      <c r="J360" s="2026"/>
      <c r="K360" s="2026"/>
      <c r="L360" s="2026"/>
      <c r="M360" s="2026"/>
      <c r="N360" s="2026"/>
      <c r="O360" s="2027"/>
    </row>
    <row r="361" spans="2:15" x14ac:dyDescent="0.3">
      <c r="B361" s="99">
        <v>3</v>
      </c>
      <c r="C361" s="124"/>
      <c r="D361" s="124"/>
      <c r="E361" s="2025"/>
      <c r="F361" s="2026"/>
      <c r="G361" s="2026"/>
      <c r="H361" s="2026"/>
      <c r="I361" s="2026"/>
      <c r="J361" s="2026"/>
      <c r="K361" s="2026"/>
      <c r="L361" s="2026"/>
      <c r="M361" s="2026"/>
      <c r="N361" s="2026"/>
      <c r="O361" s="2027"/>
    </row>
    <row r="362" spans="2:15" x14ac:dyDescent="0.3">
      <c r="B362" s="99" t="s">
        <v>475</v>
      </c>
      <c r="C362" s="126"/>
      <c r="D362" s="126"/>
      <c r="E362" s="2028"/>
      <c r="F362" s="2029"/>
      <c r="G362" s="2029"/>
      <c r="H362" s="2029"/>
      <c r="I362" s="2029"/>
      <c r="J362" s="2029"/>
      <c r="K362" s="2029"/>
      <c r="L362" s="2029"/>
      <c r="M362" s="2029"/>
      <c r="N362" s="2029"/>
      <c r="O362" s="2030"/>
    </row>
    <row r="364" spans="2:15" x14ac:dyDescent="0.3">
      <c r="B364" s="250" t="s">
        <v>571</v>
      </c>
    </row>
    <row r="365" spans="2:15" x14ac:dyDescent="0.3">
      <c r="B365" s="250" t="s">
        <v>638</v>
      </c>
    </row>
    <row r="366" spans="2:15" x14ac:dyDescent="0.3">
      <c r="B366" s="250" t="s">
        <v>572</v>
      </c>
    </row>
    <row r="367" spans="2:15" x14ac:dyDescent="0.3">
      <c r="B367" s="250" t="s">
        <v>640</v>
      </c>
    </row>
    <row r="371" spans="2:15" x14ac:dyDescent="0.3">
      <c r="B371" s="2021" t="s">
        <v>1031</v>
      </c>
      <c r="C371" s="2021"/>
      <c r="D371" s="723"/>
      <c r="E371" s="14"/>
      <c r="F371" s="14"/>
      <c r="G371" s="14"/>
      <c r="H371" s="14"/>
      <c r="I371" s="14"/>
      <c r="J371" s="14"/>
      <c r="K371" s="14"/>
      <c r="L371" s="14"/>
    </row>
    <row r="373" spans="2:15" ht="56" x14ac:dyDescent="0.3">
      <c r="B373" s="1760" t="s">
        <v>339</v>
      </c>
      <c r="C373" s="1760" t="s">
        <v>557</v>
      </c>
      <c r="D373" s="1760" t="s">
        <v>568</v>
      </c>
      <c r="E373" s="717" t="s">
        <v>639</v>
      </c>
      <c r="F373" s="1752" t="s">
        <v>558</v>
      </c>
      <c r="G373" s="1752"/>
      <c r="H373" s="1752"/>
      <c r="I373" s="1752"/>
      <c r="J373" s="1752"/>
      <c r="K373" s="1752" t="s">
        <v>562</v>
      </c>
      <c r="L373" s="1752"/>
      <c r="M373" s="1752"/>
      <c r="N373" s="1752" t="s">
        <v>566</v>
      </c>
      <c r="O373" s="1752" t="s">
        <v>567</v>
      </c>
    </row>
    <row r="374" spans="2:15" ht="28" x14ac:dyDescent="0.3">
      <c r="B374" s="1795"/>
      <c r="C374" s="1795"/>
      <c r="D374" s="1795"/>
      <c r="E374" s="718" t="s">
        <v>641</v>
      </c>
      <c r="F374" s="715" t="s">
        <v>564</v>
      </c>
      <c r="G374" s="715" t="s">
        <v>559</v>
      </c>
      <c r="H374" s="715" t="s">
        <v>643</v>
      </c>
      <c r="I374" s="718" t="s">
        <v>560</v>
      </c>
      <c r="J374" s="718" t="s">
        <v>561</v>
      </c>
      <c r="K374" s="718" t="s">
        <v>563</v>
      </c>
      <c r="L374" s="718" t="s">
        <v>565</v>
      </c>
      <c r="M374" s="718" t="s">
        <v>642</v>
      </c>
      <c r="N374" s="1752"/>
      <c r="O374" s="1752"/>
    </row>
    <row r="375" spans="2:15" x14ac:dyDescent="0.3">
      <c r="B375" s="2015">
        <f>B374+1</f>
        <v>1</v>
      </c>
      <c r="C375" s="2018"/>
      <c r="D375" s="125" t="s">
        <v>278</v>
      </c>
      <c r="E375" s="2022" t="s">
        <v>773</v>
      </c>
      <c r="F375" s="2023"/>
      <c r="G375" s="2023"/>
      <c r="H375" s="2023"/>
      <c r="I375" s="2023"/>
      <c r="J375" s="2023"/>
      <c r="K375" s="2023"/>
      <c r="L375" s="2023"/>
      <c r="M375" s="2023"/>
      <c r="N375" s="2023"/>
      <c r="O375" s="2024"/>
    </row>
    <row r="376" spans="2:15" x14ac:dyDescent="0.3">
      <c r="B376" s="2016"/>
      <c r="C376" s="2019"/>
      <c r="D376" s="125" t="s">
        <v>279</v>
      </c>
      <c r="E376" s="2025"/>
      <c r="F376" s="2026"/>
      <c r="G376" s="2026"/>
      <c r="H376" s="2026"/>
      <c r="I376" s="2026"/>
      <c r="J376" s="2026"/>
      <c r="K376" s="2026"/>
      <c r="L376" s="2026"/>
      <c r="M376" s="2026"/>
      <c r="N376" s="2026"/>
      <c r="O376" s="2027"/>
    </row>
    <row r="377" spans="2:15" x14ac:dyDescent="0.3">
      <c r="B377" s="2016"/>
      <c r="C377" s="2019"/>
      <c r="D377" s="125" t="s">
        <v>280</v>
      </c>
      <c r="E377" s="2025"/>
      <c r="F377" s="2026"/>
      <c r="G377" s="2026"/>
      <c r="H377" s="2026"/>
      <c r="I377" s="2026"/>
      <c r="J377" s="2026"/>
      <c r="K377" s="2026"/>
      <c r="L377" s="2026"/>
      <c r="M377" s="2026"/>
      <c r="N377" s="2026"/>
      <c r="O377" s="2027"/>
    </row>
    <row r="378" spans="2:15" x14ac:dyDescent="0.3">
      <c r="B378" s="2016"/>
      <c r="C378" s="2019"/>
      <c r="D378" s="125" t="s">
        <v>569</v>
      </c>
      <c r="E378" s="2025"/>
      <c r="F378" s="2026"/>
      <c r="G378" s="2026"/>
      <c r="H378" s="2026"/>
      <c r="I378" s="2026"/>
      <c r="J378" s="2026"/>
      <c r="K378" s="2026"/>
      <c r="L378" s="2026"/>
      <c r="M378" s="2026"/>
      <c r="N378" s="2026"/>
      <c r="O378" s="2027"/>
    </row>
    <row r="379" spans="2:15" x14ac:dyDescent="0.3">
      <c r="B379" s="2016"/>
      <c r="C379" s="2019"/>
      <c r="D379" s="125" t="s">
        <v>282</v>
      </c>
      <c r="E379" s="2025"/>
      <c r="F379" s="2026"/>
      <c r="G379" s="2026"/>
      <c r="H379" s="2026"/>
      <c r="I379" s="2026"/>
      <c r="J379" s="2026"/>
      <c r="K379" s="2026"/>
      <c r="L379" s="2026"/>
      <c r="M379" s="2026"/>
      <c r="N379" s="2026"/>
      <c r="O379" s="2027"/>
    </row>
    <row r="380" spans="2:15" x14ac:dyDescent="0.3">
      <c r="B380" s="2016"/>
      <c r="C380" s="2019"/>
      <c r="D380" s="125" t="s">
        <v>283</v>
      </c>
      <c r="E380" s="2025"/>
      <c r="F380" s="2026"/>
      <c r="G380" s="2026"/>
      <c r="H380" s="2026"/>
      <c r="I380" s="2026"/>
      <c r="J380" s="2026"/>
      <c r="K380" s="2026"/>
      <c r="L380" s="2026"/>
      <c r="M380" s="2026"/>
      <c r="N380" s="2026"/>
      <c r="O380" s="2027"/>
    </row>
    <row r="381" spans="2:15" x14ac:dyDescent="0.3">
      <c r="B381" s="2016"/>
      <c r="C381" s="2019"/>
      <c r="D381" s="125" t="s">
        <v>284</v>
      </c>
      <c r="E381" s="2025"/>
      <c r="F381" s="2026"/>
      <c r="G381" s="2026"/>
      <c r="H381" s="2026"/>
      <c r="I381" s="2026"/>
      <c r="J381" s="2026"/>
      <c r="K381" s="2026"/>
      <c r="L381" s="2026"/>
      <c r="M381" s="2026"/>
      <c r="N381" s="2026"/>
      <c r="O381" s="2027"/>
    </row>
    <row r="382" spans="2:15" x14ac:dyDescent="0.3">
      <c r="B382" s="2016"/>
      <c r="C382" s="2019"/>
      <c r="D382" s="125" t="s">
        <v>570</v>
      </c>
      <c r="E382" s="2025"/>
      <c r="F382" s="2026"/>
      <c r="G382" s="2026"/>
      <c r="H382" s="2026"/>
      <c r="I382" s="2026"/>
      <c r="J382" s="2026"/>
      <c r="K382" s="2026"/>
      <c r="L382" s="2026"/>
      <c r="M382" s="2026"/>
      <c r="N382" s="2026"/>
      <c r="O382" s="2027"/>
    </row>
    <row r="383" spans="2:15" x14ac:dyDescent="0.3">
      <c r="B383" s="2016"/>
      <c r="C383" s="2019"/>
      <c r="D383" s="125" t="s">
        <v>286</v>
      </c>
      <c r="E383" s="2025"/>
      <c r="F383" s="2026"/>
      <c r="G383" s="2026"/>
      <c r="H383" s="2026"/>
      <c r="I383" s="2026"/>
      <c r="J383" s="2026"/>
      <c r="K383" s="2026"/>
      <c r="L383" s="2026"/>
      <c r="M383" s="2026"/>
      <c r="N383" s="2026"/>
      <c r="O383" s="2027"/>
    </row>
    <row r="384" spans="2:15" x14ac:dyDescent="0.3">
      <c r="B384" s="2016"/>
      <c r="C384" s="2019"/>
      <c r="D384" s="125" t="s">
        <v>287</v>
      </c>
      <c r="E384" s="2025"/>
      <c r="F384" s="2026"/>
      <c r="G384" s="2026"/>
      <c r="H384" s="2026"/>
      <c r="I384" s="2026"/>
      <c r="J384" s="2026"/>
      <c r="K384" s="2026"/>
      <c r="L384" s="2026"/>
      <c r="M384" s="2026"/>
      <c r="N384" s="2026"/>
      <c r="O384" s="2027"/>
    </row>
    <row r="385" spans="2:15" x14ac:dyDescent="0.3">
      <c r="B385" s="2016"/>
      <c r="C385" s="2019"/>
      <c r="D385" s="125" t="s">
        <v>288</v>
      </c>
      <c r="E385" s="2025"/>
      <c r="F385" s="2026"/>
      <c r="G385" s="2026"/>
      <c r="H385" s="2026"/>
      <c r="I385" s="2026"/>
      <c r="J385" s="2026"/>
      <c r="K385" s="2026"/>
      <c r="L385" s="2026"/>
      <c r="M385" s="2026"/>
      <c r="N385" s="2026"/>
      <c r="O385" s="2027"/>
    </row>
    <row r="386" spans="2:15" x14ac:dyDescent="0.3">
      <c r="B386" s="2017"/>
      <c r="C386" s="2020"/>
      <c r="D386" s="125" t="s">
        <v>289</v>
      </c>
      <c r="E386" s="2025"/>
      <c r="F386" s="2026"/>
      <c r="G386" s="2026"/>
      <c r="H386" s="2026"/>
      <c r="I386" s="2026"/>
      <c r="J386" s="2026"/>
      <c r="K386" s="2026"/>
      <c r="L386" s="2026"/>
      <c r="M386" s="2026"/>
      <c r="N386" s="2026"/>
      <c r="O386" s="2027"/>
    </row>
    <row r="387" spans="2:15" x14ac:dyDescent="0.3">
      <c r="B387" s="2015">
        <f>B375+1</f>
        <v>2</v>
      </c>
      <c r="C387" s="2018"/>
      <c r="D387" s="125" t="s">
        <v>278</v>
      </c>
      <c r="E387" s="2025"/>
      <c r="F387" s="2026"/>
      <c r="G387" s="2026"/>
      <c r="H387" s="2026"/>
      <c r="I387" s="2026"/>
      <c r="J387" s="2026"/>
      <c r="K387" s="2026"/>
      <c r="L387" s="2026"/>
      <c r="M387" s="2026"/>
      <c r="N387" s="2026"/>
      <c r="O387" s="2027"/>
    </row>
    <row r="388" spans="2:15" x14ac:dyDescent="0.3">
      <c r="B388" s="2016"/>
      <c r="C388" s="2019"/>
      <c r="D388" s="125" t="s">
        <v>279</v>
      </c>
      <c r="E388" s="2025"/>
      <c r="F388" s="2026"/>
      <c r="G388" s="2026"/>
      <c r="H388" s="2026"/>
      <c r="I388" s="2026"/>
      <c r="J388" s="2026"/>
      <c r="K388" s="2026"/>
      <c r="L388" s="2026"/>
      <c r="M388" s="2026"/>
      <c r="N388" s="2026"/>
      <c r="O388" s="2027"/>
    </row>
    <row r="389" spans="2:15" x14ac:dyDescent="0.3">
      <c r="B389" s="2016"/>
      <c r="C389" s="2019"/>
      <c r="D389" s="125" t="s">
        <v>280</v>
      </c>
      <c r="E389" s="2025"/>
      <c r="F389" s="2026"/>
      <c r="G389" s="2026"/>
      <c r="H389" s="2026"/>
      <c r="I389" s="2026"/>
      <c r="J389" s="2026"/>
      <c r="K389" s="2026"/>
      <c r="L389" s="2026"/>
      <c r="M389" s="2026"/>
      <c r="N389" s="2026"/>
      <c r="O389" s="2027"/>
    </row>
    <row r="390" spans="2:15" x14ac:dyDescent="0.3">
      <c r="B390" s="2016"/>
      <c r="C390" s="2019"/>
      <c r="D390" s="125" t="s">
        <v>569</v>
      </c>
      <c r="E390" s="2025"/>
      <c r="F390" s="2026"/>
      <c r="G390" s="2026"/>
      <c r="H390" s="2026"/>
      <c r="I390" s="2026"/>
      <c r="J390" s="2026"/>
      <c r="K390" s="2026"/>
      <c r="L390" s="2026"/>
      <c r="M390" s="2026"/>
      <c r="N390" s="2026"/>
      <c r="O390" s="2027"/>
    </row>
    <row r="391" spans="2:15" x14ac:dyDescent="0.3">
      <c r="B391" s="2016"/>
      <c r="C391" s="2019"/>
      <c r="D391" s="125" t="s">
        <v>282</v>
      </c>
      <c r="E391" s="2025"/>
      <c r="F391" s="2026"/>
      <c r="G391" s="2026"/>
      <c r="H391" s="2026"/>
      <c r="I391" s="2026"/>
      <c r="J391" s="2026"/>
      <c r="K391" s="2026"/>
      <c r="L391" s="2026"/>
      <c r="M391" s="2026"/>
      <c r="N391" s="2026"/>
      <c r="O391" s="2027"/>
    </row>
    <row r="392" spans="2:15" x14ac:dyDescent="0.3">
      <c r="B392" s="2016"/>
      <c r="C392" s="2019"/>
      <c r="D392" s="125" t="s">
        <v>283</v>
      </c>
      <c r="E392" s="2025"/>
      <c r="F392" s="2026"/>
      <c r="G392" s="2026"/>
      <c r="H392" s="2026"/>
      <c r="I392" s="2026"/>
      <c r="J392" s="2026"/>
      <c r="K392" s="2026"/>
      <c r="L392" s="2026"/>
      <c r="M392" s="2026"/>
      <c r="N392" s="2026"/>
      <c r="O392" s="2027"/>
    </row>
    <row r="393" spans="2:15" x14ac:dyDescent="0.3">
      <c r="B393" s="2016"/>
      <c r="C393" s="2019"/>
      <c r="D393" s="125" t="s">
        <v>284</v>
      </c>
      <c r="E393" s="2025"/>
      <c r="F393" s="2026"/>
      <c r="G393" s="2026"/>
      <c r="H393" s="2026"/>
      <c r="I393" s="2026"/>
      <c r="J393" s="2026"/>
      <c r="K393" s="2026"/>
      <c r="L393" s="2026"/>
      <c r="M393" s="2026"/>
      <c r="N393" s="2026"/>
      <c r="O393" s="2027"/>
    </row>
    <row r="394" spans="2:15" x14ac:dyDescent="0.3">
      <c r="B394" s="2016"/>
      <c r="C394" s="2019"/>
      <c r="D394" s="125" t="s">
        <v>570</v>
      </c>
      <c r="E394" s="2025"/>
      <c r="F394" s="2026"/>
      <c r="G394" s="2026"/>
      <c r="H394" s="2026"/>
      <c r="I394" s="2026"/>
      <c r="J394" s="2026"/>
      <c r="K394" s="2026"/>
      <c r="L394" s="2026"/>
      <c r="M394" s="2026"/>
      <c r="N394" s="2026"/>
      <c r="O394" s="2027"/>
    </row>
    <row r="395" spans="2:15" x14ac:dyDescent="0.3">
      <c r="B395" s="2016"/>
      <c r="C395" s="2019"/>
      <c r="D395" s="125" t="s">
        <v>286</v>
      </c>
      <c r="E395" s="2025"/>
      <c r="F395" s="2026"/>
      <c r="G395" s="2026"/>
      <c r="H395" s="2026"/>
      <c r="I395" s="2026"/>
      <c r="J395" s="2026"/>
      <c r="K395" s="2026"/>
      <c r="L395" s="2026"/>
      <c r="M395" s="2026"/>
      <c r="N395" s="2026"/>
      <c r="O395" s="2027"/>
    </row>
    <row r="396" spans="2:15" x14ac:dyDescent="0.3">
      <c r="B396" s="2016"/>
      <c r="C396" s="2019"/>
      <c r="D396" s="125" t="s">
        <v>287</v>
      </c>
      <c r="E396" s="2025"/>
      <c r="F396" s="2026"/>
      <c r="G396" s="2026"/>
      <c r="H396" s="2026"/>
      <c r="I396" s="2026"/>
      <c r="J396" s="2026"/>
      <c r="K396" s="2026"/>
      <c r="L396" s="2026"/>
      <c r="M396" s="2026"/>
      <c r="N396" s="2026"/>
      <c r="O396" s="2027"/>
    </row>
    <row r="397" spans="2:15" x14ac:dyDescent="0.3">
      <c r="B397" s="2016"/>
      <c r="C397" s="2019"/>
      <c r="D397" s="125" t="s">
        <v>288</v>
      </c>
      <c r="E397" s="2025"/>
      <c r="F397" s="2026"/>
      <c r="G397" s="2026"/>
      <c r="H397" s="2026"/>
      <c r="I397" s="2026"/>
      <c r="J397" s="2026"/>
      <c r="K397" s="2026"/>
      <c r="L397" s="2026"/>
      <c r="M397" s="2026"/>
      <c r="N397" s="2026"/>
      <c r="O397" s="2027"/>
    </row>
    <row r="398" spans="2:15" x14ac:dyDescent="0.3">
      <c r="B398" s="2017"/>
      <c r="C398" s="2020"/>
      <c r="D398" s="125" t="s">
        <v>289</v>
      </c>
      <c r="E398" s="2025"/>
      <c r="F398" s="2026"/>
      <c r="G398" s="2026"/>
      <c r="H398" s="2026"/>
      <c r="I398" s="2026"/>
      <c r="J398" s="2026"/>
      <c r="K398" s="2026"/>
      <c r="L398" s="2026"/>
      <c r="M398" s="2026"/>
      <c r="N398" s="2026"/>
      <c r="O398" s="2027"/>
    </row>
    <row r="399" spans="2:15" x14ac:dyDescent="0.3">
      <c r="B399" s="99">
        <v>3</v>
      </c>
      <c r="C399" s="124"/>
      <c r="D399" s="124"/>
      <c r="E399" s="2025"/>
      <c r="F399" s="2026"/>
      <c r="G399" s="2026"/>
      <c r="H399" s="2026"/>
      <c r="I399" s="2026"/>
      <c r="J399" s="2026"/>
      <c r="K399" s="2026"/>
      <c r="L399" s="2026"/>
      <c r="M399" s="2026"/>
      <c r="N399" s="2026"/>
      <c r="O399" s="2027"/>
    </row>
    <row r="400" spans="2:15" x14ac:dyDescent="0.3">
      <c r="B400" s="99" t="s">
        <v>475</v>
      </c>
      <c r="C400" s="126"/>
      <c r="D400" s="126"/>
      <c r="E400" s="2028"/>
      <c r="F400" s="2029"/>
      <c r="G400" s="2029"/>
      <c r="H400" s="2029"/>
      <c r="I400" s="2029"/>
      <c r="J400" s="2029"/>
      <c r="K400" s="2029"/>
      <c r="L400" s="2029"/>
      <c r="M400" s="2029"/>
      <c r="N400" s="2029"/>
      <c r="O400" s="2030"/>
    </row>
    <row r="402" spans="2:2" x14ac:dyDescent="0.3">
      <c r="B402" s="250" t="s">
        <v>571</v>
      </c>
    </row>
    <row r="403" spans="2:2" x14ac:dyDescent="0.3">
      <c r="B403" s="250" t="s">
        <v>638</v>
      </c>
    </row>
    <row r="404" spans="2:2" x14ac:dyDescent="0.3">
      <c r="B404" s="250" t="s">
        <v>572</v>
      </c>
    </row>
    <row r="405" spans="2:2" x14ac:dyDescent="0.3">
      <c r="B405" s="250" t="s">
        <v>640</v>
      </c>
    </row>
  </sheetData>
  <mergeCells count="159">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B151:B162"/>
    <mergeCell ref="C151:C162"/>
    <mergeCell ref="B222:C222"/>
    <mergeCell ref="B224:B225"/>
    <mergeCell ref="C224:C225"/>
    <mergeCell ref="B166:C166"/>
    <mergeCell ref="B168:B169"/>
    <mergeCell ref="C168:C169"/>
    <mergeCell ref="B186:C186"/>
    <mergeCell ref="B188:B189"/>
    <mergeCell ref="C188:C18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E3" sqref="E3"/>
    </sheetView>
  </sheetViews>
  <sheetFormatPr defaultColWidth="9.36328125" defaultRowHeight="14" x14ac:dyDescent="0.25"/>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81"/>
      <c r="D3" s="281"/>
      <c r="E3" s="15" t="str">
        <f>Index!B3</f>
        <v>MYT Petition Formats for Parli Units 6 &amp; 7</v>
      </c>
      <c r="F3" s="281"/>
      <c r="G3" s="281"/>
      <c r="H3" s="281"/>
      <c r="I3" s="281"/>
      <c r="J3" s="129"/>
      <c r="K3" s="129"/>
      <c r="L3" s="129"/>
      <c r="M3" s="129"/>
    </row>
    <row r="4" spans="2:14" s="1" customFormat="1" x14ac:dyDescent="0.3">
      <c r="C4" s="44"/>
      <c r="D4" s="44"/>
      <c r="E4" s="130" t="s">
        <v>733</v>
      </c>
      <c r="F4" s="44"/>
      <c r="G4" s="44"/>
      <c r="H4" s="44"/>
      <c r="I4" s="44"/>
      <c r="J4" s="44"/>
      <c r="K4" s="44"/>
      <c r="L4" s="44"/>
      <c r="M4" s="44"/>
      <c r="N4" s="44"/>
    </row>
    <row r="5" spans="2:14" s="1" customFormat="1" x14ac:dyDescent="0.3">
      <c r="B5" s="130"/>
      <c r="C5" s="130"/>
      <c r="D5" s="130"/>
      <c r="E5" s="130"/>
      <c r="F5" s="130"/>
      <c r="G5" s="130"/>
      <c r="H5" s="130"/>
      <c r="I5" s="130"/>
      <c r="J5" s="44"/>
      <c r="K5" s="44"/>
      <c r="L5" s="44"/>
      <c r="M5" s="44"/>
      <c r="N5" s="44"/>
    </row>
    <row r="6" spans="2:14" s="1" customFormat="1" x14ac:dyDescent="0.3">
      <c r="B6" s="280" t="s">
        <v>985</v>
      </c>
      <c r="C6" s="279"/>
      <c r="D6" s="279"/>
      <c r="E6" s="279"/>
      <c r="F6" s="279"/>
      <c r="G6" s="279"/>
      <c r="H6" s="279"/>
      <c r="I6" s="269"/>
      <c r="J6" s="269"/>
      <c r="K6" s="44"/>
      <c r="L6" s="44"/>
      <c r="M6" s="44"/>
      <c r="N6" s="44"/>
    </row>
    <row r="7" spans="2:14" s="1" customFormat="1" x14ac:dyDescent="0.3">
      <c r="B7" s="280"/>
      <c r="C7" s="279"/>
      <c r="D7" s="279"/>
      <c r="E7" s="279"/>
      <c r="F7" s="279"/>
      <c r="G7" s="279"/>
      <c r="H7" s="279"/>
      <c r="I7" s="269"/>
      <c r="J7" s="269"/>
      <c r="K7" s="44"/>
      <c r="L7" s="44"/>
      <c r="M7" s="44"/>
      <c r="N7" s="44"/>
    </row>
    <row r="8" spans="2:14" s="1" customFormat="1" x14ac:dyDescent="0.3">
      <c r="B8" s="273" t="s">
        <v>628</v>
      </c>
      <c r="C8" s="279"/>
      <c r="D8" s="279"/>
      <c r="E8" s="279"/>
      <c r="F8" s="279"/>
      <c r="G8" s="279"/>
      <c r="H8" s="279"/>
      <c r="I8" s="269"/>
      <c r="J8" s="269"/>
      <c r="K8" s="44"/>
      <c r="L8" s="44"/>
      <c r="M8" s="44"/>
      <c r="N8" s="44"/>
    </row>
    <row r="9" spans="2:14" s="1" customFormat="1" x14ac:dyDescent="0.3">
      <c r="B9" s="269"/>
      <c r="C9" s="269"/>
      <c r="D9" s="269"/>
      <c r="E9" s="269"/>
      <c r="F9" s="269"/>
      <c r="G9" s="269"/>
      <c r="H9" s="269"/>
      <c r="I9" s="269"/>
      <c r="J9" s="269"/>
      <c r="K9" s="44"/>
      <c r="L9" s="44"/>
      <c r="M9" s="44"/>
      <c r="N9" s="44"/>
    </row>
    <row r="10" spans="2:14" s="1" customFormat="1" x14ac:dyDescent="0.3">
      <c r="B10" s="2040" t="s">
        <v>36</v>
      </c>
      <c r="C10" s="2042" t="s">
        <v>626</v>
      </c>
      <c r="D10" s="2043"/>
      <c r="E10" s="2044"/>
      <c r="F10" s="2042" t="s">
        <v>625</v>
      </c>
      <c r="G10" s="2043"/>
      <c r="H10" s="2044"/>
      <c r="I10" s="2045" t="s">
        <v>624</v>
      </c>
      <c r="J10" s="2045" t="s">
        <v>623</v>
      </c>
      <c r="K10" s="44"/>
      <c r="L10" s="44"/>
      <c r="M10" s="44"/>
      <c r="N10" s="44"/>
    </row>
    <row r="11" spans="2:14" s="1" customFormat="1" ht="28" x14ac:dyDescent="0.3">
      <c r="B11" s="2041"/>
      <c r="C11" s="278" t="s">
        <v>622</v>
      </c>
      <c r="D11" s="278" t="s">
        <v>619</v>
      </c>
      <c r="E11" s="278" t="s">
        <v>621</v>
      </c>
      <c r="F11" s="278" t="s">
        <v>620</v>
      </c>
      <c r="G11" s="278" t="s">
        <v>619</v>
      </c>
      <c r="H11" s="277" t="s">
        <v>618</v>
      </c>
      <c r="I11" s="2045"/>
      <c r="J11" s="2045"/>
      <c r="K11" s="44"/>
      <c r="L11" s="44"/>
      <c r="M11" s="44"/>
      <c r="N11" s="44"/>
    </row>
    <row r="12" spans="2:14" s="1" customFormat="1" x14ac:dyDescent="0.3">
      <c r="B12" s="276"/>
      <c r="C12" s="275"/>
      <c r="D12" s="275"/>
      <c r="E12" s="275"/>
      <c r="F12" s="275"/>
      <c r="G12" s="275"/>
      <c r="H12" s="274"/>
      <c r="I12" s="274"/>
      <c r="J12" s="274"/>
      <c r="K12" s="44"/>
      <c r="L12" s="44"/>
      <c r="M12" s="44"/>
      <c r="N12" s="44"/>
    </row>
    <row r="13" spans="2:14" s="1" customFormat="1" x14ac:dyDescent="0.3">
      <c r="B13" s="272" t="s">
        <v>617</v>
      </c>
      <c r="C13" s="271"/>
      <c r="D13" s="271"/>
      <c r="E13" s="271"/>
      <c r="F13" s="271"/>
      <c r="G13" s="271"/>
      <c r="H13" s="271"/>
      <c r="I13" s="270"/>
      <c r="J13" s="270"/>
      <c r="K13" s="44"/>
      <c r="L13" s="44"/>
      <c r="M13" s="44"/>
      <c r="N13" s="44"/>
    </row>
    <row r="14" spans="2:14" s="1" customFormat="1" x14ac:dyDescent="0.3">
      <c r="B14" s="272"/>
      <c r="C14" s="271"/>
      <c r="D14" s="271"/>
      <c r="E14" s="271"/>
      <c r="F14" s="271"/>
      <c r="G14" s="271"/>
      <c r="H14" s="271"/>
      <c r="I14" s="270"/>
      <c r="J14" s="270"/>
      <c r="K14" s="44"/>
      <c r="L14" s="44"/>
      <c r="M14" s="44"/>
      <c r="N14" s="44"/>
    </row>
    <row r="15" spans="2:14" s="1" customFormat="1" x14ac:dyDescent="0.3">
      <c r="B15" s="270" t="s">
        <v>616</v>
      </c>
      <c r="C15" s="271"/>
      <c r="D15" s="271"/>
      <c r="E15" s="271"/>
      <c r="F15" s="271"/>
      <c r="G15" s="271"/>
      <c r="H15" s="271"/>
      <c r="I15" s="270"/>
      <c r="J15" s="270"/>
      <c r="K15" s="44"/>
      <c r="L15" s="44"/>
      <c r="M15" s="44"/>
      <c r="N15" s="44"/>
    </row>
    <row r="16" spans="2:14" s="1" customFormat="1" x14ac:dyDescent="0.3">
      <c r="B16" s="270" t="s">
        <v>615</v>
      </c>
      <c r="C16" s="271"/>
      <c r="D16" s="271"/>
      <c r="E16" s="271"/>
      <c r="F16" s="271"/>
      <c r="G16" s="271"/>
      <c r="H16" s="271"/>
      <c r="I16" s="270"/>
      <c r="J16" s="270"/>
      <c r="K16" s="44"/>
      <c r="L16" s="44"/>
      <c r="M16" s="44"/>
      <c r="N16" s="44"/>
    </row>
    <row r="17" spans="2:14" s="1" customFormat="1" x14ac:dyDescent="0.3">
      <c r="B17" s="270" t="s">
        <v>614</v>
      </c>
      <c r="C17" s="271"/>
      <c r="D17" s="271"/>
      <c r="E17" s="271"/>
      <c r="F17" s="271"/>
      <c r="G17" s="271"/>
      <c r="H17" s="271"/>
      <c r="I17" s="270"/>
      <c r="J17" s="270"/>
      <c r="K17" s="44"/>
      <c r="L17" s="44"/>
      <c r="M17" s="44"/>
      <c r="N17" s="44"/>
    </row>
    <row r="18" spans="2:14" s="1" customFormat="1" x14ac:dyDescent="0.3">
      <c r="B18" s="270" t="s">
        <v>609</v>
      </c>
      <c r="C18" s="271"/>
      <c r="D18" s="271"/>
      <c r="E18" s="271"/>
      <c r="F18" s="271"/>
      <c r="G18" s="271"/>
      <c r="H18" s="271"/>
      <c r="I18" s="270"/>
      <c r="J18" s="270"/>
      <c r="K18" s="44"/>
      <c r="L18" s="44"/>
      <c r="M18" s="44"/>
      <c r="N18" s="44"/>
    </row>
    <row r="19" spans="2:14" s="1" customFormat="1" x14ac:dyDescent="0.3">
      <c r="B19" s="272" t="s">
        <v>270</v>
      </c>
      <c r="C19" s="271"/>
      <c r="D19" s="271"/>
      <c r="E19" s="271"/>
      <c r="F19" s="271"/>
      <c r="G19" s="271"/>
      <c r="H19" s="271"/>
      <c r="I19" s="270"/>
      <c r="J19" s="270"/>
      <c r="K19" s="44"/>
      <c r="L19" s="44"/>
      <c r="M19" s="44"/>
      <c r="N19" s="44"/>
    </row>
    <row r="20" spans="2:14" s="1" customFormat="1" x14ac:dyDescent="0.3">
      <c r="B20" s="272"/>
      <c r="C20" s="271"/>
      <c r="D20" s="271"/>
      <c r="E20" s="271"/>
      <c r="F20" s="271"/>
      <c r="G20" s="271"/>
      <c r="H20" s="271"/>
      <c r="I20" s="270"/>
      <c r="J20" s="270"/>
      <c r="K20" s="44"/>
      <c r="L20" s="44"/>
      <c r="M20" s="44"/>
      <c r="N20" s="44"/>
    </row>
    <row r="21" spans="2:14" s="1" customFormat="1" x14ac:dyDescent="0.3">
      <c r="B21" s="272"/>
      <c r="C21" s="271"/>
      <c r="D21" s="271"/>
      <c r="E21" s="271"/>
      <c r="F21" s="271"/>
      <c r="G21" s="271"/>
      <c r="H21" s="271"/>
      <c r="I21" s="270"/>
      <c r="J21" s="270"/>
      <c r="K21" s="44"/>
      <c r="L21" s="44"/>
      <c r="M21" s="44"/>
      <c r="N21" s="44"/>
    </row>
    <row r="22" spans="2:14" s="1" customFormat="1" x14ac:dyDescent="0.3">
      <c r="B22" s="272" t="s">
        <v>613</v>
      </c>
      <c r="C22" s="271"/>
      <c r="D22" s="271"/>
      <c r="E22" s="271"/>
      <c r="F22" s="271"/>
      <c r="G22" s="271"/>
      <c r="H22" s="271"/>
      <c r="I22" s="270"/>
      <c r="J22" s="270"/>
      <c r="K22" s="44"/>
      <c r="L22" s="44"/>
      <c r="M22" s="44"/>
      <c r="N22" s="44"/>
    </row>
    <row r="23" spans="2:14" s="1" customFormat="1" x14ac:dyDescent="0.3">
      <c r="B23" s="270"/>
      <c r="C23" s="271"/>
      <c r="D23" s="271"/>
      <c r="E23" s="271"/>
      <c r="F23" s="271"/>
      <c r="G23" s="271"/>
      <c r="H23" s="271"/>
      <c r="I23" s="270"/>
      <c r="J23" s="270"/>
      <c r="K23" s="44"/>
      <c r="L23" s="44"/>
      <c r="M23" s="44"/>
      <c r="N23" s="44"/>
    </row>
    <row r="24" spans="2:14" s="1" customFormat="1" x14ac:dyDescent="0.3">
      <c r="B24" s="270" t="s">
        <v>612</v>
      </c>
      <c r="C24" s="271"/>
      <c r="D24" s="271"/>
      <c r="E24" s="271"/>
      <c r="F24" s="271"/>
      <c r="G24" s="271"/>
      <c r="H24" s="271"/>
      <c r="I24" s="270"/>
      <c r="J24" s="270"/>
      <c r="K24" s="44"/>
      <c r="L24" s="44"/>
      <c r="M24" s="44"/>
      <c r="N24" s="44"/>
    </row>
    <row r="25" spans="2:14" s="1" customFormat="1" x14ac:dyDescent="0.3">
      <c r="B25" s="270" t="s">
        <v>611</v>
      </c>
      <c r="C25" s="271"/>
      <c r="D25" s="271"/>
      <c r="E25" s="271"/>
      <c r="F25" s="271"/>
      <c r="G25" s="271"/>
      <c r="H25" s="271"/>
      <c r="I25" s="270"/>
      <c r="J25" s="270"/>
      <c r="K25" s="44"/>
      <c r="L25" s="44"/>
      <c r="M25" s="44"/>
      <c r="N25" s="44"/>
    </row>
    <row r="26" spans="2:14" s="1" customFormat="1" x14ac:dyDescent="0.3">
      <c r="B26" s="270" t="s">
        <v>610</v>
      </c>
      <c r="C26" s="271"/>
      <c r="D26" s="271"/>
      <c r="E26" s="271"/>
      <c r="F26" s="271"/>
      <c r="G26" s="271"/>
      <c r="H26" s="271"/>
      <c r="I26" s="270"/>
      <c r="J26" s="270"/>
      <c r="K26" s="44"/>
      <c r="L26" s="44"/>
      <c r="M26" s="44"/>
      <c r="N26" s="44"/>
    </row>
    <row r="27" spans="2:14" s="1" customFormat="1" x14ac:dyDescent="0.3">
      <c r="B27" s="270" t="s">
        <v>609</v>
      </c>
      <c r="C27" s="271"/>
      <c r="D27" s="271"/>
      <c r="E27" s="271"/>
      <c r="F27" s="271"/>
      <c r="G27" s="271"/>
      <c r="H27" s="271"/>
      <c r="I27" s="270"/>
      <c r="J27" s="270"/>
      <c r="K27" s="44"/>
      <c r="L27" s="44"/>
      <c r="M27" s="44"/>
      <c r="N27" s="44"/>
    </row>
    <row r="28" spans="2:14" s="1" customFormat="1" x14ac:dyDescent="0.3">
      <c r="B28" s="272" t="s">
        <v>270</v>
      </c>
      <c r="C28" s="271"/>
      <c r="D28" s="271"/>
      <c r="E28" s="271"/>
      <c r="F28" s="271"/>
      <c r="G28" s="271"/>
      <c r="H28" s="271"/>
      <c r="I28" s="270"/>
      <c r="J28" s="270"/>
      <c r="K28" s="44"/>
      <c r="L28" s="44"/>
      <c r="M28" s="44"/>
      <c r="N28" s="44"/>
    </row>
    <row r="29" spans="2:14" s="1" customFormat="1" x14ac:dyDescent="0.3">
      <c r="B29" s="272"/>
      <c r="C29" s="271"/>
      <c r="D29" s="271"/>
      <c r="E29" s="271"/>
      <c r="F29" s="271"/>
      <c r="G29" s="271"/>
      <c r="H29" s="271"/>
      <c r="I29" s="270"/>
      <c r="J29" s="270"/>
      <c r="K29" s="44"/>
      <c r="L29" s="44"/>
      <c r="M29" s="44"/>
      <c r="N29" s="44"/>
    </row>
    <row r="30" spans="2:14" s="1" customFormat="1" x14ac:dyDescent="0.3">
      <c r="B30" s="272" t="s">
        <v>629</v>
      </c>
      <c r="C30" s="271"/>
      <c r="D30" s="271"/>
      <c r="E30" s="271"/>
      <c r="F30" s="271"/>
      <c r="G30" s="271"/>
      <c r="H30" s="271"/>
      <c r="I30" s="270"/>
      <c r="J30" s="270"/>
      <c r="K30" s="44"/>
      <c r="L30" s="44"/>
      <c r="M30" s="44"/>
      <c r="N30" s="44"/>
    </row>
    <row r="31" spans="2:14" s="1" customFormat="1" x14ac:dyDescent="0.3">
      <c r="B31" s="270"/>
      <c r="C31" s="271"/>
      <c r="D31" s="271"/>
      <c r="E31" s="271"/>
      <c r="F31" s="271"/>
      <c r="G31" s="271"/>
      <c r="H31" s="271"/>
      <c r="I31" s="270"/>
      <c r="J31" s="270"/>
      <c r="K31" s="44"/>
      <c r="L31" s="44"/>
      <c r="M31" s="44"/>
      <c r="N31" s="44"/>
    </row>
    <row r="32" spans="2:14" s="1" customFormat="1" x14ac:dyDescent="0.3">
      <c r="B32" s="270" t="s">
        <v>630</v>
      </c>
      <c r="C32" s="271"/>
      <c r="D32" s="271"/>
      <c r="E32" s="271"/>
      <c r="F32" s="271"/>
      <c r="G32" s="271"/>
      <c r="H32" s="271"/>
      <c r="I32" s="270"/>
      <c r="J32" s="270"/>
      <c r="K32" s="44"/>
      <c r="L32" s="44"/>
      <c r="M32" s="44"/>
      <c r="N32" s="44"/>
    </row>
    <row r="33" spans="2:21" s="1" customFormat="1" x14ac:dyDescent="0.3">
      <c r="B33" s="270" t="s">
        <v>631</v>
      </c>
      <c r="C33" s="271"/>
      <c r="D33" s="271"/>
      <c r="E33" s="271"/>
      <c r="F33" s="271"/>
      <c r="G33" s="271"/>
      <c r="H33" s="271"/>
      <c r="I33" s="270"/>
      <c r="J33" s="270"/>
      <c r="K33" s="44"/>
      <c r="L33" s="44"/>
      <c r="M33" s="44"/>
      <c r="N33" s="44"/>
    </row>
    <row r="34" spans="2:21" s="1" customFormat="1" x14ac:dyDescent="0.3">
      <c r="B34" s="270" t="s">
        <v>632</v>
      </c>
      <c r="C34" s="271"/>
      <c r="D34" s="271"/>
      <c r="E34" s="271"/>
      <c r="F34" s="271"/>
      <c r="G34" s="271"/>
      <c r="H34" s="271"/>
      <c r="I34" s="270"/>
      <c r="J34" s="270"/>
      <c r="K34" s="44"/>
      <c r="L34" s="44"/>
      <c r="M34" s="44"/>
      <c r="N34" s="44"/>
    </row>
    <row r="35" spans="2:21" s="1" customFormat="1" x14ac:dyDescent="0.3">
      <c r="B35" s="270" t="s">
        <v>609</v>
      </c>
      <c r="C35" s="271"/>
      <c r="D35" s="271"/>
      <c r="E35" s="271"/>
      <c r="F35" s="271"/>
      <c r="G35" s="271"/>
      <c r="H35" s="271"/>
      <c r="I35" s="270"/>
      <c r="J35" s="270"/>
      <c r="K35" s="44"/>
      <c r="L35" s="44"/>
      <c r="M35" s="44"/>
      <c r="N35" s="44"/>
    </row>
    <row r="36" spans="2:21" s="1" customFormat="1" x14ac:dyDescent="0.3">
      <c r="B36" s="272" t="s">
        <v>270</v>
      </c>
      <c r="C36" s="271"/>
      <c r="D36" s="271"/>
      <c r="E36" s="271"/>
      <c r="F36" s="271"/>
      <c r="G36" s="271"/>
      <c r="H36" s="271"/>
      <c r="I36" s="270"/>
      <c r="J36" s="270"/>
      <c r="K36" s="44"/>
      <c r="L36" s="44"/>
      <c r="M36" s="44"/>
      <c r="N36" s="44"/>
    </row>
    <row r="37" spans="2:21" s="1" customFormat="1" x14ac:dyDescent="0.3">
      <c r="B37" s="273"/>
      <c r="C37" s="279"/>
      <c r="D37" s="279"/>
      <c r="E37" s="279"/>
      <c r="F37" s="279"/>
      <c r="G37" s="279"/>
      <c r="H37" s="279"/>
      <c r="I37" s="269"/>
      <c r="J37" s="269"/>
      <c r="K37" s="44"/>
      <c r="L37" s="44"/>
      <c r="M37" s="44"/>
      <c r="N37" s="44"/>
    </row>
    <row r="38" spans="2:21" s="1" customFormat="1" x14ac:dyDescent="0.3">
      <c r="B38" s="130"/>
      <c r="C38" s="130"/>
      <c r="D38" s="130"/>
      <c r="E38" s="130"/>
      <c r="F38" s="130"/>
      <c r="G38" s="130"/>
      <c r="H38" s="130"/>
      <c r="I38" s="130"/>
      <c r="J38" s="44"/>
      <c r="K38" s="44"/>
      <c r="L38" s="44"/>
      <c r="M38" s="44"/>
      <c r="N38" s="44"/>
    </row>
    <row r="39" spans="2:21" s="269" customFormat="1" x14ac:dyDescent="0.25">
      <c r="B39" s="280" t="s">
        <v>986</v>
      </c>
      <c r="C39" s="279"/>
      <c r="D39" s="279"/>
      <c r="E39" s="279"/>
      <c r="F39" s="279"/>
      <c r="G39" s="279"/>
      <c r="H39" s="279"/>
    </row>
    <row r="40" spans="2:21" s="269" customFormat="1" x14ac:dyDescent="0.25">
      <c r="B40" s="280"/>
      <c r="C40" s="279"/>
      <c r="D40" s="279"/>
      <c r="E40" s="279"/>
      <c r="F40" s="279"/>
      <c r="G40" s="279"/>
      <c r="H40" s="279"/>
    </row>
    <row r="41" spans="2:21" s="269" customFormat="1" x14ac:dyDescent="0.25">
      <c r="B41" s="273" t="s">
        <v>628</v>
      </c>
      <c r="C41" s="279"/>
      <c r="D41" s="279"/>
      <c r="E41" s="279"/>
      <c r="F41" s="279"/>
      <c r="G41" s="279"/>
      <c r="H41" s="279"/>
    </row>
    <row r="42" spans="2:21" s="269" customFormat="1" x14ac:dyDescent="0.25"/>
    <row r="43" spans="2:21" s="269" customFormat="1" x14ac:dyDescent="0.25">
      <c r="B43" s="2040" t="s">
        <v>36</v>
      </c>
      <c r="C43" s="2042" t="s">
        <v>626</v>
      </c>
      <c r="D43" s="2043"/>
      <c r="E43" s="2044"/>
      <c r="F43" s="2042" t="s">
        <v>625</v>
      </c>
      <c r="G43" s="2043"/>
      <c r="H43" s="2044"/>
      <c r="I43" s="2045" t="s">
        <v>624</v>
      </c>
      <c r="J43" s="2045" t="s">
        <v>623</v>
      </c>
    </row>
    <row r="44" spans="2:21" s="269" customFormat="1" ht="28" x14ac:dyDescent="0.25">
      <c r="B44" s="2041"/>
      <c r="C44" s="278" t="s">
        <v>622</v>
      </c>
      <c r="D44" s="278" t="s">
        <v>619</v>
      </c>
      <c r="E44" s="278" t="s">
        <v>621</v>
      </c>
      <c r="F44" s="278" t="s">
        <v>620</v>
      </c>
      <c r="G44" s="278" t="s">
        <v>619</v>
      </c>
      <c r="H44" s="277" t="s">
        <v>618</v>
      </c>
      <c r="I44" s="2045"/>
      <c r="J44" s="2045"/>
    </row>
    <row r="45" spans="2:21" s="269" customFormat="1" x14ac:dyDescent="0.25">
      <c r="B45" s="276"/>
      <c r="C45" s="275"/>
      <c r="D45" s="275"/>
      <c r="E45" s="275"/>
      <c r="F45" s="275"/>
      <c r="G45" s="275"/>
      <c r="H45" s="274"/>
      <c r="I45" s="274"/>
      <c r="J45" s="274"/>
    </row>
    <row r="46" spans="2:21" s="273" customFormat="1" x14ac:dyDescent="0.25">
      <c r="B46" s="272" t="s">
        <v>617</v>
      </c>
      <c r="C46" s="271"/>
      <c r="D46" s="271"/>
      <c r="E46" s="271"/>
      <c r="F46" s="271"/>
      <c r="G46" s="271"/>
      <c r="H46" s="271"/>
      <c r="I46" s="270"/>
      <c r="J46" s="270"/>
      <c r="K46" s="269"/>
      <c r="L46" s="269"/>
      <c r="M46" s="269"/>
      <c r="N46" s="269"/>
      <c r="O46" s="269"/>
      <c r="P46" s="269"/>
      <c r="Q46" s="269"/>
      <c r="R46" s="269"/>
      <c r="S46" s="269"/>
      <c r="T46" s="269"/>
      <c r="U46" s="269"/>
    </row>
    <row r="47" spans="2:21" s="273" customFormat="1" x14ac:dyDescent="0.25">
      <c r="B47" s="272"/>
      <c r="C47" s="271"/>
      <c r="D47" s="271"/>
      <c r="E47" s="271"/>
      <c r="F47" s="271"/>
      <c r="G47" s="271"/>
      <c r="H47" s="271"/>
      <c r="I47" s="270"/>
      <c r="J47" s="270"/>
      <c r="K47" s="269"/>
      <c r="L47" s="269"/>
      <c r="M47" s="269"/>
      <c r="N47" s="269"/>
      <c r="O47" s="269"/>
      <c r="P47" s="269"/>
      <c r="Q47" s="269"/>
      <c r="R47" s="269"/>
      <c r="S47" s="269"/>
      <c r="T47" s="269"/>
      <c r="U47" s="269"/>
    </row>
    <row r="48" spans="2:21" s="273" customFormat="1" x14ac:dyDescent="0.25">
      <c r="B48" s="270" t="s">
        <v>616</v>
      </c>
      <c r="C48" s="271"/>
      <c r="D48" s="271"/>
      <c r="E48" s="271"/>
      <c r="F48" s="271"/>
      <c r="G48" s="271"/>
      <c r="H48" s="271"/>
      <c r="I48" s="270"/>
      <c r="J48" s="270"/>
      <c r="K48" s="269"/>
      <c r="L48" s="269"/>
      <c r="M48" s="269"/>
      <c r="N48" s="269"/>
      <c r="O48" s="269"/>
      <c r="P48" s="269"/>
      <c r="Q48" s="269"/>
      <c r="R48" s="269"/>
      <c r="S48" s="269"/>
      <c r="T48" s="269"/>
      <c r="U48" s="269"/>
    </row>
    <row r="49" spans="2:21" s="273" customFormat="1" x14ac:dyDescent="0.25">
      <c r="B49" s="270" t="s">
        <v>615</v>
      </c>
      <c r="C49" s="271"/>
      <c r="D49" s="271"/>
      <c r="E49" s="271"/>
      <c r="F49" s="271"/>
      <c r="G49" s="271"/>
      <c r="H49" s="271"/>
      <c r="I49" s="270"/>
      <c r="J49" s="270"/>
      <c r="K49" s="269"/>
      <c r="L49" s="269"/>
      <c r="M49" s="269"/>
      <c r="N49" s="269"/>
      <c r="O49" s="269"/>
      <c r="P49" s="269"/>
      <c r="Q49" s="269"/>
      <c r="R49" s="269"/>
      <c r="S49" s="269"/>
      <c r="T49" s="269"/>
      <c r="U49" s="269"/>
    </row>
    <row r="50" spans="2:21" s="273" customFormat="1" x14ac:dyDescent="0.25">
      <c r="B50" s="270" t="s">
        <v>614</v>
      </c>
      <c r="C50" s="271"/>
      <c r="D50" s="271"/>
      <c r="E50" s="271"/>
      <c r="F50" s="271"/>
      <c r="G50" s="271"/>
      <c r="H50" s="271"/>
      <c r="I50" s="270"/>
      <c r="J50" s="270"/>
      <c r="K50" s="269"/>
      <c r="L50" s="269"/>
      <c r="M50" s="269"/>
      <c r="N50" s="269"/>
      <c r="O50" s="269"/>
      <c r="P50" s="269"/>
      <c r="Q50" s="269"/>
      <c r="R50" s="269"/>
      <c r="S50" s="269"/>
      <c r="T50" s="269"/>
      <c r="U50" s="269"/>
    </row>
    <row r="51" spans="2:21" s="273" customFormat="1" x14ac:dyDescent="0.25">
      <c r="B51" s="270" t="s">
        <v>609</v>
      </c>
      <c r="C51" s="271"/>
      <c r="D51" s="271"/>
      <c r="E51" s="271"/>
      <c r="F51" s="271"/>
      <c r="G51" s="271"/>
      <c r="H51" s="271"/>
      <c r="I51" s="270"/>
      <c r="J51" s="270"/>
      <c r="K51" s="269"/>
      <c r="L51" s="269"/>
      <c r="M51" s="269"/>
      <c r="N51" s="269"/>
      <c r="O51" s="269"/>
      <c r="P51" s="269"/>
      <c r="Q51" s="269"/>
      <c r="R51" s="269"/>
      <c r="S51" s="269"/>
      <c r="T51" s="269"/>
      <c r="U51" s="269"/>
    </row>
    <row r="52" spans="2:21" s="269" customFormat="1" x14ac:dyDescent="0.25">
      <c r="B52" s="272" t="s">
        <v>270</v>
      </c>
      <c r="C52" s="271"/>
      <c r="D52" s="271"/>
      <c r="E52" s="271"/>
      <c r="F52" s="271"/>
      <c r="G52" s="271"/>
      <c r="H52" s="271"/>
      <c r="I52" s="270"/>
      <c r="J52" s="270"/>
    </row>
    <row r="53" spans="2:21" s="269" customFormat="1" x14ac:dyDescent="0.25">
      <c r="B53" s="272"/>
      <c r="C53" s="271"/>
      <c r="D53" s="271"/>
      <c r="E53" s="271"/>
      <c r="F53" s="271"/>
      <c r="G53" s="271"/>
      <c r="H53" s="271"/>
      <c r="I53" s="270"/>
      <c r="J53" s="270"/>
    </row>
    <row r="54" spans="2:21" s="269" customFormat="1" x14ac:dyDescent="0.25">
      <c r="B54" s="272"/>
      <c r="C54" s="271"/>
      <c r="D54" s="271"/>
      <c r="E54" s="271"/>
      <c r="F54" s="271"/>
      <c r="G54" s="271"/>
      <c r="H54" s="271"/>
      <c r="I54" s="270"/>
      <c r="J54" s="270"/>
    </row>
    <row r="55" spans="2:21" s="273" customFormat="1" x14ac:dyDescent="0.25">
      <c r="B55" s="272" t="s">
        <v>613</v>
      </c>
      <c r="C55" s="271"/>
      <c r="D55" s="271"/>
      <c r="E55" s="271"/>
      <c r="F55" s="271"/>
      <c r="G55" s="271"/>
      <c r="H55" s="271"/>
      <c r="I55" s="270"/>
      <c r="J55" s="270"/>
      <c r="K55" s="269"/>
      <c r="L55" s="269"/>
      <c r="M55" s="269"/>
      <c r="N55" s="269"/>
      <c r="O55" s="269"/>
      <c r="P55" s="269"/>
      <c r="Q55" s="269"/>
      <c r="R55" s="269"/>
      <c r="S55" s="269"/>
      <c r="T55" s="269"/>
      <c r="U55" s="269"/>
    </row>
    <row r="56" spans="2:21" s="269" customFormat="1" x14ac:dyDescent="0.25">
      <c r="B56" s="270"/>
      <c r="C56" s="271"/>
      <c r="D56" s="271"/>
      <c r="E56" s="271"/>
      <c r="F56" s="271"/>
      <c r="G56" s="271"/>
      <c r="H56" s="271"/>
      <c r="I56" s="270"/>
      <c r="J56" s="270"/>
    </row>
    <row r="57" spans="2:21" s="269" customFormat="1" x14ac:dyDescent="0.25">
      <c r="B57" s="270" t="s">
        <v>612</v>
      </c>
      <c r="C57" s="271"/>
      <c r="D57" s="271"/>
      <c r="E57" s="271"/>
      <c r="F57" s="271"/>
      <c r="G57" s="271"/>
      <c r="H57" s="271"/>
      <c r="I57" s="270"/>
      <c r="J57" s="270"/>
    </row>
    <row r="58" spans="2:21" s="269" customFormat="1" x14ac:dyDescent="0.25">
      <c r="B58" s="270" t="s">
        <v>611</v>
      </c>
      <c r="C58" s="271"/>
      <c r="D58" s="271"/>
      <c r="E58" s="271"/>
      <c r="F58" s="271"/>
      <c r="G58" s="271"/>
      <c r="H58" s="271"/>
      <c r="I58" s="270"/>
      <c r="J58" s="270"/>
    </row>
    <row r="59" spans="2:21" s="269" customFormat="1" x14ac:dyDescent="0.25">
      <c r="B59" s="270" t="s">
        <v>610</v>
      </c>
      <c r="C59" s="271"/>
      <c r="D59" s="271"/>
      <c r="E59" s="271"/>
      <c r="F59" s="271"/>
      <c r="G59" s="271"/>
      <c r="H59" s="271"/>
      <c r="I59" s="270"/>
      <c r="J59" s="270"/>
    </row>
    <row r="60" spans="2:21" s="269" customFormat="1" x14ac:dyDescent="0.25">
      <c r="B60" s="270" t="s">
        <v>609</v>
      </c>
      <c r="C60" s="271"/>
      <c r="D60" s="271"/>
      <c r="E60" s="271"/>
      <c r="F60" s="271"/>
      <c r="G60" s="271"/>
      <c r="H60" s="271"/>
      <c r="I60" s="270"/>
      <c r="J60" s="270"/>
    </row>
    <row r="61" spans="2:21" s="269" customFormat="1" x14ac:dyDescent="0.25">
      <c r="B61" s="272" t="s">
        <v>270</v>
      </c>
      <c r="C61" s="271"/>
      <c r="D61" s="271"/>
      <c r="E61" s="271"/>
      <c r="F61" s="271"/>
      <c r="G61" s="271"/>
      <c r="H61" s="271"/>
      <c r="I61" s="270"/>
      <c r="J61" s="270"/>
    </row>
    <row r="62" spans="2:21" s="269" customFormat="1" x14ac:dyDescent="0.25">
      <c r="B62" s="272"/>
      <c r="C62" s="271"/>
      <c r="D62" s="271"/>
      <c r="E62" s="271"/>
      <c r="F62" s="271"/>
      <c r="G62" s="271"/>
      <c r="H62" s="271"/>
      <c r="I62" s="270"/>
      <c r="J62" s="270"/>
    </row>
    <row r="63" spans="2:21" s="269" customFormat="1" x14ac:dyDescent="0.25">
      <c r="B63" s="272" t="s">
        <v>629</v>
      </c>
      <c r="C63" s="271"/>
      <c r="D63" s="271"/>
      <c r="E63" s="271"/>
      <c r="F63" s="271"/>
      <c r="G63" s="271"/>
      <c r="H63" s="271"/>
      <c r="I63" s="270"/>
      <c r="J63" s="270"/>
    </row>
    <row r="64" spans="2:21" x14ac:dyDescent="0.25">
      <c r="B64" s="270"/>
      <c r="C64" s="271"/>
      <c r="D64" s="271"/>
      <c r="E64" s="271"/>
      <c r="F64" s="271"/>
      <c r="G64" s="271"/>
      <c r="H64" s="271"/>
      <c r="I64" s="270"/>
      <c r="J64" s="270"/>
    </row>
    <row r="65" spans="2:10" x14ac:dyDescent="0.25">
      <c r="B65" s="270" t="s">
        <v>630</v>
      </c>
      <c r="C65" s="271"/>
      <c r="D65" s="271"/>
      <c r="E65" s="271"/>
      <c r="F65" s="271"/>
      <c r="G65" s="271"/>
      <c r="H65" s="271"/>
      <c r="I65" s="270"/>
      <c r="J65" s="270"/>
    </row>
    <row r="66" spans="2:10" x14ac:dyDescent="0.25">
      <c r="B66" s="270" t="s">
        <v>631</v>
      </c>
      <c r="C66" s="271"/>
      <c r="D66" s="271"/>
      <c r="E66" s="271"/>
      <c r="F66" s="271"/>
      <c r="G66" s="271"/>
      <c r="H66" s="271"/>
      <c r="I66" s="270"/>
      <c r="J66" s="270"/>
    </row>
    <row r="67" spans="2:10" x14ac:dyDescent="0.25">
      <c r="B67" s="270" t="s">
        <v>632</v>
      </c>
      <c r="C67" s="271"/>
      <c r="D67" s="271"/>
      <c r="E67" s="271"/>
      <c r="F67" s="271"/>
      <c r="G67" s="271"/>
      <c r="H67" s="271"/>
      <c r="I67" s="270"/>
      <c r="J67" s="270"/>
    </row>
    <row r="68" spans="2:10" ht="14.4" customHeight="1" x14ac:dyDescent="0.25">
      <c r="B68" s="270" t="s">
        <v>609</v>
      </c>
      <c r="C68" s="271"/>
      <c r="D68" s="271"/>
      <c r="E68" s="271"/>
      <c r="F68" s="271"/>
      <c r="G68" s="271"/>
      <c r="H68" s="271"/>
      <c r="I68" s="270"/>
      <c r="J68" s="270"/>
    </row>
    <row r="69" spans="2:10" x14ac:dyDescent="0.25">
      <c r="B69" s="272" t="s">
        <v>270</v>
      </c>
      <c r="C69" s="271"/>
      <c r="D69" s="271"/>
      <c r="E69" s="271"/>
      <c r="F69" s="271"/>
      <c r="G69" s="271"/>
      <c r="H69" s="271"/>
      <c r="I69" s="270"/>
      <c r="J69" s="270"/>
    </row>
  </sheetData>
  <mergeCells count="10">
    <mergeCell ref="B43:B44"/>
    <mergeCell ref="C43:E43"/>
    <mergeCell ref="F43:H43"/>
    <mergeCell ref="I43:I44"/>
    <mergeCell ref="J43:J44"/>
    <mergeCell ref="B10:B11"/>
    <mergeCell ref="C10:E10"/>
    <mergeCell ref="F10:H10"/>
    <mergeCell ref="I10:I11"/>
    <mergeCell ref="J10:J11"/>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D19" sqref="D19"/>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x14ac:dyDescent="0.3">
      <c r="B2" s="1758" t="s">
        <v>779</v>
      </c>
      <c r="C2" s="1758"/>
      <c r="D2" s="1758"/>
      <c r="E2" s="2046"/>
      <c r="F2" s="2046"/>
      <c r="G2" s="2046"/>
      <c r="H2" s="2046"/>
      <c r="I2" s="2046"/>
      <c r="J2" s="2046"/>
      <c r="K2" s="2046"/>
      <c r="L2" s="2046"/>
    </row>
    <row r="3" spans="2:12" ht="14.15" customHeight="1" x14ac:dyDescent="0.3">
      <c r="B3" s="1999" t="s">
        <v>1433</v>
      </c>
      <c r="C3" s="1999"/>
      <c r="D3" s="1999"/>
      <c r="E3" s="2046"/>
      <c r="F3" s="2046"/>
      <c r="G3" s="2046"/>
      <c r="H3" s="2046"/>
      <c r="I3" s="2046"/>
      <c r="J3" s="2046"/>
      <c r="K3" s="2046"/>
      <c r="L3" s="2046"/>
    </row>
    <row r="4" spans="2:12" ht="14.15" customHeight="1" x14ac:dyDescent="0.3">
      <c r="B4" s="1999" t="s">
        <v>1434</v>
      </c>
      <c r="C4" s="1999"/>
      <c r="D4" s="1999"/>
      <c r="E4" s="2046"/>
      <c r="F4" s="2046"/>
      <c r="G4" s="2046"/>
      <c r="H4" s="2046"/>
      <c r="I4" s="2046"/>
      <c r="J4" s="2046"/>
      <c r="K4" s="2046"/>
      <c r="L4" s="2046"/>
    </row>
    <row r="5" spans="2:12" ht="14.15" customHeight="1" x14ac:dyDescent="0.3">
      <c r="B5" s="1758" t="str">
        <f>Index!B3</f>
        <v>MYT Petition Formats for Parli Units 6 &amp; 7</v>
      </c>
      <c r="C5" s="1758"/>
      <c r="D5" s="1758"/>
      <c r="E5" s="2046"/>
      <c r="F5" s="2046"/>
      <c r="G5" s="2046"/>
      <c r="H5" s="2046"/>
      <c r="I5" s="2046"/>
      <c r="J5" s="2046"/>
      <c r="K5" s="2046"/>
      <c r="L5" s="2046"/>
    </row>
    <row r="6" spans="2:12" x14ac:dyDescent="0.3">
      <c r="B6" s="846"/>
      <c r="C6" s="846"/>
      <c r="D6" s="846"/>
      <c r="E6" s="1035"/>
      <c r="F6" s="1035"/>
      <c r="G6" s="1035"/>
    </row>
    <row r="7" spans="2:12" ht="14.15" customHeight="1" x14ac:dyDescent="0.3">
      <c r="B7" s="1792" t="s">
        <v>339</v>
      </c>
      <c r="C7" s="1792" t="s">
        <v>1435</v>
      </c>
      <c r="D7" s="1798" t="s">
        <v>1436</v>
      </c>
      <c r="E7" s="1794" t="s">
        <v>1437</v>
      </c>
      <c r="F7" s="1800" t="s">
        <v>1438</v>
      </c>
      <c r="G7" s="1798" t="s">
        <v>1439</v>
      </c>
      <c r="H7" s="1752" t="s">
        <v>1440</v>
      </c>
      <c r="I7" s="1752"/>
      <c r="J7" s="1752"/>
      <c r="K7" s="1752"/>
      <c r="L7" s="1752"/>
    </row>
    <row r="8" spans="2:12" s="129" customFormat="1" ht="44.25" customHeight="1" x14ac:dyDescent="0.25">
      <c r="B8" s="1792"/>
      <c r="C8" s="1792"/>
      <c r="D8" s="2048"/>
      <c r="E8" s="1794"/>
      <c r="F8" s="2050"/>
      <c r="G8" s="2050"/>
      <c r="H8" s="843" t="s">
        <v>968</v>
      </c>
      <c r="I8" s="842" t="s">
        <v>969</v>
      </c>
      <c r="J8" s="842" t="s">
        <v>970</v>
      </c>
      <c r="K8" s="842" t="s">
        <v>971</v>
      </c>
      <c r="L8" s="842" t="s">
        <v>972</v>
      </c>
    </row>
    <row r="9" spans="2:12" s="129" customFormat="1" ht="14.15" customHeight="1" x14ac:dyDescent="0.25">
      <c r="B9" s="2047"/>
      <c r="C9" s="2047"/>
      <c r="D9" s="1799"/>
      <c r="E9" s="2049"/>
      <c r="F9" s="1801"/>
      <c r="G9" s="1801"/>
      <c r="H9" s="843" t="s">
        <v>21</v>
      </c>
      <c r="I9" s="842" t="s">
        <v>21</v>
      </c>
      <c r="J9" s="842" t="s">
        <v>21</v>
      </c>
      <c r="K9" s="842" t="s">
        <v>21</v>
      </c>
      <c r="L9" s="842" t="s">
        <v>21</v>
      </c>
    </row>
    <row r="10" spans="2:12" s="129" customFormat="1" x14ac:dyDescent="0.25">
      <c r="B10" s="1036"/>
      <c r="C10" s="1036"/>
      <c r="D10" s="1036"/>
      <c r="E10" s="1037"/>
      <c r="F10" s="1037"/>
      <c r="G10" s="1037"/>
      <c r="H10" s="39"/>
      <c r="I10" s="39"/>
      <c r="J10" s="39"/>
      <c r="K10" s="39"/>
      <c r="L10" s="39"/>
    </row>
    <row r="11" spans="2:12" s="44" customFormat="1" x14ac:dyDescent="0.3">
      <c r="B11" s="137">
        <v>1</v>
      </c>
      <c r="C11" s="137" t="s">
        <v>1441</v>
      </c>
      <c r="D11" s="137"/>
      <c r="E11" s="9"/>
      <c r="F11" s="9"/>
      <c r="G11" s="9"/>
      <c r="H11" s="39"/>
      <c r="I11" s="39"/>
      <c r="J11" s="39"/>
      <c r="K11" s="39"/>
      <c r="L11" s="39"/>
    </row>
    <row r="12" spans="2:12" s="44" customFormat="1" x14ac:dyDescent="0.3">
      <c r="B12" s="1038"/>
      <c r="C12" s="1039" t="s">
        <v>1442</v>
      </c>
      <c r="D12" s="1039"/>
      <c r="E12" s="448"/>
      <c r="F12" s="448"/>
      <c r="G12" s="448"/>
      <c r="H12" s="1040"/>
      <c r="I12" s="1040"/>
      <c r="J12" s="1040"/>
      <c r="K12" s="1040"/>
      <c r="L12" s="1040"/>
    </row>
    <row r="13" spans="2:12" s="44" customFormat="1" x14ac:dyDescent="0.3">
      <c r="B13" s="40"/>
      <c r="C13" s="1041" t="s">
        <v>1443</v>
      </c>
      <c r="D13" s="1041"/>
      <c r="E13" s="1042"/>
      <c r="F13" s="1042"/>
      <c r="G13" s="1042"/>
      <c r="H13" s="39"/>
      <c r="I13" s="39"/>
      <c r="J13" s="39"/>
      <c r="K13" s="39"/>
      <c r="L13" s="39"/>
    </row>
    <row r="14" spans="2:12" s="44" customFormat="1" x14ac:dyDescent="0.3">
      <c r="B14" s="1043"/>
      <c r="C14" s="1043"/>
      <c r="D14" s="1043"/>
      <c r="E14" s="448"/>
      <c r="F14" s="448"/>
      <c r="G14" s="448"/>
      <c r="H14" s="40"/>
      <c r="I14" s="40"/>
      <c r="J14" s="40"/>
      <c r="K14" s="40"/>
      <c r="L14" s="40"/>
    </row>
    <row r="15" spans="2:12" s="44" customFormat="1" x14ac:dyDescent="0.3">
      <c r="B15" s="137">
        <f>B12+1</f>
        <v>1</v>
      </c>
      <c r="C15" s="137"/>
      <c r="D15" s="137"/>
      <c r="E15" s="448"/>
      <c r="F15" s="448"/>
      <c r="G15" s="448"/>
      <c r="H15" s="40"/>
      <c r="I15" s="40"/>
      <c r="J15" s="40"/>
      <c r="K15" s="40"/>
      <c r="L15" s="40"/>
    </row>
    <row r="16" spans="2:12" s="44" customFormat="1" x14ac:dyDescent="0.3">
      <c r="B16" s="137"/>
      <c r="C16" s="137"/>
      <c r="D16" s="137"/>
      <c r="E16" s="448"/>
      <c r="F16" s="448"/>
      <c r="G16" s="448"/>
      <c r="H16" s="40"/>
      <c r="I16" s="40"/>
      <c r="J16" s="40"/>
      <c r="K16" s="40"/>
      <c r="L16" s="40"/>
    </row>
    <row r="17" spans="2:12" s="44" customFormat="1" x14ac:dyDescent="0.3">
      <c r="B17" s="137"/>
      <c r="C17" s="137"/>
      <c r="D17" s="137"/>
      <c r="E17" s="1044"/>
      <c r="F17" s="1044"/>
      <c r="G17" s="1044"/>
      <c r="H17" s="40"/>
      <c r="I17" s="40"/>
      <c r="J17" s="40"/>
      <c r="K17" s="40"/>
      <c r="L17" s="40"/>
    </row>
    <row r="18" spans="2:12" s="44" customFormat="1" x14ac:dyDescent="0.3">
      <c r="B18" s="137"/>
      <c r="C18" s="137"/>
      <c r="D18" s="137"/>
      <c r="E18" s="1044"/>
      <c r="F18" s="1044"/>
      <c r="G18" s="1044"/>
      <c r="H18" s="40"/>
      <c r="I18" s="40"/>
      <c r="J18" s="40"/>
      <c r="K18" s="40"/>
      <c r="L18" s="40"/>
    </row>
    <row r="19" spans="2:12" s="44" customFormat="1" x14ac:dyDescent="0.3">
      <c r="B19" s="137"/>
      <c r="C19" s="137"/>
      <c r="D19" s="137"/>
      <c r="E19" s="1044"/>
      <c r="F19" s="1044"/>
      <c r="G19" s="1044"/>
      <c r="H19" s="40"/>
      <c r="I19" s="40"/>
      <c r="J19" s="40"/>
      <c r="K19" s="40"/>
      <c r="L19" s="40"/>
    </row>
    <row r="20" spans="2:12" s="44" customFormat="1" x14ac:dyDescent="0.3">
      <c r="B20" s="137"/>
      <c r="C20" s="137"/>
      <c r="D20" s="137"/>
      <c r="E20" s="1045"/>
      <c r="F20" s="1045"/>
      <c r="G20" s="1045"/>
      <c r="H20" s="40"/>
      <c r="I20" s="40"/>
      <c r="J20" s="40"/>
      <c r="K20" s="40"/>
      <c r="L20" s="40"/>
    </row>
    <row r="21" spans="2:12" s="44" customFormat="1" x14ac:dyDescent="0.3">
      <c r="B21" s="137"/>
      <c r="C21" s="137"/>
      <c r="D21" s="137"/>
      <c r="E21" s="1044"/>
      <c r="F21" s="1044"/>
      <c r="G21" s="1044"/>
      <c r="H21" s="40"/>
      <c r="I21" s="40"/>
      <c r="J21" s="40"/>
      <c r="K21" s="40"/>
      <c r="L21" s="40"/>
    </row>
    <row r="22" spans="2:12" x14ac:dyDescent="0.3">
      <c r="E22" s="129"/>
      <c r="F22" s="129"/>
      <c r="G22" s="129"/>
      <c r="H22" s="44"/>
      <c r="I22" s="44"/>
      <c r="J22" s="44"/>
      <c r="K22" s="44"/>
      <c r="L22" s="44"/>
    </row>
    <row r="23" spans="2:12" x14ac:dyDescent="0.3">
      <c r="B23" s="1046"/>
      <c r="C23" s="1046"/>
      <c r="D23" s="1046"/>
      <c r="E23" s="1047"/>
      <c r="F23" s="1047"/>
      <c r="G23" s="1047"/>
      <c r="H23" s="44"/>
      <c r="I23" s="44"/>
      <c r="J23" s="44"/>
      <c r="K23" s="44"/>
      <c r="L23" s="44"/>
    </row>
    <row r="24" spans="2:12" x14ac:dyDescent="0.3">
      <c r="C24" s="44" t="s">
        <v>143</v>
      </c>
      <c r="D24" s="861" t="s">
        <v>1444</v>
      </c>
      <c r="H24" s="44"/>
      <c r="I24" s="44"/>
      <c r="J24" s="44"/>
      <c r="K24" s="44"/>
      <c r="L24" s="44"/>
    </row>
    <row r="25" spans="2:12" ht="18" customHeight="1" x14ac:dyDescent="0.3">
      <c r="E25" s="1048"/>
      <c r="F25" s="1048"/>
      <c r="G25" s="1048"/>
    </row>
    <row r="26" spans="2:12" x14ac:dyDescent="0.3">
      <c r="B26" s="1047"/>
      <c r="C26" s="1047"/>
      <c r="D26" s="1047"/>
      <c r="E26" s="1047"/>
      <c r="F26" s="1047"/>
      <c r="G26" s="1047"/>
    </row>
    <row r="27" spans="2:12" x14ac:dyDescent="0.3">
      <c r="B27" s="1047"/>
      <c r="C27" s="1047"/>
      <c r="D27" s="1047"/>
      <c r="E27" s="1047"/>
      <c r="F27" s="1047"/>
      <c r="G27" s="1047"/>
    </row>
    <row r="28" spans="2:12" x14ac:dyDescent="0.3">
      <c r="B28" s="1047"/>
      <c r="C28" s="1047"/>
      <c r="D28" s="1047"/>
      <c r="E28" s="1047"/>
      <c r="F28" s="1047"/>
      <c r="G28" s="1047"/>
    </row>
    <row r="29" spans="2:12" ht="29.4" customHeight="1" x14ac:dyDescent="0.3">
      <c r="B29" s="1047"/>
      <c r="C29" s="1049"/>
      <c r="D29" s="1047"/>
      <c r="E29" s="1047"/>
      <c r="F29" s="1047"/>
      <c r="G29" s="1047"/>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D19" sqref="D19"/>
    </sheetView>
  </sheetViews>
  <sheetFormatPr defaultColWidth="8.90625" defaultRowHeight="12.5" x14ac:dyDescent="0.25"/>
  <cols>
    <col min="1" max="2" width="8.90625" style="1050"/>
    <col min="3" max="3" width="36.36328125" style="1050" customWidth="1"/>
    <col min="4" max="4" width="8.90625" style="1050"/>
    <col min="5" max="7" width="12.08984375" style="1050" customWidth="1"/>
    <col min="8" max="16384" width="8.90625" style="1050"/>
  </cols>
  <sheetData>
    <row r="2" spans="1:8" ht="14" x14ac:dyDescent="0.3">
      <c r="A2" s="1"/>
      <c r="B2" s="1999" t="s">
        <v>779</v>
      </c>
      <c r="C2" s="2046"/>
      <c r="D2" s="2046"/>
      <c r="E2" s="2046"/>
      <c r="F2" s="2046"/>
      <c r="G2" s="2046"/>
      <c r="H2" s="2046"/>
    </row>
    <row r="3" spans="1:8" ht="14" x14ac:dyDescent="0.3">
      <c r="A3" s="1"/>
      <c r="B3" s="1999" t="s">
        <v>1445</v>
      </c>
      <c r="C3" s="2046"/>
      <c r="D3" s="2046"/>
      <c r="E3" s="2046"/>
      <c r="F3" s="2046"/>
      <c r="G3" s="2046"/>
      <c r="H3" s="2046"/>
    </row>
    <row r="4" spans="1:8" ht="14" x14ac:dyDescent="0.25">
      <c r="A4" s="14"/>
      <c r="B4" s="1758" t="str">
        <f>Index!B3</f>
        <v>MYT Petition Formats for Parli Units 6 &amp; 7</v>
      </c>
      <c r="C4" s="2046"/>
      <c r="D4" s="2046"/>
      <c r="E4" s="2046"/>
      <c r="F4" s="2046"/>
      <c r="G4" s="2046"/>
      <c r="H4" s="2046"/>
    </row>
    <row r="5" spans="1:8" ht="14" x14ac:dyDescent="0.3">
      <c r="A5" s="14"/>
      <c r="B5" s="14"/>
      <c r="C5" s="8"/>
      <c r="D5" s="1051"/>
      <c r="E5" s="1051"/>
      <c r="F5" s="1051"/>
      <c r="G5" s="16"/>
      <c r="H5" s="14"/>
    </row>
    <row r="6" spans="1:8" ht="14" x14ac:dyDescent="0.3">
      <c r="A6" s="1"/>
      <c r="B6" s="842" t="s">
        <v>339</v>
      </c>
      <c r="C6" s="845" t="s">
        <v>36</v>
      </c>
      <c r="D6" s="845" t="s">
        <v>93</v>
      </c>
      <c r="E6" s="842" t="s">
        <v>506</v>
      </c>
      <c r="F6" s="842" t="s">
        <v>507</v>
      </c>
      <c r="G6" s="842" t="s">
        <v>508</v>
      </c>
      <c r="H6" s="842" t="s">
        <v>26</v>
      </c>
    </row>
    <row r="7" spans="1:8" ht="14" x14ac:dyDescent="0.25">
      <c r="A7" s="129"/>
      <c r="B7" s="39"/>
      <c r="C7" s="142"/>
      <c r="D7" s="144"/>
      <c r="E7" s="144"/>
      <c r="F7" s="144"/>
      <c r="G7" s="37"/>
      <c r="H7" s="37"/>
    </row>
    <row r="8" spans="1:8" ht="14" x14ac:dyDescent="0.25">
      <c r="A8" s="129"/>
      <c r="B8" s="144">
        <v>1</v>
      </c>
      <c r="C8" s="145" t="s">
        <v>1446</v>
      </c>
      <c r="D8" s="144" t="s">
        <v>96</v>
      </c>
      <c r="E8" s="144"/>
      <c r="F8" s="144"/>
      <c r="G8" s="1052"/>
      <c r="H8" s="37"/>
    </row>
    <row r="9" spans="1:8" ht="14" x14ac:dyDescent="0.3">
      <c r="B9" s="1053">
        <f>B8+1</f>
        <v>2</v>
      </c>
      <c r="C9" s="145" t="s">
        <v>1447</v>
      </c>
      <c r="D9" s="1053" t="s">
        <v>98</v>
      </c>
      <c r="E9" s="975"/>
      <c r="F9" s="975"/>
      <c r="G9" s="975"/>
      <c r="H9" s="975"/>
    </row>
    <row r="10" spans="1:8" ht="14" x14ac:dyDescent="0.3">
      <c r="B10" s="1053">
        <f t="shared" ref="B10:B20" si="0">B9+1</f>
        <v>3</v>
      </c>
      <c r="C10" s="145" t="s">
        <v>1448</v>
      </c>
      <c r="D10" s="1053" t="s">
        <v>98</v>
      </c>
      <c r="E10" s="975"/>
      <c r="F10" s="975"/>
      <c r="G10" s="975"/>
      <c r="H10" s="975"/>
    </row>
    <row r="11" spans="1:8" ht="14" x14ac:dyDescent="0.3">
      <c r="B11" s="1053">
        <f t="shared" si="0"/>
        <v>4</v>
      </c>
      <c r="C11" s="145" t="s">
        <v>1449</v>
      </c>
      <c r="D11" s="1053" t="s">
        <v>98</v>
      </c>
      <c r="E11" s="975"/>
      <c r="F11" s="975"/>
      <c r="G11" s="975"/>
      <c r="H11" s="975"/>
    </row>
    <row r="12" spans="1:8" ht="14" x14ac:dyDescent="0.3">
      <c r="B12" s="1053">
        <f t="shared" si="0"/>
        <v>5</v>
      </c>
      <c r="C12" s="145" t="s">
        <v>1450</v>
      </c>
      <c r="D12" s="1054" t="s">
        <v>100</v>
      </c>
      <c r="E12" s="975"/>
      <c r="F12" s="975"/>
      <c r="G12" s="975"/>
      <c r="H12" s="975"/>
    </row>
    <row r="13" spans="1:8" ht="28" x14ac:dyDescent="0.3">
      <c r="B13" s="1053">
        <f t="shared" si="0"/>
        <v>6</v>
      </c>
      <c r="C13" s="145" t="s">
        <v>1451</v>
      </c>
      <c r="D13" s="1054" t="s">
        <v>100</v>
      </c>
      <c r="E13" s="975"/>
      <c r="F13" s="975"/>
      <c r="G13" s="975"/>
      <c r="H13" s="975"/>
    </row>
    <row r="14" spans="1:8" ht="14" x14ac:dyDescent="0.3">
      <c r="B14" s="1053">
        <f t="shared" si="0"/>
        <v>7</v>
      </c>
      <c r="C14" s="145" t="s">
        <v>1452</v>
      </c>
      <c r="D14" s="1054" t="s">
        <v>100</v>
      </c>
      <c r="E14" s="975"/>
      <c r="F14" s="975"/>
      <c r="G14" s="975"/>
      <c r="H14" s="975"/>
    </row>
    <row r="15" spans="1:8" ht="14" x14ac:dyDescent="0.3">
      <c r="B15" s="1053">
        <f t="shared" si="0"/>
        <v>8</v>
      </c>
      <c r="C15" s="145" t="s">
        <v>1453</v>
      </c>
      <c r="D15" s="1054" t="s">
        <v>100</v>
      </c>
      <c r="E15" s="975"/>
      <c r="F15" s="975"/>
      <c r="G15" s="975"/>
      <c r="H15" s="975"/>
    </row>
    <row r="16" spans="1:8" ht="14" x14ac:dyDescent="0.3">
      <c r="B16" s="1053">
        <f t="shared" si="0"/>
        <v>9</v>
      </c>
      <c r="C16" s="145" t="s">
        <v>1454</v>
      </c>
      <c r="D16" s="1054" t="s">
        <v>100</v>
      </c>
      <c r="E16" s="975"/>
      <c r="F16" s="975"/>
      <c r="G16" s="975"/>
      <c r="H16" s="975"/>
    </row>
    <row r="17" spans="2:8" ht="14" x14ac:dyDescent="0.3">
      <c r="B17" s="1053">
        <f t="shared" si="0"/>
        <v>10</v>
      </c>
      <c r="C17" s="145" t="s">
        <v>1455</v>
      </c>
      <c r="D17" s="1054" t="s">
        <v>100</v>
      </c>
      <c r="E17" s="975"/>
      <c r="F17" s="975"/>
      <c r="G17" s="975"/>
      <c r="H17" s="975"/>
    </row>
    <row r="18" spans="2:8" ht="14" x14ac:dyDescent="0.3">
      <c r="B18" s="1053">
        <f t="shared" si="0"/>
        <v>11</v>
      </c>
      <c r="C18" s="145" t="s">
        <v>1456</v>
      </c>
      <c r="D18" s="1054" t="s">
        <v>1457</v>
      </c>
      <c r="E18" s="975"/>
      <c r="F18" s="975"/>
      <c r="G18" s="975"/>
      <c r="H18" s="975"/>
    </row>
    <row r="19" spans="2:8" ht="14" x14ac:dyDescent="0.3">
      <c r="B19" s="1053">
        <f t="shared" si="0"/>
        <v>12</v>
      </c>
      <c r="C19" s="145" t="s">
        <v>1458</v>
      </c>
      <c r="D19" s="1054" t="s">
        <v>1457</v>
      </c>
      <c r="E19" s="975"/>
      <c r="F19" s="975"/>
      <c r="G19" s="975"/>
      <c r="H19" s="975"/>
    </row>
    <row r="20" spans="2:8" s="1057" customFormat="1" ht="14" x14ac:dyDescent="0.3">
      <c r="B20" s="1055">
        <f t="shared" si="0"/>
        <v>13</v>
      </c>
      <c r="C20" s="1056" t="s">
        <v>1459</v>
      </c>
      <c r="D20" s="1055" t="s">
        <v>134</v>
      </c>
      <c r="E20" s="978"/>
      <c r="F20" s="978"/>
      <c r="G20" s="978"/>
      <c r="H20" s="978"/>
    </row>
    <row r="29" spans="2:8" ht="29.4" customHeight="1" x14ac:dyDescent="0.25">
      <c r="C29" s="1058"/>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E20" activePane="bottomRight" state="frozen"/>
      <selection activeCell="G26" sqref="G26"/>
      <selection pane="topRight" activeCell="G26" sqref="G26"/>
      <selection pane="bottomLeft" activeCell="G26" sqref="G26"/>
      <selection pane="bottomRight" activeCell="O26" sqref="O26:P26"/>
    </sheetView>
  </sheetViews>
  <sheetFormatPr defaultColWidth="9.36328125" defaultRowHeight="15.5" x14ac:dyDescent="0.35"/>
  <cols>
    <col min="1" max="1" width="8.1796875" style="1214" bestFit="1" customWidth="1"/>
    <col min="2" max="2" width="7.90625" style="1214" customWidth="1"/>
    <col min="3" max="3" width="55.90625" style="1214" customWidth="1"/>
    <col min="4" max="4" width="9.54296875" style="1241" bestFit="1" customWidth="1"/>
    <col min="5" max="5" width="14.81640625" style="1241" customWidth="1"/>
    <col min="6" max="6" width="11.08984375" style="1241" bestFit="1" customWidth="1"/>
    <col min="7" max="7" width="12.54296875" style="1241" bestFit="1" customWidth="1"/>
    <col min="8" max="8" width="12.90625" style="1241" bestFit="1" customWidth="1"/>
    <col min="9" max="9" width="10" style="1241" customWidth="1"/>
    <col min="10" max="10" width="12.54296875" style="1241" bestFit="1" customWidth="1"/>
    <col min="11" max="11" width="12.36328125" style="1241" bestFit="1" customWidth="1"/>
    <col min="12" max="12" width="12.90625" style="1241" bestFit="1" customWidth="1"/>
    <col min="13" max="13" width="10.1796875" style="1214" customWidth="1"/>
    <col min="14" max="14" width="11.453125" style="1214" bestFit="1" customWidth="1"/>
    <col min="15" max="15" width="17" style="1214" bestFit="1" customWidth="1"/>
    <col min="16" max="16" width="23.81640625" style="1214" bestFit="1" customWidth="1"/>
    <col min="17" max="17" width="13.54296875" style="1214" bestFit="1" customWidth="1"/>
    <col min="18" max="18" width="19.54296875" style="1214" bestFit="1" customWidth="1"/>
    <col min="19" max="23" width="19.54296875" style="1214" customWidth="1"/>
    <col min="24" max="24" width="14.08984375" style="1214" customWidth="1"/>
    <col min="25" max="16384" width="9.36328125" style="1214"/>
  </cols>
  <sheetData>
    <row r="2" spans="1:24" x14ac:dyDescent="0.35">
      <c r="B2" s="1787" t="str">
        <f>Index!B2</f>
        <v xml:space="preserve">      Maharashtra State Power Generation Company Ltd.</v>
      </c>
      <c r="C2" s="1787"/>
      <c r="D2" s="1787"/>
      <c r="E2" s="1787"/>
      <c r="F2" s="1787"/>
      <c r="G2" s="1787"/>
      <c r="H2" s="1787"/>
      <c r="I2" s="1787"/>
      <c r="J2" s="1787"/>
      <c r="K2" s="1787"/>
      <c r="L2" s="1787"/>
      <c r="M2" s="1215"/>
      <c r="N2" s="1784" t="str">
        <f>B2</f>
        <v xml:space="preserve">      Maharashtra State Power Generation Company Ltd.</v>
      </c>
      <c r="O2" s="1784"/>
      <c r="P2" s="1784"/>
      <c r="Q2" s="1784"/>
      <c r="R2" s="1784"/>
      <c r="S2" s="1784"/>
      <c r="T2" s="1784"/>
      <c r="U2" s="1784"/>
      <c r="V2" s="1784"/>
      <c r="W2" s="1784"/>
      <c r="X2" s="1784"/>
    </row>
    <row r="3" spans="1:24" x14ac:dyDescent="0.35">
      <c r="B3" s="1787" t="str">
        <f>Index!B3</f>
        <v>MYT Petition Formats for Parli Units 6 &amp; 7</v>
      </c>
      <c r="C3" s="1787"/>
      <c r="D3" s="1787"/>
      <c r="E3" s="1787"/>
      <c r="F3" s="1787"/>
      <c r="G3" s="1787"/>
      <c r="H3" s="1787"/>
      <c r="I3" s="1787"/>
      <c r="J3" s="1787"/>
      <c r="K3" s="1787"/>
      <c r="L3" s="1787"/>
      <c r="M3" s="1215"/>
      <c r="N3" s="1784" t="str">
        <f>B3</f>
        <v>MYT Petition Formats for Parli Units 6 &amp; 7</v>
      </c>
      <c r="O3" s="1784"/>
      <c r="P3" s="1784"/>
      <c r="Q3" s="1784"/>
      <c r="R3" s="1784"/>
      <c r="S3" s="1784"/>
      <c r="T3" s="1784"/>
      <c r="U3" s="1784"/>
      <c r="V3" s="1784"/>
      <c r="W3" s="1784"/>
      <c r="X3" s="1784"/>
    </row>
    <row r="4" spans="1:24" x14ac:dyDescent="0.35">
      <c r="B4" s="1787" t="s">
        <v>371</v>
      </c>
      <c r="C4" s="1787"/>
      <c r="D4" s="1787"/>
      <c r="E4" s="1787"/>
      <c r="F4" s="1787"/>
      <c r="G4" s="1787"/>
      <c r="H4" s="1787"/>
      <c r="I4" s="1787"/>
      <c r="J4" s="1787"/>
      <c r="K4" s="1787"/>
      <c r="L4" s="1787"/>
      <c r="M4" s="1215"/>
      <c r="N4" s="1784" t="str">
        <f>B4</f>
        <v>Form 2.1: Operational Parameters for Thermal Generation</v>
      </c>
      <c r="O4" s="1784"/>
      <c r="P4" s="1784"/>
      <c r="Q4" s="1784"/>
      <c r="R4" s="1784"/>
      <c r="S4" s="1784"/>
      <c r="T4" s="1784"/>
      <c r="U4" s="1784"/>
      <c r="V4" s="1784"/>
      <c r="W4" s="1784"/>
      <c r="X4" s="1784"/>
    </row>
    <row r="5" spans="1:24" s="31" customFormat="1" x14ac:dyDescent="0.25">
      <c r="B5" s="1216"/>
      <c r="C5" s="1216"/>
      <c r="D5" s="1216"/>
      <c r="E5" s="1216"/>
      <c r="F5" s="1216"/>
      <c r="G5" s="1216"/>
      <c r="H5" s="1216"/>
      <c r="I5" s="1216"/>
      <c r="J5" s="1216"/>
      <c r="K5" s="1216"/>
      <c r="L5" s="1216"/>
      <c r="M5" s="1216"/>
      <c r="N5" s="1216"/>
      <c r="O5" s="1216"/>
      <c r="P5" s="1216"/>
      <c r="Q5" s="1216"/>
      <c r="R5" s="1216"/>
      <c r="S5" s="1216"/>
      <c r="T5" s="1216"/>
      <c r="U5" s="1216"/>
      <c r="V5" s="1216"/>
      <c r="W5" s="1216"/>
      <c r="X5" s="1216"/>
    </row>
    <row r="6" spans="1:24" s="31" customFormat="1" x14ac:dyDescent="0.3">
      <c r="B6" s="1217"/>
      <c r="C6" s="1218"/>
      <c r="D6" s="1219"/>
      <c r="E6" s="1219"/>
      <c r="F6" s="1219"/>
      <c r="G6" s="1219"/>
      <c r="H6" s="1219"/>
      <c r="I6" s="1219"/>
      <c r="J6" s="1219"/>
      <c r="K6" s="1219"/>
      <c r="L6" s="1219"/>
      <c r="M6" s="1220"/>
      <c r="N6" s="1220"/>
      <c r="O6" s="1220"/>
      <c r="P6" s="1220"/>
      <c r="Q6" s="1217"/>
      <c r="R6" s="1217"/>
      <c r="S6" s="1217"/>
      <c r="T6" s="1217"/>
      <c r="U6" s="1217"/>
      <c r="V6" s="1217"/>
      <c r="W6" s="1217"/>
    </row>
    <row r="7" spans="1:24" s="1221" customFormat="1" ht="14" customHeight="1" x14ac:dyDescent="0.35">
      <c r="B7" s="1757" t="s">
        <v>339</v>
      </c>
      <c r="C7" s="1785" t="s">
        <v>36</v>
      </c>
      <c r="D7" s="1785" t="s">
        <v>93</v>
      </c>
      <c r="E7" s="1757" t="s">
        <v>506</v>
      </c>
      <c r="F7" s="1757"/>
      <c r="G7" s="1757"/>
      <c r="H7" s="1757"/>
      <c r="I7" s="1757" t="s">
        <v>507</v>
      </c>
      <c r="J7" s="1757"/>
      <c r="K7" s="1757"/>
      <c r="L7" s="1757"/>
      <c r="M7" s="1757" t="s">
        <v>508</v>
      </c>
      <c r="N7" s="1757"/>
      <c r="O7" s="1757"/>
      <c r="P7" s="1757"/>
      <c r="Q7" s="1757"/>
      <c r="R7" s="1757"/>
      <c r="S7" s="1757" t="s">
        <v>967</v>
      </c>
      <c r="T7" s="1757"/>
      <c r="U7" s="1757"/>
      <c r="V7" s="1757"/>
      <c r="W7" s="1757"/>
      <c r="X7" s="1757" t="s">
        <v>26</v>
      </c>
    </row>
    <row r="8" spans="1:24" s="1222" customFormat="1" ht="45" x14ac:dyDescent="0.25">
      <c r="B8" s="1785"/>
      <c r="C8" s="1785"/>
      <c r="D8" s="1785"/>
      <c r="E8" s="1212" t="s">
        <v>1561</v>
      </c>
      <c r="F8" s="1212" t="s">
        <v>916</v>
      </c>
      <c r="G8" s="1212" t="s">
        <v>78</v>
      </c>
      <c r="H8" s="1212" t="s">
        <v>449</v>
      </c>
      <c r="I8" s="1212" t="s">
        <v>1561</v>
      </c>
      <c r="J8" s="1212" t="s">
        <v>916</v>
      </c>
      <c r="K8" s="1212" t="s">
        <v>78</v>
      </c>
      <c r="L8" s="1212" t="s">
        <v>449</v>
      </c>
      <c r="M8" s="1212" t="s">
        <v>1561</v>
      </c>
      <c r="N8" s="1212" t="s">
        <v>916</v>
      </c>
      <c r="O8" s="1212" t="s">
        <v>443</v>
      </c>
      <c r="P8" s="1212" t="s">
        <v>447</v>
      </c>
      <c r="Q8" s="1212" t="s">
        <v>79</v>
      </c>
      <c r="R8" s="1212" t="s">
        <v>450</v>
      </c>
      <c r="S8" s="1212" t="s">
        <v>968</v>
      </c>
      <c r="T8" s="1212" t="s">
        <v>969</v>
      </c>
      <c r="U8" s="1212" t="s">
        <v>970</v>
      </c>
      <c r="V8" s="1212" t="s">
        <v>971</v>
      </c>
      <c r="W8" s="1212" t="s">
        <v>972</v>
      </c>
      <c r="X8" s="1757"/>
    </row>
    <row r="9" spans="1:24" s="1222" customFormat="1" x14ac:dyDescent="0.25">
      <c r="B9" s="1785"/>
      <c r="C9" s="1785"/>
      <c r="D9" s="1785"/>
      <c r="E9" s="1212" t="s">
        <v>80</v>
      </c>
      <c r="F9" s="1212" t="s">
        <v>81</v>
      </c>
      <c r="G9" s="1212" t="s">
        <v>1562</v>
      </c>
      <c r="H9" s="1212" t="s">
        <v>1563</v>
      </c>
      <c r="I9" s="1212" t="s">
        <v>1523</v>
      </c>
      <c r="J9" s="1212" t="s">
        <v>509</v>
      </c>
      <c r="K9" s="1212" t="s">
        <v>409</v>
      </c>
      <c r="L9" s="1212" t="s">
        <v>1564</v>
      </c>
      <c r="M9" s="1212" t="s">
        <v>589</v>
      </c>
      <c r="N9" s="1212" t="s">
        <v>654</v>
      </c>
      <c r="O9" s="1212" t="s">
        <v>590</v>
      </c>
      <c r="P9" s="1212" t="s">
        <v>591</v>
      </c>
      <c r="Q9" s="1212" t="s">
        <v>678</v>
      </c>
      <c r="R9" s="1212" t="s">
        <v>679</v>
      </c>
      <c r="S9" s="1212" t="s">
        <v>21</v>
      </c>
      <c r="T9" s="1212" t="s">
        <v>21</v>
      </c>
      <c r="U9" s="1212" t="s">
        <v>21</v>
      </c>
      <c r="V9" s="1212" t="s">
        <v>21</v>
      </c>
      <c r="W9" s="1212" t="s">
        <v>21</v>
      </c>
      <c r="X9" s="1786"/>
    </row>
    <row r="10" spans="1:24" s="1222" customFormat="1" x14ac:dyDescent="0.25">
      <c r="B10" s="387"/>
      <c r="C10" s="371"/>
      <c r="D10" s="372"/>
      <c r="E10" s="372"/>
      <c r="F10" s="372"/>
      <c r="G10" s="372"/>
      <c r="H10" s="372"/>
      <c r="I10" s="372"/>
      <c r="J10" s="372"/>
      <c r="K10" s="372"/>
      <c r="L10" s="372"/>
      <c r="M10" s="385"/>
      <c r="N10" s="385"/>
      <c r="O10" s="385"/>
      <c r="P10" s="385"/>
      <c r="Q10" s="385"/>
      <c r="R10" s="385"/>
      <c r="S10" s="385"/>
      <c r="T10" s="385"/>
      <c r="U10" s="385"/>
      <c r="V10" s="385"/>
      <c r="W10" s="385"/>
      <c r="X10" s="385"/>
    </row>
    <row r="11" spans="1:24" s="1222" customFormat="1" x14ac:dyDescent="0.25">
      <c r="B11" s="359">
        <v>1</v>
      </c>
      <c r="C11" s="374" t="s">
        <v>95</v>
      </c>
      <c r="D11" s="359" t="s">
        <v>96</v>
      </c>
      <c r="E11" s="359"/>
      <c r="F11" s="453">
        <f>'F2.2'!F11</f>
        <v>500</v>
      </c>
      <c r="G11" s="453">
        <f>'F2.2'!G11</f>
        <v>500</v>
      </c>
      <c r="H11" s="453">
        <f>G11-F11</f>
        <v>0</v>
      </c>
      <c r="I11" s="453"/>
      <c r="J11" s="453">
        <f>'F2.2'!J11</f>
        <v>500</v>
      </c>
      <c r="K11" s="453">
        <f>'F2.2'!K11</f>
        <v>500</v>
      </c>
      <c r="L11" s="453">
        <f>K11-J11</f>
        <v>0</v>
      </c>
      <c r="M11" s="1223"/>
      <c r="N11" s="453">
        <f>'F2.2'!$N$11</f>
        <v>500</v>
      </c>
      <c r="O11" s="453">
        <f>'F2.2'!O11</f>
        <v>500</v>
      </c>
      <c r="P11" s="453">
        <f>'F2.2'!P11</f>
        <v>500</v>
      </c>
      <c r="Q11" s="453">
        <f>'F2.2'!Q11</f>
        <v>500</v>
      </c>
      <c r="R11" s="1223">
        <f>Q11-N11</f>
        <v>0</v>
      </c>
      <c r="S11" s="1223"/>
      <c r="T11" s="1223"/>
      <c r="U11" s="1223"/>
      <c r="V11" s="1223"/>
      <c r="W11" s="1223"/>
      <c r="X11" s="385"/>
    </row>
    <row r="12" spans="1:24" s="1222" customFormat="1" ht="31" x14ac:dyDescent="0.25">
      <c r="B12" s="359">
        <v>2</v>
      </c>
      <c r="C12" s="374" t="s">
        <v>511</v>
      </c>
      <c r="D12" s="359"/>
      <c r="E12" s="359"/>
      <c r="F12" s="453" t="s">
        <v>803</v>
      </c>
      <c r="G12" s="453" t="s">
        <v>803</v>
      </c>
      <c r="H12" s="453" t="s">
        <v>803</v>
      </c>
      <c r="I12" s="453"/>
      <c r="J12" s="453" t="s">
        <v>803</v>
      </c>
      <c r="K12" s="453" t="s">
        <v>803</v>
      </c>
      <c r="L12" s="453" t="s">
        <v>803</v>
      </c>
      <c r="M12" s="453"/>
      <c r="N12" s="453" t="s">
        <v>803</v>
      </c>
      <c r="O12" s="453" t="s">
        <v>803</v>
      </c>
      <c r="P12" s="453" t="s">
        <v>803</v>
      </c>
      <c r="Q12" s="453" t="s">
        <v>803</v>
      </c>
      <c r="R12" s="453" t="s">
        <v>803</v>
      </c>
      <c r="S12" s="453" t="s">
        <v>803</v>
      </c>
      <c r="T12" s="453" t="s">
        <v>803</v>
      </c>
      <c r="U12" s="453" t="s">
        <v>803</v>
      </c>
      <c r="V12" s="453" t="s">
        <v>803</v>
      </c>
      <c r="W12" s="453" t="s">
        <v>803</v>
      </c>
      <c r="X12" s="385"/>
    </row>
    <row r="13" spans="1:24" s="1222" customFormat="1" x14ac:dyDescent="0.25">
      <c r="B13" s="359"/>
      <c r="C13" s="374"/>
      <c r="D13" s="359"/>
      <c r="E13" s="359"/>
      <c r="F13" s="453"/>
      <c r="G13" s="453"/>
      <c r="H13" s="453"/>
      <c r="I13" s="453"/>
      <c r="J13" s="453"/>
      <c r="K13" s="453"/>
      <c r="L13" s="453"/>
      <c r="M13" s="453"/>
      <c r="N13" s="453"/>
      <c r="O13" s="453"/>
      <c r="P13" s="453"/>
      <c r="Q13" s="453"/>
      <c r="R13" s="453"/>
      <c r="S13" s="453"/>
      <c r="T13" s="453"/>
      <c r="U13" s="453"/>
      <c r="V13" s="453"/>
      <c r="W13" s="453"/>
      <c r="X13" s="385"/>
    </row>
    <row r="14" spans="1:24" s="1222" customFormat="1" x14ac:dyDescent="0.25">
      <c r="B14" s="387">
        <v>2</v>
      </c>
      <c r="C14" s="393" t="s">
        <v>372</v>
      </c>
      <c r="D14" s="359"/>
      <c r="E14" s="359"/>
      <c r="F14" s="359"/>
      <c r="G14" s="359"/>
      <c r="H14" s="359"/>
      <c r="I14" s="359"/>
      <c r="J14" s="359"/>
      <c r="K14" s="453"/>
      <c r="L14" s="359"/>
      <c r="M14" s="359"/>
      <c r="N14" s="359"/>
      <c r="O14" s="453"/>
      <c r="P14" s="453"/>
      <c r="Q14" s="359"/>
      <c r="R14" s="359"/>
      <c r="S14" s="359"/>
      <c r="T14" s="359"/>
      <c r="U14" s="359"/>
      <c r="V14" s="359"/>
      <c r="W14" s="359"/>
      <c r="X14" s="385"/>
    </row>
    <row r="15" spans="1:24" s="1225" customFormat="1" x14ac:dyDescent="0.35">
      <c r="A15" s="1222"/>
      <c r="B15" s="359">
        <f>B14+0.1</f>
        <v>2.1</v>
      </c>
      <c r="C15" s="472" t="s">
        <v>97</v>
      </c>
      <c r="D15" s="473" t="s">
        <v>98</v>
      </c>
      <c r="E15" s="620">
        <v>0.85</v>
      </c>
      <c r="F15" s="537">
        <v>0.85</v>
      </c>
      <c r="G15" s="537">
        <f>F15</f>
        <v>0.85</v>
      </c>
      <c r="H15" s="391">
        <f t="shared" ref="H15:H16" si="0">G15-F15</f>
        <v>0</v>
      </c>
      <c r="I15" s="813">
        <v>0.85</v>
      </c>
      <c r="J15" s="537">
        <v>0.85</v>
      </c>
      <c r="K15" s="391">
        <f>J15</f>
        <v>0.85</v>
      </c>
      <c r="L15" s="391">
        <f t="shared" ref="L15:L16" si="1">K15-J15</f>
        <v>0</v>
      </c>
      <c r="M15" s="817">
        <f>N15</f>
        <v>0.85</v>
      </c>
      <c r="N15" s="537">
        <v>0.85</v>
      </c>
      <c r="O15" s="391">
        <f>N15</f>
        <v>0.85</v>
      </c>
      <c r="P15" s="391">
        <f>N15</f>
        <v>0.85</v>
      </c>
      <c r="Q15" s="530">
        <f>N15</f>
        <v>0.85</v>
      </c>
      <c r="R15" s="559">
        <f t="shared" ref="R15:R16" si="2">Q15-N15</f>
        <v>0</v>
      </c>
      <c r="S15" s="559">
        <f>'F2.2'!S12</f>
        <v>0.85</v>
      </c>
      <c r="T15" s="559">
        <f>'F2.2'!T12</f>
        <v>0.85</v>
      </c>
      <c r="U15" s="559">
        <f>'F2.2'!U12</f>
        <v>0.85</v>
      </c>
      <c r="V15" s="559">
        <f>'F2.2'!V12</f>
        <v>0.85</v>
      </c>
      <c r="W15" s="559">
        <f>'F2.2'!W12</f>
        <v>0.85</v>
      </c>
      <c r="X15" s="1224"/>
    </row>
    <row r="16" spans="1:24" s="1222" customFormat="1" x14ac:dyDescent="0.25">
      <c r="B16" s="359">
        <v>2.2000000000000002</v>
      </c>
      <c r="C16" s="374" t="s">
        <v>686</v>
      </c>
      <c r="D16" s="359" t="s">
        <v>98</v>
      </c>
      <c r="E16" s="391"/>
      <c r="F16" s="530">
        <f>'F2.2'!F13</f>
        <v>0.74822999999999995</v>
      </c>
      <c r="G16" s="391">
        <f>'F2.2'!G13</f>
        <v>0.74822999999999995</v>
      </c>
      <c r="H16" s="391">
        <f t="shared" si="0"/>
        <v>0</v>
      </c>
      <c r="I16" s="813"/>
      <c r="J16" s="391">
        <f>'F2.2'!J13</f>
        <v>0.89427999999999996</v>
      </c>
      <c r="K16" s="530">
        <f>'F2.2'!K13</f>
        <v>0.89427999999999996</v>
      </c>
      <c r="L16" s="391">
        <f t="shared" si="1"/>
        <v>0</v>
      </c>
      <c r="M16" s="817"/>
      <c r="N16" s="391">
        <f>'F2.2'!N13</f>
        <v>0.70218680294160152</v>
      </c>
      <c r="O16" s="530">
        <f>'F2.2'!O13</f>
        <v>0.80080174863387976</v>
      </c>
      <c r="P16" s="530">
        <f>'F2.2'!P13</f>
        <v>0.84985437016585386</v>
      </c>
      <c r="Q16" s="530">
        <f>'F2.2'!Q13</f>
        <v>0.70218680294160152</v>
      </c>
      <c r="R16" s="559">
        <f t="shared" si="2"/>
        <v>0</v>
      </c>
      <c r="S16" s="559">
        <f>'F2.2'!S13</f>
        <v>0.84997896950713758</v>
      </c>
      <c r="T16" s="559">
        <f>'F2.2'!T13</f>
        <v>0.85000844618867444</v>
      </c>
      <c r="U16" s="559">
        <f>'F2.2'!U13</f>
        <v>0.85000844618867444</v>
      </c>
      <c r="V16" s="559">
        <f>'F2.2'!V13</f>
        <v>0.85003792287021129</v>
      </c>
      <c r="W16" s="559">
        <f>'F2.2'!W13</f>
        <v>0.84997896950713758</v>
      </c>
      <c r="X16" s="613"/>
    </row>
    <row r="17" spans="1:24" s="1222" customFormat="1" x14ac:dyDescent="0.25">
      <c r="B17" s="359" t="s">
        <v>115</v>
      </c>
      <c r="C17" s="375" t="s">
        <v>644</v>
      </c>
      <c r="D17" s="359"/>
      <c r="E17" s="359"/>
      <c r="F17" s="450"/>
      <c r="G17" s="391"/>
      <c r="H17" s="450"/>
      <c r="I17" s="814"/>
      <c r="J17" s="450"/>
      <c r="K17" s="530"/>
      <c r="L17" s="450"/>
      <c r="M17" s="814"/>
      <c r="N17" s="450"/>
      <c r="O17" s="530"/>
      <c r="P17" s="530"/>
      <c r="Q17" s="560"/>
      <c r="R17" s="560"/>
      <c r="S17" s="560"/>
      <c r="T17" s="560"/>
      <c r="U17" s="560"/>
      <c r="V17" s="560"/>
      <c r="W17" s="560"/>
      <c r="X17" s="390"/>
    </row>
    <row r="18" spans="1:24" s="1222" customFormat="1" x14ac:dyDescent="0.25">
      <c r="B18" s="359"/>
      <c r="C18" s="376" t="s">
        <v>645</v>
      </c>
      <c r="D18" s="359" t="s">
        <v>98</v>
      </c>
      <c r="E18" s="359"/>
      <c r="F18" s="450"/>
      <c r="G18" s="391">
        <f>'F2.2'!G15</f>
        <v>0.77347999999999995</v>
      </c>
      <c r="H18" s="450">
        <f t="shared" ref="H18:H22" si="3">G18-F18</f>
        <v>0.77347999999999995</v>
      </c>
      <c r="I18" s="814"/>
      <c r="J18" s="450"/>
      <c r="K18" s="530">
        <f>'F2.2'!K15</f>
        <v>0.86992999999999998</v>
      </c>
      <c r="L18" s="450">
        <f t="shared" ref="L18:L22" si="4">K18-J18</f>
        <v>0.86992999999999998</v>
      </c>
      <c r="M18" s="814"/>
      <c r="N18" s="450"/>
      <c r="O18" s="530">
        <f>'F2.2'!O15</f>
        <v>0</v>
      </c>
      <c r="P18" s="530">
        <f>'F2.2'!P15</f>
        <v>0</v>
      </c>
      <c r="Q18" s="560">
        <f t="shared" ref="Q18:Q22" si="5">O18+P18</f>
        <v>0</v>
      </c>
      <c r="R18" s="560"/>
      <c r="S18" s="560">
        <f>'F2.2'!S15</f>
        <v>0</v>
      </c>
      <c r="T18" s="560">
        <f>'F2.2'!T15</f>
        <v>0</v>
      </c>
      <c r="U18" s="560">
        <f>'F2.2'!U15</f>
        <v>0</v>
      </c>
      <c r="V18" s="560">
        <f>'F2.2'!V15</f>
        <v>0</v>
      </c>
      <c r="W18" s="560">
        <f>'F2.2'!W15</f>
        <v>0</v>
      </c>
      <c r="X18" s="390"/>
    </row>
    <row r="19" spans="1:24" s="1222" customFormat="1" x14ac:dyDescent="0.25">
      <c r="B19" s="359"/>
      <c r="C19" s="376" t="s">
        <v>646</v>
      </c>
      <c r="D19" s="359" t="s">
        <v>98</v>
      </c>
      <c r="E19" s="359"/>
      <c r="F19" s="450"/>
      <c r="G19" s="391">
        <f>'F2.2'!G16</f>
        <v>0.78100000000000003</v>
      </c>
      <c r="H19" s="450">
        <f t="shared" si="3"/>
        <v>0.78100000000000003</v>
      </c>
      <c r="I19" s="814"/>
      <c r="J19" s="450"/>
      <c r="K19" s="530">
        <f>'F2.2'!K16</f>
        <v>0.86753999999999998</v>
      </c>
      <c r="L19" s="450">
        <f t="shared" si="4"/>
        <v>0.86753999999999998</v>
      </c>
      <c r="M19" s="814"/>
      <c r="N19" s="450"/>
      <c r="O19" s="530">
        <f>'F2.2'!O16</f>
        <v>0</v>
      </c>
      <c r="P19" s="530">
        <f>'F2.2'!P16</f>
        <v>0</v>
      </c>
      <c r="Q19" s="560">
        <f t="shared" si="5"/>
        <v>0</v>
      </c>
      <c r="R19" s="560"/>
      <c r="S19" s="560">
        <f>'F2.2'!S16</f>
        <v>0</v>
      </c>
      <c r="T19" s="560">
        <f>'F2.2'!T16</f>
        <v>0</v>
      </c>
      <c r="U19" s="560">
        <f>'F2.2'!U16</f>
        <v>0</v>
      </c>
      <c r="V19" s="560">
        <f>'F2.2'!V16</f>
        <v>0</v>
      </c>
      <c r="W19" s="560">
        <f>'F2.2'!W16</f>
        <v>0</v>
      </c>
      <c r="X19" s="390"/>
    </row>
    <row r="20" spans="1:24" s="1222" customFormat="1" x14ac:dyDescent="0.25">
      <c r="B20" s="359" t="s">
        <v>117</v>
      </c>
      <c r="C20" s="375" t="s">
        <v>647</v>
      </c>
      <c r="D20" s="359"/>
      <c r="E20" s="359"/>
      <c r="F20" s="450"/>
      <c r="G20" s="391"/>
      <c r="H20" s="450"/>
      <c r="I20" s="814"/>
      <c r="J20" s="450"/>
      <c r="K20" s="530"/>
      <c r="L20" s="450"/>
      <c r="M20" s="814"/>
      <c r="N20" s="450"/>
      <c r="O20" s="530"/>
      <c r="P20" s="530"/>
      <c r="Q20" s="560"/>
      <c r="R20" s="560"/>
      <c r="S20" s="560"/>
      <c r="T20" s="560"/>
      <c r="U20" s="560"/>
      <c r="V20" s="560"/>
      <c r="W20" s="560"/>
      <c r="X20" s="390"/>
    </row>
    <row r="21" spans="1:24" s="1222" customFormat="1" x14ac:dyDescent="0.25">
      <c r="B21" s="359"/>
      <c r="C21" s="376" t="s">
        <v>645</v>
      </c>
      <c r="D21" s="359" t="s">
        <v>98</v>
      </c>
      <c r="E21" s="359"/>
      <c r="F21" s="450"/>
      <c r="G21" s="391">
        <f>'F2.2'!G18</f>
        <v>0.73285</v>
      </c>
      <c r="H21" s="450">
        <f t="shared" si="3"/>
        <v>0.73285</v>
      </c>
      <c r="I21" s="814"/>
      <c r="J21" s="450"/>
      <c r="K21" s="530">
        <f>'F2.2'!K18</f>
        <v>0.89958000000000005</v>
      </c>
      <c r="L21" s="450">
        <f t="shared" si="4"/>
        <v>0.89958000000000005</v>
      </c>
      <c r="M21" s="814"/>
      <c r="N21" s="450"/>
      <c r="O21" s="530">
        <f>'F2.2'!O18</f>
        <v>0</v>
      </c>
      <c r="P21" s="530">
        <f>'F2.2'!P18</f>
        <v>0</v>
      </c>
      <c r="Q21" s="560">
        <f t="shared" si="5"/>
        <v>0</v>
      </c>
      <c r="R21" s="560"/>
      <c r="S21" s="560">
        <f>'F2.2'!S18</f>
        <v>0</v>
      </c>
      <c r="T21" s="560">
        <f>'F2.2'!T18</f>
        <v>0</v>
      </c>
      <c r="U21" s="560">
        <f>'F2.2'!U18</f>
        <v>0</v>
      </c>
      <c r="V21" s="560">
        <f>'F2.2'!V18</f>
        <v>0</v>
      </c>
      <c r="W21" s="560">
        <f>'F2.2'!W18</f>
        <v>0</v>
      </c>
      <c r="X21" s="390"/>
    </row>
    <row r="22" spans="1:24" s="1222" customFormat="1" x14ac:dyDescent="0.25">
      <c r="B22" s="359"/>
      <c r="C22" s="376" t="s">
        <v>646</v>
      </c>
      <c r="D22" s="359" t="s">
        <v>98</v>
      </c>
      <c r="E22" s="359"/>
      <c r="F22" s="450"/>
      <c r="G22" s="391">
        <f>'F2.2'!G19</f>
        <v>0.73873999999999995</v>
      </c>
      <c r="H22" s="450">
        <f t="shared" si="3"/>
        <v>0.73873999999999995</v>
      </c>
      <c r="I22" s="814"/>
      <c r="J22" s="450"/>
      <c r="K22" s="530">
        <f>'F2.2'!K19</f>
        <v>0.90383000000000002</v>
      </c>
      <c r="L22" s="450">
        <f t="shared" si="4"/>
        <v>0.90383000000000002</v>
      </c>
      <c r="M22" s="814"/>
      <c r="N22" s="450"/>
      <c r="O22" s="530">
        <f>'F2.2'!O19</f>
        <v>0</v>
      </c>
      <c r="P22" s="530">
        <f>'F2.2'!P19</f>
        <v>0</v>
      </c>
      <c r="Q22" s="560">
        <f t="shared" si="5"/>
        <v>0</v>
      </c>
      <c r="R22" s="560"/>
      <c r="S22" s="560">
        <f>'F2.2'!S19</f>
        <v>0</v>
      </c>
      <c r="T22" s="560">
        <f>'F2.2'!T19</f>
        <v>0</v>
      </c>
      <c r="U22" s="560">
        <f>'F2.2'!U19</f>
        <v>0</v>
      </c>
      <c r="V22" s="560">
        <f>'F2.2'!V19</f>
        <v>0</v>
      </c>
      <c r="W22" s="560">
        <f>'F2.2'!W19</f>
        <v>0</v>
      </c>
      <c r="X22" s="390"/>
    </row>
    <row r="23" spans="1:24" s="1222" customFormat="1" x14ac:dyDescent="0.25">
      <c r="B23" s="359"/>
      <c r="C23" s="374"/>
      <c r="D23" s="359"/>
      <c r="E23" s="359"/>
      <c r="F23" s="530"/>
      <c r="G23" s="530"/>
      <c r="H23" s="530"/>
      <c r="I23" s="815"/>
      <c r="J23" s="530"/>
      <c r="K23" s="530"/>
      <c r="L23" s="530"/>
      <c r="M23" s="818"/>
      <c r="N23" s="530"/>
      <c r="O23" s="530"/>
      <c r="P23" s="530"/>
      <c r="Q23" s="560"/>
      <c r="R23" s="560"/>
      <c r="S23" s="560"/>
      <c r="T23" s="560"/>
      <c r="U23" s="560"/>
      <c r="V23" s="560"/>
      <c r="W23" s="560"/>
      <c r="X23" s="390"/>
    </row>
    <row r="24" spans="1:24" s="1222" customFormat="1" x14ac:dyDescent="0.25">
      <c r="B24" s="387">
        <v>3</v>
      </c>
      <c r="C24" s="393" t="s">
        <v>373</v>
      </c>
      <c r="D24" s="359"/>
      <c r="E24" s="359"/>
      <c r="F24" s="530"/>
      <c r="G24" s="530"/>
      <c r="H24" s="530"/>
      <c r="I24" s="815"/>
      <c r="J24" s="530"/>
      <c r="K24" s="530"/>
      <c r="L24" s="530"/>
      <c r="M24" s="818"/>
      <c r="N24" s="530"/>
      <c r="O24" s="530"/>
      <c r="P24" s="530"/>
      <c r="Q24" s="560"/>
      <c r="R24" s="560"/>
      <c r="S24" s="560"/>
      <c r="T24" s="560"/>
      <c r="U24" s="560"/>
      <c r="V24" s="560"/>
      <c r="W24" s="560"/>
      <c r="X24" s="390"/>
    </row>
    <row r="25" spans="1:24" s="1226" customFormat="1" x14ac:dyDescent="0.35">
      <c r="A25" s="1222"/>
      <c r="B25" s="395">
        <f>B24+0.1</f>
        <v>3.1</v>
      </c>
      <c r="C25" s="394" t="s">
        <v>99</v>
      </c>
      <c r="D25" s="386" t="s">
        <v>98</v>
      </c>
      <c r="E25" s="776">
        <f>F25</f>
        <v>0.85</v>
      </c>
      <c r="F25" s="537">
        <v>0.85</v>
      </c>
      <c r="G25" s="614">
        <f>F25</f>
        <v>0.85</v>
      </c>
      <c r="H25" s="530">
        <f>G25-F25</f>
        <v>0</v>
      </c>
      <c r="I25" s="815">
        <f>J25</f>
        <v>0.85</v>
      </c>
      <c r="J25" s="537">
        <v>0.85</v>
      </c>
      <c r="K25" s="530">
        <f>J25</f>
        <v>0.85</v>
      </c>
      <c r="L25" s="530">
        <f>K25-J25</f>
        <v>0</v>
      </c>
      <c r="M25" s="818">
        <v>0.85</v>
      </c>
      <c r="N25" s="530">
        <f>M25</f>
        <v>0.85</v>
      </c>
      <c r="O25" s="530">
        <f>'F2.2'!O20</f>
        <v>0.85</v>
      </c>
      <c r="P25" s="530">
        <f>'F2.2'!P20</f>
        <v>0.85</v>
      </c>
      <c r="Q25" s="530">
        <f>'F2.2'!Q20</f>
        <v>0.85</v>
      </c>
      <c r="R25" s="560">
        <f>Q25-N25</f>
        <v>0</v>
      </c>
      <c r="S25" s="560">
        <f>'F2.2'!S20</f>
        <v>0.85</v>
      </c>
      <c r="T25" s="560">
        <f>'F2.2'!T20</f>
        <v>0.85</v>
      </c>
      <c r="U25" s="560">
        <f>'F2.2'!U20</f>
        <v>0.85</v>
      </c>
      <c r="V25" s="560">
        <f>'F2.2'!V20</f>
        <v>0.85</v>
      </c>
      <c r="W25" s="560">
        <f>'F2.2'!W20</f>
        <v>0.85</v>
      </c>
      <c r="X25" s="474"/>
    </row>
    <row r="26" spans="1:24" s="1227" customFormat="1" x14ac:dyDescent="0.25">
      <c r="A26" s="1222"/>
      <c r="B26" s="471">
        <v>3.2</v>
      </c>
      <c r="C26" s="472" t="s">
        <v>689</v>
      </c>
      <c r="D26" s="473" t="s">
        <v>98</v>
      </c>
      <c r="E26" s="530"/>
      <c r="F26" s="530">
        <f>G26</f>
        <v>0.61817</v>
      </c>
      <c r="G26" s="530">
        <f>'F2.2'!G21</f>
        <v>0.61817</v>
      </c>
      <c r="H26" s="530">
        <f>G26-F26</f>
        <v>0</v>
      </c>
      <c r="I26" s="815"/>
      <c r="J26" s="530">
        <f>K26</f>
        <v>0.62480999999999998</v>
      </c>
      <c r="K26" s="530">
        <v>0.62480999999999998</v>
      </c>
      <c r="L26" s="530">
        <f>K26-J26</f>
        <v>0</v>
      </c>
      <c r="M26" s="818"/>
      <c r="N26" s="530">
        <f>Q26</f>
        <v>0.70218680294160152</v>
      </c>
      <c r="O26" s="530">
        <v>0.54124693989071038</v>
      </c>
      <c r="P26" s="1482">
        <v>0.84985437016585386</v>
      </c>
      <c r="Q26" s="530">
        <f>'F2.2'!Q21</f>
        <v>0.70218680294160152</v>
      </c>
      <c r="R26" s="560">
        <f>Q26-N26</f>
        <v>0</v>
      </c>
      <c r="S26" s="560">
        <f>'F2.2'!S21</f>
        <v>0.84997896950713758</v>
      </c>
      <c r="T26" s="560">
        <f>'F2.2'!T21</f>
        <v>0.85000844618867444</v>
      </c>
      <c r="U26" s="560">
        <f>'F2.2'!U21</f>
        <v>0.85000844618867444</v>
      </c>
      <c r="V26" s="560">
        <f>'F2.2'!V21</f>
        <v>0.85003792287021129</v>
      </c>
      <c r="W26" s="560">
        <f>'F2.2'!W21</f>
        <v>0.84997896950713758</v>
      </c>
      <c r="X26" s="474"/>
    </row>
    <row r="27" spans="1:24" s="1222" customFormat="1" x14ac:dyDescent="0.25">
      <c r="B27" s="359">
        <v>3.3</v>
      </c>
      <c r="C27" s="377" t="s">
        <v>682</v>
      </c>
      <c r="D27" s="359" t="s">
        <v>98</v>
      </c>
      <c r="E27" s="359"/>
      <c r="F27" s="450"/>
      <c r="G27" s="450"/>
      <c r="H27" s="450">
        <f>G27-F27</f>
        <v>0</v>
      </c>
      <c r="I27" s="814"/>
      <c r="J27" s="530"/>
      <c r="K27" s="450"/>
      <c r="L27" s="530">
        <f>K27-J27</f>
        <v>0</v>
      </c>
      <c r="M27" s="815"/>
      <c r="N27" s="530"/>
      <c r="O27" s="450"/>
      <c r="P27" s="450"/>
      <c r="Q27" s="450">
        <f>O27+P27</f>
        <v>0</v>
      </c>
      <c r="R27" s="450"/>
      <c r="S27" s="450"/>
      <c r="T27" s="450"/>
      <c r="U27" s="450"/>
      <c r="V27" s="450"/>
      <c r="W27" s="450"/>
      <c r="X27" s="390"/>
    </row>
    <row r="28" spans="1:24" s="1222" customFormat="1" x14ac:dyDescent="0.25">
      <c r="B28" s="359"/>
      <c r="C28" s="374"/>
      <c r="D28" s="359"/>
      <c r="E28" s="359"/>
      <c r="F28" s="388"/>
      <c r="G28" s="388"/>
      <c r="H28" s="388"/>
      <c r="I28" s="388"/>
      <c r="J28" s="388"/>
      <c r="K28" s="816"/>
      <c r="L28" s="388"/>
      <c r="M28" s="389"/>
      <c r="N28" s="388"/>
      <c r="O28" s="816"/>
      <c r="P28" s="816"/>
      <c r="Q28" s="389"/>
      <c r="R28" s="389"/>
      <c r="S28" s="389"/>
      <c r="T28" s="389"/>
      <c r="U28" s="389"/>
      <c r="V28" s="389"/>
      <c r="W28" s="389"/>
      <c r="X28" s="390"/>
    </row>
    <row r="29" spans="1:24" s="1222" customFormat="1" x14ac:dyDescent="0.25">
      <c r="B29" s="387">
        <v>4</v>
      </c>
      <c r="C29" s="393" t="s">
        <v>157</v>
      </c>
      <c r="D29" s="359"/>
      <c r="E29" s="359"/>
      <c r="F29" s="388"/>
      <c r="G29" s="388"/>
      <c r="H29" s="388"/>
      <c r="I29" s="388"/>
      <c r="J29" s="388"/>
      <c r="K29" s="816"/>
      <c r="L29" s="388"/>
      <c r="M29" s="389"/>
      <c r="N29" s="388"/>
      <c r="O29" s="816"/>
      <c r="P29" s="816"/>
      <c r="Q29" s="389"/>
      <c r="R29" s="389"/>
      <c r="S29" s="389"/>
      <c r="T29" s="389"/>
      <c r="U29" s="389"/>
      <c r="V29" s="389"/>
      <c r="W29" s="389"/>
      <c r="X29" s="390"/>
    </row>
    <row r="30" spans="1:24" s="1222" customFormat="1" x14ac:dyDescent="0.25">
      <c r="B30" s="359">
        <f>B29+0.1</f>
        <v>4.0999999999999996</v>
      </c>
      <c r="C30" s="374" t="s">
        <v>690</v>
      </c>
      <c r="D30" s="359" t="s">
        <v>100</v>
      </c>
      <c r="E30" s="380">
        <v>3505.4078484922939</v>
      </c>
      <c r="F30" s="505">
        <f>G30</f>
        <v>2794.8449999999998</v>
      </c>
      <c r="G30" s="539">
        <v>2794.8449999999998</v>
      </c>
      <c r="H30" s="505">
        <f>G30-F30</f>
        <v>0</v>
      </c>
      <c r="I30" s="816">
        <v>3733.2</v>
      </c>
      <c r="J30" s="505">
        <f>K30</f>
        <v>2809.2260000000001</v>
      </c>
      <c r="K30" s="505">
        <v>2809.2260000000001</v>
      </c>
      <c r="L30" s="505">
        <f>K30-J30</f>
        <v>0</v>
      </c>
      <c r="M30" s="819">
        <v>3723</v>
      </c>
      <c r="N30" s="505">
        <f>Q30</f>
        <v>3075.5781968842148</v>
      </c>
      <c r="O30" s="789">
        <v>1209.298</v>
      </c>
      <c r="P30" s="789">
        <v>1866.280196884215</v>
      </c>
      <c r="Q30" s="531">
        <f>O30+P30</f>
        <v>3075.5781968842148</v>
      </c>
      <c r="R30" s="418">
        <f>Q30-N30</f>
        <v>0</v>
      </c>
      <c r="S30" s="418">
        <f>'F2.2'!S23</f>
        <v>3722.9078864412627</v>
      </c>
      <c r="T30" s="418">
        <f>'F2.2'!T23</f>
        <v>3723.0369943063938</v>
      </c>
      <c r="U30" s="418">
        <f>'F2.2'!U23</f>
        <v>3723.0369943063938</v>
      </c>
      <c r="V30" s="418">
        <f>'F2.2'!V23</f>
        <v>3723.1661021715258</v>
      </c>
      <c r="W30" s="418">
        <f>'F2.2'!W23</f>
        <v>3722.9078864412627</v>
      </c>
      <c r="X30" s="390"/>
    </row>
    <row r="31" spans="1:24" s="1222" customFormat="1" x14ac:dyDescent="0.25">
      <c r="B31" s="359">
        <v>4.2</v>
      </c>
      <c r="C31" s="374" t="s">
        <v>695</v>
      </c>
      <c r="D31" s="359" t="s">
        <v>100</v>
      </c>
      <c r="E31" s="535"/>
      <c r="F31" s="523">
        <f>'F2.2'!$F$24</f>
        <v>3254.7689999999998</v>
      </c>
      <c r="G31" s="523"/>
      <c r="H31" s="523"/>
      <c r="I31" s="629"/>
      <c r="J31" s="523">
        <f>'F2.2'!$J$24</f>
        <v>3733.2</v>
      </c>
      <c r="K31" s="523"/>
      <c r="L31" s="505"/>
      <c r="M31" s="819"/>
      <c r="N31" s="523">
        <f>'F2.2'!N24</f>
        <v>0</v>
      </c>
      <c r="O31" s="523">
        <f>'F2.2'!O24</f>
        <v>0</v>
      </c>
      <c r="P31" s="523">
        <f>'F2.2'!P24</f>
        <v>0</v>
      </c>
      <c r="Q31" s="523">
        <f>O31+P31</f>
        <v>0</v>
      </c>
      <c r="R31" s="523">
        <f>Q31-N31</f>
        <v>0</v>
      </c>
      <c r="S31" s="418">
        <f>'F2.2'!S24</f>
        <v>0</v>
      </c>
      <c r="T31" s="418">
        <f>'F2.2'!T24</f>
        <v>0</v>
      </c>
      <c r="U31" s="418">
        <f>'F2.2'!U24</f>
        <v>0</v>
      </c>
      <c r="V31" s="418">
        <f>'F2.2'!V24</f>
        <v>0</v>
      </c>
      <c r="W31" s="418">
        <f>'F2.2'!W24</f>
        <v>0</v>
      </c>
      <c r="X31" s="390"/>
    </row>
    <row r="32" spans="1:24" s="1222" customFormat="1" x14ac:dyDescent="0.25">
      <c r="B32" s="359"/>
      <c r="C32" s="378"/>
      <c r="D32" s="359"/>
      <c r="E32" s="359"/>
      <c r="F32" s="388"/>
      <c r="G32" s="816"/>
      <c r="H32" s="388"/>
      <c r="I32" s="388"/>
      <c r="J32" s="388"/>
      <c r="K32" s="816"/>
      <c r="L32" s="388"/>
      <c r="M32" s="389"/>
      <c r="N32" s="389"/>
      <c r="O32" s="816"/>
      <c r="P32" s="816"/>
      <c r="Q32" s="389"/>
      <c r="R32" s="389"/>
      <c r="S32" s="389"/>
      <c r="T32" s="389"/>
      <c r="U32" s="389"/>
      <c r="V32" s="389"/>
      <c r="W32" s="389"/>
      <c r="X32" s="390"/>
    </row>
    <row r="33" spans="1:24" s="1222" customFormat="1" x14ac:dyDescent="0.25">
      <c r="B33" s="387">
        <v>5</v>
      </c>
      <c r="C33" s="396" t="s">
        <v>357</v>
      </c>
      <c r="D33" s="359"/>
      <c r="E33" s="359"/>
      <c r="F33" s="388"/>
      <c r="G33" s="816"/>
      <c r="H33" s="388"/>
      <c r="I33" s="388"/>
      <c r="J33" s="388"/>
      <c r="K33" s="816"/>
      <c r="L33" s="388"/>
      <c r="M33" s="389"/>
      <c r="N33" s="389"/>
      <c r="O33" s="816"/>
      <c r="P33" s="816"/>
      <c r="Q33" s="389"/>
      <c r="R33" s="389"/>
      <c r="S33" s="389"/>
      <c r="T33" s="389"/>
      <c r="U33" s="389"/>
      <c r="V33" s="389"/>
      <c r="W33" s="389"/>
      <c r="X33" s="390"/>
    </row>
    <row r="34" spans="1:24" s="1229" customFormat="1" x14ac:dyDescent="0.25">
      <c r="A34" s="1228"/>
      <c r="B34" s="532">
        <f>B33+0.1</f>
        <v>5.0999999999999996</v>
      </c>
      <c r="C34" s="533" t="s">
        <v>998</v>
      </c>
      <c r="D34" s="530" t="s">
        <v>98</v>
      </c>
      <c r="E34" s="620">
        <v>9.2999999999999999E-2</v>
      </c>
      <c r="F34" s="1206">
        <v>0.10249999999999999</v>
      </c>
      <c r="G34" s="530">
        <f>F34</f>
        <v>0.10249999999999999</v>
      </c>
      <c r="H34" s="530"/>
      <c r="I34" s="815">
        <v>9.2999999999999999E-2</v>
      </c>
      <c r="J34" s="1206">
        <v>0.10249999999999999</v>
      </c>
      <c r="K34" s="530">
        <f>J34</f>
        <v>0.10249999999999999</v>
      </c>
      <c r="L34" s="530">
        <f t="shared" ref="L34:L40" si="6">K34-J34</f>
        <v>0</v>
      </c>
      <c r="M34" s="815">
        <v>9.2999999999999999E-2</v>
      </c>
      <c r="N34" s="1206">
        <v>0.10249999999999999</v>
      </c>
      <c r="O34" s="1206">
        <v>0.10249999999999999</v>
      </c>
      <c r="P34" s="1206">
        <v>0.10249999999999999</v>
      </c>
      <c r="Q34" s="530">
        <f>N34</f>
        <v>0.10249999999999999</v>
      </c>
      <c r="R34" s="530">
        <f>Q34-N34</f>
        <v>0</v>
      </c>
      <c r="S34" s="530">
        <f>'F2.2'!S25</f>
        <v>0.10249999999999999</v>
      </c>
      <c r="T34" s="530">
        <f>'F2.2'!T25</f>
        <v>0.10249999999999999</v>
      </c>
      <c r="U34" s="530">
        <f>'F2.2'!U25</f>
        <v>0.10249999999999999</v>
      </c>
      <c r="V34" s="530">
        <f>'F2.2'!V25</f>
        <v>0.10249999999999999</v>
      </c>
      <c r="W34" s="530">
        <f>'F2.2'!W25</f>
        <v>0.10249999999999999</v>
      </c>
      <c r="X34" s="534"/>
    </row>
    <row r="35" spans="1:24" s="1222" customFormat="1" x14ac:dyDescent="0.25">
      <c r="B35" s="359">
        <v>5.2</v>
      </c>
      <c r="C35" s="378" t="s">
        <v>691</v>
      </c>
      <c r="D35" s="359" t="s">
        <v>98</v>
      </c>
      <c r="E35" s="359"/>
      <c r="F35" s="1206">
        <v>0</v>
      </c>
      <c r="G35" s="530">
        <f t="shared" ref="G35:G36" si="7">F35</f>
        <v>0</v>
      </c>
      <c r="H35" s="450"/>
      <c r="I35" s="814"/>
      <c r="J35" s="1206">
        <v>0</v>
      </c>
      <c r="K35" s="530">
        <f t="shared" ref="K35:K36" si="8">J35</f>
        <v>0</v>
      </c>
      <c r="L35" s="530">
        <f t="shared" si="6"/>
        <v>0</v>
      </c>
      <c r="M35" s="815"/>
      <c r="N35" s="530">
        <f>'F2.2'!N26</f>
        <v>0</v>
      </c>
      <c r="O35" s="450"/>
      <c r="P35" s="450"/>
      <c r="Q35" s="560"/>
      <c r="R35" s="530"/>
      <c r="S35" s="530">
        <f>'F2.2'!S26</f>
        <v>0</v>
      </c>
      <c r="T35" s="530">
        <f>'F2.2'!T26</f>
        <v>0</v>
      </c>
      <c r="U35" s="530">
        <f>'F2.2'!U26</f>
        <v>0</v>
      </c>
      <c r="V35" s="530">
        <f>'F2.2'!V26</f>
        <v>0</v>
      </c>
      <c r="W35" s="530">
        <f>'F2.2'!W26</f>
        <v>0</v>
      </c>
      <c r="X35" s="390"/>
    </row>
    <row r="36" spans="1:24" s="1222" customFormat="1" ht="31" x14ac:dyDescent="0.25">
      <c r="B36" s="359"/>
      <c r="C36" s="378" t="s">
        <v>989</v>
      </c>
      <c r="D36" s="359" t="s">
        <v>98</v>
      </c>
      <c r="E36" s="359"/>
      <c r="F36" s="1206">
        <v>0</v>
      </c>
      <c r="G36" s="530">
        <f t="shared" si="7"/>
        <v>0</v>
      </c>
      <c r="H36" s="450"/>
      <c r="I36" s="814"/>
      <c r="J36" s="1206">
        <v>0</v>
      </c>
      <c r="K36" s="530">
        <f t="shared" si="8"/>
        <v>0</v>
      </c>
      <c r="L36" s="530"/>
      <c r="M36" s="815"/>
      <c r="N36" s="530">
        <f>'F2.2'!N27</f>
        <v>0</v>
      </c>
      <c r="O36" s="450"/>
      <c r="P36" s="450"/>
      <c r="Q36" s="560"/>
      <c r="R36" s="530"/>
      <c r="S36" s="530"/>
      <c r="T36" s="530"/>
      <c r="U36" s="530"/>
      <c r="V36" s="530"/>
      <c r="W36" s="530"/>
      <c r="X36" s="390"/>
    </row>
    <row r="37" spans="1:24" s="1222" customFormat="1" x14ac:dyDescent="0.25">
      <c r="B37" s="359"/>
      <c r="C37" s="378" t="s">
        <v>990</v>
      </c>
      <c r="D37" s="359" t="s">
        <v>98</v>
      </c>
      <c r="E37" s="775">
        <f>SUM(E34:E36)</f>
        <v>9.2999999999999999E-2</v>
      </c>
      <c r="F37" s="1230">
        <f>SUM(F34:F36)</f>
        <v>0.10249999999999999</v>
      </c>
      <c r="G37" s="1230">
        <f>SUM(G34:G36)</f>
        <v>0.10249999999999999</v>
      </c>
      <c r="H37" s="450"/>
      <c r="I37" s="626">
        <f>SUM(I34:I36)</f>
        <v>9.2999999999999999E-2</v>
      </c>
      <c r="J37" s="1230">
        <f>SUM(J34:J36)</f>
        <v>0.10249999999999999</v>
      </c>
      <c r="K37" s="1230">
        <f>SUM(K34:K36)</f>
        <v>0.10249999999999999</v>
      </c>
      <c r="L37" s="530"/>
      <c r="M37" s="626">
        <f>SUM(M34:M36)</f>
        <v>9.2999999999999999E-2</v>
      </c>
      <c r="N37" s="626">
        <f t="shared" ref="N37:Q37" si="9">SUM(N34:N36)</f>
        <v>0.10249999999999999</v>
      </c>
      <c r="O37" s="626">
        <f t="shared" si="9"/>
        <v>0.10249999999999999</v>
      </c>
      <c r="P37" s="626">
        <f t="shared" si="9"/>
        <v>0.10249999999999999</v>
      </c>
      <c r="Q37" s="626">
        <f t="shared" si="9"/>
        <v>0.10249999999999999</v>
      </c>
      <c r="R37" s="530"/>
      <c r="S37" s="530"/>
      <c r="T37" s="530"/>
      <c r="U37" s="530"/>
      <c r="V37" s="530"/>
      <c r="W37" s="530"/>
      <c r="X37" s="390"/>
    </row>
    <row r="38" spans="1:24" s="1222" customFormat="1" ht="31" x14ac:dyDescent="0.25">
      <c r="B38" s="359">
        <v>5.3</v>
      </c>
      <c r="C38" s="378" t="s">
        <v>999</v>
      </c>
      <c r="D38" s="359" t="s">
        <v>98</v>
      </c>
      <c r="E38" s="620"/>
      <c r="F38" s="530">
        <f>F34</f>
        <v>0.10249999999999999</v>
      </c>
      <c r="G38" s="1206">
        <v>0.11584041333240305</v>
      </c>
      <c r="H38" s="530">
        <f>G38-F38</f>
        <v>1.3340413332403059E-2</v>
      </c>
      <c r="I38" s="815"/>
      <c r="J38" s="530">
        <f>J34</f>
        <v>0.10249999999999999</v>
      </c>
      <c r="K38" s="1206">
        <v>0.11481383128306516</v>
      </c>
      <c r="L38" s="530">
        <f>K38-J38</f>
        <v>1.2313831283065166E-2</v>
      </c>
      <c r="M38" s="815"/>
      <c r="N38" s="530">
        <f>N34</f>
        <v>0.10249999999999999</v>
      </c>
      <c r="O38" s="530">
        <f>'F2.2'!O29</f>
        <v>0.12232551447203253</v>
      </c>
      <c r="P38" s="530">
        <f>'F2.2'!P29</f>
        <v>0.10249999999999999</v>
      </c>
      <c r="Q38" s="530">
        <f>'F2.2'!Q29</f>
        <v>0.11029526757742281</v>
      </c>
      <c r="R38" s="530">
        <f t="shared" ref="R38:R45" si="10">Q38-N38</f>
        <v>7.7952675774228125E-3</v>
      </c>
      <c r="S38" s="530">
        <f>'F2.2'!S29</f>
        <v>0.10249999999999999</v>
      </c>
      <c r="T38" s="530">
        <f>'F2.2'!T29</f>
        <v>0.10249999999999999</v>
      </c>
      <c r="U38" s="530">
        <f>'F2.2'!U29</f>
        <v>0.10249999999999999</v>
      </c>
      <c r="V38" s="530">
        <f>'F2.2'!V29</f>
        <v>0.10249999999999999</v>
      </c>
      <c r="W38" s="530">
        <f>'F2.2'!W29</f>
        <v>0.10249999999999999</v>
      </c>
      <c r="X38" s="390"/>
    </row>
    <row r="39" spans="1:24" s="1222" customFormat="1" x14ac:dyDescent="0.25">
      <c r="B39" s="359">
        <v>5.4</v>
      </c>
      <c r="C39" s="378" t="s">
        <v>1000</v>
      </c>
      <c r="D39" s="359" t="s">
        <v>98</v>
      </c>
      <c r="E39" s="359"/>
      <c r="F39" s="530">
        <f t="shared" ref="F39:F40" si="11">F35</f>
        <v>0</v>
      </c>
      <c r="G39" s="1206">
        <v>0</v>
      </c>
      <c r="H39" s="530">
        <f t="shared" ref="H39:H41" si="12">G39-F39</f>
        <v>0</v>
      </c>
      <c r="I39" s="814"/>
      <c r="J39" s="530">
        <f t="shared" ref="J39:J40" si="13">J35</f>
        <v>0</v>
      </c>
      <c r="K39" s="1206">
        <v>0</v>
      </c>
      <c r="L39" s="530">
        <f t="shared" si="6"/>
        <v>0</v>
      </c>
      <c r="M39" s="815"/>
      <c r="N39" s="530"/>
      <c r="O39" s="450"/>
      <c r="P39" s="450"/>
      <c r="Q39" s="560"/>
      <c r="R39" s="530"/>
      <c r="S39" s="530">
        <f>'F2.2'!S30</f>
        <v>0</v>
      </c>
      <c r="T39" s="530">
        <f>'F2.2'!T30</f>
        <v>0</v>
      </c>
      <c r="U39" s="530">
        <f>'F2.2'!U30</f>
        <v>0</v>
      </c>
      <c r="V39" s="530">
        <f>'F2.2'!V30</f>
        <v>0</v>
      </c>
      <c r="W39" s="530">
        <f>'F2.2'!W30</f>
        <v>0</v>
      </c>
      <c r="X39" s="390"/>
    </row>
    <row r="40" spans="1:24" s="1222" customFormat="1" ht="31" x14ac:dyDescent="0.25">
      <c r="B40" s="359"/>
      <c r="C40" s="378" t="s">
        <v>1001</v>
      </c>
      <c r="D40" s="359" t="s">
        <v>98</v>
      </c>
      <c r="E40" s="359"/>
      <c r="F40" s="530">
        <f t="shared" si="11"/>
        <v>0</v>
      </c>
      <c r="G40" s="1206">
        <v>0</v>
      </c>
      <c r="H40" s="530">
        <f t="shared" si="12"/>
        <v>0</v>
      </c>
      <c r="I40" s="814"/>
      <c r="J40" s="530">
        <f t="shared" si="13"/>
        <v>0</v>
      </c>
      <c r="K40" s="1206">
        <v>0</v>
      </c>
      <c r="L40" s="530">
        <f t="shared" si="6"/>
        <v>0</v>
      </c>
      <c r="M40" s="815"/>
      <c r="N40" s="530"/>
      <c r="O40" s="450"/>
      <c r="P40" s="450"/>
      <c r="Q40" s="560"/>
      <c r="R40" s="530"/>
      <c r="S40" s="530"/>
      <c r="T40" s="530"/>
      <c r="U40" s="530"/>
      <c r="V40" s="530"/>
      <c r="W40" s="530"/>
      <c r="X40" s="390"/>
    </row>
    <row r="41" spans="1:24" s="1222" customFormat="1" x14ac:dyDescent="0.25">
      <c r="B41" s="359"/>
      <c r="C41" s="378" t="s">
        <v>1002</v>
      </c>
      <c r="D41" s="359"/>
      <c r="E41" s="775"/>
      <c r="F41" s="450">
        <f>SUM(F38:F40)</f>
        <v>0.10249999999999999</v>
      </c>
      <c r="G41" s="450">
        <f>SUM(G38:G40)</f>
        <v>0.11584041333240305</v>
      </c>
      <c r="H41" s="530">
        <f t="shared" si="12"/>
        <v>1.3340413332403059E-2</v>
      </c>
      <c r="I41" s="814"/>
      <c r="J41" s="450">
        <f>SUM(J38:J40)</f>
        <v>0.10249999999999999</v>
      </c>
      <c r="K41" s="450">
        <f>SUM(K38:K40)</f>
        <v>0.11481383128306516</v>
      </c>
      <c r="L41" s="450">
        <f>SUM(L38:L40)</f>
        <v>1.2313831283065166E-2</v>
      </c>
      <c r="M41" s="815"/>
      <c r="N41" s="450">
        <f t="shared" ref="N41:Q41" si="14">SUM(N38:N40)</f>
        <v>0.10249999999999999</v>
      </c>
      <c r="O41" s="450">
        <f t="shared" si="14"/>
        <v>0.12232551447203253</v>
      </c>
      <c r="P41" s="450">
        <f t="shared" si="14"/>
        <v>0.10249999999999999</v>
      </c>
      <c r="Q41" s="450">
        <f t="shared" si="14"/>
        <v>0.11029526757742281</v>
      </c>
      <c r="R41" s="530"/>
      <c r="S41" s="530"/>
      <c r="T41" s="530"/>
      <c r="U41" s="530"/>
      <c r="V41" s="530"/>
      <c r="W41" s="530"/>
      <c r="X41" s="390"/>
    </row>
    <row r="42" spans="1:24" s="1228" customFormat="1" ht="31" x14ac:dyDescent="0.25">
      <c r="A42" s="1222"/>
      <c r="B42" s="388">
        <v>5.5</v>
      </c>
      <c r="C42" s="416" t="s">
        <v>1003</v>
      </c>
      <c r="D42" s="388" t="s">
        <v>100</v>
      </c>
      <c r="E42" s="505">
        <f>E$30*E37</f>
        <v>326.00292990978335</v>
      </c>
      <c r="F42" s="505">
        <f>F$30*F41</f>
        <v>286.47161249999994</v>
      </c>
      <c r="G42" s="505">
        <f>G$30*G41</f>
        <v>323.75599999999997</v>
      </c>
      <c r="H42" s="505">
        <f t="shared" ref="H42:H45" si="15">G42-F42</f>
        <v>37.284387500000037</v>
      </c>
      <c r="I42" s="505">
        <f>I$30*I37</f>
        <v>347.18759999999997</v>
      </c>
      <c r="J42" s="505">
        <f t="shared" ref="J42:K42" si="16">J$30*J41</f>
        <v>287.94566500000002</v>
      </c>
      <c r="K42" s="505">
        <f t="shared" si="16"/>
        <v>322.53800000000001</v>
      </c>
      <c r="L42" s="505">
        <f t="shared" ref="L42:L45" si="17">K42-J42</f>
        <v>34.592334999999991</v>
      </c>
      <c r="M42" s="505">
        <f>M$30*M37</f>
        <v>346.23899999999998</v>
      </c>
      <c r="N42" s="505">
        <f t="shared" ref="N42:Q42" si="18">N$30*N41</f>
        <v>315.246765180632</v>
      </c>
      <c r="O42" s="505">
        <f t="shared" si="18"/>
        <v>147.928</v>
      </c>
      <c r="P42" s="505">
        <f>P$30*P41</f>
        <v>191.29372018063202</v>
      </c>
      <c r="Q42" s="505">
        <f t="shared" si="18"/>
        <v>339.22172018063202</v>
      </c>
      <c r="R42" s="505">
        <f t="shared" si="10"/>
        <v>23.974955000000023</v>
      </c>
      <c r="S42" s="505">
        <f t="shared" ref="S42:W42" si="19">S$30*S38</f>
        <v>381.5980583602294</v>
      </c>
      <c r="T42" s="505">
        <f t="shared" si="19"/>
        <v>381.61129191640532</v>
      </c>
      <c r="U42" s="505">
        <f t="shared" si="19"/>
        <v>381.61129191640532</v>
      </c>
      <c r="V42" s="505">
        <f t="shared" si="19"/>
        <v>381.62452547258135</v>
      </c>
      <c r="W42" s="505">
        <f t="shared" si="19"/>
        <v>381.5980583602294</v>
      </c>
      <c r="X42" s="390"/>
    </row>
    <row r="43" spans="1:24" s="1228" customFormat="1" ht="31" x14ac:dyDescent="0.25">
      <c r="A43" s="1222"/>
      <c r="B43" s="388"/>
      <c r="C43" s="378" t="s">
        <v>1004</v>
      </c>
      <c r="D43" s="388" t="s">
        <v>100</v>
      </c>
      <c r="E43" s="388"/>
      <c r="F43" s="505">
        <f t="shared" ref="F43:G44" si="20">F$30*F39</f>
        <v>0</v>
      </c>
      <c r="G43" s="505">
        <f t="shared" si="20"/>
        <v>0</v>
      </c>
      <c r="H43" s="505">
        <f t="shared" si="15"/>
        <v>0</v>
      </c>
      <c r="I43" s="816"/>
      <c r="J43" s="505">
        <f t="shared" ref="J43:K43" si="21">J$30*J39</f>
        <v>0</v>
      </c>
      <c r="K43" s="505">
        <f t="shared" si="21"/>
        <v>0</v>
      </c>
      <c r="L43" s="505">
        <f t="shared" si="17"/>
        <v>0</v>
      </c>
      <c r="M43" s="816"/>
      <c r="N43" s="505">
        <f t="shared" ref="N43:P43" si="22">N$30*N39</f>
        <v>0</v>
      </c>
      <c r="O43" s="505">
        <f t="shared" si="22"/>
        <v>0</v>
      </c>
      <c r="P43" s="505">
        <f t="shared" si="22"/>
        <v>0</v>
      </c>
      <c r="Q43" s="561">
        <f t="shared" ref="Q43:Q45" si="23">O43+P43</f>
        <v>0</v>
      </c>
      <c r="R43" s="505">
        <f t="shared" si="10"/>
        <v>0</v>
      </c>
      <c r="S43" s="505">
        <f t="shared" ref="S43:W43" si="24">S$30*S39</f>
        <v>0</v>
      </c>
      <c r="T43" s="505">
        <f t="shared" si="24"/>
        <v>0</v>
      </c>
      <c r="U43" s="505">
        <f t="shared" si="24"/>
        <v>0</v>
      </c>
      <c r="V43" s="505">
        <f t="shared" si="24"/>
        <v>0</v>
      </c>
      <c r="W43" s="505">
        <f t="shared" si="24"/>
        <v>0</v>
      </c>
      <c r="X43" s="390"/>
    </row>
    <row r="44" spans="1:24" s="1228" customFormat="1" ht="31" x14ac:dyDescent="0.25">
      <c r="A44" s="1222"/>
      <c r="B44" s="388"/>
      <c r="C44" s="378" t="s">
        <v>1005</v>
      </c>
      <c r="D44" s="388" t="s">
        <v>100</v>
      </c>
      <c r="E44" s="388"/>
      <c r="F44" s="505">
        <f t="shared" si="20"/>
        <v>0</v>
      </c>
      <c r="G44" s="505">
        <f t="shared" si="20"/>
        <v>0</v>
      </c>
      <c r="H44" s="505">
        <f t="shared" si="15"/>
        <v>0</v>
      </c>
      <c r="I44" s="816"/>
      <c r="J44" s="505">
        <f t="shared" ref="J44:K44" si="25">J$30*J40</f>
        <v>0</v>
      </c>
      <c r="K44" s="505">
        <f t="shared" si="25"/>
        <v>0</v>
      </c>
      <c r="L44" s="505">
        <f t="shared" si="17"/>
        <v>0</v>
      </c>
      <c r="M44" s="816"/>
      <c r="N44" s="505">
        <f t="shared" ref="N44:P44" si="26">N$30*N40</f>
        <v>0</v>
      </c>
      <c r="O44" s="505">
        <f t="shared" si="26"/>
        <v>0</v>
      </c>
      <c r="P44" s="505">
        <f t="shared" si="26"/>
        <v>0</v>
      </c>
      <c r="Q44" s="561">
        <f t="shared" si="23"/>
        <v>0</v>
      </c>
      <c r="R44" s="505">
        <f t="shared" si="10"/>
        <v>0</v>
      </c>
      <c r="S44" s="505">
        <f t="shared" ref="S44:W44" si="27">S$30*S40</f>
        <v>0</v>
      </c>
      <c r="T44" s="505">
        <f t="shared" si="27"/>
        <v>0</v>
      </c>
      <c r="U44" s="505">
        <f t="shared" si="27"/>
        <v>0</v>
      </c>
      <c r="V44" s="505">
        <f t="shared" si="27"/>
        <v>0</v>
      </c>
      <c r="W44" s="505">
        <f t="shared" si="27"/>
        <v>0</v>
      </c>
      <c r="X44" s="390"/>
    </row>
    <row r="45" spans="1:24" s="1222" customFormat="1" x14ac:dyDescent="0.25">
      <c r="B45" s="359">
        <v>5.6</v>
      </c>
      <c r="C45" s="378" t="s">
        <v>1006</v>
      </c>
      <c r="D45" s="359" t="s">
        <v>100</v>
      </c>
      <c r="E45" s="523">
        <f>SUM(E42:E44)</f>
        <v>326.00292990978335</v>
      </c>
      <c r="F45" s="523">
        <f>SUM(F42:F44)</f>
        <v>286.47161249999994</v>
      </c>
      <c r="G45" s="523">
        <f>SUM(G42:G44)</f>
        <v>323.75599999999997</v>
      </c>
      <c r="H45" s="505">
        <f t="shared" si="15"/>
        <v>37.284387500000037</v>
      </c>
      <c r="I45" s="523">
        <f>SUM(I42:I44)</f>
        <v>347.18759999999997</v>
      </c>
      <c r="J45" s="523">
        <f>SUM(J42:J44)</f>
        <v>287.94566500000002</v>
      </c>
      <c r="K45" s="523">
        <f>SUM(K42:K44)</f>
        <v>322.53800000000001</v>
      </c>
      <c r="L45" s="505">
        <f t="shared" si="17"/>
        <v>34.592334999999991</v>
      </c>
      <c r="M45" s="523">
        <f>SUM(M42:M44)</f>
        <v>346.23899999999998</v>
      </c>
      <c r="N45" s="523">
        <f>SUM(N42:N44)</f>
        <v>315.246765180632</v>
      </c>
      <c r="O45" s="523">
        <f>SUM(O42:O44)</f>
        <v>147.928</v>
      </c>
      <c r="P45" s="523">
        <f>SUM(P42:P44)</f>
        <v>191.29372018063202</v>
      </c>
      <c r="Q45" s="561">
        <f t="shared" si="23"/>
        <v>339.22172018063202</v>
      </c>
      <c r="R45" s="505">
        <f t="shared" si="10"/>
        <v>23.974955000000023</v>
      </c>
      <c r="S45" s="523">
        <f t="shared" ref="S45:W45" si="28">SUM(S42:S44)</f>
        <v>381.5980583602294</v>
      </c>
      <c r="T45" s="523">
        <f t="shared" si="28"/>
        <v>381.61129191640532</v>
      </c>
      <c r="U45" s="523">
        <f t="shared" si="28"/>
        <v>381.61129191640532</v>
      </c>
      <c r="V45" s="523">
        <f t="shared" si="28"/>
        <v>381.62452547258135</v>
      </c>
      <c r="W45" s="523">
        <f t="shared" si="28"/>
        <v>381.5980583602294</v>
      </c>
      <c r="X45" s="390"/>
    </row>
    <row r="46" spans="1:24" s="1222" customFormat="1" x14ac:dyDescent="0.25">
      <c r="B46" s="359"/>
      <c r="C46" s="378"/>
      <c r="D46" s="359"/>
      <c r="E46" s="359"/>
      <c r="F46" s="505"/>
      <c r="G46" s="505"/>
      <c r="H46" s="505"/>
      <c r="I46" s="816"/>
      <c r="J46" s="505"/>
      <c r="K46" s="505"/>
      <c r="L46" s="505"/>
      <c r="M46" s="816"/>
      <c r="N46" s="505"/>
      <c r="O46" s="505"/>
      <c r="P46" s="505"/>
      <c r="Q46" s="505"/>
      <c r="R46" s="505"/>
      <c r="S46" s="505"/>
      <c r="T46" s="505"/>
      <c r="U46" s="505"/>
      <c r="V46" s="505"/>
      <c r="W46" s="505"/>
      <c r="X46" s="390"/>
    </row>
    <row r="47" spans="1:24" s="1222" customFormat="1" x14ac:dyDescent="0.25">
      <c r="B47" s="387">
        <v>6</v>
      </c>
      <c r="C47" s="396" t="s">
        <v>101</v>
      </c>
      <c r="D47" s="359"/>
      <c r="E47" s="359"/>
      <c r="F47" s="505"/>
      <c r="G47" s="505"/>
      <c r="H47" s="505"/>
      <c r="I47" s="816"/>
      <c r="J47" s="505"/>
      <c r="K47" s="505"/>
      <c r="L47" s="505"/>
      <c r="M47" s="816"/>
      <c r="N47" s="505"/>
      <c r="O47" s="505"/>
      <c r="P47" s="505"/>
      <c r="Q47" s="505"/>
      <c r="R47" s="505"/>
      <c r="S47" s="505"/>
      <c r="T47" s="505"/>
      <c r="U47" s="505"/>
      <c r="V47" s="505"/>
      <c r="W47" s="505"/>
      <c r="X47" s="390"/>
    </row>
    <row r="48" spans="1:24" s="1228" customFormat="1" x14ac:dyDescent="0.25">
      <c r="A48" s="1222"/>
      <c r="B48" s="388">
        <v>6.1</v>
      </c>
      <c r="C48" s="377" t="s">
        <v>693</v>
      </c>
      <c r="D48" s="388" t="s">
        <v>100</v>
      </c>
      <c r="E48" s="816">
        <f>E30*(1-E37)</f>
        <v>3179.4049185825106</v>
      </c>
      <c r="F48" s="505">
        <f>F30-F45</f>
        <v>2508.3733874999998</v>
      </c>
      <c r="G48" s="505">
        <f t="shared" ref="G48" si="29">G30-G45</f>
        <v>2471.0889999999999</v>
      </c>
      <c r="H48" s="505">
        <f>G48-F48</f>
        <v>-37.284387499999866</v>
      </c>
      <c r="I48" s="816">
        <f>I30*(1-I37)</f>
        <v>3386.0124000000001</v>
      </c>
      <c r="J48" s="505">
        <f>J30-J45</f>
        <v>2521.2803349999999</v>
      </c>
      <c r="K48" s="505">
        <f t="shared" ref="K48" si="30">K30-K45</f>
        <v>2486.6880000000001</v>
      </c>
      <c r="L48" s="505">
        <f>K48-J48</f>
        <v>-34.592334999999821</v>
      </c>
      <c r="M48" s="816">
        <f>M30*(1-M37)</f>
        <v>3376.761</v>
      </c>
      <c r="N48" s="505">
        <f>N30-N45</f>
        <v>2760.3314317035829</v>
      </c>
      <c r="O48" s="505">
        <f t="shared" ref="O48:P48" si="31">O30-O45</f>
        <v>1061.3699999999999</v>
      </c>
      <c r="P48" s="505">
        <f t="shared" si="31"/>
        <v>1674.9864767035829</v>
      </c>
      <c r="Q48" s="561">
        <f>O48+P48</f>
        <v>2736.3564767035828</v>
      </c>
      <c r="R48" s="505">
        <f>Q48-N48</f>
        <v>-23.974955000000136</v>
      </c>
      <c r="S48" s="505">
        <f t="shared" ref="S48:W48" si="32">S30-S45</f>
        <v>3341.3098280810332</v>
      </c>
      <c r="T48" s="505">
        <f t="shared" si="32"/>
        <v>3341.4257023899886</v>
      </c>
      <c r="U48" s="505">
        <f t="shared" si="32"/>
        <v>3341.4257023899886</v>
      </c>
      <c r="V48" s="505">
        <f t="shared" si="32"/>
        <v>3341.5415766989445</v>
      </c>
      <c r="W48" s="505">
        <f t="shared" si="32"/>
        <v>3341.3098280810332</v>
      </c>
      <c r="X48" s="390"/>
    </row>
    <row r="49" spans="2:24" s="1222" customFormat="1" x14ac:dyDescent="0.25">
      <c r="B49" s="359">
        <v>6.2</v>
      </c>
      <c r="C49" s="374" t="s">
        <v>694</v>
      </c>
      <c r="D49" s="359" t="s">
        <v>100</v>
      </c>
      <c r="E49" s="380"/>
      <c r="F49" s="523"/>
      <c r="G49" s="523"/>
      <c r="H49" s="523">
        <f>G49-F49</f>
        <v>0</v>
      </c>
      <c r="I49" s="629"/>
      <c r="J49" s="505"/>
      <c r="K49" s="523"/>
      <c r="L49" s="505">
        <f>K49-J49</f>
        <v>0</v>
      </c>
      <c r="M49" s="816"/>
      <c r="N49" s="505"/>
      <c r="O49" s="523"/>
      <c r="P49" s="523"/>
      <c r="Q49" s="523">
        <f>O49+P49</f>
        <v>0</v>
      </c>
      <c r="R49" s="523">
        <f>Q49-N49</f>
        <v>0</v>
      </c>
      <c r="S49" s="523"/>
      <c r="T49" s="523"/>
      <c r="U49" s="523"/>
      <c r="V49" s="523"/>
      <c r="W49" s="523"/>
      <c r="X49" s="390"/>
    </row>
    <row r="50" spans="2:24" s="1222" customFormat="1" x14ac:dyDescent="0.25">
      <c r="B50" s="359"/>
      <c r="C50" s="378"/>
      <c r="D50" s="359"/>
      <c r="E50" s="359"/>
      <c r="F50" s="505"/>
      <c r="G50" s="505"/>
      <c r="H50" s="505"/>
      <c r="I50" s="816"/>
      <c r="J50" s="505"/>
      <c r="K50" s="505"/>
      <c r="L50" s="505"/>
      <c r="M50" s="816"/>
      <c r="N50" s="505"/>
      <c r="O50" s="505"/>
      <c r="P50" s="505"/>
      <c r="Q50" s="505"/>
      <c r="R50" s="505"/>
      <c r="S50" s="505"/>
      <c r="T50" s="505"/>
      <c r="U50" s="505"/>
      <c r="V50" s="505"/>
      <c r="W50" s="505"/>
      <c r="X50" s="390"/>
    </row>
    <row r="51" spans="2:24" s="1222" customFormat="1" x14ac:dyDescent="0.25">
      <c r="B51" s="387">
        <v>7</v>
      </c>
      <c r="C51" s="396" t="s">
        <v>446</v>
      </c>
      <c r="D51" s="359"/>
      <c r="E51" s="359"/>
      <c r="F51" s="505"/>
      <c r="G51" s="505"/>
      <c r="H51" s="505"/>
      <c r="I51" s="816"/>
      <c r="J51" s="505"/>
      <c r="K51" s="505"/>
      <c r="L51" s="505"/>
      <c r="M51" s="816"/>
      <c r="N51" s="505"/>
      <c r="O51" s="505"/>
      <c r="P51" s="505"/>
      <c r="Q51" s="505"/>
      <c r="R51" s="505"/>
      <c r="S51" s="505"/>
      <c r="T51" s="505"/>
      <c r="U51" s="505"/>
      <c r="V51" s="505"/>
      <c r="W51" s="505"/>
      <c r="X51" s="390"/>
    </row>
    <row r="52" spans="2:24" s="1222" customFormat="1" x14ac:dyDescent="0.25">
      <c r="B52" s="359">
        <f>B51+0.1</f>
        <v>7.1</v>
      </c>
      <c r="C52" s="378" t="s">
        <v>102</v>
      </c>
      <c r="D52" s="359" t="s">
        <v>103</v>
      </c>
      <c r="E52" s="380">
        <v>2430</v>
      </c>
      <c r="F52" s="505">
        <f>'F2.2'!F39</f>
        <v>2430</v>
      </c>
      <c r="G52" s="1231"/>
      <c r="H52" s="1231"/>
      <c r="I52" s="816">
        <v>2430</v>
      </c>
      <c r="J52" s="505">
        <f>'F2.2'!J39</f>
        <v>2430</v>
      </c>
      <c r="K52" s="1231"/>
      <c r="L52" s="1231"/>
      <c r="M52" s="816">
        <v>2430</v>
      </c>
      <c r="N52" s="505">
        <f>'F2.2'!$N$39</f>
        <v>2430</v>
      </c>
      <c r="O52" s="1232"/>
      <c r="P52" s="1232"/>
      <c r="Q52" s="505">
        <f>'F2.2'!Q39</f>
        <v>0</v>
      </c>
      <c r="R52" s="505">
        <f>Q52-N52</f>
        <v>-2430</v>
      </c>
      <c r="S52" s="505">
        <f>'F2.2'!S39</f>
        <v>0</v>
      </c>
      <c r="T52" s="505">
        <f>'F2.2'!T39</f>
        <v>0</v>
      </c>
      <c r="U52" s="505">
        <f>'F2.2'!U39</f>
        <v>0</v>
      </c>
      <c r="V52" s="505">
        <f>'F2.2'!V39</f>
        <v>0</v>
      </c>
      <c r="W52" s="505">
        <f>'F2.2'!W39</f>
        <v>0</v>
      </c>
      <c r="X52" s="390"/>
    </row>
    <row r="53" spans="2:24" s="1222" customFormat="1" x14ac:dyDescent="0.25">
      <c r="B53" s="359">
        <f>B52+0.1</f>
        <v>7.1999999999999993</v>
      </c>
      <c r="C53" s="374" t="s">
        <v>316</v>
      </c>
      <c r="D53" s="359" t="s">
        <v>103</v>
      </c>
      <c r="E53" s="380"/>
      <c r="F53" s="1231"/>
      <c r="G53" s="505">
        <f>'F2.2'!G40</f>
        <v>2517.2425387683684</v>
      </c>
      <c r="H53" s="505">
        <f>G53-F52</f>
        <v>87.242538768368377</v>
      </c>
      <c r="I53" s="816"/>
      <c r="J53" s="1231"/>
      <c r="K53" s="505">
        <f>'F2.2'!$K$40</f>
        <v>2452.2830775074544</v>
      </c>
      <c r="L53" s="1233">
        <f>K53-J52</f>
        <v>22.283077507454436</v>
      </c>
      <c r="M53" s="816"/>
      <c r="N53" s="1232"/>
      <c r="O53" s="505">
        <f>'F2.2'!O40</f>
        <v>2466.0132348147172</v>
      </c>
      <c r="P53" s="505">
        <f>'F2.2'!P40</f>
        <v>2430</v>
      </c>
      <c r="Q53" s="505">
        <f>'F2.2'!Q40</f>
        <v>2444.1601773868369</v>
      </c>
      <c r="R53" s="505">
        <f>Q53-N53</f>
        <v>2444.1601773868369</v>
      </c>
      <c r="S53" s="505">
        <f>'F2.2'!S40</f>
        <v>2415</v>
      </c>
      <c r="T53" s="505">
        <f>'F2.2'!T40</f>
        <v>2415</v>
      </c>
      <c r="U53" s="505">
        <f>'F2.2'!U40</f>
        <v>2415</v>
      </c>
      <c r="V53" s="505">
        <f>'F2.2'!V40</f>
        <v>2415</v>
      </c>
      <c r="W53" s="505">
        <f>'F2.2'!W40</f>
        <v>2415</v>
      </c>
      <c r="X53" s="390"/>
    </row>
    <row r="54" spans="2:24" s="1222" customFormat="1" x14ac:dyDescent="0.25">
      <c r="B54" s="359"/>
      <c r="C54" s="374"/>
      <c r="D54" s="359"/>
      <c r="E54" s="359"/>
      <c r="F54" s="505"/>
      <c r="G54" s="505"/>
      <c r="H54" s="505"/>
      <c r="I54" s="816"/>
      <c r="J54" s="505"/>
      <c r="K54" s="505"/>
      <c r="L54" s="505"/>
      <c r="M54" s="816"/>
      <c r="N54" s="505"/>
      <c r="O54" s="505"/>
      <c r="P54" s="505"/>
      <c r="Q54" s="505"/>
      <c r="R54" s="505"/>
      <c r="S54" s="505"/>
      <c r="T54" s="505"/>
      <c r="U54" s="505"/>
      <c r="V54" s="505"/>
      <c r="W54" s="505"/>
      <c r="X54" s="390"/>
    </row>
    <row r="55" spans="2:24" s="1222" customFormat="1" x14ac:dyDescent="0.25">
      <c r="B55" s="387">
        <v>8</v>
      </c>
      <c r="C55" s="393" t="s">
        <v>374</v>
      </c>
      <c r="D55" s="359"/>
      <c r="E55" s="359"/>
      <c r="F55" s="505"/>
      <c r="G55" s="505"/>
      <c r="H55" s="505"/>
      <c r="I55" s="816"/>
      <c r="J55" s="505"/>
      <c r="K55" s="505"/>
      <c r="L55" s="505"/>
      <c r="M55" s="816"/>
      <c r="N55" s="505"/>
      <c r="O55" s="505"/>
      <c r="P55" s="505"/>
      <c r="Q55" s="505"/>
      <c r="R55" s="505"/>
      <c r="S55" s="505"/>
      <c r="T55" s="505"/>
      <c r="U55" s="505"/>
      <c r="V55" s="505"/>
      <c r="W55" s="505"/>
      <c r="X55" s="390"/>
    </row>
    <row r="56" spans="2:24" s="1222" customFormat="1" x14ac:dyDescent="0.25">
      <c r="B56" s="359">
        <f>B55+0.1</f>
        <v>8.1</v>
      </c>
      <c r="C56" s="374" t="s">
        <v>104</v>
      </c>
      <c r="D56" s="359" t="s">
        <v>105</v>
      </c>
      <c r="E56" s="380">
        <v>0.5</v>
      </c>
      <c r="F56" s="505">
        <f>'F2.2'!$F$41</f>
        <v>0.5</v>
      </c>
      <c r="G56" s="505"/>
      <c r="H56" s="505"/>
      <c r="I56" s="816">
        <v>0.5</v>
      </c>
      <c r="J56" s="505">
        <f>I56</f>
        <v>0.5</v>
      </c>
      <c r="K56" s="505">
        <f>'F2.2'!$K$41</f>
        <v>0</v>
      </c>
      <c r="L56" s="505"/>
      <c r="M56" s="816">
        <v>0.5</v>
      </c>
      <c r="N56" s="505">
        <f>'F2.2'!$N$41</f>
        <v>0.5</v>
      </c>
      <c r="O56" s="505">
        <f>'F2.2'!O41</f>
        <v>0</v>
      </c>
      <c r="P56" s="505">
        <f>'F2.2'!P41</f>
        <v>0</v>
      </c>
      <c r="Q56" s="505">
        <f>'F2.2'!Q41</f>
        <v>0</v>
      </c>
      <c r="R56" s="505">
        <f>Q56-N56</f>
        <v>-0.5</v>
      </c>
      <c r="S56" s="505">
        <f>'F2.2'!S41</f>
        <v>0</v>
      </c>
      <c r="T56" s="505">
        <f>'F2.2'!T41</f>
        <v>0</v>
      </c>
      <c r="U56" s="505">
        <f>'F2.2'!U41</f>
        <v>0</v>
      </c>
      <c r="V56" s="505">
        <f>'F2.2'!V41</f>
        <v>0</v>
      </c>
      <c r="W56" s="505">
        <f>'F2.2'!W41</f>
        <v>0</v>
      </c>
      <c r="X56" s="390"/>
    </row>
    <row r="57" spans="2:24" s="1222" customFormat="1" x14ac:dyDescent="0.25">
      <c r="B57" s="359">
        <f>B56+0.1</f>
        <v>8.1999999999999993</v>
      </c>
      <c r="C57" s="374" t="s">
        <v>317</v>
      </c>
      <c r="D57" s="359" t="s">
        <v>105</v>
      </c>
      <c r="E57" s="380"/>
      <c r="F57" s="505"/>
      <c r="G57" s="505">
        <f>'F2.2'!$G$42</f>
        <v>3.7789999999999999</v>
      </c>
      <c r="H57" s="505">
        <f>G57-F56</f>
        <v>3.2789999999999999</v>
      </c>
      <c r="I57" s="505"/>
      <c r="J57" s="505">
        <f>J56</f>
        <v>0.5</v>
      </c>
      <c r="K57" s="505">
        <f>'F2.2'!$K$42</f>
        <v>2.0628678504328235</v>
      </c>
      <c r="L57" s="505">
        <f>K57-J57</f>
        <v>1.5628678504328235</v>
      </c>
      <c r="M57" s="505"/>
      <c r="N57" s="505">
        <f>N56</f>
        <v>0.5</v>
      </c>
      <c r="O57" s="505">
        <f>'F2.2'!O42</f>
        <v>2.7157086177269791</v>
      </c>
      <c r="P57" s="505">
        <f>'F2.2'!P42</f>
        <v>0.5</v>
      </c>
      <c r="Q57" s="505">
        <f>'F2.2'!Q42</f>
        <v>1.6078543088634896</v>
      </c>
      <c r="R57" s="505">
        <f>Q57-N57</f>
        <v>1.1078543088634896</v>
      </c>
      <c r="S57" s="505">
        <f>'F2.2'!S42</f>
        <v>0.5</v>
      </c>
      <c r="T57" s="505">
        <f>'F2.2'!T42</f>
        <v>0.5</v>
      </c>
      <c r="U57" s="505">
        <f>'F2.2'!U42</f>
        <v>0.5</v>
      </c>
      <c r="V57" s="505">
        <f>'F2.2'!V42</f>
        <v>0.5</v>
      </c>
      <c r="W57" s="505">
        <f>'F2.2'!W42</f>
        <v>0.5</v>
      </c>
      <c r="X57" s="390"/>
    </row>
    <row r="58" spans="2:24" s="1222" customFormat="1" x14ac:dyDescent="0.25">
      <c r="B58" s="359"/>
      <c r="C58" s="374"/>
      <c r="D58" s="359"/>
      <c r="E58" s="359"/>
      <c r="F58" s="388"/>
      <c r="G58" s="388"/>
      <c r="H58" s="388"/>
      <c r="I58" s="388"/>
      <c r="J58" s="388"/>
      <c r="K58" s="388"/>
      <c r="L58" s="388"/>
      <c r="M58" s="389"/>
      <c r="N58" s="388"/>
      <c r="O58" s="388"/>
      <c r="P58" s="388"/>
      <c r="Q58" s="389"/>
      <c r="R58" s="389"/>
      <c r="S58" s="389"/>
      <c r="T58" s="389"/>
      <c r="U58" s="389"/>
      <c r="V58" s="389"/>
      <c r="W58" s="389"/>
      <c r="X58" s="390"/>
    </row>
    <row r="59" spans="2:24" s="1222" customFormat="1" x14ac:dyDescent="0.25">
      <c r="B59" s="387">
        <v>9</v>
      </c>
      <c r="C59" s="393" t="s">
        <v>142</v>
      </c>
      <c r="D59" s="359"/>
      <c r="E59" s="359"/>
      <c r="F59" s="388"/>
      <c r="G59" s="388"/>
      <c r="H59" s="388"/>
      <c r="I59" s="388"/>
      <c r="J59" s="388"/>
      <c r="K59" s="388"/>
      <c r="L59" s="388"/>
      <c r="M59" s="389"/>
      <c r="N59" s="388"/>
      <c r="O59" s="388"/>
      <c r="P59" s="388"/>
      <c r="Q59" s="389"/>
      <c r="R59" s="389"/>
      <c r="S59" s="389"/>
      <c r="T59" s="389"/>
      <c r="U59" s="389"/>
      <c r="V59" s="389"/>
      <c r="W59" s="389"/>
      <c r="X59" s="390"/>
    </row>
    <row r="60" spans="2:24" s="1222" customFormat="1" x14ac:dyDescent="0.25">
      <c r="B60" s="359">
        <f>B59+0.1</f>
        <v>9.1</v>
      </c>
      <c r="C60" s="374" t="s">
        <v>106</v>
      </c>
      <c r="D60" s="359" t="s">
        <v>98</v>
      </c>
      <c r="E60" s="391"/>
      <c r="F60" s="391">
        <f>'F2.2'!F43</f>
        <v>8.0000000000000002E-3</v>
      </c>
      <c r="G60" s="1231"/>
      <c r="H60" s="1234"/>
      <c r="I60" s="391"/>
      <c r="J60" s="391">
        <v>8.0000000000000002E-3</v>
      </c>
      <c r="K60" s="1231"/>
      <c r="L60" s="1234"/>
      <c r="M60" s="391"/>
      <c r="N60" s="391">
        <f>'F2.2'!N43</f>
        <v>8.0000000000000002E-3</v>
      </c>
      <c r="O60" s="1231"/>
      <c r="P60" s="1234"/>
      <c r="Q60" s="1234"/>
      <c r="R60" s="559"/>
      <c r="S60" s="559">
        <f>'F2.2'!S43</f>
        <v>0</v>
      </c>
      <c r="T60" s="559">
        <f>'F2.2'!T43</f>
        <v>0</v>
      </c>
      <c r="U60" s="559">
        <f>'F2.2'!U43</f>
        <v>0</v>
      </c>
      <c r="V60" s="559">
        <f>'F2.2'!V43</f>
        <v>0</v>
      </c>
      <c r="W60" s="559">
        <f>'F2.2'!W43</f>
        <v>0</v>
      </c>
      <c r="X60" s="613"/>
    </row>
    <row r="61" spans="2:24" s="1222" customFormat="1" x14ac:dyDescent="0.25">
      <c r="B61" s="359">
        <f>B60+0.1</f>
        <v>9.1999999999999993</v>
      </c>
      <c r="C61" s="374" t="s">
        <v>318</v>
      </c>
      <c r="D61" s="359" t="s">
        <v>98</v>
      </c>
      <c r="E61" s="391">
        <v>8.0000000000000002E-3</v>
      </c>
      <c r="F61" s="1234"/>
      <c r="G61" s="530">
        <f>'F2.2'!G44</f>
        <v>4.8999999999999998E-3</v>
      </c>
      <c r="H61" s="391">
        <f>G61-F60</f>
        <v>-3.1000000000000003E-3</v>
      </c>
      <c r="I61" s="391"/>
      <c r="J61" s="1234"/>
      <c r="K61" s="530">
        <f>'F2.2'!$K$44</f>
        <v>7.4999999999999997E-3</v>
      </c>
      <c r="L61" s="391">
        <f>K61-J60</f>
        <v>-5.0000000000000044E-4</v>
      </c>
      <c r="M61" s="391"/>
      <c r="N61" s="1234"/>
      <c r="O61" s="530">
        <f>'F2.2'!O44</f>
        <v>5.8504486537598946E-3</v>
      </c>
      <c r="P61" s="530">
        <f>'F2.2'!P44</f>
        <v>8.0000000000000002E-3</v>
      </c>
      <c r="Q61" s="530">
        <f>'F2.2'!Q44</f>
        <v>6.9252243268799474E-3</v>
      </c>
      <c r="R61" s="559">
        <f>Q61-N60</f>
        <v>-1.0747756731200528E-3</v>
      </c>
      <c r="S61" s="559">
        <f>'F2.2'!S44</f>
        <v>8.0000000000000002E-3</v>
      </c>
      <c r="T61" s="559">
        <f>'F2.2'!T44</f>
        <v>8.0000000000000002E-3</v>
      </c>
      <c r="U61" s="559">
        <f>'F2.2'!U44</f>
        <v>8.0000000000000002E-3</v>
      </c>
      <c r="V61" s="559">
        <f>'F2.2'!V44</f>
        <v>8.0000000000000002E-3</v>
      </c>
      <c r="W61" s="559">
        <f>'F2.2'!W44</f>
        <v>8.0000000000000002E-3</v>
      </c>
      <c r="X61" s="613"/>
    </row>
    <row r="62" spans="2:24" s="1222" customFormat="1" x14ac:dyDescent="0.25">
      <c r="B62" s="1235"/>
      <c r="C62" s="1236"/>
      <c r="D62" s="1237"/>
      <c r="E62" s="1237"/>
      <c r="F62" s="1237"/>
      <c r="G62" s="1237"/>
      <c r="H62" s="1237"/>
      <c r="I62" s="1237"/>
      <c r="J62" s="1237"/>
      <c r="K62" s="1237"/>
      <c r="L62" s="1237"/>
      <c r="M62" s="1235"/>
      <c r="N62" s="1235"/>
      <c r="O62" s="1235"/>
      <c r="P62" s="1235"/>
      <c r="Q62" s="1235"/>
      <c r="R62" s="1235"/>
      <c r="S62" s="1235"/>
      <c r="T62" s="1235"/>
      <c r="U62" s="1235"/>
      <c r="V62" s="1235"/>
      <c r="W62" s="1235"/>
    </row>
    <row r="63" spans="2:24" s="1238" customFormat="1" ht="18.5" x14ac:dyDescent="0.35">
      <c r="D63" s="1239"/>
      <c r="E63" s="1239"/>
      <c r="F63" s="1239"/>
      <c r="G63" s="1239"/>
      <c r="H63" s="1239"/>
      <c r="I63" s="1239"/>
      <c r="J63" s="1239"/>
      <c r="K63" s="1239"/>
      <c r="L63" s="1239"/>
      <c r="M63" s="1240"/>
      <c r="N63" s="1240"/>
      <c r="O63" s="1240"/>
      <c r="P63" s="1240"/>
      <c r="Q63" s="1240"/>
      <c r="R63" s="1240"/>
      <c r="S63" s="1240"/>
      <c r="T63" s="1240"/>
      <c r="U63" s="1240"/>
      <c r="V63" s="1240"/>
      <c r="W63" s="1240"/>
    </row>
    <row r="64" spans="2:24" ht="18.5" x14ac:dyDescent="0.35">
      <c r="B64" s="31"/>
      <c r="M64" s="1240"/>
      <c r="N64" s="1240"/>
      <c r="O64" s="1240"/>
      <c r="P64" s="1240"/>
      <c r="Q64" s="1240"/>
      <c r="R64" s="1240"/>
      <c r="S64" s="1240"/>
      <c r="T64" s="1240"/>
      <c r="U64" s="1240"/>
      <c r="V64" s="1240"/>
      <c r="W64" s="1240"/>
    </row>
    <row r="65" spans="3:23" ht="18.5" x14ac:dyDescent="0.35">
      <c r="C65" s="1242"/>
      <c r="M65" s="1240"/>
      <c r="N65" s="1240"/>
      <c r="O65" s="1240"/>
      <c r="P65" s="1240"/>
      <c r="Q65" s="1240"/>
      <c r="R65" s="1240"/>
      <c r="S65" s="1240"/>
      <c r="T65" s="1240"/>
      <c r="U65" s="1240"/>
      <c r="V65" s="1240"/>
      <c r="W65" s="1240"/>
    </row>
    <row r="66" spans="3:23" x14ac:dyDescent="0.35">
      <c r="M66" s="1243"/>
      <c r="N66" s="1243"/>
      <c r="O66" s="1243"/>
      <c r="P66" s="1243"/>
      <c r="Q66" s="1243"/>
      <c r="R66" s="1243"/>
      <c r="S66" s="1243"/>
      <c r="T66" s="1243"/>
      <c r="U66" s="1243"/>
      <c r="V66" s="1243"/>
      <c r="W66" s="1243"/>
    </row>
    <row r="67" spans="3:23" x14ac:dyDescent="0.35">
      <c r="P67" s="1244"/>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99"/>
  <sheetViews>
    <sheetView showGridLines="0" view="pageBreakPreview" zoomScale="80" zoomScaleNormal="80" zoomScaleSheetLayoutView="80" workbookViewId="0">
      <pane xSplit="4" ySplit="8" topLeftCell="F190" activePane="bottomRight" state="frozen"/>
      <selection activeCell="G26" sqref="G26"/>
      <selection pane="topRight" activeCell="G26" sqref="G26"/>
      <selection pane="bottomLeft" activeCell="G26" sqref="G26"/>
      <selection pane="bottomRight" activeCell="I198" sqref="I198"/>
    </sheetView>
  </sheetViews>
  <sheetFormatPr defaultColWidth="9.36328125" defaultRowHeight="15.5" x14ac:dyDescent="0.35"/>
  <cols>
    <col min="1" max="1" width="10.36328125" style="1214" bestFit="1" customWidth="1"/>
    <col min="2" max="2" width="10.54296875" style="1221" bestFit="1" customWidth="1"/>
    <col min="3" max="3" width="27.54296875" style="1214" customWidth="1"/>
    <col min="4" max="4" width="13.36328125" style="1241" bestFit="1" customWidth="1"/>
    <col min="5" max="5" width="13.1796875" style="1241" customWidth="1"/>
    <col min="6" max="6" width="15.1796875" style="1241" customWidth="1"/>
    <col min="7" max="7" width="31.36328125" style="1241" bestFit="1" customWidth="1"/>
    <col min="8" max="8" width="14.81640625" style="1241" bestFit="1" customWidth="1"/>
    <col min="9" max="9" width="14.6328125" style="1241" customWidth="1"/>
    <col min="10" max="10" width="14.453125" style="1241" bestFit="1" customWidth="1"/>
    <col min="11" max="11" width="13.90625" style="1241" bestFit="1" customWidth="1"/>
    <col min="12" max="12" width="13.1796875" style="1241" bestFit="1" customWidth="1"/>
    <col min="13" max="13" width="16.453125" style="1214" customWidth="1"/>
    <col min="14" max="14" width="15.08984375" style="1260" bestFit="1" customWidth="1"/>
    <col min="15" max="15" width="12.54296875" style="1214" customWidth="1"/>
    <col min="16" max="16" width="15" style="1214" bestFit="1" customWidth="1"/>
    <col min="17" max="17" width="15.6328125" style="1214" customWidth="1"/>
    <col min="18" max="18" width="22.453125" style="1214" bestFit="1" customWidth="1"/>
    <col min="19" max="23" width="22.36328125" style="1214" customWidth="1"/>
    <col min="24" max="24" width="11.453125" style="1214" bestFit="1" customWidth="1"/>
    <col min="25" max="16384" width="9.36328125" style="1214"/>
  </cols>
  <sheetData>
    <row r="2" spans="2:24" x14ac:dyDescent="0.35">
      <c r="B2" s="1787" t="str">
        <f>Index!B2</f>
        <v xml:space="preserve">      Maharashtra State Power Generation Company Ltd.</v>
      </c>
      <c r="C2" s="1787"/>
      <c r="D2" s="1787"/>
      <c r="E2" s="1787"/>
      <c r="F2" s="1787"/>
      <c r="G2" s="1787"/>
      <c r="H2" s="1787"/>
      <c r="I2" s="1787"/>
      <c r="J2" s="1787"/>
      <c r="K2" s="1787"/>
      <c r="L2" s="1787"/>
      <c r="M2" s="1215"/>
      <c r="N2" s="1784" t="str">
        <f>B2</f>
        <v xml:space="preserve">      Maharashtra State Power Generation Company Ltd.</v>
      </c>
      <c r="O2" s="1784"/>
      <c r="P2" s="1784"/>
      <c r="Q2" s="1784"/>
      <c r="R2" s="1784"/>
      <c r="S2" s="1784"/>
      <c r="T2" s="1784"/>
      <c r="U2" s="1784"/>
      <c r="V2" s="1784"/>
      <c r="W2" s="1784"/>
      <c r="X2" s="1784"/>
    </row>
    <row r="3" spans="2:24" x14ac:dyDescent="0.35">
      <c r="B3" s="1787" t="str">
        <f>Index!B3</f>
        <v>MYT Petition Formats for Parli Units 6 &amp; 7</v>
      </c>
      <c r="C3" s="1787"/>
      <c r="D3" s="1787"/>
      <c r="E3" s="1787"/>
      <c r="F3" s="1787"/>
      <c r="G3" s="1787"/>
      <c r="H3" s="1787"/>
      <c r="I3" s="1787"/>
      <c r="J3" s="1787"/>
      <c r="K3" s="1787"/>
      <c r="L3" s="1787"/>
      <c r="M3" s="1215"/>
      <c r="N3" s="1784" t="str">
        <f>B3</f>
        <v>MYT Petition Formats for Parli Units 6 &amp; 7</v>
      </c>
      <c r="O3" s="1784"/>
      <c r="P3" s="1784"/>
      <c r="Q3" s="1784"/>
      <c r="R3" s="1784"/>
      <c r="S3" s="1784"/>
      <c r="T3" s="1784"/>
      <c r="U3" s="1784"/>
      <c r="V3" s="1784"/>
      <c r="W3" s="1784"/>
      <c r="X3" s="1784"/>
    </row>
    <row r="4" spans="2:24" x14ac:dyDescent="0.35">
      <c r="B4" s="1787" t="s">
        <v>381</v>
      </c>
      <c r="C4" s="1787"/>
      <c r="D4" s="1787"/>
      <c r="E4" s="1787"/>
      <c r="F4" s="1787"/>
      <c r="G4" s="1787"/>
      <c r="H4" s="1787"/>
      <c r="I4" s="1787"/>
      <c r="J4" s="1787"/>
      <c r="K4" s="1787"/>
      <c r="L4" s="1787"/>
      <c r="M4" s="1215"/>
      <c r="N4" s="1784" t="str">
        <f>B4</f>
        <v>Form 2.2: Energy Charges for Thermal Generation</v>
      </c>
      <c r="O4" s="1784"/>
      <c r="P4" s="1784"/>
      <c r="Q4" s="1784"/>
      <c r="R4" s="1784"/>
      <c r="S4" s="1784"/>
      <c r="T4" s="1784"/>
      <c r="U4" s="1784"/>
      <c r="V4" s="1784"/>
      <c r="W4" s="1784"/>
      <c r="X4" s="1784"/>
    </row>
    <row r="5" spans="2:24" s="31" customFormat="1" x14ac:dyDescent="0.35">
      <c r="B5" s="1245"/>
      <c r="C5" s="1218"/>
      <c r="D5" s="1219"/>
      <c r="E5" s="1219"/>
      <c r="F5" s="1219"/>
      <c r="G5" s="1219"/>
      <c r="H5" s="1219"/>
      <c r="I5" s="1219"/>
      <c r="J5" s="1219"/>
      <c r="K5" s="1219"/>
      <c r="L5" s="1219"/>
      <c r="M5" s="1220"/>
      <c r="N5" s="1246"/>
      <c r="O5" s="1220"/>
      <c r="P5" s="1220"/>
      <c r="Q5" s="1217"/>
      <c r="R5" s="1217"/>
      <c r="S5" s="1217"/>
      <c r="T5" s="1217"/>
      <c r="U5" s="1217"/>
      <c r="V5" s="1217"/>
      <c r="W5" s="1217"/>
    </row>
    <row r="6" spans="2:24" s="1247" customFormat="1" ht="21" customHeight="1" x14ac:dyDescent="0.25">
      <c r="B6" s="1757" t="s">
        <v>339</v>
      </c>
      <c r="C6" s="1785" t="s">
        <v>36</v>
      </c>
      <c r="D6" s="1785" t="s">
        <v>93</v>
      </c>
      <c r="E6" s="1788" t="s">
        <v>506</v>
      </c>
      <c r="F6" s="1789"/>
      <c r="G6" s="1789"/>
      <c r="H6" s="1790"/>
      <c r="I6" s="1788" t="s">
        <v>507</v>
      </c>
      <c r="J6" s="1789"/>
      <c r="K6" s="1789"/>
      <c r="L6" s="1790"/>
      <c r="M6" s="1788" t="s">
        <v>508</v>
      </c>
      <c r="N6" s="1789"/>
      <c r="O6" s="1789"/>
      <c r="P6" s="1789"/>
      <c r="Q6" s="1789"/>
      <c r="R6" s="1790"/>
      <c r="S6" s="1757" t="s">
        <v>967</v>
      </c>
      <c r="T6" s="1757"/>
      <c r="U6" s="1757"/>
      <c r="V6" s="1757"/>
      <c r="W6" s="1757"/>
      <c r="X6" s="1757" t="s">
        <v>26</v>
      </c>
    </row>
    <row r="7" spans="2:24" s="1247" customFormat="1" ht="43.5" customHeight="1" x14ac:dyDescent="0.25">
      <c r="B7" s="1785"/>
      <c r="C7" s="1785"/>
      <c r="D7" s="1785"/>
      <c r="E7" s="1212" t="s">
        <v>1561</v>
      </c>
      <c r="F7" s="1212" t="s">
        <v>916</v>
      </c>
      <c r="G7" s="1212" t="s">
        <v>78</v>
      </c>
      <c r="H7" s="1212" t="s">
        <v>449</v>
      </c>
      <c r="I7" s="1212" t="s">
        <v>1561</v>
      </c>
      <c r="J7" s="1212" t="s">
        <v>916</v>
      </c>
      <c r="K7" s="1212" t="s">
        <v>78</v>
      </c>
      <c r="L7" s="1212" t="s">
        <v>449</v>
      </c>
      <c r="M7" s="1212" t="s">
        <v>1561</v>
      </c>
      <c r="N7" s="1212" t="s">
        <v>916</v>
      </c>
      <c r="O7" s="1212" t="s">
        <v>443</v>
      </c>
      <c r="P7" s="1212" t="s">
        <v>447</v>
      </c>
      <c r="Q7" s="1212" t="s">
        <v>79</v>
      </c>
      <c r="R7" s="1212" t="s">
        <v>450</v>
      </c>
      <c r="S7" s="1212" t="s">
        <v>968</v>
      </c>
      <c r="T7" s="1212" t="s">
        <v>969</v>
      </c>
      <c r="U7" s="1212" t="s">
        <v>970</v>
      </c>
      <c r="V7" s="1212" t="s">
        <v>971</v>
      </c>
      <c r="W7" s="1212" t="s">
        <v>972</v>
      </c>
      <c r="X7" s="1757"/>
    </row>
    <row r="8" spans="2:24" s="1247" customFormat="1" ht="24" customHeight="1" x14ac:dyDescent="0.25">
      <c r="B8" s="1785"/>
      <c r="C8" s="1785"/>
      <c r="D8" s="1785"/>
      <c r="E8" s="1212" t="s">
        <v>80</v>
      </c>
      <c r="F8" s="1212" t="s">
        <v>81</v>
      </c>
      <c r="G8" s="1212" t="s">
        <v>1562</v>
      </c>
      <c r="H8" s="1212" t="s">
        <v>1563</v>
      </c>
      <c r="I8" s="1212" t="s">
        <v>1523</v>
      </c>
      <c r="J8" s="1212" t="s">
        <v>509</v>
      </c>
      <c r="K8" s="1212" t="s">
        <v>409</v>
      </c>
      <c r="L8" s="1212" t="s">
        <v>1564</v>
      </c>
      <c r="M8" s="1212" t="s">
        <v>589</v>
      </c>
      <c r="N8" s="1212" t="s">
        <v>654</v>
      </c>
      <c r="O8" s="1212" t="s">
        <v>590</v>
      </c>
      <c r="P8" s="1212" t="s">
        <v>591</v>
      </c>
      <c r="Q8" s="1212" t="s">
        <v>678</v>
      </c>
      <c r="R8" s="1212" t="s">
        <v>679</v>
      </c>
      <c r="S8" s="1212" t="s">
        <v>21</v>
      </c>
      <c r="T8" s="1212" t="s">
        <v>21</v>
      </c>
      <c r="U8" s="1212" t="s">
        <v>21</v>
      </c>
      <c r="V8" s="1212" t="s">
        <v>21</v>
      </c>
      <c r="W8" s="1212" t="s">
        <v>21</v>
      </c>
      <c r="X8" s="1786"/>
    </row>
    <row r="9" spans="2:24" s="1222" customFormat="1" x14ac:dyDescent="0.3">
      <c r="B9" s="1248"/>
      <c r="C9" s="1249"/>
      <c r="D9" s="1249"/>
      <c r="E9" s="1249"/>
      <c r="F9" s="1249"/>
      <c r="G9" s="1249"/>
      <c r="H9" s="1249"/>
      <c r="I9" s="1249"/>
      <c r="J9" s="1249"/>
      <c r="K9" s="1249"/>
      <c r="L9" s="1249"/>
      <c r="M9" s="387"/>
      <c r="N9" s="387"/>
      <c r="O9" s="387"/>
      <c r="P9" s="387"/>
      <c r="Q9" s="387"/>
      <c r="R9" s="387"/>
      <c r="S9" s="387"/>
      <c r="T9" s="387"/>
      <c r="U9" s="387"/>
      <c r="V9" s="387"/>
      <c r="W9" s="387"/>
      <c r="X9" s="385"/>
    </row>
    <row r="10" spans="2:24" s="1222" customFormat="1" x14ac:dyDescent="0.3">
      <c r="B10" s="370">
        <v>1</v>
      </c>
      <c r="C10" s="371" t="s">
        <v>94</v>
      </c>
      <c r="D10" s="372"/>
      <c r="E10" s="372"/>
      <c r="F10" s="372"/>
      <c r="G10" s="372"/>
      <c r="H10" s="372"/>
      <c r="I10" s="372"/>
      <c r="J10" s="372"/>
      <c r="K10" s="372"/>
      <c r="L10" s="372"/>
      <c r="M10" s="385"/>
      <c r="N10" s="1250"/>
      <c r="O10" s="385"/>
      <c r="P10" s="385"/>
      <c r="Q10" s="385"/>
      <c r="R10" s="385"/>
      <c r="S10" s="385"/>
      <c r="T10" s="385"/>
      <c r="U10" s="385"/>
      <c r="V10" s="385"/>
      <c r="W10" s="385"/>
      <c r="X10" s="385"/>
    </row>
    <row r="11" spans="2:24" s="1222" customFormat="1" x14ac:dyDescent="0.35">
      <c r="B11" s="373">
        <f>B10+0.1</f>
        <v>1.1000000000000001</v>
      </c>
      <c r="C11" s="374" t="s">
        <v>95</v>
      </c>
      <c r="D11" s="359" t="s">
        <v>96</v>
      </c>
      <c r="E11" s="623">
        <v>500</v>
      </c>
      <c r="F11" s="623">
        <v>500</v>
      </c>
      <c r="G11" s="623">
        <v>500</v>
      </c>
      <c r="H11" s="623">
        <v>500</v>
      </c>
      <c r="I11" s="623">
        <v>500</v>
      </c>
      <c r="J11" s="623">
        <v>500</v>
      </c>
      <c r="K11" s="623">
        <v>500</v>
      </c>
      <c r="L11" s="623">
        <v>500</v>
      </c>
      <c r="M11" s="623">
        <v>500</v>
      </c>
      <c r="N11" s="623">
        <v>500</v>
      </c>
      <c r="O11" s="623">
        <v>500</v>
      </c>
      <c r="P11" s="623">
        <v>500</v>
      </c>
      <c r="Q11" s="623">
        <v>500</v>
      </c>
      <c r="R11" s="623">
        <v>500</v>
      </c>
      <c r="S11" s="623">
        <v>500</v>
      </c>
      <c r="T11" s="623">
        <v>500</v>
      </c>
      <c r="U11" s="623">
        <v>500</v>
      </c>
      <c r="V11" s="623">
        <v>500</v>
      </c>
      <c r="W11" s="623">
        <v>500</v>
      </c>
      <c r="X11" s="385"/>
    </row>
    <row r="12" spans="2:24" s="1228" customFormat="1" ht="31" x14ac:dyDescent="0.35">
      <c r="B12" s="475">
        <f>B11+0.1</f>
        <v>1.2000000000000002</v>
      </c>
      <c r="C12" s="377" t="s">
        <v>97</v>
      </c>
      <c r="D12" s="388" t="s">
        <v>98</v>
      </c>
      <c r="E12" s="620">
        <f>'F2.1'!E15</f>
        <v>0.85</v>
      </c>
      <c r="F12" s="537">
        <f>'F2.1'!F15</f>
        <v>0.85</v>
      </c>
      <c r="G12" s="537">
        <f>'F2.1'!G15</f>
        <v>0.85</v>
      </c>
      <c r="H12" s="537">
        <f t="shared" ref="H12:H38" si="0">G12-F12</f>
        <v>0</v>
      </c>
      <c r="I12" s="626">
        <f>'F2.1'!I15</f>
        <v>0.85</v>
      </c>
      <c r="J12" s="537">
        <f>'F2.1'!J15</f>
        <v>0.85</v>
      </c>
      <c r="K12" s="537">
        <f>'F2.1'!K15</f>
        <v>0.85</v>
      </c>
      <c r="L12" s="537">
        <f t="shared" ref="L12:L38" si="1">K12-J12</f>
        <v>0</v>
      </c>
      <c r="M12" s="626">
        <f>'F2.1'!M15</f>
        <v>0.85</v>
      </c>
      <c r="N12" s="537">
        <f>'F2.1'!N15</f>
        <v>0.85</v>
      </c>
      <c r="O12" s="537">
        <f>'F2.1'!O15</f>
        <v>0.85</v>
      </c>
      <c r="P12" s="537">
        <f>'F2.1'!P15</f>
        <v>0.85</v>
      </c>
      <c r="Q12" s="536">
        <f>'F2.1'!Q15</f>
        <v>0.85</v>
      </c>
      <c r="R12" s="538">
        <f t="shared" ref="R12:R41" si="2">Q12-N12</f>
        <v>0</v>
      </c>
      <c r="S12" s="1111">
        <v>0.85</v>
      </c>
      <c r="T12" s="1111">
        <v>0.85</v>
      </c>
      <c r="U12" s="1111">
        <v>0.85</v>
      </c>
      <c r="V12" s="1111">
        <v>0.85</v>
      </c>
      <c r="W12" s="1111">
        <v>0.85</v>
      </c>
      <c r="X12" s="534"/>
    </row>
    <row r="13" spans="2:24" s="1228" customFormat="1" ht="31" x14ac:dyDescent="0.35">
      <c r="B13" s="475">
        <v>1.3</v>
      </c>
      <c r="C13" s="377" t="s">
        <v>686</v>
      </c>
      <c r="D13" s="388" t="s">
        <v>98</v>
      </c>
      <c r="E13" s="617"/>
      <c r="F13" s="537">
        <f>G13</f>
        <v>0.74822999999999995</v>
      </c>
      <c r="G13" s="537">
        <v>0.74822999999999995</v>
      </c>
      <c r="H13" s="537">
        <f t="shared" si="0"/>
        <v>0</v>
      </c>
      <c r="I13" s="617"/>
      <c r="J13" s="537">
        <f>K13</f>
        <v>0.89427999999999996</v>
      </c>
      <c r="K13" s="537">
        <v>0.89427999999999996</v>
      </c>
      <c r="L13" s="537">
        <f t="shared" si="1"/>
        <v>0</v>
      </c>
      <c r="M13" s="617"/>
      <c r="N13" s="537">
        <f>Q13</f>
        <v>0.70218680294160152</v>
      </c>
      <c r="O13" s="537">
        <v>0.80080174863387976</v>
      </c>
      <c r="P13" s="537">
        <v>0.84985437016585386</v>
      </c>
      <c r="Q13" s="536">
        <f>Q23/(Q11*8.76)</f>
        <v>0.70218680294160152</v>
      </c>
      <c r="R13" s="538">
        <f>'F2.1'!R16</f>
        <v>0</v>
      </c>
      <c r="S13" s="1112">
        <v>0.84997896950713758</v>
      </c>
      <c r="T13" s="1112">
        <v>0.85000844618867444</v>
      </c>
      <c r="U13" s="1112">
        <v>0.85000844618867444</v>
      </c>
      <c r="V13" s="1112">
        <v>0.85003792287021129</v>
      </c>
      <c r="W13" s="1112">
        <v>0.84997896950713758</v>
      </c>
      <c r="X13" s="534"/>
    </row>
    <row r="14" spans="2:24" s="1222" customFormat="1" x14ac:dyDescent="0.35">
      <c r="B14" s="373" t="s">
        <v>687</v>
      </c>
      <c r="C14" s="375" t="s">
        <v>644</v>
      </c>
      <c r="D14" s="359"/>
      <c r="E14" s="617"/>
      <c r="F14" s="536"/>
      <c r="G14" s="536"/>
      <c r="H14" s="537"/>
      <c r="I14" s="617"/>
      <c r="J14" s="536"/>
      <c r="K14" s="536"/>
      <c r="L14" s="536"/>
      <c r="M14" s="617"/>
      <c r="N14" s="536"/>
      <c r="O14" s="536"/>
      <c r="P14" s="536"/>
      <c r="Q14" s="536"/>
      <c r="R14" s="538"/>
      <c r="S14" s="617"/>
      <c r="T14" s="617"/>
      <c r="U14" s="617"/>
      <c r="V14" s="617"/>
      <c r="W14" s="617"/>
      <c r="X14" s="385"/>
    </row>
    <row r="15" spans="2:24" s="1222" customFormat="1" x14ac:dyDescent="0.35">
      <c r="B15" s="373"/>
      <c r="C15" s="376" t="s">
        <v>645</v>
      </c>
      <c r="D15" s="359" t="s">
        <v>98</v>
      </c>
      <c r="E15" s="617"/>
      <c r="F15" s="536">
        <f>G15</f>
        <v>0.77347999999999995</v>
      </c>
      <c r="G15" s="536">
        <v>0.77347999999999995</v>
      </c>
      <c r="H15" s="537">
        <f t="shared" si="0"/>
        <v>0</v>
      </c>
      <c r="I15" s="617"/>
      <c r="J15" s="536"/>
      <c r="K15" s="536">
        <v>0.86992999999999998</v>
      </c>
      <c r="L15" s="536">
        <f t="shared" si="1"/>
        <v>0.86992999999999998</v>
      </c>
      <c r="M15" s="617"/>
      <c r="N15" s="536"/>
      <c r="O15" s="536"/>
      <c r="P15" s="536"/>
      <c r="Q15" s="536">
        <f>O15+P15</f>
        <v>0</v>
      </c>
      <c r="R15" s="538"/>
      <c r="S15" s="617"/>
      <c r="T15" s="617"/>
      <c r="U15" s="617"/>
      <c r="V15" s="617"/>
      <c r="W15" s="617"/>
      <c r="X15" s="385"/>
    </row>
    <row r="16" spans="2:24" s="1222" customFormat="1" x14ac:dyDescent="0.35">
      <c r="B16" s="373"/>
      <c r="C16" s="376" t="s">
        <v>646</v>
      </c>
      <c r="D16" s="359" t="s">
        <v>98</v>
      </c>
      <c r="E16" s="617"/>
      <c r="F16" s="536">
        <f t="shared" ref="F16:F19" si="3">G16</f>
        <v>0.78100000000000003</v>
      </c>
      <c r="G16" s="536">
        <v>0.78100000000000003</v>
      </c>
      <c r="H16" s="537">
        <f t="shared" si="0"/>
        <v>0</v>
      </c>
      <c r="I16" s="617"/>
      <c r="J16" s="536"/>
      <c r="K16" s="536">
        <v>0.86753999999999998</v>
      </c>
      <c r="L16" s="536">
        <f t="shared" si="1"/>
        <v>0.86753999999999998</v>
      </c>
      <c r="M16" s="617"/>
      <c r="N16" s="536"/>
      <c r="O16" s="536"/>
      <c r="P16" s="536"/>
      <c r="Q16" s="536">
        <f t="shared" ref="Q16:Q31" si="4">O16+P16</f>
        <v>0</v>
      </c>
      <c r="R16" s="538"/>
      <c r="S16" s="617"/>
      <c r="T16" s="617"/>
      <c r="U16" s="617"/>
      <c r="V16" s="617"/>
      <c r="W16" s="617"/>
      <c r="X16" s="385"/>
    </row>
    <row r="17" spans="2:24" s="1222" customFormat="1" x14ac:dyDescent="0.35">
      <c r="B17" s="373" t="s">
        <v>688</v>
      </c>
      <c r="C17" s="375" t="s">
        <v>647</v>
      </c>
      <c r="D17" s="359"/>
      <c r="E17" s="617"/>
      <c r="F17" s="536"/>
      <c r="G17" s="536"/>
      <c r="H17" s="537"/>
      <c r="I17" s="617"/>
      <c r="J17" s="536"/>
      <c r="K17" s="536"/>
      <c r="L17" s="536"/>
      <c r="M17" s="617"/>
      <c r="N17" s="536"/>
      <c r="O17" s="536"/>
      <c r="P17" s="536"/>
      <c r="Q17" s="536"/>
      <c r="R17" s="538"/>
      <c r="S17" s="617"/>
      <c r="T17" s="617"/>
      <c r="U17" s="617"/>
      <c r="V17" s="617"/>
      <c r="W17" s="617"/>
      <c r="X17" s="385"/>
    </row>
    <row r="18" spans="2:24" s="1222" customFormat="1" x14ac:dyDescent="0.35">
      <c r="B18" s="373"/>
      <c r="C18" s="376" t="s">
        <v>645</v>
      </c>
      <c r="D18" s="359" t="s">
        <v>98</v>
      </c>
      <c r="E18" s="617"/>
      <c r="F18" s="536">
        <f t="shared" si="3"/>
        <v>0.73285</v>
      </c>
      <c r="G18" s="536">
        <v>0.73285</v>
      </c>
      <c r="H18" s="537">
        <f t="shared" si="0"/>
        <v>0</v>
      </c>
      <c r="I18" s="617"/>
      <c r="J18" s="536"/>
      <c r="K18" s="536">
        <v>0.89958000000000005</v>
      </c>
      <c r="L18" s="536">
        <f t="shared" si="1"/>
        <v>0.89958000000000005</v>
      </c>
      <c r="M18" s="617"/>
      <c r="N18" s="536"/>
      <c r="O18" s="536"/>
      <c r="P18" s="536"/>
      <c r="Q18" s="536">
        <f t="shared" si="4"/>
        <v>0</v>
      </c>
      <c r="R18" s="538"/>
      <c r="S18" s="617"/>
      <c r="T18" s="617"/>
      <c r="U18" s="617"/>
      <c r="V18" s="617"/>
      <c r="W18" s="617"/>
      <c r="X18" s="385"/>
    </row>
    <row r="19" spans="2:24" s="1222" customFormat="1" x14ac:dyDescent="0.35">
      <c r="B19" s="373"/>
      <c r="C19" s="376" t="s">
        <v>646</v>
      </c>
      <c r="D19" s="359" t="s">
        <v>98</v>
      </c>
      <c r="E19" s="617"/>
      <c r="F19" s="536">
        <f t="shared" si="3"/>
        <v>0.73873999999999995</v>
      </c>
      <c r="G19" s="536">
        <v>0.73873999999999995</v>
      </c>
      <c r="H19" s="537">
        <f t="shared" si="0"/>
        <v>0</v>
      </c>
      <c r="I19" s="617"/>
      <c r="J19" s="536"/>
      <c r="K19" s="536">
        <v>0.90383000000000002</v>
      </c>
      <c r="L19" s="536">
        <f t="shared" si="1"/>
        <v>0.90383000000000002</v>
      </c>
      <c r="M19" s="617"/>
      <c r="N19" s="536"/>
      <c r="O19" s="536"/>
      <c r="P19" s="536"/>
      <c r="Q19" s="536">
        <f t="shared" si="4"/>
        <v>0</v>
      </c>
      <c r="R19" s="538"/>
      <c r="S19" s="617"/>
      <c r="T19" s="617"/>
      <c r="U19" s="617"/>
      <c r="V19" s="617"/>
      <c r="W19" s="617"/>
      <c r="X19" s="385"/>
    </row>
    <row r="20" spans="2:24" s="1228" customFormat="1" x14ac:dyDescent="0.35">
      <c r="B20" s="475">
        <v>1.4</v>
      </c>
      <c r="C20" s="377" t="s">
        <v>99</v>
      </c>
      <c r="D20" s="388" t="s">
        <v>98</v>
      </c>
      <c r="E20" s="776">
        <f>'F2.1'!E25</f>
        <v>0.85</v>
      </c>
      <c r="F20" s="537">
        <f>'F2.1'!F25</f>
        <v>0.85</v>
      </c>
      <c r="G20" s="614">
        <f>'F2.1'!G25</f>
        <v>0.85</v>
      </c>
      <c r="H20" s="614">
        <f>G20-F20</f>
        <v>0</v>
      </c>
      <c r="I20" s="626">
        <f>'F2.1'!I25</f>
        <v>0.85</v>
      </c>
      <c r="J20" s="614">
        <f>'F2.1'!J25</f>
        <v>0.85</v>
      </c>
      <c r="K20" s="614">
        <f>'F2.1'!K25</f>
        <v>0.85</v>
      </c>
      <c r="L20" s="614">
        <f>K20-J20</f>
        <v>0</v>
      </c>
      <c r="M20" s="618">
        <f>'F2.1'!$M$25</f>
        <v>0.85</v>
      </c>
      <c r="N20" s="614">
        <f>M20</f>
        <v>0.85</v>
      </c>
      <c r="O20" s="536">
        <f>N20</f>
        <v>0.85</v>
      </c>
      <c r="P20" s="614">
        <f>O20</f>
        <v>0.85</v>
      </c>
      <c r="Q20" s="615">
        <f>P20</f>
        <v>0.85</v>
      </c>
      <c r="R20" s="615">
        <f t="shared" si="2"/>
        <v>0</v>
      </c>
      <c r="S20" s="1251">
        <v>0.85</v>
      </c>
      <c r="T20" s="1251">
        <v>0.85</v>
      </c>
      <c r="U20" s="1251">
        <v>0.85</v>
      </c>
      <c r="V20" s="1251">
        <v>0.85</v>
      </c>
      <c r="W20" s="1251">
        <v>0.85</v>
      </c>
      <c r="X20" s="616"/>
    </row>
    <row r="21" spans="2:24" s="1228" customFormat="1" ht="31" x14ac:dyDescent="0.35">
      <c r="B21" s="475">
        <v>1.5</v>
      </c>
      <c r="C21" s="377" t="s">
        <v>689</v>
      </c>
      <c r="D21" s="388" t="s">
        <v>98</v>
      </c>
      <c r="E21" s="790"/>
      <c r="F21" s="614">
        <f>G21</f>
        <v>0.61817</v>
      </c>
      <c r="G21" s="614">
        <v>0.61817</v>
      </c>
      <c r="H21" s="614">
        <f t="shared" si="0"/>
        <v>0</v>
      </c>
      <c r="I21" s="626"/>
      <c r="J21" s="614">
        <f>K21</f>
        <v>0.62480999999999998</v>
      </c>
      <c r="K21" s="614">
        <f>'F2.1'!K26</f>
        <v>0.62480999999999998</v>
      </c>
      <c r="L21" s="614">
        <f t="shared" si="1"/>
        <v>0</v>
      </c>
      <c r="M21" s="626"/>
      <c r="N21" s="614">
        <f>Q21</f>
        <v>0.70218680294160152</v>
      </c>
      <c r="O21" s="614">
        <f>'F2.1'!O26</f>
        <v>0.54124693989071038</v>
      </c>
      <c r="P21" s="614">
        <f>'F2.1'!P26</f>
        <v>0.84985437016585386</v>
      </c>
      <c r="Q21" s="612">
        <f>Q13</f>
        <v>0.70218680294160152</v>
      </c>
      <c r="R21" s="615">
        <f t="shared" si="2"/>
        <v>0</v>
      </c>
      <c r="S21" s="1251">
        <v>0.84997896950713758</v>
      </c>
      <c r="T21" s="1251">
        <v>0.85000844618867444</v>
      </c>
      <c r="U21" s="1251">
        <v>0.85000844618867444</v>
      </c>
      <c r="V21" s="1251">
        <v>0.85003792287021129</v>
      </c>
      <c r="W21" s="1251">
        <v>0.84997896950713758</v>
      </c>
      <c r="X21" s="616"/>
    </row>
    <row r="22" spans="2:24" s="1222" customFormat="1" x14ac:dyDescent="0.35">
      <c r="B22" s="373">
        <v>1.6</v>
      </c>
      <c r="C22" s="377" t="s">
        <v>682</v>
      </c>
      <c r="D22" s="359" t="s">
        <v>98</v>
      </c>
      <c r="E22" s="617"/>
      <c r="F22" s="536"/>
      <c r="G22" s="536"/>
      <c r="H22" s="537"/>
      <c r="I22" s="617"/>
      <c r="J22" s="537"/>
      <c r="K22" s="537"/>
      <c r="L22" s="537">
        <f t="shared" si="1"/>
        <v>0</v>
      </c>
      <c r="M22" s="617">
        <f>'F2.1'!M25</f>
        <v>0.85</v>
      </c>
      <c r="N22" s="537"/>
      <c r="O22" s="537"/>
      <c r="P22" s="537"/>
      <c r="Q22" s="538"/>
      <c r="R22" s="537">
        <f t="shared" si="2"/>
        <v>0</v>
      </c>
      <c r="S22" s="1112"/>
      <c r="T22" s="1112"/>
      <c r="U22" s="1112"/>
      <c r="V22" s="1112"/>
      <c r="W22" s="1112"/>
      <c r="X22" s="385"/>
    </row>
    <row r="23" spans="2:24" s="1222" customFormat="1" ht="31" x14ac:dyDescent="0.35">
      <c r="B23" s="373">
        <v>1.7</v>
      </c>
      <c r="C23" s="378" t="s">
        <v>690</v>
      </c>
      <c r="D23" s="359" t="s">
        <v>100</v>
      </c>
      <c r="E23" s="619">
        <f>'F2.1'!E30</f>
        <v>3505.4078484922939</v>
      </c>
      <c r="F23" s="539">
        <f>'F2.1'!F30</f>
        <v>2794.8449999999998</v>
      </c>
      <c r="G23" s="539">
        <f>'F2.1'!G30</f>
        <v>2794.8449999999998</v>
      </c>
      <c r="H23" s="539">
        <f t="shared" si="0"/>
        <v>0</v>
      </c>
      <c r="I23" s="619">
        <f>'F2.1'!I30</f>
        <v>3733.2</v>
      </c>
      <c r="J23" s="539">
        <f>'F2.1'!J30</f>
        <v>2809.2260000000001</v>
      </c>
      <c r="K23" s="539">
        <f>'F2.1'!K30</f>
        <v>2809.2260000000001</v>
      </c>
      <c r="L23" s="539">
        <f t="shared" si="1"/>
        <v>0</v>
      </c>
      <c r="M23" s="619">
        <f>'F2.1'!M30</f>
        <v>3723</v>
      </c>
      <c r="N23" s="539">
        <f>'F2.1'!N30</f>
        <v>3075.5781968842148</v>
      </c>
      <c r="O23" s="789">
        <f>'F2.1'!O30</f>
        <v>1209.298</v>
      </c>
      <c r="P23" s="789">
        <f>'F2.1'!P30</f>
        <v>1866.280196884215</v>
      </c>
      <c r="Q23" s="542">
        <f>'F2.1'!Q30</f>
        <v>3075.5781968842148</v>
      </c>
      <c r="R23" s="539">
        <f t="shared" si="2"/>
        <v>0</v>
      </c>
      <c r="S23" s="1252">
        <f>S113/S40</f>
        <v>3722.9078864412627</v>
      </c>
      <c r="T23" s="1252">
        <f>T113/T40</f>
        <v>3723.0369943063938</v>
      </c>
      <c r="U23" s="1252">
        <f t="shared" ref="U23:W23" si="5">U113/U40</f>
        <v>3723.0369943063938</v>
      </c>
      <c r="V23" s="1252">
        <f t="shared" si="5"/>
        <v>3723.1661021715258</v>
      </c>
      <c r="W23" s="1252">
        <f t="shared" si="5"/>
        <v>3722.9078864412627</v>
      </c>
      <c r="X23" s="390"/>
    </row>
    <row r="24" spans="2:24" s="1222" customFormat="1" x14ac:dyDescent="0.35">
      <c r="B24" s="373">
        <v>1.8</v>
      </c>
      <c r="C24" s="374" t="s">
        <v>695</v>
      </c>
      <c r="D24" s="359" t="s">
        <v>100</v>
      </c>
      <c r="E24" s="619"/>
      <c r="F24" s="542">
        <v>3254.7689999999998</v>
      </c>
      <c r="G24" s="542"/>
      <c r="H24" s="542"/>
      <c r="I24" s="619"/>
      <c r="J24" s="542">
        <v>3733.2</v>
      </c>
      <c r="K24" s="542"/>
      <c r="L24" s="539">
        <f>K24-J24</f>
        <v>-3733.2</v>
      </c>
      <c r="M24" s="619"/>
      <c r="N24" s="539">
        <f>N38/(1-N29)</f>
        <v>0</v>
      </c>
      <c r="O24" s="539">
        <f>O38/(1-O29)</f>
        <v>0</v>
      </c>
      <c r="P24" s="539">
        <f>P38/(1-P29)</f>
        <v>0</v>
      </c>
      <c r="Q24" s="542">
        <f t="shared" si="4"/>
        <v>0</v>
      </c>
      <c r="R24" s="539">
        <f t="shared" si="2"/>
        <v>0</v>
      </c>
      <c r="S24" s="789"/>
      <c r="T24" s="789"/>
      <c r="U24" s="789"/>
      <c r="V24" s="789"/>
      <c r="W24" s="789"/>
      <c r="X24" s="385"/>
    </row>
    <row r="25" spans="2:24" s="1222" customFormat="1" ht="31" x14ac:dyDescent="0.35">
      <c r="B25" s="379">
        <v>1.9</v>
      </c>
      <c r="C25" s="378" t="s">
        <v>988</v>
      </c>
      <c r="D25" s="359" t="s">
        <v>98</v>
      </c>
      <c r="E25" s="620">
        <f>'F2.1'!E34</f>
        <v>9.2999999999999999E-2</v>
      </c>
      <c r="F25" s="620">
        <f>'F2.1'!F34</f>
        <v>0.10249999999999999</v>
      </c>
      <c r="G25" s="729"/>
      <c r="H25" s="729"/>
      <c r="I25" s="620">
        <f>'F2.1'!I34</f>
        <v>9.2999999999999999E-2</v>
      </c>
      <c r="J25" s="620">
        <f>'F2.1'!J34</f>
        <v>0.10249999999999999</v>
      </c>
      <c r="K25" s="729"/>
      <c r="L25" s="729"/>
      <c r="M25" s="620">
        <f>'F2.1'!M34</f>
        <v>9.2999999999999999E-2</v>
      </c>
      <c r="N25" s="620">
        <f>'F2.1'!N34</f>
        <v>0.10249999999999999</v>
      </c>
      <c r="O25" s="729"/>
      <c r="P25" s="729"/>
      <c r="Q25" s="729"/>
      <c r="R25" s="729"/>
      <c r="S25" s="820">
        <v>0.10249999999999999</v>
      </c>
      <c r="T25" s="820">
        <v>0.10249999999999999</v>
      </c>
      <c r="U25" s="820">
        <v>0.10249999999999999</v>
      </c>
      <c r="V25" s="820">
        <v>0.10249999999999999</v>
      </c>
      <c r="W25" s="820">
        <v>0.10249999999999999</v>
      </c>
      <c r="X25" s="385"/>
    </row>
    <row r="26" spans="2:24" s="1222" customFormat="1" ht="31" x14ac:dyDescent="0.25">
      <c r="B26" s="380">
        <v>1.1000000000000001</v>
      </c>
      <c r="C26" s="378" t="s">
        <v>691</v>
      </c>
      <c r="D26" s="359" t="s">
        <v>98</v>
      </c>
      <c r="E26" s="620"/>
      <c r="F26" s="620"/>
      <c r="G26" s="729"/>
      <c r="H26" s="729"/>
      <c r="I26" s="620"/>
      <c r="J26" s="620"/>
      <c r="K26" s="729"/>
      <c r="L26" s="729"/>
      <c r="M26" s="620"/>
      <c r="N26" s="620"/>
      <c r="O26" s="729"/>
      <c r="P26" s="729"/>
      <c r="Q26" s="729"/>
      <c r="R26" s="729"/>
      <c r="S26" s="820">
        <v>0</v>
      </c>
      <c r="T26" s="820">
        <v>0</v>
      </c>
      <c r="U26" s="820">
        <v>0</v>
      </c>
      <c r="V26" s="820">
        <v>0</v>
      </c>
      <c r="W26" s="820">
        <v>0</v>
      </c>
      <c r="X26" s="385"/>
    </row>
    <row r="27" spans="2:24" s="1222" customFormat="1" ht="46.5" x14ac:dyDescent="0.25">
      <c r="B27" s="380">
        <f>B26+0.01</f>
        <v>1.1100000000000001</v>
      </c>
      <c r="C27" s="378" t="s">
        <v>989</v>
      </c>
      <c r="D27" s="359" t="s">
        <v>98</v>
      </c>
      <c r="E27" s="620"/>
      <c r="F27" s="620"/>
      <c r="G27" s="729"/>
      <c r="H27" s="729"/>
      <c r="I27" s="620"/>
      <c r="J27" s="620"/>
      <c r="K27" s="729"/>
      <c r="L27" s="729"/>
      <c r="M27" s="620"/>
      <c r="N27" s="620"/>
      <c r="O27" s="729"/>
      <c r="P27" s="729"/>
      <c r="Q27" s="729"/>
      <c r="R27" s="729"/>
      <c r="S27" s="820">
        <v>2E-3</v>
      </c>
      <c r="T27" s="820">
        <v>2E-3</v>
      </c>
      <c r="U27" s="820">
        <v>2E-3</v>
      </c>
      <c r="V27" s="820">
        <v>2E-3</v>
      </c>
      <c r="W27" s="820">
        <v>2E-3</v>
      </c>
      <c r="X27" s="385"/>
    </row>
    <row r="28" spans="2:24" s="1222" customFormat="1" ht="31" x14ac:dyDescent="0.25">
      <c r="B28" s="380">
        <f>B27+0.01</f>
        <v>1.1200000000000001</v>
      </c>
      <c r="C28" s="378" t="s">
        <v>993</v>
      </c>
      <c r="D28" s="359" t="s">
        <v>98</v>
      </c>
      <c r="E28" s="540">
        <f>SUM(E25:E27)</f>
        <v>9.2999999999999999E-2</v>
      </c>
      <c r="F28" s="540">
        <f>SUM(F25:F27)</f>
        <v>0.10249999999999999</v>
      </c>
      <c r="G28" s="729"/>
      <c r="H28" s="729"/>
      <c r="I28" s="540">
        <f>SUM(I25:I27)</f>
        <v>9.2999999999999999E-2</v>
      </c>
      <c r="J28" s="540">
        <f>SUM(J25:J27)</f>
        <v>0.10249999999999999</v>
      </c>
      <c r="K28" s="729"/>
      <c r="L28" s="729"/>
      <c r="M28" s="540">
        <f>SUM(M25:M27)</f>
        <v>9.2999999999999999E-2</v>
      </c>
      <c r="N28" s="540">
        <f>SUM(N25:N27)</f>
        <v>0.10249999999999999</v>
      </c>
      <c r="O28" s="729"/>
      <c r="P28" s="729"/>
      <c r="Q28" s="729"/>
      <c r="R28" s="729"/>
      <c r="S28" s="820">
        <f t="shared" ref="S28:W28" si="6">SUM(S25:S27)</f>
        <v>0.1045</v>
      </c>
      <c r="T28" s="820">
        <f t="shared" si="6"/>
        <v>0.1045</v>
      </c>
      <c r="U28" s="820">
        <f t="shared" si="6"/>
        <v>0.1045</v>
      </c>
      <c r="V28" s="820">
        <f t="shared" si="6"/>
        <v>0.1045</v>
      </c>
      <c r="W28" s="820">
        <f t="shared" si="6"/>
        <v>0.1045</v>
      </c>
      <c r="X28" s="385"/>
    </row>
    <row r="29" spans="2:24" s="1228" customFormat="1" ht="46.5" x14ac:dyDescent="0.25">
      <c r="B29" s="388">
        <v>1.1100000000000001</v>
      </c>
      <c r="C29" s="416" t="s">
        <v>994</v>
      </c>
      <c r="D29" s="388" t="s">
        <v>98</v>
      </c>
      <c r="E29" s="729"/>
      <c r="F29" s="729"/>
      <c r="G29" s="540">
        <v>0.11584041333240305</v>
      </c>
      <c r="H29" s="540">
        <f t="shared" si="0"/>
        <v>0.11584041333240305</v>
      </c>
      <c r="I29" s="821"/>
      <c r="J29" s="729"/>
      <c r="K29" s="540">
        <v>0.11481383128306516</v>
      </c>
      <c r="L29" s="540">
        <f t="shared" si="1"/>
        <v>0.11481383128306516</v>
      </c>
      <c r="M29" s="821"/>
      <c r="N29" s="729"/>
      <c r="O29" s="540">
        <v>0.12232551447203253</v>
      </c>
      <c r="P29" s="540">
        <v>0.10249999999999999</v>
      </c>
      <c r="Q29" s="541">
        <f>Q33/Q23</f>
        <v>0.11029526757742281</v>
      </c>
      <c r="R29" s="540">
        <f t="shared" si="2"/>
        <v>0.11029526757742281</v>
      </c>
      <c r="S29" s="820">
        <v>0.10249999999999999</v>
      </c>
      <c r="T29" s="820">
        <v>0.10249999999999999</v>
      </c>
      <c r="U29" s="820">
        <v>0.10249999999999999</v>
      </c>
      <c r="V29" s="820">
        <v>0.10249999999999999</v>
      </c>
      <c r="W29" s="820">
        <v>0.10249999999999999</v>
      </c>
      <c r="X29" s="390"/>
    </row>
    <row r="30" spans="2:24" s="1222" customFormat="1" ht="46.5" x14ac:dyDescent="0.25">
      <c r="B30" s="359">
        <v>1.1200000000000001</v>
      </c>
      <c r="C30" s="378" t="s">
        <v>692</v>
      </c>
      <c r="D30" s="359" t="s">
        <v>98</v>
      </c>
      <c r="E30" s="729"/>
      <c r="F30" s="729"/>
      <c r="G30" s="540"/>
      <c r="H30" s="540">
        <f t="shared" si="0"/>
        <v>0</v>
      </c>
      <c r="I30" s="821"/>
      <c r="J30" s="729"/>
      <c r="K30" s="540"/>
      <c r="L30" s="540">
        <f t="shared" si="1"/>
        <v>0</v>
      </c>
      <c r="M30" s="821"/>
      <c r="N30" s="729"/>
      <c r="O30" s="540"/>
      <c r="P30" s="540"/>
      <c r="Q30" s="540">
        <f t="shared" si="4"/>
        <v>0</v>
      </c>
      <c r="R30" s="540">
        <f t="shared" si="2"/>
        <v>0</v>
      </c>
      <c r="S30" s="820">
        <v>0</v>
      </c>
      <c r="T30" s="820">
        <v>0</v>
      </c>
      <c r="U30" s="820">
        <v>0</v>
      </c>
      <c r="V30" s="820">
        <v>0</v>
      </c>
      <c r="W30" s="820">
        <v>0</v>
      </c>
      <c r="X30" s="385"/>
    </row>
    <row r="31" spans="2:24" s="1222" customFormat="1" ht="46.5" x14ac:dyDescent="0.25">
      <c r="B31" s="359"/>
      <c r="C31" s="378" t="s">
        <v>991</v>
      </c>
      <c r="D31" s="359" t="s">
        <v>98</v>
      </c>
      <c r="E31" s="729"/>
      <c r="F31" s="729"/>
      <c r="G31" s="540"/>
      <c r="H31" s="540">
        <f t="shared" si="0"/>
        <v>0</v>
      </c>
      <c r="I31" s="821"/>
      <c r="J31" s="729"/>
      <c r="K31" s="540"/>
      <c r="L31" s="540">
        <f t="shared" si="1"/>
        <v>0</v>
      </c>
      <c r="M31" s="821"/>
      <c r="N31" s="729"/>
      <c r="O31" s="540"/>
      <c r="P31" s="540"/>
      <c r="Q31" s="540">
        <f t="shared" si="4"/>
        <v>0</v>
      </c>
      <c r="R31" s="540">
        <f t="shared" si="2"/>
        <v>0</v>
      </c>
      <c r="S31" s="820">
        <v>2E-3</v>
      </c>
      <c r="T31" s="820">
        <v>2E-3</v>
      </c>
      <c r="U31" s="820">
        <v>2E-3</v>
      </c>
      <c r="V31" s="820">
        <v>2E-3</v>
      </c>
      <c r="W31" s="820">
        <v>2E-3</v>
      </c>
      <c r="X31" s="385"/>
    </row>
    <row r="32" spans="2:24" s="1222" customFormat="1" ht="31" x14ac:dyDescent="0.25">
      <c r="B32" s="359"/>
      <c r="C32" s="378" t="s">
        <v>992</v>
      </c>
      <c r="D32" s="359" t="s">
        <v>98</v>
      </c>
      <c r="E32" s="729"/>
      <c r="F32" s="729"/>
      <c r="G32" s="540">
        <f>SUM(G29:G31)</f>
        <v>0.11584041333240305</v>
      </c>
      <c r="H32" s="540">
        <f>SUM(H29:H31)</f>
        <v>0.11584041333240305</v>
      </c>
      <c r="I32" s="821"/>
      <c r="J32" s="729"/>
      <c r="K32" s="540">
        <f>SUM(K29:K31)</f>
        <v>0.11481383128306516</v>
      </c>
      <c r="L32" s="540">
        <f>SUM(L29:L31)</f>
        <v>0.11481383128306516</v>
      </c>
      <c r="M32" s="821"/>
      <c r="N32" s="729"/>
      <c r="O32" s="540">
        <f>SUM(O29:O31)</f>
        <v>0.12232551447203253</v>
      </c>
      <c r="P32" s="540">
        <f>SUM(P29:P31)</f>
        <v>0.10249999999999999</v>
      </c>
      <c r="Q32" s="540">
        <f>SUM(Q29:Q31)</f>
        <v>0.11029526757742281</v>
      </c>
      <c r="R32" s="540">
        <f>SUM(R29:R31)</f>
        <v>0.11029526757742281</v>
      </c>
      <c r="S32" s="540">
        <f>SUM(S29:S31)</f>
        <v>0.1045</v>
      </c>
      <c r="T32" s="540">
        <f t="shared" ref="T32:W32" si="7">SUM(T29:T31)</f>
        <v>0.1045</v>
      </c>
      <c r="U32" s="540">
        <f t="shared" si="7"/>
        <v>0.1045</v>
      </c>
      <c r="V32" s="540">
        <f t="shared" si="7"/>
        <v>0.1045</v>
      </c>
      <c r="W32" s="540">
        <f t="shared" si="7"/>
        <v>0.1045</v>
      </c>
      <c r="X32" s="385"/>
    </row>
    <row r="33" spans="2:24" ht="46.5" x14ac:dyDescent="0.35">
      <c r="B33" s="1253"/>
      <c r="C33" s="416" t="s">
        <v>994</v>
      </c>
      <c r="D33" s="359" t="s">
        <v>100</v>
      </c>
      <c r="E33" s="539">
        <f>E$23*E25</f>
        <v>326.00292990978335</v>
      </c>
      <c r="F33" s="539">
        <f>F$23*F25</f>
        <v>286.47161249999994</v>
      </c>
      <c r="G33" s="539">
        <f>G$23*G29</f>
        <v>323.75599999999997</v>
      </c>
      <c r="H33" s="539">
        <f t="shared" ref="H33" si="8">G33-F33</f>
        <v>37.284387500000037</v>
      </c>
      <c r="I33" s="789">
        <f t="shared" ref="I33:I35" si="9">I$23*I25</f>
        <v>347.18759999999997</v>
      </c>
      <c r="J33" s="539">
        <f t="shared" ref="J33:J35" si="10">J$23*J25</f>
        <v>287.94566500000002</v>
      </c>
      <c r="K33" s="539">
        <f>K$23*K29</f>
        <v>322.53800000000001</v>
      </c>
      <c r="L33" s="539">
        <f t="shared" ref="L33:L35" si="11">K33-J33</f>
        <v>34.592334999999991</v>
      </c>
      <c r="M33" s="789">
        <f t="shared" ref="M33:M35" si="12">M$23*M25</f>
        <v>346.23899999999998</v>
      </c>
      <c r="N33" s="539">
        <f>N$23*N25</f>
        <v>315.246765180632</v>
      </c>
      <c r="O33" s="539">
        <f t="shared" ref="O33:P35" si="13">O$23*O29</f>
        <v>147.928</v>
      </c>
      <c r="P33" s="539">
        <f t="shared" si="13"/>
        <v>191.29372018063202</v>
      </c>
      <c r="Q33" s="539">
        <f>SUM(O33:P33)</f>
        <v>339.22172018063202</v>
      </c>
      <c r="R33" s="539">
        <f>Q33-N33</f>
        <v>23.974955000000023</v>
      </c>
      <c r="S33" s="539">
        <f>S$23*S29</f>
        <v>381.5980583602294</v>
      </c>
      <c r="T33" s="539">
        <f t="shared" ref="T33:W33" si="14">T$23*T29</f>
        <v>381.61129191640532</v>
      </c>
      <c r="U33" s="539">
        <f t="shared" si="14"/>
        <v>381.61129191640532</v>
      </c>
      <c r="V33" s="539">
        <f t="shared" si="14"/>
        <v>381.62452547258135</v>
      </c>
      <c r="W33" s="539">
        <f t="shared" si="14"/>
        <v>381.5980583602294</v>
      </c>
      <c r="X33" s="1254"/>
    </row>
    <row r="34" spans="2:24" s="1222" customFormat="1" ht="46.5" x14ac:dyDescent="0.25">
      <c r="B34" s="380">
        <v>1.1399999999999999</v>
      </c>
      <c r="C34" s="378" t="s">
        <v>996</v>
      </c>
      <c r="D34" s="359" t="s">
        <v>100</v>
      </c>
      <c r="E34" s="539">
        <f t="shared" ref="E34:F35" si="15">E$23*E26</f>
        <v>0</v>
      </c>
      <c r="F34" s="539">
        <f t="shared" si="15"/>
        <v>0</v>
      </c>
      <c r="G34" s="539">
        <f>G$23*G30</f>
        <v>0</v>
      </c>
      <c r="H34" s="539">
        <f t="shared" si="0"/>
        <v>0</v>
      </c>
      <c r="I34" s="789">
        <f t="shared" si="9"/>
        <v>0</v>
      </c>
      <c r="J34" s="539">
        <f t="shared" si="10"/>
        <v>0</v>
      </c>
      <c r="K34" s="539">
        <f>K$23*K30</f>
        <v>0</v>
      </c>
      <c r="L34" s="539">
        <f t="shared" si="11"/>
        <v>0</v>
      </c>
      <c r="M34" s="789">
        <f t="shared" si="12"/>
        <v>0</v>
      </c>
      <c r="N34" s="539">
        <f>N$23*N26</f>
        <v>0</v>
      </c>
      <c r="O34" s="539">
        <f t="shared" si="13"/>
        <v>0</v>
      </c>
      <c r="P34" s="539">
        <f t="shared" si="13"/>
        <v>0</v>
      </c>
      <c r="Q34" s="539">
        <f t="shared" ref="Q34:Q36" si="16">SUM(O34:P34)</f>
        <v>0</v>
      </c>
      <c r="R34" s="539">
        <f t="shared" si="2"/>
        <v>0</v>
      </c>
      <c r="S34" s="539">
        <f>S$23*S30</f>
        <v>0</v>
      </c>
      <c r="T34" s="539">
        <f t="shared" ref="T34:W34" si="17">T$23*T30</f>
        <v>0</v>
      </c>
      <c r="U34" s="539">
        <f t="shared" si="17"/>
        <v>0</v>
      </c>
      <c r="V34" s="539">
        <f t="shared" si="17"/>
        <v>0</v>
      </c>
      <c r="W34" s="539">
        <f t="shared" si="17"/>
        <v>0</v>
      </c>
      <c r="X34" s="385"/>
    </row>
    <row r="35" spans="2:24" s="1222" customFormat="1" ht="46.5" x14ac:dyDescent="0.25">
      <c r="B35" s="380"/>
      <c r="C35" s="378" t="s">
        <v>991</v>
      </c>
      <c r="D35" s="359" t="s">
        <v>100</v>
      </c>
      <c r="E35" s="539">
        <f t="shared" si="15"/>
        <v>0</v>
      </c>
      <c r="F35" s="539">
        <f t="shared" si="15"/>
        <v>0</v>
      </c>
      <c r="G35" s="539">
        <f>G$23*G31</f>
        <v>0</v>
      </c>
      <c r="H35" s="539">
        <f t="shared" si="0"/>
        <v>0</v>
      </c>
      <c r="I35" s="789">
        <f t="shared" si="9"/>
        <v>0</v>
      </c>
      <c r="J35" s="539">
        <f t="shared" si="10"/>
        <v>0</v>
      </c>
      <c r="K35" s="539">
        <f>K$23*K31</f>
        <v>0</v>
      </c>
      <c r="L35" s="539">
        <f t="shared" si="11"/>
        <v>0</v>
      </c>
      <c r="M35" s="789">
        <f t="shared" si="12"/>
        <v>0</v>
      </c>
      <c r="N35" s="539">
        <f>N$23*N27</f>
        <v>0</v>
      </c>
      <c r="O35" s="539">
        <f t="shared" si="13"/>
        <v>0</v>
      </c>
      <c r="P35" s="539">
        <f t="shared" si="13"/>
        <v>0</v>
      </c>
      <c r="Q35" s="539">
        <f t="shared" si="16"/>
        <v>0</v>
      </c>
      <c r="R35" s="539">
        <f t="shared" si="2"/>
        <v>0</v>
      </c>
      <c r="S35" s="539">
        <f>S$23*S31</f>
        <v>7.4458157728825256</v>
      </c>
      <c r="T35" s="539">
        <f t="shared" ref="T35:W35" si="18">T$23*T31</f>
        <v>7.4460739886127874</v>
      </c>
      <c r="U35" s="539">
        <f t="shared" si="18"/>
        <v>7.4460739886127874</v>
      </c>
      <c r="V35" s="539">
        <f t="shared" si="18"/>
        <v>7.4463322043430518</v>
      </c>
      <c r="W35" s="539">
        <f t="shared" si="18"/>
        <v>7.4458157728825256</v>
      </c>
      <c r="X35" s="385"/>
    </row>
    <row r="36" spans="2:24" s="1222" customFormat="1" ht="46.5" x14ac:dyDescent="0.35">
      <c r="B36" s="381">
        <v>1.1299999999999999</v>
      </c>
      <c r="C36" s="378" t="s">
        <v>995</v>
      </c>
      <c r="D36" s="359" t="s">
        <v>100</v>
      </c>
      <c r="E36" s="539">
        <f>SUM(E33:E35)</f>
        <v>326.00292990978335</v>
      </c>
      <c r="F36" s="539">
        <f t="shared" ref="F36:H36" si="19">SUM(F33:F35)</f>
        <v>286.47161249999994</v>
      </c>
      <c r="G36" s="539">
        <f t="shared" si="19"/>
        <v>323.75599999999997</v>
      </c>
      <c r="H36" s="539">
        <f t="shared" si="19"/>
        <v>37.284387500000037</v>
      </c>
      <c r="I36" s="789">
        <f>SUM(I33:I35)</f>
        <v>347.18759999999997</v>
      </c>
      <c r="J36" s="539">
        <f t="shared" ref="J36" si="20">SUM(J33:J35)</f>
        <v>287.94566500000002</v>
      </c>
      <c r="K36" s="539">
        <f t="shared" ref="K36" si="21">SUM(K33:K35)</f>
        <v>322.53800000000001</v>
      </c>
      <c r="L36" s="539">
        <f t="shared" ref="L36" si="22">SUM(L33:L35)</f>
        <v>34.592334999999991</v>
      </c>
      <c r="M36" s="789">
        <f>SUM(M33:M35)</f>
        <v>346.23899999999998</v>
      </c>
      <c r="N36" s="539">
        <f t="shared" ref="N36:P36" si="23">SUM(N33:N35)</f>
        <v>315.246765180632</v>
      </c>
      <c r="O36" s="539">
        <f t="shared" si="23"/>
        <v>147.928</v>
      </c>
      <c r="P36" s="539">
        <f t="shared" si="23"/>
        <v>191.29372018063202</v>
      </c>
      <c r="Q36" s="539">
        <f t="shared" si="16"/>
        <v>339.22172018063202</v>
      </c>
      <c r="R36" s="539">
        <f t="shared" ref="R36" si="24">SUM(R33:R35)</f>
        <v>23.974955000000023</v>
      </c>
      <c r="S36" s="539">
        <f t="shared" ref="S36" si="25">SUM(S33:S35)</f>
        <v>389.0438741331119</v>
      </c>
      <c r="T36" s="539">
        <f t="shared" ref="T36" si="26">SUM(T33:T35)</f>
        <v>389.05736590501812</v>
      </c>
      <c r="U36" s="539">
        <f t="shared" ref="U36" si="27">SUM(U33:U35)</f>
        <v>389.05736590501812</v>
      </c>
      <c r="V36" s="539">
        <f t="shared" ref="V36" si="28">SUM(V33:V35)</f>
        <v>389.07085767692439</v>
      </c>
      <c r="W36" s="539">
        <f t="shared" ref="W36" si="29">SUM(W33:W35)</f>
        <v>389.0438741331119</v>
      </c>
      <c r="X36" s="385"/>
    </row>
    <row r="37" spans="2:24" s="1222" customFormat="1" ht="31" x14ac:dyDescent="0.35">
      <c r="B37" s="373">
        <v>1.1499999999999999</v>
      </c>
      <c r="C37" s="378" t="s">
        <v>997</v>
      </c>
      <c r="D37" s="359" t="s">
        <v>100</v>
      </c>
      <c r="E37" s="539">
        <f>E23-E36</f>
        <v>3179.4049185825106</v>
      </c>
      <c r="F37" s="539">
        <f>F23-F36</f>
        <v>2508.3733874999998</v>
      </c>
      <c r="G37" s="539">
        <f t="shared" ref="G37:S37" si="30">G23-G36</f>
        <v>2471.0889999999999</v>
      </c>
      <c r="H37" s="539">
        <f t="shared" si="30"/>
        <v>-37.284387500000037</v>
      </c>
      <c r="I37" s="789">
        <f t="shared" si="30"/>
        <v>3386.0123999999996</v>
      </c>
      <c r="J37" s="539">
        <f t="shared" si="30"/>
        <v>2521.2803349999999</v>
      </c>
      <c r="K37" s="539">
        <f t="shared" si="30"/>
        <v>2486.6880000000001</v>
      </c>
      <c r="L37" s="539">
        <f t="shared" si="30"/>
        <v>-34.592334999999991</v>
      </c>
      <c r="M37" s="789">
        <f t="shared" ref="M37" si="31">M23-M36</f>
        <v>3376.761</v>
      </c>
      <c r="N37" s="539">
        <f t="shared" si="30"/>
        <v>2760.3314317035829</v>
      </c>
      <c r="O37" s="539">
        <f t="shared" si="30"/>
        <v>1061.3699999999999</v>
      </c>
      <c r="P37" s="539">
        <f t="shared" si="30"/>
        <v>1674.9864767035829</v>
      </c>
      <c r="Q37" s="539">
        <f>SUM(O37:P37)</f>
        <v>2736.3564767035828</v>
      </c>
      <c r="R37" s="539">
        <f t="shared" si="30"/>
        <v>-23.974955000000023</v>
      </c>
      <c r="S37" s="539">
        <f t="shared" si="30"/>
        <v>3333.8640123081509</v>
      </c>
      <c r="T37" s="539">
        <f t="shared" ref="T37" si="32">T23-T36</f>
        <v>3333.9796284013755</v>
      </c>
      <c r="U37" s="539">
        <f t="shared" ref="U37" si="33">U23-U36</f>
        <v>3333.9796284013755</v>
      </c>
      <c r="V37" s="539">
        <f t="shared" ref="V37" si="34">V23-V36</f>
        <v>3334.0952444946015</v>
      </c>
      <c r="W37" s="539">
        <f t="shared" ref="W37" si="35">W23-W36</f>
        <v>3333.8640123081509</v>
      </c>
      <c r="X37" s="385"/>
    </row>
    <row r="38" spans="2:24" s="1222" customFormat="1" x14ac:dyDescent="0.35">
      <c r="B38" s="373">
        <v>1.1599999999999999</v>
      </c>
      <c r="C38" s="374" t="s">
        <v>694</v>
      </c>
      <c r="D38" s="359" t="s">
        <v>100</v>
      </c>
      <c r="E38" s="619"/>
      <c r="F38" s="542">
        <f>G38</f>
        <v>0</v>
      </c>
      <c r="G38" s="542">
        <v>0</v>
      </c>
      <c r="H38" s="539">
        <f t="shared" si="0"/>
        <v>0</v>
      </c>
      <c r="I38" s="619"/>
      <c r="J38" s="542">
        <f>K38</f>
        <v>0</v>
      </c>
      <c r="K38" s="542">
        <v>0</v>
      </c>
      <c r="L38" s="539">
        <f t="shared" si="1"/>
        <v>0</v>
      </c>
      <c r="M38" s="619"/>
      <c r="N38" s="539">
        <f>Q38</f>
        <v>0</v>
      </c>
      <c r="O38" s="542"/>
      <c r="P38" s="542"/>
      <c r="Q38" s="539">
        <f>O38+P38</f>
        <v>0</v>
      </c>
      <c r="R38" s="539">
        <f t="shared" si="2"/>
        <v>0</v>
      </c>
      <c r="S38" s="539"/>
      <c r="T38" s="539"/>
      <c r="U38" s="539"/>
      <c r="V38" s="539"/>
      <c r="W38" s="539"/>
      <c r="X38" s="385"/>
    </row>
    <row r="39" spans="2:24" s="1222" customFormat="1" ht="31" x14ac:dyDescent="0.35">
      <c r="B39" s="373">
        <v>1.17</v>
      </c>
      <c r="C39" s="378" t="s">
        <v>102</v>
      </c>
      <c r="D39" s="359" t="s">
        <v>103</v>
      </c>
      <c r="E39" s="628">
        <f>'F2.1'!E52</f>
        <v>2430</v>
      </c>
      <c r="F39" s="539">
        <f>E39</f>
        <v>2430</v>
      </c>
      <c r="G39" s="730"/>
      <c r="H39" s="730"/>
      <c r="I39" s="628">
        <f>'F2.1'!I52</f>
        <v>2430</v>
      </c>
      <c r="J39" s="539">
        <f>I39</f>
        <v>2430</v>
      </c>
      <c r="K39" s="730"/>
      <c r="L39" s="730"/>
      <c r="M39" s="628">
        <f>'F2.1'!M52</f>
        <v>2430</v>
      </c>
      <c r="N39" s="539">
        <f>M39</f>
        <v>2430</v>
      </c>
      <c r="O39" s="730"/>
      <c r="P39" s="730"/>
      <c r="Q39" s="730"/>
      <c r="R39" s="730"/>
      <c r="S39" s="789">
        <v>0</v>
      </c>
      <c r="T39" s="789">
        <v>0</v>
      </c>
      <c r="U39" s="789">
        <v>0</v>
      </c>
      <c r="V39" s="789">
        <v>0</v>
      </c>
      <c r="W39" s="789">
        <v>0</v>
      </c>
      <c r="X39" s="385"/>
    </row>
    <row r="40" spans="2:24" s="1228" customFormat="1" ht="31" x14ac:dyDescent="0.25">
      <c r="B40" s="388">
        <v>1.18</v>
      </c>
      <c r="C40" s="377" t="s">
        <v>696</v>
      </c>
      <c r="D40" s="388" t="s">
        <v>103</v>
      </c>
      <c r="E40" s="1255"/>
      <c r="F40" s="730"/>
      <c r="G40" s="539">
        <f>G113/G23</f>
        <v>2517.2425387683684</v>
      </c>
      <c r="H40" s="539">
        <f>G40-F39</f>
        <v>87.242538768368377</v>
      </c>
      <c r="I40" s="1255"/>
      <c r="J40" s="730"/>
      <c r="K40" s="539">
        <f>K113/K23</f>
        <v>2452.2830775074544</v>
      </c>
      <c r="L40" s="539">
        <f>K40-J39</f>
        <v>22.283077507454436</v>
      </c>
      <c r="M40" s="1255"/>
      <c r="N40" s="730"/>
      <c r="O40" s="539">
        <f>O113/O23</f>
        <v>2466.0132348147172</v>
      </c>
      <c r="P40" s="539">
        <f>P113/P23</f>
        <v>2430</v>
      </c>
      <c r="Q40" s="539">
        <f>Q113/Q23</f>
        <v>2444.1601773868369</v>
      </c>
      <c r="R40" s="539">
        <f>Q40-N39</f>
        <v>14.160177386836949</v>
      </c>
      <c r="S40" s="1252">
        <v>2415</v>
      </c>
      <c r="T40" s="1252">
        <v>2415</v>
      </c>
      <c r="U40" s="1252">
        <v>2415</v>
      </c>
      <c r="V40" s="1252">
        <v>2415</v>
      </c>
      <c r="W40" s="1252">
        <v>2415</v>
      </c>
      <c r="X40" s="390"/>
    </row>
    <row r="41" spans="2:24" s="1228" customFormat="1" ht="31" x14ac:dyDescent="0.35">
      <c r="B41" s="475">
        <v>1.19</v>
      </c>
      <c r="C41" s="377" t="s">
        <v>104</v>
      </c>
      <c r="D41" s="388" t="s">
        <v>105</v>
      </c>
      <c r="E41" s="791">
        <f>'F2.1'!E56</f>
        <v>0.5</v>
      </c>
      <c r="F41" s="539">
        <f>E41</f>
        <v>0.5</v>
      </c>
      <c r="G41" s="730"/>
      <c r="H41" s="730"/>
      <c r="I41" s="619">
        <f>'F2.1'!I56</f>
        <v>0.5</v>
      </c>
      <c r="J41" s="539">
        <f>I41</f>
        <v>0.5</v>
      </c>
      <c r="K41" s="730"/>
      <c r="L41" s="730"/>
      <c r="M41" s="619">
        <f>'F2.1'!M56</f>
        <v>0.5</v>
      </c>
      <c r="N41" s="539">
        <f>M41</f>
        <v>0.5</v>
      </c>
      <c r="O41" s="730"/>
      <c r="P41" s="730"/>
      <c r="Q41" s="730"/>
      <c r="R41" s="539">
        <f t="shared" si="2"/>
        <v>-0.5</v>
      </c>
      <c r="S41" s="789">
        <v>0</v>
      </c>
      <c r="T41" s="789">
        <v>0</v>
      </c>
      <c r="U41" s="789">
        <v>0</v>
      </c>
      <c r="V41" s="789">
        <v>0</v>
      </c>
      <c r="W41" s="789">
        <v>0</v>
      </c>
      <c r="X41" s="390"/>
    </row>
    <row r="42" spans="2:24" s="1228" customFormat="1" ht="46.5" x14ac:dyDescent="0.25">
      <c r="B42" s="535">
        <v>1.2</v>
      </c>
      <c r="C42" s="377" t="s">
        <v>697</v>
      </c>
      <c r="D42" s="388" t="s">
        <v>105</v>
      </c>
      <c r="E42" s="730"/>
      <c r="F42" s="730"/>
      <c r="G42" s="539">
        <v>3.7789999999999999</v>
      </c>
      <c r="H42" s="539">
        <f>G42-F41</f>
        <v>3.2789999999999999</v>
      </c>
      <c r="I42" s="619"/>
      <c r="J42" s="730"/>
      <c r="K42" s="539">
        <v>2.0628678504328235</v>
      </c>
      <c r="L42" s="539">
        <f>K42-J41</f>
        <v>1.5628678504328235</v>
      </c>
      <c r="M42" s="619"/>
      <c r="N42" s="730"/>
      <c r="O42" s="789">
        <v>2.7157086177269791</v>
      </c>
      <c r="P42" s="789">
        <v>0.5</v>
      </c>
      <c r="Q42" s="789">
        <f>AVERAGE(O42:P42)</f>
        <v>1.6078543088634896</v>
      </c>
      <c r="R42" s="714">
        <f>Q42-N41</f>
        <v>1.1078543088634896</v>
      </c>
      <c r="S42" s="789">
        <v>0.5</v>
      </c>
      <c r="T42" s="789">
        <v>0.5</v>
      </c>
      <c r="U42" s="789">
        <v>0.5</v>
      </c>
      <c r="V42" s="789">
        <v>0.5</v>
      </c>
      <c r="W42" s="789">
        <v>0.5</v>
      </c>
      <c r="X42" s="390"/>
    </row>
    <row r="43" spans="2:24" s="1228" customFormat="1" x14ac:dyDescent="0.35">
      <c r="B43" s="475">
        <v>1.21</v>
      </c>
      <c r="C43" s="377" t="s">
        <v>106</v>
      </c>
      <c r="D43" s="388" t="s">
        <v>98</v>
      </c>
      <c r="E43" s="620">
        <f>'F2.1'!E61</f>
        <v>8.0000000000000002E-3</v>
      </c>
      <c r="F43" s="540">
        <f>E43</f>
        <v>8.0000000000000002E-3</v>
      </c>
      <c r="G43" s="729"/>
      <c r="H43" s="729"/>
      <c r="I43" s="620"/>
      <c r="J43" s="540"/>
      <c r="K43" s="729"/>
      <c r="L43" s="729"/>
      <c r="M43" s="620">
        <v>8.0000000000000002E-3</v>
      </c>
      <c r="N43" s="540">
        <f>M43</f>
        <v>8.0000000000000002E-3</v>
      </c>
      <c r="O43" s="729"/>
      <c r="P43" s="729"/>
      <c r="Q43" s="729"/>
      <c r="R43" s="729"/>
      <c r="S43" s="821"/>
      <c r="T43" s="821"/>
      <c r="U43" s="821"/>
      <c r="V43" s="821"/>
      <c r="W43" s="821"/>
      <c r="X43" s="390"/>
    </row>
    <row r="44" spans="2:24" s="1228" customFormat="1" ht="31" x14ac:dyDescent="0.35">
      <c r="B44" s="475">
        <v>1.22</v>
      </c>
      <c r="C44" s="377" t="s">
        <v>698</v>
      </c>
      <c r="D44" s="388" t="s">
        <v>98</v>
      </c>
      <c r="E44" s="729"/>
      <c r="F44" s="729"/>
      <c r="G44" s="540">
        <v>4.8999999999999998E-3</v>
      </c>
      <c r="H44" s="540">
        <f>G44-F43</f>
        <v>-3.1000000000000003E-3</v>
      </c>
      <c r="I44" s="729"/>
      <c r="J44" s="729"/>
      <c r="K44" s="540">
        <v>7.4999999999999997E-3</v>
      </c>
      <c r="L44" s="540">
        <f>K44-J43</f>
        <v>7.4999999999999997E-3</v>
      </c>
      <c r="M44" s="620"/>
      <c r="N44" s="729"/>
      <c r="O44" s="1191">
        <v>5.8504486537598946E-3</v>
      </c>
      <c r="P44" s="1191">
        <v>8.0000000000000002E-3</v>
      </c>
      <c r="Q44" s="1191">
        <f>AVERAGE(O44:P44)</f>
        <v>6.9252243268799474E-3</v>
      </c>
      <c r="R44" s="540">
        <f>Q44-N43</f>
        <v>-1.0747756731200528E-3</v>
      </c>
      <c r="S44" s="820">
        <v>8.0000000000000002E-3</v>
      </c>
      <c r="T44" s="820">
        <v>8.0000000000000002E-3</v>
      </c>
      <c r="U44" s="820">
        <v>8.0000000000000002E-3</v>
      </c>
      <c r="V44" s="820">
        <v>8.0000000000000002E-3</v>
      </c>
      <c r="W44" s="820">
        <v>8.0000000000000002E-3</v>
      </c>
      <c r="X44" s="390"/>
    </row>
    <row r="45" spans="2:24" s="1228" customFormat="1" x14ac:dyDescent="0.3">
      <c r="B45" s="460"/>
      <c r="C45" s="459"/>
      <c r="D45" s="461"/>
      <c r="E45" s="624"/>
      <c r="F45" s="508"/>
      <c r="G45" s="508"/>
      <c r="H45" s="508"/>
      <c r="I45" s="624"/>
      <c r="J45" s="508"/>
      <c r="K45" s="508"/>
      <c r="L45" s="508"/>
      <c r="M45" s="624"/>
      <c r="N45" s="505"/>
      <c r="O45" s="505"/>
      <c r="P45" s="505"/>
      <c r="Q45" s="505"/>
      <c r="R45" s="505"/>
      <c r="S45" s="816"/>
      <c r="T45" s="816"/>
      <c r="U45" s="816"/>
      <c r="V45" s="816"/>
      <c r="W45" s="816"/>
      <c r="X45" s="390"/>
    </row>
    <row r="46" spans="2:24" s="1228" customFormat="1" x14ac:dyDescent="0.3">
      <c r="B46" s="460">
        <v>2</v>
      </c>
      <c r="C46" s="486" t="s">
        <v>107</v>
      </c>
      <c r="D46" s="461"/>
      <c r="E46" s="624"/>
      <c r="F46" s="508"/>
      <c r="G46" s="508"/>
      <c r="H46" s="508"/>
      <c r="I46" s="624"/>
      <c r="J46" s="508"/>
      <c r="K46" s="508"/>
      <c r="L46" s="508"/>
      <c r="M46" s="624"/>
      <c r="N46" s="505"/>
      <c r="O46" s="505"/>
      <c r="P46" s="505"/>
      <c r="Q46" s="505"/>
      <c r="R46" s="505"/>
      <c r="S46" s="816"/>
      <c r="T46" s="816"/>
      <c r="U46" s="816"/>
      <c r="V46" s="816"/>
      <c r="W46" s="816"/>
      <c r="X46" s="390"/>
    </row>
    <row r="47" spans="2:24" s="1228" customFormat="1" x14ac:dyDescent="0.3">
      <c r="B47" s="460">
        <v>2.1</v>
      </c>
      <c r="C47" s="459" t="s">
        <v>578</v>
      </c>
      <c r="D47" s="461"/>
      <c r="E47" s="624"/>
      <c r="F47" s="508"/>
      <c r="G47" s="508"/>
      <c r="H47" s="508"/>
      <c r="I47" s="624"/>
      <c r="J47" s="508"/>
      <c r="K47" s="508"/>
      <c r="L47" s="508"/>
      <c r="M47" s="624"/>
      <c r="N47" s="505"/>
      <c r="O47" s="505"/>
      <c r="P47" s="505"/>
      <c r="Q47" s="505"/>
      <c r="R47" s="505"/>
      <c r="S47" s="816"/>
      <c r="T47" s="816"/>
      <c r="U47" s="816"/>
      <c r="V47" s="816"/>
      <c r="W47" s="816"/>
      <c r="X47" s="390"/>
    </row>
    <row r="48" spans="2:24" s="1228" customFormat="1" x14ac:dyDescent="0.35">
      <c r="B48" s="1119" t="s">
        <v>108</v>
      </c>
      <c r="C48" s="1120" t="s">
        <v>748</v>
      </c>
      <c r="D48" s="1121" t="s">
        <v>109</v>
      </c>
      <c r="E48" s="627">
        <v>4136.1897873240305</v>
      </c>
      <c r="F48" s="543">
        <f>G48</f>
        <v>3947</v>
      </c>
      <c r="G48" s="543">
        <v>3947</v>
      </c>
      <c r="H48" s="543">
        <f>G48-F48</f>
        <v>0</v>
      </c>
      <c r="I48" s="627"/>
      <c r="J48" s="543">
        <f>K48</f>
        <v>3930</v>
      </c>
      <c r="K48" s="543">
        <v>3930</v>
      </c>
      <c r="L48" s="539">
        <f>K48-J48</f>
        <v>0</v>
      </c>
      <c r="M48" s="627"/>
      <c r="N48" s="543">
        <f t="shared" ref="N48:N56" si="36">Q48</f>
        <v>3940.5763476117868</v>
      </c>
      <c r="O48" s="724">
        <v>3957.0899411962218</v>
      </c>
      <c r="P48" s="724">
        <v>3930</v>
      </c>
      <c r="Q48" s="789">
        <f>SUMPRODUCT(O48:P48,O94:P94)/SUM(O94:P94)</f>
        <v>3940.5763476117868</v>
      </c>
      <c r="R48" s="539">
        <f>Q48-N48</f>
        <v>0</v>
      </c>
      <c r="S48" s="724">
        <v>3952.9549429182944</v>
      </c>
      <c r="T48" s="724">
        <v>3952.9549429182944</v>
      </c>
      <c r="U48" s="724">
        <v>3952.9549429182944</v>
      </c>
      <c r="V48" s="724">
        <v>3952.9549429182944</v>
      </c>
      <c r="W48" s="724">
        <v>3952.9549429182944</v>
      </c>
      <c r="X48" s="390"/>
    </row>
    <row r="49" spans="2:24" s="1228" customFormat="1" x14ac:dyDescent="0.35">
      <c r="B49" s="1119" t="s">
        <v>110</v>
      </c>
      <c r="C49" s="1120" t="s">
        <v>749</v>
      </c>
      <c r="D49" s="1121" t="s">
        <v>109</v>
      </c>
      <c r="E49" s="627">
        <v>0</v>
      </c>
      <c r="F49" s="543">
        <f t="shared" ref="F49:F56" si="37">G49</f>
        <v>0</v>
      </c>
      <c r="G49" s="543">
        <v>0</v>
      </c>
      <c r="H49" s="543">
        <f t="shared" ref="H49:H56" si="38">G49-F49</f>
        <v>0</v>
      </c>
      <c r="I49" s="627"/>
      <c r="J49" s="543">
        <f t="shared" ref="J49:J56" si="39">K49</f>
        <v>0</v>
      </c>
      <c r="K49" s="543">
        <v>0</v>
      </c>
      <c r="L49" s="539">
        <f t="shared" ref="L49:L56" si="40">K49-J49</f>
        <v>0</v>
      </c>
      <c r="M49" s="627"/>
      <c r="N49" s="543">
        <f t="shared" si="36"/>
        <v>0</v>
      </c>
      <c r="O49" s="724">
        <v>0</v>
      </c>
      <c r="P49" s="724">
        <v>0</v>
      </c>
      <c r="Q49" s="789">
        <f>IFERROR(SUMPRODUCT(O49:P49,O95:P95)/SUM(O95:P95),0)</f>
        <v>0</v>
      </c>
      <c r="R49" s="539">
        <f>Q49-N49</f>
        <v>0</v>
      </c>
      <c r="S49" s="724">
        <v>0</v>
      </c>
      <c r="T49" s="724">
        <v>0</v>
      </c>
      <c r="U49" s="724">
        <v>0</v>
      </c>
      <c r="V49" s="724">
        <v>0</v>
      </c>
      <c r="W49" s="724">
        <v>0</v>
      </c>
      <c r="X49" s="390"/>
    </row>
    <row r="50" spans="2:24" s="1228" customFormat="1" x14ac:dyDescent="0.35">
      <c r="B50" s="1119" t="s">
        <v>112</v>
      </c>
      <c r="C50" s="1120" t="s">
        <v>856</v>
      </c>
      <c r="D50" s="1121" t="s">
        <v>109</v>
      </c>
      <c r="E50" s="627">
        <v>0</v>
      </c>
      <c r="F50" s="543">
        <f t="shared" si="37"/>
        <v>0</v>
      </c>
      <c r="G50" s="543">
        <v>0</v>
      </c>
      <c r="H50" s="543">
        <f t="shared" si="38"/>
        <v>0</v>
      </c>
      <c r="I50" s="627"/>
      <c r="J50" s="543">
        <f t="shared" si="39"/>
        <v>0</v>
      </c>
      <c r="K50" s="543">
        <v>0</v>
      </c>
      <c r="L50" s="539">
        <f t="shared" si="40"/>
        <v>0</v>
      </c>
      <c r="M50" s="627"/>
      <c r="N50" s="543">
        <f t="shared" si="36"/>
        <v>0</v>
      </c>
      <c r="O50" s="724">
        <v>0</v>
      </c>
      <c r="P50" s="724">
        <v>0</v>
      </c>
      <c r="Q50" s="789">
        <f>IFERROR(SUMPRODUCT(O50:P50,O96:P96)/SUM(O96:P96),0)</f>
        <v>0</v>
      </c>
      <c r="R50" s="539">
        <f t="shared" ref="R50:R56" si="41">Q50-N50</f>
        <v>0</v>
      </c>
      <c r="S50" s="724">
        <v>0</v>
      </c>
      <c r="T50" s="724">
        <v>0</v>
      </c>
      <c r="U50" s="724">
        <v>0</v>
      </c>
      <c r="V50" s="724">
        <v>0</v>
      </c>
      <c r="W50" s="724">
        <v>0</v>
      </c>
      <c r="X50" s="390"/>
    </row>
    <row r="51" spans="2:24" s="1228" customFormat="1" x14ac:dyDescent="0.35">
      <c r="B51" s="1119" t="s">
        <v>747</v>
      </c>
      <c r="C51" s="1120" t="s">
        <v>1488</v>
      </c>
      <c r="D51" s="1121" t="s">
        <v>109</v>
      </c>
      <c r="E51" s="627"/>
      <c r="F51" s="543"/>
      <c r="G51" s="543"/>
      <c r="H51" s="543"/>
      <c r="I51" s="627"/>
      <c r="J51" s="543"/>
      <c r="K51" s="543"/>
      <c r="L51" s="539"/>
      <c r="M51" s="627"/>
      <c r="N51" s="543"/>
      <c r="O51" s="724"/>
      <c r="P51" s="724"/>
      <c r="Q51" s="789"/>
      <c r="R51" s="539"/>
      <c r="S51" s="724">
        <v>3350</v>
      </c>
      <c r="T51" s="724">
        <v>3350</v>
      </c>
      <c r="U51" s="724">
        <v>3350</v>
      </c>
      <c r="V51" s="724">
        <v>3350</v>
      </c>
      <c r="W51" s="724">
        <v>3350</v>
      </c>
      <c r="X51" s="390"/>
    </row>
    <row r="52" spans="2:24" s="1228" customFormat="1" x14ac:dyDescent="0.35">
      <c r="B52" s="1119" t="s">
        <v>859</v>
      </c>
      <c r="C52" s="1120" t="s">
        <v>1489</v>
      </c>
      <c r="D52" s="1121" t="s">
        <v>109</v>
      </c>
      <c r="E52" s="627"/>
      <c r="F52" s="543"/>
      <c r="G52" s="543"/>
      <c r="H52" s="543"/>
      <c r="I52" s="627"/>
      <c r="J52" s="543"/>
      <c r="K52" s="543"/>
      <c r="L52" s="539"/>
      <c r="M52" s="627"/>
      <c r="N52" s="543"/>
      <c r="O52" s="724"/>
      <c r="P52" s="724"/>
      <c r="Q52" s="789"/>
      <c r="R52" s="539"/>
      <c r="S52" s="724">
        <v>0</v>
      </c>
      <c r="T52" s="724">
        <v>0</v>
      </c>
      <c r="U52" s="724">
        <v>0</v>
      </c>
      <c r="V52" s="724">
        <v>0</v>
      </c>
      <c r="W52" s="724">
        <v>0</v>
      </c>
      <c r="X52" s="390"/>
    </row>
    <row r="53" spans="2:24" s="1228" customFormat="1" x14ac:dyDescent="0.35">
      <c r="B53" s="1119" t="s">
        <v>860</v>
      </c>
      <c r="C53" s="1120" t="s">
        <v>750</v>
      </c>
      <c r="D53" s="1121" t="s">
        <v>109</v>
      </c>
      <c r="E53" s="622">
        <v>55713.010753817071</v>
      </c>
      <c r="F53" s="543">
        <f>G53</f>
        <v>10094</v>
      </c>
      <c r="G53" s="543">
        <v>10094</v>
      </c>
      <c r="H53" s="543">
        <f t="shared" si="38"/>
        <v>0</v>
      </c>
      <c r="I53" s="622"/>
      <c r="J53" s="543">
        <f t="shared" si="39"/>
        <v>10286</v>
      </c>
      <c r="K53" s="543">
        <v>10286</v>
      </c>
      <c r="L53" s="539">
        <f t="shared" si="40"/>
        <v>0</v>
      </c>
      <c r="M53" s="622"/>
      <c r="N53" s="543">
        <f t="shared" si="36"/>
        <v>10293.647100230093</v>
      </c>
      <c r="O53" s="724">
        <v>10296</v>
      </c>
      <c r="P53" s="724">
        <v>10286</v>
      </c>
      <c r="Q53" s="789">
        <f>SUMPRODUCT(O53:P53,O99:P99)/SUM(O99:P99)</f>
        <v>10293.647100230093</v>
      </c>
      <c r="R53" s="539">
        <f t="shared" si="41"/>
        <v>0</v>
      </c>
      <c r="S53" s="724">
        <v>10286</v>
      </c>
      <c r="T53" s="724">
        <v>10286</v>
      </c>
      <c r="U53" s="724">
        <v>10286</v>
      </c>
      <c r="V53" s="724">
        <v>10286</v>
      </c>
      <c r="W53" s="724">
        <v>10286</v>
      </c>
      <c r="X53" s="390"/>
    </row>
    <row r="54" spans="2:24" s="1228" customFormat="1" x14ac:dyDescent="0.35">
      <c r="B54" s="1119" t="s">
        <v>861</v>
      </c>
      <c r="C54" s="1120" t="s">
        <v>751</v>
      </c>
      <c r="D54" s="1121" t="s">
        <v>109</v>
      </c>
      <c r="E54" s="622">
        <v>57031.446643547388</v>
      </c>
      <c r="F54" s="543">
        <f>G54</f>
        <v>10687</v>
      </c>
      <c r="G54" s="543">
        <v>10687</v>
      </c>
      <c r="H54" s="543">
        <f t="shared" si="38"/>
        <v>0</v>
      </c>
      <c r="I54" s="622"/>
      <c r="J54" s="543">
        <f t="shared" si="39"/>
        <v>10686</v>
      </c>
      <c r="K54" s="543">
        <v>10686</v>
      </c>
      <c r="L54" s="539">
        <f t="shared" si="40"/>
        <v>0</v>
      </c>
      <c r="M54" s="622"/>
      <c r="N54" s="543">
        <f t="shared" si="36"/>
        <v>10467.645379892729</v>
      </c>
      <c r="O54" s="724">
        <v>10421</v>
      </c>
      <c r="P54" s="724">
        <v>10686</v>
      </c>
      <c r="Q54" s="789">
        <f>SUMPRODUCT(O54:P54,O100:P100)/SUM(O100:P100)</f>
        <v>10467.645379892729</v>
      </c>
      <c r="R54" s="539">
        <f t="shared" si="41"/>
        <v>0</v>
      </c>
      <c r="S54" s="724">
        <v>10686</v>
      </c>
      <c r="T54" s="724">
        <v>10686</v>
      </c>
      <c r="U54" s="724">
        <v>10686</v>
      </c>
      <c r="V54" s="724">
        <v>10686</v>
      </c>
      <c r="W54" s="724">
        <v>10686</v>
      </c>
      <c r="X54" s="390"/>
    </row>
    <row r="55" spans="2:24" s="1228" customFormat="1" x14ac:dyDescent="0.35">
      <c r="B55" s="1119" t="s">
        <v>1142</v>
      </c>
      <c r="C55" s="1120" t="s">
        <v>857</v>
      </c>
      <c r="D55" s="1121" t="s">
        <v>109</v>
      </c>
      <c r="E55" s="622"/>
      <c r="F55" s="543">
        <f t="shared" si="37"/>
        <v>0</v>
      </c>
      <c r="G55" s="543">
        <v>0</v>
      </c>
      <c r="H55" s="543">
        <f t="shared" si="38"/>
        <v>0</v>
      </c>
      <c r="I55" s="622"/>
      <c r="J55" s="543">
        <f t="shared" si="39"/>
        <v>0</v>
      </c>
      <c r="K55" s="543">
        <v>0</v>
      </c>
      <c r="L55" s="539">
        <f t="shared" si="40"/>
        <v>0</v>
      </c>
      <c r="M55" s="622"/>
      <c r="N55" s="543">
        <f t="shared" si="36"/>
        <v>0</v>
      </c>
      <c r="O55" s="724">
        <v>0</v>
      </c>
      <c r="P55" s="724">
        <v>0</v>
      </c>
      <c r="Q55" s="789">
        <f t="shared" ref="Q55:Q56" si="42">O55+P55</f>
        <v>0</v>
      </c>
      <c r="R55" s="539">
        <f t="shared" si="41"/>
        <v>0</v>
      </c>
      <c r="S55" s="724">
        <v>0</v>
      </c>
      <c r="T55" s="724">
        <v>0</v>
      </c>
      <c r="U55" s="724">
        <v>0</v>
      </c>
      <c r="V55" s="724">
        <v>0</v>
      </c>
      <c r="W55" s="724">
        <v>0</v>
      </c>
      <c r="X55" s="390"/>
    </row>
    <row r="56" spans="2:24" s="1228" customFormat="1" x14ac:dyDescent="0.35">
      <c r="B56" s="1119" t="s">
        <v>1490</v>
      </c>
      <c r="C56" s="1120" t="s">
        <v>858</v>
      </c>
      <c r="D56" s="1121" t="s">
        <v>109</v>
      </c>
      <c r="E56" s="622"/>
      <c r="F56" s="543">
        <f t="shared" si="37"/>
        <v>0</v>
      </c>
      <c r="G56" s="543">
        <v>0</v>
      </c>
      <c r="H56" s="543">
        <f t="shared" si="38"/>
        <v>0</v>
      </c>
      <c r="I56" s="622"/>
      <c r="J56" s="543">
        <f t="shared" si="39"/>
        <v>0</v>
      </c>
      <c r="K56" s="543">
        <v>0</v>
      </c>
      <c r="L56" s="539">
        <f t="shared" si="40"/>
        <v>0</v>
      </c>
      <c r="M56" s="622"/>
      <c r="N56" s="543">
        <f t="shared" si="36"/>
        <v>0</v>
      </c>
      <c r="O56" s="724">
        <v>0</v>
      </c>
      <c r="P56" s="724">
        <v>0</v>
      </c>
      <c r="Q56" s="789">
        <f t="shared" si="42"/>
        <v>0</v>
      </c>
      <c r="R56" s="539">
        <f t="shared" si="41"/>
        <v>0</v>
      </c>
      <c r="S56" s="724">
        <v>0</v>
      </c>
      <c r="T56" s="724">
        <v>0</v>
      </c>
      <c r="U56" s="724">
        <v>0</v>
      </c>
      <c r="V56" s="724">
        <v>0</v>
      </c>
      <c r="W56" s="724">
        <v>0</v>
      </c>
      <c r="X56" s="390"/>
    </row>
    <row r="57" spans="2:24" s="1228" customFormat="1" ht="30" x14ac:dyDescent="0.3">
      <c r="B57" s="460">
        <v>2.2000000000000002</v>
      </c>
      <c r="C57" s="459" t="s">
        <v>332</v>
      </c>
      <c r="D57" s="461"/>
      <c r="E57" s="622"/>
      <c r="F57" s="543"/>
      <c r="G57" s="543"/>
      <c r="H57" s="543"/>
      <c r="I57" s="622"/>
      <c r="J57" s="543"/>
      <c r="K57" s="543"/>
      <c r="L57" s="543"/>
      <c r="M57" s="622"/>
      <c r="N57" s="543"/>
      <c r="O57" s="724"/>
      <c r="P57" s="724"/>
      <c r="Q57" s="789"/>
      <c r="R57" s="539"/>
      <c r="S57" s="539"/>
      <c r="T57" s="539"/>
      <c r="U57" s="539"/>
      <c r="V57" s="539"/>
      <c r="W57" s="539"/>
      <c r="X57" s="390"/>
    </row>
    <row r="58" spans="2:24" s="1228" customFormat="1" x14ac:dyDescent="0.35">
      <c r="B58" s="1119" t="s">
        <v>115</v>
      </c>
      <c r="C58" s="1120" t="s">
        <v>748</v>
      </c>
      <c r="D58" s="1121" t="s">
        <v>109</v>
      </c>
      <c r="E58" s="627">
        <v>3536.1897873240305</v>
      </c>
      <c r="F58" s="724">
        <v>3347</v>
      </c>
      <c r="G58" s="543">
        <v>3282</v>
      </c>
      <c r="H58" s="543">
        <f>G58-F58</f>
        <v>-65</v>
      </c>
      <c r="I58" s="627"/>
      <c r="J58" s="724">
        <f>IF(J48=0,0,MAX(K58,J48-650))</f>
        <v>3280</v>
      </c>
      <c r="K58" s="543">
        <v>3252</v>
      </c>
      <c r="L58" s="539">
        <f>K58-J58</f>
        <v>-28</v>
      </c>
      <c r="M58" s="627"/>
      <c r="N58" s="724">
        <f>IF(N48=0,0,MAX(Q58,N48-650))</f>
        <v>3298.0176590206711</v>
      </c>
      <c r="O58" s="724">
        <v>3326.1498942054091</v>
      </c>
      <c r="P58" s="724">
        <v>3280</v>
      </c>
      <c r="Q58" s="789">
        <f>SUMPRODUCT(O58:P58,O94:P94)/SUM(O94:P94)</f>
        <v>3298.0176590206711</v>
      </c>
      <c r="R58" s="539">
        <f>Q58-N58</f>
        <v>0</v>
      </c>
      <c r="S58" s="724">
        <f>IF(S48=0,0,S48-750)</f>
        <v>3202.9549429182944</v>
      </c>
      <c r="T58" s="724">
        <f t="shared" ref="T58:W58" si="43">IF(T48=0,0,T48-750)</f>
        <v>3202.9549429182944</v>
      </c>
      <c r="U58" s="724">
        <f t="shared" si="43"/>
        <v>3202.9549429182944</v>
      </c>
      <c r="V58" s="724">
        <f t="shared" si="43"/>
        <v>3202.9549429182944</v>
      </c>
      <c r="W58" s="724">
        <f t="shared" si="43"/>
        <v>3202.9549429182944</v>
      </c>
      <c r="X58" s="390"/>
    </row>
    <row r="59" spans="2:24" s="1228" customFormat="1" x14ac:dyDescent="0.35">
      <c r="B59" s="1119" t="s">
        <v>117</v>
      </c>
      <c r="C59" s="1120" t="s">
        <v>749</v>
      </c>
      <c r="D59" s="1121" t="s">
        <v>109</v>
      </c>
      <c r="E59" s="627">
        <v>0</v>
      </c>
      <c r="F59" s="543">
        <f t="shared" ref="F59:F66" si="44">G59</f>
        <v>0</v>
      </c>
      <c r="G59" s="543">
        <v>0</v>
      </c>
      <c r="H59" s="543">
        <f>G59-F59</f>
        <v>0</v>
      </c>
      <c r="I59" s="627"/>
      <c r="J59" s="543">
        <f t="shared" ref="J59:J66" si="45">K59</f>
        <v>0</v>
      </c>
      <c r="K59" s="543">
        <v>0</v>
      </c>
      <c r="L59" s="539">
        <f>K59-J59</f>
        <v>0</v>
      </c>
      <c r="M59" s="627"/>
      <c r="N59" s="543">
        <f>Q59</f>
        <v>0</v>
      </c>
      <c r="O59" s="724">
        <v>0</v>
      </c>
      <c r="P59" s="724">
        <v>0</v>
      </c>
      <c r="Q59" s="789">
        <f>IFERROR(SUMPRODUCT(O59:P59,O95:P95)/SUM(O95:P95),0)</f>
        <v>0</v>
      </c>
      <c r="R59" s="539">
        <f>Q59-N59</f>
        <v>0</v>
      </c>
      <c r="S59" s="543">
        <f>S49</f>
        <v>0</v>
      </c>
      <c r="T59" s="543">
        <f t="shared" ref="T59:W59" si="46">T49</f>
        <v>0</v>
      </c>
      <c r="U59" s="543">
        <f t="shared" si="46"/>
        <v>0</v>
      </c>
      <c r="V59" s="543">
        <f t="shared" si="46"/>
        <v>0</v>
      </c>
      <c r="W59" s="543">
        <f t="shared" si="46"/>
        <v>0</v>
      </c>
      <c r="X59" s="390"/>
    </row>
    <row r="60" spans="2:24" s="1228" customFormat="1" x14ac:dyDescent="0.35">
      <c r="B60" s="1119" t="s">
        <v>118</v>
      </c>
      <c r="C60" s="1120" t="s">
        <v>856</v>
      </c>
      <c r="D60" s="1121" t="s">
        <v>109</v>
      </c>
      <c r="E60" s="627">
        <v>0</v>
      </c>
      <c r="F60" s="724">
        <f>IF(F50=0,0,MAX(G60,F50-300))</f>
        <v>0</v>
      </c>
      <c r="G60" s="543">
        <v>0</v>
      </c>
      <c r="H60" s="543">
        <f t="shared" ref="H60:H68" si="47">G60-F60</f>
        <v>0</v>
      </c>
      <c r="I60" s="627"/>
      <c r="J60" s="724">
        <f>IF(J50=0,0,MAX(K60,J50-300))</f>
        <v>0</v>
      </c>
      <c r="K60" s="543">
        <v>0</v>
      </c>
      <c r="L60" s="539">
        <f t="shared" ref="L60:L68" si="48">K60-J60</f>
        <v>0</v>
      </c>
      <c r="M60" s="627"/>
      <c r="N60" s="724">
        <f>IF(N50=0,0,MAX(Q60,N50-300))</f>
        <v>0</v>
      </c>
      <c r="O60" s="724">
        <v>0</v>
      </c>
      <c r="P60" s="724">
        <v>0</v>
      </c>
      <c r="Q60" s="789">
        <f>IFERROR(SUMPRODUCT(O60:P60,O96:P96)/SUM(O96:P96),0)</f>
        <v>0</v>
      </c>
      <c r="R60" s="539">
        <f t="shared" ref="R60:R68" si="49">Q60-N60</f>
        <v>0</v>
      </c>
      <c r="S60" s="724">
        <f>IF(S50=0,0,S50-300)</f>
        <v>0</v>
      </c>
      <c r="T60" s="724">
        <f t="shared" ref="T60:W60" si="50">IF(T50=0,0,T50-300)</f>
        <v>0</v>
      </c>
      <c r="U60" s="724">
        <f t="shared" si="50"/>
        <v>0</v>
      </c>
      <c r="V60" s="724">
        <f t="shared" si="50"/>
        <v>0</v>
      </c>
      <c r="W60" s="724">
        <f t="shared" si="50"/>
        <v>0</v>
      </c>
      <c r="X60" s="390"/>
    </row>
    <row r="61" spans="2:24" s="1228" customFormat="1" x14ac:dyDescent="0.35">
      <c r="B61" s="1119" t="s">
        <v>752</v>
      </c>
      <c r="C61" s="1120" t="s">
        <v>1488</v>
      </c>
      <c r="D61" s="1121" t="s">
        <v>109</v>
      </c>
      <c r="E61" s="627"/>
      <c r="F61" s="724"/>
      <c r="G61" s="543"/>
      <c r="H61" s="543"/>
      <c r="I61" s="627"/>
      <c r="J61" s="724"/>
      <c r="K61" s="543"/>
      <c r="L61" s="539"/>
      <c r="M61" s="627"/>
      <c r="N61" s="724"/>
      <c r="O61" s="724"/>
      <c r="P61" s="724"/>
      <c r="Q61" s="789"/>
      <c r="R61" s="539"/>
      <c r="S61" s="724">
        <f>S51</f>
        <v>3350</v>
      </c>
      <c r="T61" s="724">
        <f t="shared" ref="T61:W61" si="51">T51</f>
        <v>3350</v>
      </c>
      <c r="U61" s="724">
        <f t="shared" si="51"/>
        <v>3350</v>
      </c>
      <c r="V61" s="724">
        <f t="shared" si="51"/>
        <v>3350</v>
      </c>
      <c r="W61" s="724">
        <f t="shared" si="51"/>
        <v>3350</v>
      </c>
      <c r="X61" s="390"/>
    </row>
    <row r="62" spans="2:24" s="1228" customFormat="1" x14ac:dyDescent="0.35">
      <c r="B62" s="1119" t="s">
        <v>862</v>
      </c>
      <c r="C62" s="1120" t="s">
        <v>1489</v>
      </c>
      <c r="D62" s="1121" t="s">
        <v>109</v>
      </c>
      <c r="E62" s="627"/>
      <c r="F62" s="724"/>
      <c r="G62" s="543"/>
      <c r="H62" s="543"/>
      <c r="I62" s="627"/>
      <c r="J62" s="724"/>
      <c r="K62" s="543"/>
      <c r="L62" s="539"/>
      <c r="M62" s="627"/>
      <c r="N62" s="724"/>
      <c r="O62" s="724"/>
      <c r="P62" s="724"/>
      <c r="Q62" s="789"/>
      <c r="R62" s="539"/>
      <c r="S62" s="724">
        <f>IF(S52=0,0,S52-300)</f>
        <v>0</v>
      </c>
      <c r="T62" s="724">
        <f t="shared" ref="T62:W62" si="52">IF(T52=0,0,T52-300)</f>
        <v>0</v>
      </c>
      <c r="U62" s="724">
        <f t="shared" si="52"/>
        <v>0</v>
      </c>
      <c r="V62" s="724">
        <f t="shared" si="52"/>
        <v>0</v>
      </c>
      <c r="W62" s="724">
        <f t="shared" si="52"/>
        <v>0</v>
      </c>
      <c r="X62" s="390"/>
    </row>
    <row r="63" spans="2:24" s="1228" customFormat="1" x14ac:dyDescent="0.35">
      <c r="B63" s="1119" t="s">
        <v>863</v>
      </c>
      <c r="C63" s="1120" t="s">
        <v>750</v>
      </c>
      <c r="D63" s="1121" t="s">
        <v>109</v>
      </c>
      <c r="E63" s="622">
        <f>E53</f>
        <v>55713.010753817071</v>
      </c>
      <c r="F63" s="543">
        <f t="shared" si="44"/>
        <v>10094</v>
      </c>
      <c r="G63" s="543">
        <v>10094</v>
      </c>
      <c r="H63" s="543">
        <f t="shared" si="47"/>
        <v>0</v>
      </c>
      <c r="I63" s="622"/>
      <c r="J63" s="543">
        <f t="shared" si="45"/>
        <v>10286</v>
      </c>
      <c r="K63" s="543">
        <v>10286</v>
      </c>
      <c r="L63" s="539">
        <f t="shared" si="48"/>
        <v>0</v>
      </c>
      <c r="M63" s="622"/>
      <c r="N63" s="543">
        <f>Q63</f>
        <v>10293.647100230093</v>
      </c>
      <c r="O63" s="724">
        <v>10296</v>
      </c>
      <c r="P63" s="724">
        <v>10286</v>
      </c>
      <c r="Q63" s="789">
        <f>SUMPRODUCT(O63:P63,O99:P99)/SUM(O99:P99)</f>
        <v>10293.647100230093</v>
      </c>
      <c r="R63" s="539">
        <f t="shared" si="49"/>
        <v>0</v>
      </c>
      <c r="S63" s="543">
        <f>S53</f>
        <v>10286</v>
      </c>
      <c r="T63" s="543">
        <f t="shared" ref="T63:W63" si="53">T53</f>
        <v>10286</v>
      </c>
      <c r="U63" s="543">
        <f t="shared" si="53"/>
        <v>10286</v>
      </c>
      <c r="V63" s="543">
        <f t="shared" si="53"/>
        <v>10286</v>
      </c>
      <c r="W63" s="543">
        <f t="shared" si="53"/>
        <v>10286</v>
      </c>
      <c r="X63" s="390"/>
    </row>
    <row r="64" spans="2:24" s="1228" customFormat="1" x14ac:dyDescent="0.35">
      <c r="B64" s="1119" t="s">
        <v>864</v>
      </c>
      <c r="C64" s="1120" t="s">
        <v>751</v>
      </c>
      <c r="D64" s="1121" t="s">
        <v>109</v>
      </c>
      <c r="E64" s="622">
        <f>E54</f>
        <v>57031.446643547388</v>
      </c>
      <c r="F64" s="543">
        <f t="shared" si="44"/>
        <v>10687</v>
      </c>
      <c r="G64" s="543">
        <v>10687</v>
      </c>
      <c r="H64" s="543">
        <f t="shared" si="47"/>
        <v>0</v>
      </c>
      <c r="I64" s="622"/>
      <c r="J64" s="543">
        <f t="shared" si="45"/>
        <v>10686</v>
      </c>
      <c r="K64" s="543">
        <v>10686</v>
      </c>
      <c r="L64" s="539">
        <f t="shared" si="48"/>
        <v>0</v>
      </c>
      <c r="M64" s="622"/>
      <c r="N64" s="543">
        <f t="shared" ref="N64:N66" si="54">Q64</f>
        <v>10467.645379892729</v>
      </c>
      <c r="O64" s="724">
        <v>10421</v>
      </c>
      <c r="P64" s="724">
        <v>10686</v>
      </c>
      <c r="Q64" s="789">
        <f>SUMPRODUCT(O64:P64,O100:P100)/SUM(O100:P100)</f>
        <v>10467.645379892729</v>
      </c>
      <c r="R64" s="539">
        <f t="shared" si="49"/>
        <v>0</v>
      </c>
      <c r="S64" s="543">
        <f>S54</f>
        <v>10686</v>
      </c>
      <c r="T64" s="543">
        <f t="shared" ref="T64:W66" si="55">T54</f>
        <v>10686</v>
      </c>
      <c r="U64" s="543">
        <f t="shared" si="55"/>
        <v>10686</v>
      </c>
      <c r="V64" s="543">
        <f t="shared" si="55"/>
        <v>10686</v>
      </c>
      <c r="W64" s="543">
        <f t="shared" si="55"/>
        <v>10686</v>
      </c>
      <c r="X64" s="390"/>
    </row>
    <row r="65" spans="2:24" s="1228" customFormat="1" x14ac:dyDescent="0.35">
      <c r="B65" s="1119" t="s">
        <v>1152</v>
      </c>
      <c r="C65" s="1120" t="s">
        <v>857</v>
      </c>
      <c r="D65" s="1121" t="s">
        <v>109</v>
      </c>
      <c r="E65" s="622"/>
      <c r="F65" s="543">
        <f t="shared" si="44"/>
        <v>0</v>
      </c>
      <c r="G65" s="543">
        <v>0</v>
      </c>
      <c r="H65" s="543">
        <f t="shared" si="47"/>
        <v>0</v>
      </c>
      <c r="I65" s="622"/>
      <c r="J65" s="543">
        <f t="shared" si="45"/>
        <v>0</v>
      </c>
      <c r="K65" s="543">
        <v>0</v>
      </c>
      <c r="L65" s="539">
        <f t="shared" si="48"/>
        <v>0</v>
      </c>
      <c r="M65" s="622"/>
      <c r="N65" s="543">
        <f t="shared" si="54"/>
        <v>0</v>
      </c>
      <c r="O65" s="724">
        <v>0</v>
      </c>
      <c r="P65" s="724">
        <v>0</v>
      </c>
      <c r="Q65" s="789">
        <f>IFERROR(SUMPRODUCT(O65:P65,O101:P101)/SUM(O101:P101),0)</f>
        <v>0</v>
      </c>
      <c r="R65" s="539">
        <f t="shared" si="49"/>
        <v>0</v>
      </c>
      <c r="S65" s="543">
        <f>S55</f>
        <v>0</v>
      </c>
      <c r="T65" s="543">
        <f t="shared" si="55"/>
        <v>0</v>
      </c>
      <c r="U65" s="543">
        <f t="shared" si="55"/>
        <v>0</v>
      </c>
      <c r="V65" s="543">
        <f t="shared" si="55"/>
        <v>0</v>
      </c>
      <c r="W65" s="543">
        <f t="shared" si="55"/>
        <v>0</v>
      </c>
      <c r="X65" s="390"/>
    </row>
    <row r="66" spans="2:24" s="1228" customFormat="1" x14ac:dyDescent="0.35">
      <c r="B66" s="1119" t="s">
        <v>1154</v>
      </c>
      <c r="C66" s="1120" t="s">
        <v>858</v>
      </c>
      <c r="D66" s="1121" t="s">
        <v>109</v>
      </c>
      <c r="E66" s="622"/>
      <c r="F66" s="543">
        <f t="shared" si="44"/>
        <v>0</v>
      </c>
      <c r="G66" s="543">
        <v>0</v>
      </c>
      <c r="H66" s="543">
        <f t="shared" si="47"/>
        <v>0</v>
      </c>
      <c r="I66" s="622"/>
      <c r="J66" s="543">
        <f t="shared" si="45"/>
        <v>0</v>
      </c>
      <c r="K66" s="543">
        <v>0</v>
      </c>
      <c r="L66" s="539">
        <f t="shared" si="48"/>
        <v>0</v>
      </c>
      <c r="M66" s="622"/>
      <c r="N66" s="543">
        <f t="shared" si="54"/>
        <v>0</v>
      </c>
      <c r="O66" s="724">
        <v>0</v>
      </c>
      <c r="P66" s="724">
        <v>0</v>
      </c>
      <c r="Q66" s="789">
        <f>IFERROR(SUMPRODUCT(O66:P66,O102:P102)/SUM(O102:P102),0)</f>
        <v>0</v>
      </c>
      <c r="R66" s="539">
        <f t="shared" si="49"/>
        <v>0</v>
      </c>
      <c r="S66" s="543">
        <f>S56</f>
        <v>0</v>
      </c>
      <c r="T66" s="543">
        <f t="shared" si="55"/>
        <v>0</v>
      </c>
      <c r="U66" s="543">
        <f t="shared" si="55"/>
        <v>0</v>
      </c>
      <c r="V66" s="543">
        <f t="shared" si="55"/>
        <v>0</v>
      </c>
      <c r="W66" s="543">
        <f t="shared" si="55"/>
        <v>0</v>
      </c>
      <c r="X66" s="390"/>
    </row>
    <row r="67" spans="2:24" s="1228" customFormat="1" x14ac:dyDescent="0.35">
      <c r="B67" s="475"/>
      <c r="C67" s="377"/>
      <c r="D67" s="388"/>
      <c r="E67" s="622"/>
      <c r="F67" s="543"/>
      <c r="G67" s="543"/>
      <c r="H67" s="543"/>
      <c r="I67" s="622"/>
      <c r="J67" s="543"/>
      <c r="K67" s="543"/>
      <c r="L67" s="539"/>
      <c r="M67" s="622"/>
      <c r="N67" s="543"/>
      <c r="O67" s="543"/>
      <c r="P67" s="543"/>
      <c r="Q67" s="539"/>
      <c r="R67" s="539"/>
      <c r="S67" s="539"/>
      <c r="T67" s="539"/>
      <c r="U67" s="539"/>
      <c r="V67" s="539"/>
      <c r="W67" s="539"/>
      <c r="X67" s="390"/>
    </row>
    <row r="68" spans="2:24" s="1228" customFormat="1" ht="30" x14ac:dyDescent="0.3">
      <c r="B68" s="460">
        <v>2.2999999999999998</v>
      </c>
      <c r="C68" s="459" t="s">
        <v>1559</v>
      </c>
      <c r="D68" s="388" t="s">
        <v>109</v>
      </c>
      <c r="E68" s="622"/>
      <c r="F68" s="792">
        <f>MAX(SUMPRODUCT(F58:F60,G94:G96)/SUM(G94:G96)-MIN(120,SUMPRODUCT(G58:G60,G94:G96)/SUM(G94:G96)-G68),G68)</f>
        <v>3314.9</v>
      </c>
      <c r="G68" s="543">
        <v>3249.9</v>
      </c>
      <c r="H68" s="543">
        <f t="shared" si="47"/>
        <v>-65</v>
      </c>
      <c r="I68" s="622"/>
      <c r="J68" s="792">
        <f>IF((K58-K68)&lt;=0,J58,J58-120)</f>
        <v>3280</v>
      </c>
      <c r="K68" s="543">
        <v>3382</v>
      </c>
      <c r="L68" s="539">
        <f t="shared" si="48"/>
        <v>102</v>
      </c>
      <c r="M68" s="622"/>
      <c r="N68" s="1204">
        <f>MAX(SUMPRODUCT(N58*Q94+N60*Q96)/SUM(Q94,Q96)-MIN(120,SUMPRODUCT(Q58*Q94+Q60*Q96)/SUM(Q94,Q96)-Q68),Q68)</f>
        <v>3182.2703877271861</v>
      </c>
      <c r="O68" s="724">
        <v>3217.0427066215393</v>
      </c>
      <c r="P68" s="724">
        <v>3159.9999999999995</v>
      </c>
      <c r="Q68" s="793">
        <f>(O68*(O94+O96)+P68*SUM(P94,P96))/SUM(Q94,Q96)</f>
        <v>3182.2703877271861</v>
      </c>
      <c r="R68" s="539">
        <f t="shared" si="49"/>
        <v>0</v>
      </c>
      <c r="S68" s="1256">
        <f>IF(SUM(S94:S96)&gt;0,SUMPRODUCT(S58:S62,S94:S98)/SUM(S94:S98)-85,0)</f>
        <v>3117.9549429182944</v>
      </c>
      <c r="T68" s="1256">
        <f t="shared" ref="T68:W68" si="56">IF(SUM(T94:T96)&gt;0,SUMPRODUCT(T58:T62,T94:T98)/SUM(T94:T98)-85,0)</f>
        <v>3117.9549429182939</v>
      </c>
      <c r="U68" s="1256">
        <f t="shared" si="56"/>
        <v>3117.9549429182939</v>
      </c>
      <c r="V68" s="1256">
        <f t="shared" si="56"/>
        <v>3117.9549429182944</v>
      </c>
      <c r="W68" s="1256">
        <f t="shared" si="56"/>
        <v>3117.9549429182944</v>
      </c>
      <c r="X68" s="390"/>
    </row>
    <row r="69" spans="2:24" s="1228" customFormat="1" ht="30" x14ac:dyDescent="0.3">
      <c r="B69" s="460"/>
      <c r="C69" s="459" t="s">
        <v>1471</v>
      </c>
      <c r="D69" s="388"/>
      <c r="E69" s="622"/>
      <c r="F69" s="543"/>
      <c r="G69" s="543"/>
      <c r="H69" s="543"/>
      <c r="I69" s="622"/>
      <c r="J69" s="724">
        <f>IF(J59=0,0,MAX(J59-120,K69))</f>
        <v>0</v>
      </c>
      <c r="K69" s="543">
        <v>0</v>
      </c>
      <c r="L69" s="543"/>
      <c r="M69" s="622"/>
      <c r="N69" s="792">
        <f>IF(Q69=0,0,MAX(N59-120,Q69))</f>
        <v>0</v>
      </c>
      <c r="O69" s="724">
        <v>0</v>
      </c>
      <c r="P69" s="724">
        <v>0</v>
      </c>
      <c r="Q69" s="1252">
        <f>IFERROR(SUMPRODUCT(O69:P69,O95:P95)/SUM(O95:P95),0)</f>
        <v>0</v>
      </c>
      <c r="R69" s="539"/>
      <c r="S69" s="539"/>
      <c r="T69" s="539"/>
      <c r="U69" s="539"/>
      <c r="V69" s="539"/>
      <c r="W69" s="539"/>
      <c r="X69" s="390"/>
    </row>
    <row r="70" spans="2:24" s="1228" customFormat="1" x14ac:dyDescent="0.3">
      <c r="B70" s="460">
        <v>2.4</v>
      </c>
      <c r="C70" s="486" t="s">
        <v>1560</v>
      </c>
      <c r="D70" s="388" t="s">
        <v>109</v>
      </c>
      <c r="E70" s="622"/>
      <c r="F70" s="793">
        <f>SUMPRODUCT(F58:F60,F94:F96)/SUM(F94:F96)-F68</f>
        <v>32.099999999999454</v>
      </c>
      <c r="G70" s="725">
        <f>SUMPRODUCT(G58:G60,G94:G96)/SUM(G94:G96)-G68</f>
        <v>32.099999999999909</v>
      </c>
      <c r="H70" s="543">
        <f t="shared" ref="H70" si="57">G70-F70</f>
        <v>4.5474735088646412E-13</v>
      </c>
      <c r="I70" s="622"/>
      <c r="J70" s="725">
        <f>SUMPRODUCT(J58:J60,J94:J96)/SUM(J94:J96)-J68</f>
        <v>0</v>
      </c>
      <c r="K70" s="1466">
        <f>SUMPRODUCT(K58:K60,K94:K96)/SUM(K94:K96)-K68</f>
        <v>-130</v>
      </c>
      <c r="L70" s="539">
        <f t="shared" ref="L70" si="58">K70-J70</f>
        <v>-130</v>
      </c>
      <c r="M70" s="622"/>
      <c r="N70" s="1465">
        <f>SUMPRODUCT(N58:N60,N94:N96)/SUM(N94:N96)-N68</f>
        <v>115.74727129348503</v>
      </c>
      <c r="O70" s="1465">
        <f>SUMPRODUCT(O58:O60,O94:O96)/SUM(O94:O96)-O68</f>
        <v>109.10718758386975</v>
      </c>
      <c r="P70" s="1465">
        <f>SUMPRODUCT(P58:P60,P94:P96)/SUM(P94:P96)-P68</f>
        <v>120</v>
      </c>
      <c r="Q70" s="1465">
        <f>SUMPRODUCT(Q58:Q60,Q94:Q96)/SUM(Q94:Q96)-Q68</f>
        <v>115.74727129348503</v>
      </c>
      <c r="R70" s="539">
        <f t="shared" ref="R70" si="59">Q70-N70</f>
        <v>0</v>
      </c>
      <c r="S70" s="725">
        <f t="shared" ref="S70:W70" si="60">SUMPRODUCT(S58:S60,S94:S96)/SUM(S94:S96)-S68</f>
        <v>85</v>
      </c>
      <c r="T70" s="725">
        <f t="shared" si="60"/>
        <v>85</v>
      </c>
      <c r="U70" s="725">
        <f t="shared" si="60"/>
        <v>85</v>
      </c>
      <c r="V70" s="725">
        <f t="shared" si="60"/>
        <v>85</v>
      </c>
      <c r="W70" s="725">
        <f t="shared" si="60"/>
        <v>85</v>
      </c>
      <c r="X70" s="390"/>
    </row>
    <row r="71" spans="2:24" s="1228" customFormat="1" x14ac:dyDescent="0.35">
      <c r="B71" s="475"/>
      <c r="C71" s="377"/>
      <c r="D71" s="388"/>
      <c r="E71" s="619"/>
      <c r="F71" s="539"/>
      <c r="G71" s="539"/>
      <c r="H71" s="539"/>
      <c r="I71" s="619"/>
      <c r="J71" s="539"/>
      <c r="K71" s="539"/>
      <c r="L71" s="539"/>
      <c r="M71" s="619"/>
      <c r="N71" s="539"/>
      <c r="O71" s="539"/>
      <c r="P71" s="539"/>
      <c r="Q71" s="539"/>
      <c r="R71" s="539"/>
      <c r="S71" s="539"/>
      <c r="T71" s="539"/>
      <c r="U71" s="539"/>
      <c r="V71" s="539"/>
      <c r="W71" s="539"/>
      <c r="X71" s="390"/>
    </row>
    <row r="72" spans="2:24" s="1228" customFormat="1" x14ac:dyDescent="0.3">
      <c r="B72" s="460">
        <v>2.5</v>
      </c>
      <c r="C72" s="459" t="s">
        <v>114</v>
      </c>
      <c r="D72" s="461"/>
      <c r="E72" s="622"/>
      <c r="F72" s="543"/>
      <c r="G72" s="543"/>
      <c r="H72" s="543"/>
      <c r="I72" s="622"/>
      <c r="J72" s="543"/>
      <c r="K72" s="543"/>
      <c r="L72" s="543"/>
      <c r="M72" s="622"/>
      <c r="N72" s="539"/>
      <c r="O72" s="539"/>
      <c r="P72" s="539"/>
      <c r="Q72" s="539"/>
      <c r="R72" s="539"/>
      <c r="S72" s="539"/>
      <c r="T72" s="539"/>
      <c r="U72" s="539"/>
      <c r="V72" s="539"/>
      <c r="W72" s="539"/>
      <c r="X72" s="390"/>
    </row>
    <row r="73" spans="2:24" s="1228" customFormat="1" x14ac:dyDescent="0.35">
      <c r="B73" s="1119" t="s">
        <v>411</v>
      </c>
      <c r="C73" s="1120" t="s">
        <v>748</v>
      </c>
      <c r="D73" s="1121" t="s">
        <v>116</v>
      </c>
      <c r="E73" s="619">
        <v>5608.1737029462101</v>
      </c>
      <c r="F73" s="539">
        <f>'F2.3'!$E$26</f>
        <v>5877.6579016621909</v>
      </c>
      <c r="G73" s="539">
        <f>'F2.3'!$F$26</f>
        <v>5859.4402786352057</v>
      </c>
      <c r="H73" s="539">
        <f t="shared" ref="H73:H81" si="61">G73-F73</f>
        <v>-18.217623026985166</v>
      </c>
      <c r="I73" s="619"/>
      <c r="J73" s="539">
        <f>'F2.3'!$H$26</f>
        <v>6563.5736602678417</v>
      </c>
      <c r="K73" s="539">
        <f>'F2.3'!$I$26</f>
        <v>6560.2825594842543</v>
      </c>
      <c r="L73" s="539">
        <f t="shared" ref="L73:L81" si="62">K73-J73</f>
        <v>-3.2911007835873534</v>
      </c>
      <c r="M73" s="619"/>
      <c r="N73" s="539">
        <f>'F2.3'!$K$26</f>
        <v>6398.1347328442416</v>
      </c>
      <c r="O73" s="539">
        <f>'F2.3'!$L$26</f>
        <v>6144.9619544884381</v>
      </c>
      <c r="P73" s="539">
        <f>'F2.3'!$M$26</f>
        <v>6560.2825594842543</v>
      </c>
      <c r="Q73" s="539">
        <f>SUMPRODUCT(O73:P73,O94:P94)/SUM(O94:P94)</f>
        <v>6398.1347328442416</v>
      </c>
      <c r="R73" s="539">
        <f t="shared" ref="R73:R81" si="63">Q73-N73</f>
        <v>0</v>
      </c>
      <c r="S73" s="539">
        <f>'F2.3'!P26</f>
        <v>6694.4738020758532</v>
      </c>
      <c r="T73" s="539">
        <f>'F2.3'!Q26</f>
        <v>7029.1974921796464</v>
      </c>
      <c r="U73" s="539">
        <f>'F2.3'!R26</f>
        <v>7380.6573667886296</v>
      </c>
      <c r="V73" s="539">
        <f>'F2.3'!S26</f>
        <v>7749.6902351280596</v>
      </c>
      <c r="W73" s="539">
        <f>'F2.3'!T26</f>
        <v>8137.1747468844633</v>
      </c>
      <c r="X73" s="507"/>
    </row>
    <row r="74" spans="2:24" s="1228" customFormat="1" x14ac:dyDescent="0.35">
      <c r="B74" s="1119" t="s">
        <v>414</v>
      </c>
      <c r="C74" s="1120" t="s">
        <v>749</v>
      </c>
      <c r="D74" s="1121" t="s">
        <v>116</v>
      </c>
      <c r="E74" s="619">
        <v>0</v>
      </c>
      <c r="F74" s="539">
        <f>'F2.3'!$E$40</f>
        <v>0</v>
      </c>
      <c r="G74" s="539">
        <f>'F2.3'!$F$40</f>
        <v>0</v>
      </c>
      <c r="H74" s="539">
        <f>G74-F74</f>
        <v>0</v>
      </c>
      <c r="I74" s="619"/>
      <c r="J74" s="539">
        <f>'F2.3'!$H$40</f>
        <v>0</v>
      </c>
      <c r="K74" s="539">
        <f>'F2.3'!$I$40</f>
        <v>0</v>
      </c>
      <c r="L74" s="539">
        <f t="shared" si="62"/>
        <v>0</v>
      </c>
      <c r="M74" s="619"/>
      <c r="N74" s="539">
        <f>'F2.3'!$K$40</f>
        <v>0</v>
      </c>
      <c r="O74" s="539">
        <f>'F2.3'!$L$40</f>
        <v>0</v>
      </c>
      <c r="P74" s="539">
        <f>'F2.3'!$M$40</f>
        <v>0</v>
      </c>
      <c r="Q74" s="539">
        <f>IFERROR(SUMPRODUCT(O74:P74,O95:P95)/SUM(O95:P95),0)</f>
        <v>0</v>
      </c>
      <c r="R74" s="539">
        <f t="shared" si="63"/>
        <v>0</v>
      </c>
      <c r="S74" s="539">
        <f>'F2.3'!P40</f>
        <v>0</v>
      </c>
      <c r="T74" s="539">
        <f>'F2.3'!Q40</f>
        <v>0</v>
      </c>
      <c r="U74" s="539">
        <f>'F2.3'!R40</f>
        <v>0</v>
      </c>
      <c r="V74" s="539">
        <f>'F2.3'!S40</f>
        <v>0</v>
      </c>
      <c r="W74" s="539">
        <f>'F2.3'!T40</f>
        <v>0</v>
      </c>
      <c r="X74" s="507"/>
    </row>
    <row r="75" spans="2:24" s="1228" customFormat="1" x14ac:dyDescent="0.35">
      <c r="B75" s="1119" t="s">
        <v>415</v>
      </c>
      <c r="C75" s="1120" t="s">
        <v>856</v>
      </c>
      <c r="D75" s="1121" t="s">
        <v>116</v>
      </c>
      <c r="E75" s="619">
        <v>0</v>
      </c>
      <c r="F75" s="539">
        <f>'F2.3'!$E$54</f>
        <v>0</v>
      </c>
      <c r="G75" s="539">
        <f>'F2.3'!$F$54</f>
        <v>0</v>
      </c>
      <c r="H75" s="539">
        <f t="shared" si="61"/>
        <v>0</v>
      </c>
      <c r="I75" s="619"/>
      <c r="J75" s="539">
        <f>'F2.3'!$H$54</f>
        <v>0</v>
      </c>
      <c r="K75" s="539">
        <f>'F2.3'!$I$54</f>
        <v>0</v>
      </c>
      <c r="L75" s="539">
        <f t="shared" si="62"/>
        <v>0</v>
      </c>
      <c r="M75" s="619"/>
      <c r="N75" s="539">
        <f>'F2.3'!$K$54</f>
        <v>0</v>
      </c>
      <c r="O75" s="539">
        <f>'F2.3'!$L$54</f>
        <v>0</v>
      </c>
      <c r="P75" s="539">
        <f>'F2.3'!$M$54</f>
        <v>0</v>
      </c>
      <c r="Q75" s="539">
        <f>IFERROR(SUMPRODUCT(O75:P75,O96:P96)/SUM(O96:P96),0)</f>
        <v>0</v>
      </c>
      <c r="R75" s="539">
        <f t="shared" si="63"/>
        <v>0</v>
      </c>
      <c r="S75" s="539">
        <f>'F2.3'!P54</f>
        <v>0</v>
      </c>
      <c r="T75" s="539">
        <f>'F2.3'!Q54</f>
        <v>0</v>
      </c>
      <c r="U75" s="539">
        <f>'F2.3'!R54</f>
        <v>0</v>
      </c>
      <c r="V75" s="539">
        <f>'F2.3'!S54</f>
        <v>0</v>
      </c>
      <c r="W75" s="539">
        <f>'F2.3'!T54</f>
        <v>0</v>
      </c>
      <c r="X75" s="507"/>
    </row>
    <row r="76" spans="2:24" s="1228" customFormat="1" x14ac:dyDescent="0.35">
      <c r="B76" s="1119" t="s">
        <v>753</v>
      </c>
      <c r="C76" s="1120" t="s">
        <v>1488</v>
      </c>
      <c r="D76" s="1121" t="s">
        <v>116</v>
      </c>
      <c r="E76" s="619"/>
      <c r="F76" s="539"/>
      <c r="G76" s="539"/>
      <c r="H76" s="539"/>
      <c r="I76" s="619"/>
      <c r="J76" s="539"/>
      <c r="K76" s="539"/>
      <c r="L76" s="539"/>
      <c r="M76" s="619"/>
      <c r="N76" s="539"/>
      <c r="O76" s="539"/>
      <c r="P76" s="539"/>
      <c r="Q76" s="539"/>
      <c r="R76" s="539"/>
      <c r="S76" s="789">
        <f>'F2.3'!P68</f>
        <v>0</v>
      </c>
      <c r="T76" s="789">
        <f>'F2.3'!Q68</f>
        <v>0</v>
      </c>
      <c r="U76" s="789">
        <f>'F2.3'!R68</f>
        <v>0</v>
      </c>
      <c r="V76" s="789">
        <f>'F2.3'!S68</f>
        <v>0</v>
      </c>
      <c r="W76" s="789">
        <f>'F2.3'!T68</f>
        <v>0</v>
      </c>
      <c r="X76" s="507"/>
    </row>
    <row r="77" spans="2:24" s="1228" customFormat="1" x14ac:dyDescent="0.35">
      <c r="B77" s="1119" t="s">
        <v>865</v>
      </c>
      <c r="C77" s="1120" t="s">
        <v>1489</v>
      </c>
      <c r="D77" s="1121" t="s">
        <v>116</v>
      </c>
      <c r="E77" s="619"/>
      <c r="F77" s="539"/>
      <c r="G77" s="539"/>
      <c r="H77" s="539"/>
      <c r="I77" s="619"/>
      <c r="J77" s="539"/>
      <c r="K77" s="539"/>
      <c r="L77" s="539"/>
      <c r="M77" s="619"/>
      <c r="N77" s="539"/>
      <c r="O77" s="539"/>
      <c r="P77" s="539"/>
      <c r="Q77" s="539"/>
      <c r="R77" s="539"/>
      <c r="S77" s="789">
        <f>'F2.3'!P82</f>
        <v>0</v>
      </c>
      <c r="T77" s="789">
        <f>'F2.3'!Q82</f>
        <v>0</v>
      </c>
      <c r="U77" s="789">
        <f>'F2.3'!R82</f>
        <v>0</v>
      </c>
      <c r="V77" s="789">
        <f>'F2.3'!S82</f>
        <v>0</v>
      </c>
      <c r="W77" s="789">
        <f>'F2.3'!T82</f>
        <v>0</v>
      </c>
      <c r="X77" s="507"/>
    </row>
    <row r="78" spans="2:24" s="1228" customFormat="1" x14ac:dyDescent="0.35">
      <c r="B78" s="1119" t="s">
        <v>866</v>
      </c>
      <c r="C78" s="1120" t="s">
        <v>750</v>
      </c>
      <c r="D78" s="1121" t="s">
        <v>116</v>
      </c>
      <c r="E78" s="628">
        <v>55713.010753817071</v>
      </c>
      <c r="F78" s="539">
        <f>'F2.3'!$E$112</f>
        <v>55667.821600161304</v>
      </c>
      <c r="G78" s="539">
        <f>'F2.3'!$F$112</f>
        <v>55667.821600161304</v>
      </c>
      <c r="H78" s="539">
        <f t="shared" si="61"/>
        <v>0</v>
      </c>
      <c r="I78" s="628"/>
      <c r="J78" s="539">
        <f>'F2.3'!$H$112</f>
        <v>68526.551022740852</v>
      </c>
      <c r="K78" s="539">
        <f>'F2.3'!$I$112</f>
        <v>68526.551022740852</v>
      </c>
      <c r="L78" s="539">
        <f t="shared" si="62"/>
        <v>0</v>
      </c>
      <c r="M78" s="628"/>
      <c r="N78" s="539">
        <f>'F2.3'!$K$112</f>
        <v>57364.154996514328</v>
      </c>
      <c r="O78" s="539">
        <f>'F2.3'!$L$112</f>
        <v>53929.650641733257</v>
      </c>
      <c r="P78" s="539">
        <f>'F2.3'!$M$112</f>
        <v>68526.551022740852</v>
      </c>
      <c r="Q78" s="539">
        <f>SUMPRODUCT(O78:P78,O99:P99)/SUM(O99:P99)</f>
        <v>57364.154996514328</v>
      </c>
      <c r="R78" s="539">
        <f t="shared" si="63"/>
        <v>0</v>
      </c>
      <c r="S78" s="539">
        <f>'F2.3'!P112</f>
        <v>57142.880143543036</v>
      </c>
      <c r="T78" s="539">
        <f>'F2.3'!Q112</f>
        <v>60000.024150720194</v>
      </c>
      <c r="U78" s="539">
        <f>'F2.3'!R112</f>
        <v>63000.025358256207</v>
      </c>
      <c r="V78" s="539">
        <f>'F2.3'!S112</f>
        <v>66150.026626169027</v>
      </c>
      <c r="W78" s="539">
        <f>'F2.3'!T112</f>
        <v>69457.527957477476</v>
      </c>
      <c r="X78" s="507"/>
    </row>
    <row r="79" spans="2:24" s="1228" customFormat="1" x14ac:dyDescent="0.35">
      <c r="B79" s="1119" t="s">
        <v>867</v>
      </c>
      <c r="C79" s="1120" t="s">
        <v>751</v>
      </c>
      <c r="D79" s="1121" t="s">
        <v>116</v>
      </c>
      <c r="E79" s="628">
        <v>57031.446643547388</v>
      </c>
      <c r="F79" s="539">
        <f>'F2.3'!$E$97</f>
        <v>61509.881060860076</v>
      </c>
      <c r="G79" s="539">
        <f>'F2.3'!$F$97</f>
        <v>61509.881060860076</v>
      </c>
      <c r="H79" s="543">
        <f t="shared" si="61"/>
        <v>0</v>
      </c>
      <c r="I79" s="628"/>
      <c r="J79" s="539">
        <f>'F2.3'!$H$97</f>
        <v>74655.142233432445</v>
      </c>
      <c r="K79" s="539">
        <f>'F2.3'!$I$97</f>
        <v>74655.142233432445</v>
      </c>
      <c r="L79" s="539">
        <f t="shared" si="62"/>
        <v>0</v>
      </c>
      <c r="M79" s="628"/>
      <c r="N79" s="539">
        <f>'F2.3'!$K$97</f>
        <v>71058.743604558433</v>
      </c>
      <c r="O79" s="539">
        <f>'F2.3'!$L$97</f>
        <v>70290.473255128221</v>
      </c>
      <c r="P79" s="539">
        <f>'F2.3'!$M$97</f>
        <v>74655.142233432445</v>
      </c>
      <c r="Q79" s="539">
        <f>SUMPRODUCT(O79:P79,O100:P100)/SUM(O100:P100)</f>
        <v>71058.743604558433</v>
      </c>
      <c r="R79" s="539">
        <f t="shared" si="63"/>
        <v>0</v>
      </c>
      <c r="S79" s="539">
        <f>'F2.3'!P97</f>
        <v>78122.176859183455</v>
      </c>
      <c r="T79" s="539">
        <f>'F2.3'!Q97</f>
        <v>82028.285702142632</v>
      </c>
      <c r="U79" s="539">
        <f>'F2.3'!R97</f>
        <v>86129.699987249769</v>
      </c>
      <c r="V79" s="539">
        <f>'F2.3'!S97</f>
        <v>90436.184986612265</v>
      </c>
      <c r="W79" s="539">
        <f>'F2.3'!T97</f>
        <v>94957.994235942882</v>
      </c>
      <c r="X79" s="507"/>
    </row>
    <row r="80" spans="2:24" s="1228" customFormat="1" x14ac:dyDescent="0.35">
      <c r="B80" s="1119" t="s">
        <v>1491</v>
      </c>
      <c r="C80" s="1120" t="s">
        <v>857</v>
      </c>
      <c r="D80" s="1121" t="s">
        <v>116</v>
      </c>
      <c r="E80" s="619"/>
      <c r="F80" s="539">
        <f>'F2.3'!$E$125</f>
        <v>0</v>
      </c>
      <c r="G80" s="539">
        <f>'F2.3'!$F$125</f>
        <v>0</v>
      </c>
      <c r="H80" s="543">
        <f t="shared" si="61"/>
        <v>0</v>
      </c>
      <c r="I80" s="619"/>
      <c r="J80" s="539">
        <f>'F2.3'!$H$125</f>
        <v>0</v>
      </c>
      <c r="K80" s="539">
        <f>'F2.3'!$I$125</f>
        <v>0</v>
      </c>
      <c r="L80" s="539">
        <f t="shared" si="62"/>
        <v>0</v>
      </c>
      <c r="M80" s="619"/>
      <c r="N80" s="539">
        <f>'F2.3'!$K$125</f>
        <v>0</v>
      </c>
      <c r="O80" s="539">
        <f>'F2.3'!$L$125</f>
        <v>0</v>
      </c>
      <c r="P80" s="539">
        <f>'F2.3'!$M$125</f>
        <v>0</v>
      </c>
      <c r="Q80" s="539">
        <f>IFERROR(SUMPRODUCT(O80:P80,O101:P101)/SUM(O101:P101),0)</f>
        <v>0</v>
      </c>
      <c r="R80" s="539">
        <f t="shared" si="63"/>
        <v>0</v>
      </c>
      <c r="S80" s="539">
        <f>'F2.3'!P125</f>
        <v>0</v>
      </c>
      <c r="T80" s="539">
        <f>'F2.3'!Q125</f>
        <v>0</v>
      </c>
      <c r="U80" s="539">
        <f>'F2.3'!R125</f>
        <v>0</v>
      </c>
      <c r="V80" s="539">
        <f>'F2.3'!S125</f>
        <v>0</v>
      </c>
      <c r="W80" s="539">
        <f>'F2.3'!T125</f>
        <v>0</v>
      </c>
      <c r="X80" s="507"/>
    </row>
    <row r="81" spans="2:24" s="1228" customFormat="1" x14ac:dyDescent="0.35">
      <c r="B81" s="1119" t="s">
        <v>1492</v>
      </c>
      <c r="C81" s="1120" t="s">
        <v>858</v>
      </c>
      <c r="D81" s="1121" t="s">
        <v>116</v>
      </c>
      <c r="E81" s="619"/>
      <c r="F81" s="539">
        <f>'F2.3'!$E$138</f>
        <v>61509.881060860076</v>
      </c>
      <c r="G81" s="539">
        <f>'F2.3'!$F$138</f>
        <v>61509.881060860076</v>
      </c>
      <c r="H81" s="543">
        <f t="shared" si="61"/>
        <v>0</v>
      </c>
      <c r="I81" s="619"/>
      <c r="J81" s="539">
        <f>'F2.3'!$H$138</f>
        <v>0</v>
      </c>
      <c r="K81" s="539">
        <f>'F2.3'!$I$138</f>
        <v>0</v>
      </c>
      <c r="L81" s="539">
        <f t="shared" si="62"/>
        <v>0</v>
      </c>
      <c r="M81" s="619"/>
      <c r="N81" s="539">
        <f>'F2.3'!$K$138</f>
        <v>0</v>
      </c>
      <c r="O81" s="539">
        <f>'F2.3'!$L$138</f>
        <v>0</v>
      </c>
      <c r="P81" s="539">
        <f>'F2.3'!$M$138</f>
        <v>0</v>
      </c>
      <c r="Q81" s="539">
        <f>IFERROR(SUMPRODUCT(O81:P81,O102:P102)/SUM(O102:P102),0)</f>
        <v>0</v>
      </c>
      <c r="R81" s="539">
        <f t="shared" si="63"/>
        <v>0</v>
      </c>
      <c r="S81" s="539">
        <f>'F2.3'!P138</f>
        <v>0</v>
      </c>
      <c r="T81" s="539">
        <f>'F2.3'!Q138</f>
        <v>0</v>
      </c>
      <c r="U81" s="539">
        <f>'F2.3'!R138</f>
        <v>0</v>
      </c>
      <c r="V81" s="539">
        <f>'F2.3'!S138</f>
        <v>0</v>
      </c>
      <c r="W81" s="539">
        <f>'F2.3'!T138</f>
        <v>0</v>
      </c>
      <c r="X81" s="507"/>
    </row>
    <row r="82" spans="2:24" s="1228" customFormat="1" x14ac:dyDescent="0.3">
      <c r="B82" s="460">
        <v>3</v>
      </c>
      <c r="C82" s="486" t="s">
        <v>119</v>
      </c>
      <c r="D82" s="461"/>
      <c r="E82" s="622"/>
      <c r="F82" s="543"/>
      <c r="G82" s="543"/>
      <c r="H82" s="543"/>
      <c r="I82" s="622"/>
      <c r="J82" s="543"/>
      <c r="K82" s="543"/>
      <c r="L82" s="543"/>
      <c r="M82" s="622"/>
      <c r="N82" s="539"/>
      <c r="O82" s="539"/>
      <c r="P82" s="539"/>
      <c r="Q82" s="539"/>
      <c r="R82" s="539"/>
      <c r="S82" s="539"/>
      <c r="T82" s="539"/>
      <c r="U82" s="539"/>
      <c r="V82" s="539"/>
      <c r="W82" s="539"/>
      <c r="X82" s="507"/>
    </row>
    <row r="83" spans="2:24" s="1228" customFormat="1" x14ac:dyDescent="0.3">
      <c r="B83" s="460">
        <v>3.1</v>
      </c>
      <c r="C83" s="459" t="s">
        <v>120</v>
      </c>
      <c r="D83" s="461"/>
      <c r="E83" s="622"/>
      <c r="F83" s="543"/>
      <c r="G83" s="543"/>
      <c r="H83" s="543"/>
      <c r="I83" s="622"/>
      <c r="J83" s="543"/>
      <c r="K83" s="543"/>
      <c r="L83" s="543"/>
      <c r="M83" s="622"/>
      <c r="N83" s="539"/>
      <c r="O83" s="539"/>
      <c r="P83" s="539"/>
      <c r="Q83" s="539"/>
      <c r="R83" s="539"/>
      <c r="S83" s="539"/>
      <c r="T83" s="539"/>
      <c r="U83" s="539"/>
      <c r="V83" s="539"/>
      <c r="W83" s="539"/>
      <c r="X83" s="507"/>
    </row>
    <row r="84" spans="2:24" s="1228" customFormat="1" x14ac:dyDescent="0.35">
      <c r="B84" s="1119" t="s">
        <v>121</v>
      </c>
      <c r="C84" s="1120" t="s">
        <v>748</v>
      </c>
      <c r="D84" s="1121" t="s">
        <v>896</v>
      </c>
      <c r="E84" s="629"/>
      <c r="F84" s="789">
        <f t="shared" ref="F84:G86" si="64">F94/F$23/1000</f>
        <v>0.73163700107724949</v>
      </c>
      <c r="G84" s="789">
        <f t="shared" si="64"/>
        <v>0.76363912846687387</v>
      </c>
      <c r="H84" s="539">
        <f>G84-F84</f>
        <v>3.200212738962438E-2</v>
      </c>
      <c r="I84" s="629"/>
      <c r="J84" s="539">
        <f t="shared" ref="J84:K86" si="65">J94/J$23/1000</f>
        <v>0.73940451404591045</v>
      </c>
      <c r="K84" s="539">
        <f t="shared" si="65"/>
        <v>0.71930001644581099</v>
      </c>
      <c r="L84" s="539">
        <f>K84-J84</f>
        <v>-2.0104497600099469E-2</v>
      </c>
      <c r="M84" s="629"/>
      <c r="N84" s="539">
        <f t="shared" ref="N84:Q86" si="66">N94/N$23/1000</f>
        <v>0.76212182010548057</v>
      </c>
      <c r="O84" s="539">
        <f t="shared" si="66"/>
        <v>0.75858866714407858</v>
      </c>
      <c r="P84" s="539">
        <f t="shared" si="66"/>
        <v>0.76748290872469838</v>
      </c>
      <c r="Q84" s="539">
        <f t="shared" si="66"/>
        <v>0.7639857488846864</v>
      </c>
      <c r="R84" s="539">
        <f t="shared" ref="R84:R92" si="67">Q84-N84</f>
        <v>1.8639287792058257E-3</v>
      </c>
      <c r="S84" s="539">
        <f t="shared" ref="S84:W84" si="68">S94/S$23/1000</f>
        <v>0.77301805142188673</v>
      </c>
      <c r="T84" s="539">
        <f t="shared" si="68"/>
        <v>0.77301810441348284</v>
      </c>
      <c r="U84" s="539">
        <f t="shared" si="68"/>
        <v>0.77301810441348284</v>
      </c>
      <c r="V84" s="539">
        <f t="shared" si="68"/>
        <v>0.77301815740140378</v>
      </c>
      <c r="W84" s="539">
        <f t="shared" si="68"/>
        <v>0.77301805142188673</v>
      </c>
      <c r="X84" s="507"/>
    </row>
    <row r="85" spans="2:24" s="1228" customFormat="1" x14ac:dyDescent="0.35">
      <c r="B85" s="1119" t="s">
        <v>122</v>
      </c>
      <c r="C85" s="1120" t="s">
        <v>749</v>
      </c>
      <c r="D85" s="1121" t="s">
        <v>896</v>
      </c>
      <c r="E85" s="629"/>
      <c r="F85" s="789">
        <f t="shared" si="64"/>
        <v>0</v>
      </c>
      <c r="G85" s="789">
        <f t="shared" si="64"/>
        <v>0</v>
      </c>
      <c r="H85" s="539">
        <f t="shared" ref="H85:H92" si="69">G85-F85</f>
        <v>0</v>
      </c>
      <c r="I85" s="629"/>
      <c r="J85" s="539">
        <f t="shared" si="65"/>
        <v>0</v>
      </c>
      <c r="K85" s="539">
        <f t="shared" si="65"/>
        <v>0</v>
      </c>
      <c r="L85" s="539">
        <f t="shared" ref="L85:L92" si="70">K85-J85</f>
        <v>0</v>
      </c>
      <c r="M85" s="629"/>
      <c r="N85" s="539">
        <f t="shared" si="66"/>
        <v>0</v>
      </c>
      <c r="O85" s="539">
        <f t="shared" si="66"/>
        <v>0</v>
      </c>
      <c r="P85" s="539">
        <f t="shared" si="66"/>
        <v>0</v>
      </c>
      <c r="Q85" s="539">
        <f t="shared" si="66"/>
        <v>0</v>
      </c>
      <c r="R85" s="539">
        <f t="shared" si="67"/>
        <v>0</v>
      </c>
      <c r="S85" s="539">
        <f t="shared" ref="S85:W85" si="71">S95/S$23/1000</f>
        <v>0</v>
      </c>
      <c r="T85" s="539">
        <f t="shared" si="71"/>
        <v>0</v>
      </c>
      <c r="U85" s="539">
        <f t="shared" si="71"/>
        <v>0</v>
      </c>
      <c r="V85" s="539">
        <f t="shared" si="71"/>
        <v>0</v>
      </c>
      <c r="W85" s="539">
        <f t="shared" si="71"/>
        <v>0</v>
      </c>
      <c r="X85" s="507"/>
    </row>
    <row r="86" spans="2:24" s="1228" customFormat="1" x14ac:dyDescent="0.35">
      <c r="B86" s="1119" t="s">
        <v>123</v>
      </c>
      <c r="C86" s="1120" t="s">
        <v>856</v>
      </c>
      <c r="D86" s="1121" t="s">
        <v>896</v>
      </c>
      <c r="E86" s="629"/>
      <c r="F86" s="789">
        <f t="shared" si="64"/>
        <v>0</v>
      </c>
      <c r="G86" s="789">
        <f t="shared" si="64"/>
        <v>0</v>
      </c>
      <c r="H86" s="539">
        <f t="shared" si="69"/>
        <v>0</v>
      </c>
      <c r="I86" s="629"/>
      <c r="J86" s="539">
        <f t="shared" si="65"/>
        <v>0</v>
      </c>
      <c r="K86" s="539">
        <f t="shared" si="65"/>
        <v>0</v>
      </c>
      <c r="L86" s="539">
        <f t="shared" si="70"/>
        <v>0</v>
      </c>
      <c r="M86" s="629"/>
      <c r="N86" s="539">
        <f t="shared" si="66"/>
        <v>0</v>
      </c>
      <c r="O86" s="539">
        <f t="shared" si="66"/>
        <v>0</v>
      </c>
      <c r="P86" s="539">
        <f t="shared" si="66"/>
        <v>0</v>
      </c>
      <c r="Q86" s="539">
        <f t="shared" si="66"/>
        <v>0</v>
      </c>
      <c r="R86" s="539">
        <f t="shared" si="67"/>
        <v>0</v>
      </c>
      <c r="S86" s="539">
        <f t="shared" ref="S86:W86" si="72">S96/S$23/1000</f>
        <v>0</v>
      </c>
      <c r="T86" s="539">
        <f t="shared" si="72"/>
        <v>0</v>
      </c>
      <c r="U86" s="539">
        <f t="shared" si="72"/>
        <v>0</v>
      </c>
      <c r="V86" s="539">
        <f t="shared" si="72"/>
        <v>0</v>
      </c>
      <c r="W86" s="539">
        <f t="shared" si="72"/>
        <v>0</v>
      </c>
      <c r="X86" s="507"/>
    </row>
    <row r="87" spans="2:24" s="1228" customFormat="1" x14ac:dyDescent="0.35">
      <c r="B87" s="1119" t="s">
        <v>754</v>
      </c>
      <c r="C87" s="1120" t="s">
        <v>1488</v>
      </c>
      <c r="D87" s="1121" t="s">
        <v>896</v>
      </c>
      <c r="E87" s="629"/>
      <c r="F87" s="789"/>
      <c r="G87" s="789"/>
      <c r="H87" s="539"/>
      <c r="I87" s="629"/>
      <c r="J87" s="539"/>
      <c r="K87" s="539"/>
      <c r="L87" s="539"/>
      <c r="M87" s="629"/>
      <c r="N87" s="539"/>
      <c r="O87" s="539"/>
      <c r="P87" s="539"/>
      <c r="Q87" s="539"/>
      <c r="R87" s="539"/>
      <c r="S87" s="539">
        <f t="shared" ref="S87:W87" si="73">S97/S$23/1000</f>
        <v>0</v>
      </c>
      <c r="T87" s="539">
        <f t="shared" si="73"/>
        <v>0</v>
      </c>
      <c r="U87" s="539">
        <f t="shared" si="73"/>
        <v>0</v>
      </c>
      <c r="V87" s="539">
        <f t="shared" si="73"/>
        <v>0</v>
      </c>
      <c r="W87" s="539">
        <f t="shared" si="73"/>
        <v>0</v>
      </c>
      <c r="X87" s="507"/>
    </row>
    <row r="88" spans="2:24" s="1228" customFormat="1" x14ac:dyDescent="0.35">
      <c r="B88" s="1119" t="s">
        <v>868</v>
      </c>
      <c r="C88" s="1120" t="s">
        <v>1489</v>
      </c>
      <c r="D88" s="1121" t="s">
        <v>896</v>
      </c>
      <c r="E88" s="629"/>
      <c r="F88" s="789"/>
      <c r="G88" s="789"/>
      <c r="H88" s="539"/>
      <c r="I88" s="629"/>
      <c r="J88" s="539"/>
      <c r="K88" s="539"/>
      <c r="L88" s="539"/>
      <c r="M88" s="629"/>
      <c r="N88" s="539"/>
      <c r="O88" s="539"/>
      <c r="P88" s="539"/>
      <c r="Q88" s="539"/>
      <c r="R88" s="539"/>
      <c r="S88" s="539">
        <f t="shared" ref="S88:W88" si="74">S98/S$23/1000</f>
        <v>0</v>
      </c>
      <c r="T88" s="539">
        <f t="shared" si="74"/>
        <v>0</v>
      </c>
      <c r="U88" s="539">
        <f t="shared" si="74"/>
        <v>0</v>
      </c>
      <c r="V88" s="539">
        <f t="shared" si="74"/>
        <v>0</v>
      </c>
      <c r="W88" s="539">
        <f t="shared" si="74"/>
        <v>0</v>
      </c>
      <c r="X88" s="507"/>
    </row>
    <row r="89" spans="2:24" s="1228" customFormat="1" x14ac:dyDescent="0.35">
      <c r="B89" s="1119" t="s">
        <v>869</v>
      </c>
      <c r="C89" s="1120" t="s">
        <v>750</v>
      </c>
      <c r="D89" s="1121" t="s">
        <v>896</v>
      </c>
      <c r="E89" s="619"/>
      <c r="F89" s="789">
        <f>F$41*G89/(G89+G90+G91+G92)</f>
        <v>0.45907776176932774</v>
      </c>
      <c r="G89" s="789">
        <f>G99/G$23</f>
        <v>3.4692746824958092</v>
      </c>
      <c r="H89" s="539">
        <f t="shared" si="69"/>
        <v>3.0101969207264814</v>
      </c>
      <c r="I89" s="619"/>
      <c r="J89" s="731">
        <f>J$41*K89/(K89+K90+K91+K92)</f>
        <v>0.40610971892966807</v>
      </c>
      <c r="K89" s="539">
        <f>K99/K$23</f>
        <v>1.6755013658566451</v>
      </c>
      <c r="L89" s="539">
        <f t="shared" si="70"/>
        <v>1.269391646926977</v>
      </c>
      <c r="M89" s="619"/>
      <c r="N89" s="731">
        <f>N$41*Q89/(Q$89+Q$90+Q$91+Q$92)</f>
        <v>0.38195862823503368</v>
      </c>
      <c r="O89" s="539">
        <f>O99/O$23</f>
        <v>2.0372984987984766</v>
      </c>
      <c r="P89" s="539">
        <f>P99/P$23</f>
        <v>0.40617930931254898</v>
      </c>
      <c r="Q89" s="539">
        <f>Q99/Q23</f>
        <v>1.0475251140153035</v>
      </c>
      <c r="R89" s="539">
        <f t="shared" si="67"/>
        <v>0.66556648578026978</v>
      </c>
      <c r="S89" s="539">
        <f>S99/S$23</f>
        <v>0.40707959843982028</v>
      </c>
      <c r="T89" s="539">
        <f t="shared" ref="T89:W89" si="75">T99/T$23</f>
        <v>0.40706548169105483</v>
      </c>
      <c r="U89" s="539">
        <f t="shared" si="75"/>
        <v>0.40706548169105483</v>
      </c>
      <c r="V89" s="539">
        <f t="shared" si="75"/>
        <v>0.40705136592133956</v>
      </c>
      <c r="W89" s="539">
        <f t="shared" si="75"/>
        <v>0.40707959843982028</v>
      </c>
      <c r="X89" s="507"/>
    </row>
    <row r="90" spans="2:24" s="1228" customFormat="1" x14ac:dyDescent="0.35">
      <c r="B90" s="1119" t="s">
        <v>870</v>
      </c>
      <c r="C90" s="1120" t="s">
        <v>751</v>
      </c>
      <c r="D90" s="1121" t="s">
        <v>896</v>
      </c>
      <c r="E90" s="619"/>
      <c r="F90" s="789">
        <f>F$41*G90/(G89+G90+G91+G92)</f>
        <v>4.0922238230672245E-2</v>
      </c>
      <c r="G90" s="789">
        <f>G100/G$23</f>
        <v>0.30925149695242493</v>
      </c>
      <c r="H90" s="539">
        <f t="shared" si="69"/>
        <v>0.26832925872175267</v>
      </c>
      <c r="I90" s="619"/>
      <c r="J90" s="731">
        <f>J$41*K90/(K90+K91+K92+K89)</f>
        <v>9.3890281070331955E-2</v>
      </c>
      <c r="K90" s="539">
        <f>K100/K$23</f>
        <v>0.38736648457617862</v>
      </c>
      <c r="L90" s="539">
        <f t="shared" si="70"/>
        <v>0.29347620350584669</v>
      </c>
      <c r="M90" s="619"/>
      <c r="N90" s="731">
        <f t="shared" ref="N90:N92" si="76">N$41*Q90/(Q$89+Q$90+Q$91+Q$92)</f>
        <v>0.11804137176496635</v>
      </c>
      <c r="O90" s="539">
        <f t="shared" ref="O90:P90" si="77">O100/O$23</f>
        <v>0.67841011892850234</v>
      </c>
      <c r="P90" s="539">
        <f t="shared" si="77"/>
        <v>9.390636997513753E-2</v>
      </c>
      <c r="Q90" s="539">
        <f>Q100/Q23</f>
        <v>0.32372956722562068</v>
      </c>
      <c r="R90" s="539">
        <f t="shared" si="67"/>
        <v>0.20568819546065434</v>
      </c>
      <c r="S90" s="539">
        <f t="shared" ref="S90:W92" si="78">S100/S$23</f>
        <v>9.4114511753735808E-2</v>
      </c>
      <c r="T90" s="539">
        <f t="shared" si="78"/>
        <v>9.4111248040882847E-2</v>
      </c>
      <c r="U90" s="539">
        <f t="shared" si="78"/>
        <v>9.4111248040882847E-2</v>
      </c>
      <c r="V90" s="539">
        <f t="shared" si="78"/>
        <v>9.4107984554380755E-2</v>
      </c>
      <c r="W90" s="539">
        <f t="shared" si="78"/>
        <v>9.4114511753735808E-2</v>
      </c>
      <c r="X90" s="507"/>
    </row>
    <row r="91" spans="2:24" s="1228" customFormat="1" x14ac:dyDescent="0.35">
      <c r="B91" s="1119" t="s">
        <v>1493</v>
      </c>
      <c r="C91" s="1120" t="s">
        <v>857</v>
      </c>
      <c r="D91" s="1121" t="s">
        <v>896</v>
      </c>
      <c r="E91" s="619"/>
      <c r="F91" s="789">
        <f>F$41*G91/(G91+G92+G93+G94)</f>
        <v>0</v>
      </c>
      <c r="G91" s="789">
        <f>G101/G$23</f>
        <v>0</v>
      </c>
      <c r="H91" s="539">
        <f t="shared" si="69"/>
        <v>0</v>
      </c>
      <c r="I91" s="619"/>
      <c r="J91" s="731">
        <f>J$41*K91/(K91+K92+K90+K89)</f>
        <v>0</v>
      </c>
      <c r="K91" s="539">
        <f>K101/K$23</f>
        <v>0</v>
      </c>
      <c r="L91" s="539">
        <f t="shared" si="70"/>
        <v>0</v>
      </c>
      <c r="M91" s="619"/>
      <c r="N91" s="731">
        <f t="shared" si="76"/>
        <v>0</v>
      </c>
      <c r="O91" s="539">
        <f t="shared" ref="O91:P91" si="79">O101/O$23</f>
        <v>0</v>
      </c>
      <c r="P91" s="539">
        <f t="shared" si="79"/>
        <v>0</v>
      </c>
      <c r="Q91" s="539">
        <f t="shared" ref="Q91:Q92" si="80">O91+P91</f>
        <v>0</v>
      </c>
      <c r="R91" s="539">
        <f t="shared" si="67"/>
        <v>0</v>
      </c>
      <c r="S91" s="539">
        <f t="shared" si="78"/>
        <v>0</v>
      </c>
      <c r="T91" s="539">
        <f t="shared" si="78"/>
        <v>0</v>
      </c>
      <c r="U91" s="539">
        <f t="shared" si="78"/>
        <v>0</v>
      </c>
      <c r="V91" s="539">
        <f t="shared" si="78"/>
        <v>0</v>
      </c>
      <c r="W91" s="539">
        <f t="shared" si="78"/>
        <v>0</v>
      </c>
      <c r="X91" s="507"/>
    </row>
    <row r="92" spans="2:24" s="1228" customFormat="1" x14ac:dyDescent="0.35">
      <c r="B92" s="1119" t="s">
        <v>1494</v>
      </c>
      <c r="C92" s="1120" t="s">
        <v>858</v>
      </c>
      <c r="D92" s="1121" t="s">
        <v>896</v>
      </c>
      <c r="E92" s="619"/>
      <c r="F92" s="789">
        <f>F$41*G92/(G92+G93+G94+G95)</f>
        <v>0</v>
      </c>
      <c r="G92" s="789">
        <f>G102/G$23</f>
        <v>0</v>
      </c>
      <c r="H92" s="539">
        <f t="shared" si="69"/>
        <v>0</v>
      </c>
      <c r="I92" s="619"/>
      <c r="J92" s="731">
        <f>J$41*K92/(K92+K89+K91+K90)</f>
        <v>0</v>
      </c>
      <c r="K92" s="539">
        <f>K102/K$23</f>
        <v>0</v>
      </c>
      <c r="L92" s="539">
        <f t="shared" si="70"/>
        <v>0</v>
      </c>
      <c r="M92" s="619"/>
      <c r="N92" s="731">
        <f t="shared" si="76"/>
        <v>0</v>
      </c>
      <c r="O92" s="539">
        <f t="shared" ref="O92:P92" si="81">O102/O$23</f>
        <v>0</v>
      </c>
      <c r="P92" s="539">
        <f t="shared" si="81"/>
        <v>0</v>
      </c>
      <c r="Q92" s="539">
        <f t="shared" si="80"/>
        <v>0</v>
      </c>
      <c r="R92" s="539">
        <f t="shared" si="67"/>
        <v>0</v>
      </c>
      <c r="S92" s="539">
        <f t="shared" si="78"/>
        <v>0</v>
      </c>
      <c r="T92" s="539">
        <f t="shared" si="78"/>
        <v>0</v>
      </c>
      <c r="U92" s="539">
        <f t="shared" si="78"/>
        <v>0</v>
      </c>
      <c r="V92" s="539">
        <f t="shared" si="78"/>
        <v>0</v>
      </c>
      <c r="W92" s="539">
        <f t="shared" si="78"/>
        <v>0</v>
      </c>
      <c r="X92" s="507"/>
    </row>
    <row r="93" spans="2:24" s="1228" customFormat="1" x14ac:dyDescent="0.3">
      <c r="B93" s="460">
        <v>3.2</v>
      </c>
      <c r="C93" s="459" t="s">
        <v>124</v>
      </c>
      <c r="D93" s="461"/>
      <c r="E93" s="622"/>
      <c r="F93" s="543"/>
      <c r="G93" s="543"/>
      <c r="H93" s="543"/>
      <c r="I93" s="622"/>
      <c r="J93" s="543"/>
      <c r="K93" s="543"/>
      <c r="L93" s="543"/>
      <c r="M93" s="622"/>
      <c r="N93" s="539"/>
      <c r="O93" s="539"/>
      <c r="P93" s="539"/>
      <c r="Q93" s="539"/>
      <c r="R93" s="539"/>
      <c r="S93" s="539"/>
      <c r="T93" s="539"/>
      <c r="U93" s="539"/>
      <c r="V93" s="539"/>
      <c r="W93" s="539"/>
      <c r="X93" s="507"/>
    </row>
    <row r="94" spans="2:24" s="1228" customFormat="1" x14ac:dyDescent="0.35">
      <c r="B94" s="1119" t="s">
        <v>125</v>
      </c>
      <c r="C94" s="1120" t="s">
        <v>748</v>
      </c>
      <c r="D94" s="1121" t="s">
        <v>897</v>
      </c>
      <c r="E94" s="619"/>
      <c r="F94" s="789">
        <f>IFERROR(F104/F$68*1000,0)</f>
        <v>2044812.014275745</v>
      </c>
      <c r="G94" s="789">
        <v>2134253</v>
      </c>
      <c r="H94" s="539">
        <f t="shared" ref="H94:H112" si="82">G94-F94</f>
        <v>89440.985724254977</v>
      </c>
      <c r="I94" s="619"/>
      <c r="J94" s="539">
        <f>IFERROR(J104/J$68*1000,0)</f>
        <v>2077154.3853751367</v>
      </c>
      <c r="K94" s="789">
        <v>2020676.308</v>
      </c>
      <c r="L94" s="539">
        <f t="shared" ref="L94:L102" si="83">K94-J94</f>
        <v>-56478.077375136781</v>
      </c>
      <c r="M94" s="619"/>
      <c r="N94" s="539">
        <f>IFERROR(N104/N$68*1000,0)</f>
        <v>2343965.2532861298</v>
      </c>
      <c r="O94" s="789">
        <v>917359.75799999991</v>
      </c>
      <c r="P94" s="789">
        <v>1432338.1540000001</v>
      </c>
      <c r="Q94" s="789">
        <f>O94+P94</f>
        <v>2349697.912</v>
      </c>
      <c r="R94" s="539">
        <f>Q94-N94</f>
        <v>5732.6587138702162</v>
      </c>
      <c r="S94" s="789">
        <v>2877874.9999999995</v>
      </c>
      <c r="T94" s="789">
        <v>2877974.9999999995</v>
      </c>
      <c r="U94" s="789">
        <v>2877974.9999999995</v>
      </c>
      <c r="V94" s="789">
        <v>2878074.9999999995</v>
      </c>
      <c r="W94" s="789">
        <v>2877874.9999999995</v>
      </c>
      <c r="X94" s="507"/>
    </row>
    <row r="95" spans="2:24" s="1228" customFormat="1" x14ac:dyDescent="0.35">
      <c r="B95" s="1119" t="s">
        <v>126</v>
      </c>
      <c r="C95" s="1120" t="s">
        <v>749</v>
      </c>
      <c r="D95" s="1121" t="s">
        <v>897</v>
      </c>
      <c r="E95" s="619"/>
      <c r="F95" s="789">
        <f>IFERROR(F105/F$68*1000,0)</f>
        <v>0</v>
      </c>
      <c r="G95" s="789">
        <v>0</v>
      </c>
      <c r="H95" s="539">
        <f t="shared" si="82"/>
        <v>0</v>
      </c>
      <c r="I95" s="619"/>
      <c r="J95" s="539">
        <f>IFERROR(J105/J$68*1000,0)</f>
        <v>0</v>
      </c>
      <c r="K95" s="789">
        <v>0</v>
      </c>
      <c r="L95" s="539">
        <f t="shared" si="83"/>
        <v>0</v>
      </c>
      <c r="M95" s="619"/>
      <c r="N95" s="539">
        <f>IFERROR(N105/N$69*1000,0)</f>
        <v>0</v>
      </c>
      <c r="O95" s="789">
        <v>0</v>
      </c>
      <c r="P95" s="789">
        <v>0</v>
      </c>
      <c r="Q95" s="789">
        <f>O95+P95</f>
        <v>0</v>
      </c>
      <c r="R95" s="539">
        <f t="shared" ref="R95:R102" si="84">Q95-N95</f>
        <v>0</v>
      </c>
      <c r="S95" s="789">
        <v>0</v>
      </c>
      <c r="T95" s="789">
        <v>0</v>
      </c>
      <c r="U95" s="789">
        <v>0</v>
      </c>
      <c r="V95" s="789">
        <v>0</v>
      </c>
      <c r="W95" s="789">
        <v>0</v>
      </c>
      <c r="X95" s="507"/>
    </row>
    <row r="96" spans="2:24" s="1228" customFormat="1" x14ac:dyDescent="0.35">
      <c r="B96" s="1119" t="s">
        <v>127</v>
      </c>
      <c r="C96" s="1120" t="s">
        <v>856</v>
      </c>
      <c r="D96" s="1121" t="s">
        <v>897</v>
      </c>
      <c r="E96" s="619"/>
      <c r="F96" s="789">
        <f>IFERROR(F106/F$68*1000,0)</f>
        <v>0</v>
      </c>
      <c r="G96" s="789">
        <v>0</v>
      </c>
      <c r="H96" s="539">
        <f t="shared" si="82"/>
        <v>0</v>
      </c>
      <c r="I96" s="619"/>
      <c r="J96" s="539">
        <f>IFERROR(J106/J$68*1000,0)</f>
        <v>0</v>
      </c>
      <c r="K96" s="789">
        <v>0</v>
      </c>
      <c r="L96" s="539">
        <f t="shared" si="83"/>
        <v>0</v>
      </c>
      <c r="M96" s="619"/>
      <c r="N96" s="539">
        <f>IFERROR(N106/N$68*1000,0)</f>
        <v>0</v>
      </c>
      <c r="O96" s="789">
        <v>0</v>
      </c>
      <c r="P96" s="789">
        <v>0</v>
      </c>
      <c r="Q96" s="789">
        <f t="shared" ref="Q96:Q102" si="85">O96+P96</f>
        <v>0</v>
      </c>
      <c r="R96" s="539">
        <f t="shared" si="84"/>
        <v>0</v>
      </c>
      <c r="S96" s="789">
        <v>0</v>
      </c>
      <c r="T96" s="789">
        <v>0</v>
      </c>
      <c r="U96" s="789">
        <v>0</v>
      </c>
      <c r="V96" s="789">
        <v>0</v>
      </c>
      <c r="W96" s="789">
        <v>0</v>
      </c>
      <c r="X96" s="507"/>
    </row>
    <row r="97" spans="2:27" s="1228" customFormat="1" x14ac:dyDescent="0.35">
      <c r="B97" s="1119" t="s">
        <v>755</v>
      </c>
      <c r="C97" s="1120" t="s">
        <v>1488</v>
      </c>
      <c r="D97" s="1121" t="s">
        <v>897</v>
      </c>
      <c r="E97" s="619"/>
      <c r="F97" s="789"/>
      <c r="G97" s="789"/>
      <c r="H97" s="539"/>
      <c r="I97" s="619"/>
      <c r="J97" s="539"/>
      <c r="K97" s="789"/>
      <c r="L97" s="539"/>
      <c r="M97" s="619"/>
      <c r="N97" s="539"/>
      <c r="O97" s="789"/>
      <c r="P97" s="789"/>
      <c r="Q97" s="789"/>
      <c r="R97" s="539"/>
      <c r="S97" s="789">
        <v>0</v>
      </c>
      <c r="T97" s="789">
        <v>0</v>
      </c>
      <c r="U97" s="789">
        <v>0</v>
      </c>
      <c r="V97" s="789">
        <v>0</v>
      </c>
      <c r="W97" s="789">
        <v>0</v>
      </c>
      <c r="X97" s="507"/>
    </row>
    <row r="98" spans="2:27" s="1228" customFormat="1" x14ac:dyDescent="0.35">
      <c r="B98" s="1119" t="s">
        <v>871</v>
      </c>
      <c r="C98" s="1120" t="s">
        <v>1489</v>
      </c>
      <c r="D98" s="1121" t="s">
        <v>897</v>
      </c>
      <c r="E98" s="619"/>
      <c r="F98" s="789"/>
      <c r="G98" s="789"/>
      <c r="H98" s="539"/>
      <c r="I98" s="619"/>
      <c r="J98" s="539"/>
      <c r="K98" s="789"/>
      <c r="L98" s="539"/>
      <c r="M98" s="619"/>
      <c r="N98" s="539"/>
      <c r="O98" s="789"/>
      <c r="P98" s="789"/>
      <c r="Q98" s="789"/>
      <c r="R98" s="539"/>
      <c r="S98" s="789">
        <v>0</v>
      </c>
      <c r="T98" s="789">
        <v>0</v>
      </c>
      <c r="U98" s="789">
        <v>0</v>
      </c>
      <c r="V98" s="789">
        <v>0</v>
      </c>
      <c r="W98" s="789">
        <v>0</v>
      </c>
      <c r="X98" s="507"/>
    </row>
    <row r="99" spans="2:27" s="1228" customFormat="1" x14ac:dyDescent="0.35">
      <c r="B99" s="1119" t="s">
        <v>872</v>
      </c>
      <c r="C99" s="1120" t="s">
        <v>750</v>
      </c>
      <c r="D99" s="1121" t="s">
        <v>897</v>
      </c>
      <c r="E99" s="619"/>
      <c r="F99" s="794">
        <f>F89*F$23</f>
        <v>1283.0511870921966</v>
      </c>
      <c r="G99" s="789">
        <v>9696.0849999999991</v>
      </c>
      <c r="H99" s="539">
        <f t="shared" si="82"/>
        <v>8413.0338129078027</v>
      </c>
      <c r="I99" s="619"/>
      <c r="J99" s="731">
        <f>J89*J$23</f>
        <v>1140.8539812699157</v>
      </c>
      <c r="K99" s="789">
        <v>4706.8620000000001</v>
      </c>
      <c r="L99" s="539">
        <f t="shared" si="83"/>
        <v>3566.0080187300846</v>
      </c>
      <c r="M99" s="619"/>
      <c r="N99" s="731">
        <f>N89*N$23</f>
        <v>1174.743629111473</v>
      </c>
      <c r="O99" s="789">
        <v>2463.701</v>
      </c>
      <c r="P99" s="789">
        <v>758.04440135411835</v>
      </c>
      <c r="Q99" s="789">
        <f>O99+P99</f>
        <v>3221.7454013541183</v>
      </c>
      <c r="R99" s="539">
        <f t="shared" si="84"/>
        <v>2047.0017722426453</v>
      </c>
      <c r="S99" s="789">
        <v>1515.5198474409492</v>
      </c>
      <c r="T99" s="789">
        <v>1515.5198474409492</v>
      </c>
      <c r="U99" s="789">
        <v>1515.5198474409492</v>
      </c>
      <c r="V99" s="789">
        <v>1515.5198474409492</v>
      </c>
      <c r="W99" s="789">
        <v>1515.5198474409492</v>
      </c>
      <c r="X99" s="507"/>
    </row>
    <row r="100" spans="2:27" s="1228" customFormat="1" x14ac:dyDescent="0.35">
      <c r="B100" s="1119" t="s">
        <v>873</v>
      </c>
      <c r="C100" s="1120" t="s">
        <v>751</v>
      </c>
      <c r="D100" s="1121" t="s">
        <v>897</v>
      </c>
      <c r="E100" s="619"/>
      <c r="F100" s="789">
        <f>F90*F$23</f>
        <v>114.37131290780316</v>
      </c>
      <c r="G100" s="789">
        <v>864.31</v>
      </c>
      <c r="H100" s="539">
        <f t="shared" si="82"/>
        <v>749.9386870921968</v>
      </c>
      <c r="I100" s="619"/>
      <c r="J100" s="539">
        <f>J90*J$23</f>
        <v>263.75901873008439</v>
      </c>
      <c r="K100" s="789">
        <v>1088.2</v>
      </c>
      <c r="L100" s="539">
        <f t="shared" si="83"/>
        <v>824.44098126991571</v>
      </c>
      <c r="M100" s="619"/>
      <c r="N100" s="539">
        <f>N90*N$23</f>
        <v>363.04546933063443</v>
      </c>
      <c r="O100" s="789">
        <v>820.4</v>
      </c>
      <c r="P100" s="789">
        <v>175.25559864588161</v>
      </c>
      <c r="Q100" s="789">
        <f t="shared" si="85"/>
        <v>995.65559864588158</v>
      </c>
      <c r="R100" s="539">
        <f t="shared" si="84"/>
        <v>632.61012931524715</v>
      </c>
      <c r="S100" s="789">
        <v>350.37965803655197</v>
      </c>
      <c r="T100" s="789">
        <v>350.37965803655197</v>
      </c>
      <c r="U100" s="789">
        <v>350.37965803655197</v>
      </c>
      <c r="V100" s="789">
        <v>350.37965803655197</v>
      </c>
      <c r="W100" s="789">
        <v>350.37965803655197</v>
      </c>
      <c r="X100" s="507"/>
    </row>
    <row r="101" spans="2:27" s="1228" customFormat="1" x14ac:dyDescent="0.35">
      <c r="B101" s="1119" t="s">
        <v>1495</v>
      </c>
      <c r="C101" s="1120" t="s">
        <v>857</v>
      </c>
      <c r="D101" s="1121" t="s">
        <v>897</v>
      </c>
      <c r="E101" s="619"/>
      <c r="F101" s="789">
        <f>F91*F$23</f>
        <v>0</v>
      </c>
      <c r="G101" s="789">
        <v>0</v>
      </c>
      <c r="H101" s="539">
        <f t="shared" si="82"/>
        <v>0</v>
      </c>
      <c r="I101" s="619"/>
      <c r="J101" s="539">
        <f>J91*J$23</f>
        <v>0</v>
      </c>
      <c r="K101" s="789">
        <v>0</v>
      </c>
      <c r="L101" s="539">
        <f t="shared" si="83"/>
        <v>0</v>
      </c>
      <c r="M101" s="619"/>
      <c r="N101" s="539">
        <f>N91*N$23</f>
        <v>0</v>
      </c>
      <c r="O101" s="789">
        <v>0</v>
      </c>
      <c r="P101" s="789">
        <v>0</v>
      </c>
      <c r="Q101" s="789">
        <f t="shared" si="85"/>
        <v>0</v>
      </c>
      <c r="R101" s="539">
        <f t="shared" si="84"/>
        <v>0</v>
      </c>
      <c r="S101" s="789">
        <v>0</v>
      </c>
      <c r="T101" s="789">
        <v>0</v>
      </c>
      <c r="U101" s="789">
        <v>0</v>
      </c>
      <c r="V101" s="789">
        <v>0</v>
      </c>
      <c r="W101" s="789">
        <v>0</v>
      </c>
      <c r="X101" s="507"/>
    </row>
    <row r="102" spans="2:27" s="1228" customFormat="1" x14ac:dyDescent="0.35">
      <c r="B102" s="1119" t="s">
        <v>1496</v>
      </c>
      <c r="C102" s="1120" t="s">
        <v>858</v>
      </c>
      <c r="D102" s="1121" t="s">
        <v>897</v>
      </c>
      <c r="E102" s="619"/>
      <c r="F102" s="789">
        <f>F92*F$23</f>
        <v>0</v>
      </c>
      <c r="G102" s="789">
        <v>0</v>
      </c>
      <c r="H102" s="539">
        <f t="shared" si="82"/>
        <v>0</v>
      </c>
      <c r="I102" s="619"/>
      <c r="J102" s="539">
        <f>J92*J$23</f>
        <v>0</v>
      </c>
      <c r="K102" s="789">
        <v>0</v>
      </c>
      <c r="L102" s="539">
        <f t="shared" si="83"/>
        <v>0</v>
      </c>
      <c r="M102" s="619"/>
      <c r="N102" s="539">
        <f>N92*N$23</f>
        <v>0</v>
      </c>
      <c r="O102" s="789">
        <v>0</v>
      </c>
      <c r="P102" s="789">
        <v>0</v>
      </c>
      <c r="Q102" s="789">
        <f t="shared" si="85"/>
        <v>0</v>
      </c>
      <c r="R102" s="539">
        <f t="shared" si="84"/>
        <v>0</v>
      </c>
      <c r="S102" s="789">
        <v>0</v>
      </c>
      <c r="T102" s="789">
        <v>0</v>
      </c>
      <c r="U102" s="789">
        <v>0</v>
      </c>
      <c r="V102" s="789">
        <v>0</v>
      </c>
      <c r="W102" s="789">
        <v>0</v>
      </c>
      <c r="X102" s="507"/>
    </row>
    <row r="103" spans="2:27" s="1228" customFormat="1" ht="30" x14ac:dyDescent="0.3">
      <c r="B103" s="460">
        <v>3.3</v>
      </c>
      <c r="C103" s="459" t="s">
        <v>128</v>
      </c>
      <c r="D103" s="461"/>
      <c r="E103" s="622"/>
      <c r="F103" s="543"/>
      <c r="G103" s="543"/>
      <c r="H103" s="543"/>
      <c r="I103" s="622"/>
      <c r="J103" s="543"/>
      <c r="K103" s="543"/>
      <c r="L103" s="543"/>
      <c r="M103" s="622"/>
      <c r="N103" s="539"/>
      <c r="O103" s="539"/>
      <c r="P103" s="539"/>
      <c r="Q103" s="539"/>
      <c r="R103" s="539"/>
      <c r="S103" s="539"/>
      <c r="T103" s="539"/>
      <c r="U103" s="539"/>
      <c r="V103" s="539"/>
      <c r="W103" s="539"/>
      <c r="X103" s="507"/>
    </row>
    <row r="104" spans="2:27" s="1228" customFormat="1" x14ac:dyDescent="0.35">
      <c r="B104" s="1119" t="s">
        <v>129</v>
      </c>
      <c r="C104" s="1120" t="s">
        <v>748</v>
      </c>
      <c r="D104" s="1121" t="s">
        <v>130</v>
      </c>
      <c r="E104" s="619"/>
      <c r="F104" s="714">
        <f>(F$113-SUM(F$109:F$112))*G104/SUM(G$104:G$106)</f>
        <v>6778347.3461226672</v>
      </c>
      <c r="G104" s="539">
        <f>G94*G$68/1000</f>
        <v>6936108.8246999998</v>
      </c>
      <c r="H104" s="539">
        <f t="shared" si="82"/>
        <v>157761.47857733257</v>
      </c>
      <c r="I104" s="619"/>
      <c r="J104" s="714">
        <f>(J$113-SUM(J$109:J$112))*K104/SUM(K$104:K$106)</f>
        <v>6813066.3840304483</v>
      </c>
      <c r="K104" s="539">
        <f>K94*K$68/1000</f>
        <v>6833927.2736560004</v>
      </c>
      <c r="L104" s="539">
        <f t="shared" ref="L104:L112" si="86">K104-J104</f>
        <v>20860.88962555211</v>
      </c>
      <c r="M104" s="619"/>
      <c r="N104" s="714">
        <f>(N$113-SUM(N$109:N$112))*Q104/SUM(Q$104:Q$106)</f>
        <v>7459131.2153939037</v>
      </c>
      <c r="O104" s="539">
        <f t="shared" ref="O104:P106" si="87">O94*O$68/1000</f>
        <v>2951185.5188219999</v>
      </c>
      <c r="P104" s="539">
        <f t="shared" si="87"/>
        <v>4526188.5666399989</v>
      </c>
      <c r="Q104" s="539">
        <f>O104+P104</f>
        <v>7477374.0854619984</v>
      </c>
      <c r="R104" s="539">
        <f>Q104-N104</f>
        <v>18242.870068094693</v>
      </c>
      <c r="S104" s="539">
        <f t="shared" ref="S104:W106" si="88">S94*S$68/1000</f>
        <v>8973084.5813509841</v>
      </c>
      <c r="T104" s="539">
        <f t="shared" si="88"/>
        <v>8973396.376845276</v>
      </c>
      <c r="U104" s="539">
        <f t="shared" si="88"/>
        <v>8973396.376845276</v>
      </c>
      <c r="V104" s="539">
        <f t="shared" si="88"/>
        <v>8973708.1723395698</v>
      </c>
      <c r="W104" s="539">
        <f t="shared" si="88"/>
        <v>8973084.5813509841</v>
      </c>
      <c r="X104" s="513"/>
      <c r="Y104" s="1257"/>
      <c r="Z104" s="1257"/>
      <c r="AA104" s="1257"/>
    </row>
    <row r="105" spans="2:27" s="1228" customFormat="1" x14ac:dyDescent="0.35">
      <c r="B105" s="1119" t="s">
        <v>131</v>
      </c>
      <c r="C105" s="1120" t="s">
        <v>749</v>
      </c>
      <c r="D105" s="1121" t="s">
        <v>130</v>
      </c>
      <c r="E105" s="619"/>
      <c r="F105" s="714">
        <f>(F$113-SUM(F$109:F$112))*G105/SUM(G$104:G$106)</f>
        <v>0</v>
      </c>
      <c r="G105" s="539">
        <f>G95*G$68/1000</f>
        <v>0</v>
      </c>
      <c r="H105" s="539">
        <f t="shared" si="82"/>
        <v>0</v>
      </c>
      <c r="I105" s="619"/>
      <c r="J105" s="714">
        <f>(J$113-SUM(J$109:J$112))*K105/SUM(K$104:K$106)</f>
        <v>0</v>
      </c>
      <c r="K105" s="539">
        <f>K95*K$68/1000</f>
        <v>0</v>
      </c>
      <c r="L105" s="539">
        <f t="shared" si="86"/>
        <v>0</v>
      </c>
      <c r="M105" s="619"/>
      <c r="N105" s="714">
        <f>(N$113-SUM(N$109:N$112))*Q105/SUM(Q$104:Q$106)</f>
        <v>0</v>
      </c>
      <c r="O105" s="539">
        <f>O95*O$69/1000</f>
        <v>0</v>
      </c>
      <c r="P105" s="539">
        <f>P95*P$69/1000</f>
        <v>0</v>
      </c>
      <c r="Q105" s="539">
        <f>O105+P105</f>
        <v>0</v>
      </c>
      <c r="R105" s="539">
        <f>Q105-N105</f>
        <v>0</v>
      </c>
      <c r="S105" s="539">
        <f t="shared" si="88"/>
        <v>0</v>
      </c>
      <c r="T105" s="539">
        <f t="shared" si="88"/>
        <v>0</v>
      </c>
      <c r="U105" s="539">
        <f t="shared" si="88"/>
        <v>0</v>
      </c>
      <c r="V105" s="539">
        <f t="shared" si="88"/>
        <v>0</v>
      </c>
      <c r="W105" s="539">
        <f t="shared" si="88"/>
        <v>0</v>
      </c>
      <c r="X105" s="513"/>
      <c r="Y105" s="1257"/>
      <c r="Z105" s="1257"/>
      <c r="AA105" s="1257"/>
    </row>
    <row r="106" spans="2:27" s="1228" customFormat="1" x14ac:dyDescent="0.35">
      <c r="B106" s="1119" t="s">
        <v>132</v>
      </c>
      <c r="C106" s="1120" t="s">
        <v>856</v>
      </c>
      <c r="D106" s="1121" t="s">
        <v>130</v>
      </c>
      <c r="E106" s="619"/>
      <c r="F106" s="714">
        <f>(F$113-SUM(F$109:F$112))*G106/SUM(G$104:G$106)</f>
        <v>0</v>
      </c>
      <c r="G106" s="539">
        <f>G96*G$68/1000</f>
        <v>0</v>
      </c>
      <c r="H106" s="539">
        <f t="shared" si="82"/>
        <v>0</v>
      </c>
      <c r="I106" s="619"/>
      <c r="J106" s="714">
        <f>(J$113-SUM(J$109:J$112))*K106/SUM(K$104:K$106)</f>
        <v>0</v>
      </c>
      <c r="K106" s="539">
        <f>K96*K$68/1000</f>
        <v>0</v>
      </c>
      <c r="L106" s="539">
        <f t="shared" si="86"/>
        <v>0</v>
      </c>
      <c r="M106" s="619"/>
      <c r="N106" s="714">
        <f>(N$113-SUM(N$109:N$112))*Q106/SUM(Q$104:Q$106)</f>
        <v>0</v>
      </c>
      <c r="O106" s="539">
        <f t="shared" si="87"/>
        <v>0</v>
      </c>
      <c r="P106" s="539">
        <f t="shared" si="87"/>
        <v>0</v>
      </c>
      <c r="Q106" s="539">
        <f t="shared" ref="Q106:Q112" si="89">O106+P106</f>
        <v>0</v>
      </c>
      <c r="R106" s="539">
        <f>Q106-N106</f>
        <v>0</v>
      </c>
      <c r="S106" s="539">
        <f t="shared" si="88"/>
        <v>0</v>
      </c>
      <c r="T106" s="539">
        <f t="shared" si="88"/>
        <v>0</v>
      </c>
      <c r="U106" s="539">
        <f t="shared" si="88"/>
        <v>0</v>
      </c>
      <c r="V106" s="539">
        <f t="shared" si="88"/>
        <v>0</v>
      </c>
      <c r="W106" s="539">
        <f t="shared" si="88"/>
        <v>0</v>
      </c>
      <c r="X106" s="513"/>
      <c r="Y106" s="1257"/>
      <c r="Z106" s="1257"/>
      <c r="AA106" s="1257"/>
    </row>
    <row r="107" spans="2:27" s="1228" customFormat="1" x14ac:dyDescent="0.35">
      <c r="B107" s="1119" t="s">
        <v>756</v>
      </c>
      <c r="C107" s="1120" t="s">
        <v>1488</v>
      </c>
      <c r="D107" s="1121" t="s">
        <v>130</v>
      </c>
      <c r="E107" s="619"/>
      <c r="F107" s="714"/>
      <c r="G107" s="539"/>
      <c r="H107" s="539"/>
      <c r="I107" s="619"/>
      <c r="J107" s="714"/>
      <c r="K107" s="539"/>
      <c r="L107" s="539"/>
      <c r="M107" s="619"/>
      <c r="N107" s="714"/>
      <c r="O107" s="539"/>
      <c r="P107" s="539"/>
      <c r="Q107" s="539"/>
      <c r="R107" s="539"/>
      <c r="S107" s="539">
        <f t="shared" ref="S107:W107" si="90">S97*S$68/1000</f>
        <v>0</v>
      </c>
      <c r="T107" s="539">
        <f t="shared" si="90"/>
        <v>0</v>
      </c>
      <c r="U107" s="539">
        <f t="shared" si="90"/>
        <v>0</v>
      </c>
      <c r="V107" s="539">
        <f t="shared" si="90"/>
        <v>0</v>
      </c>
      <c r="W107" s="539">
        <f t="shared" si="90"/>
        <v>0</v>
      </c>
      <c r="X107" s="513"/>
      <c r="Y107" s="1257"/>
      <c r="Z107" s="1257"/>
      <c r="AA107" s="1257"/>
    </row>
    <row r="108" spans="2:27" s="1228" customFormat="1" x14ac:dyDescent="0.35">
      <c r="B108" s="1119" t="s">
        <v>874</v>
      </c>
      <c r="C108" s="1120" t="s">
        <v>1489</v>
      </c>
      <c r="D108" s="1121" t="s">
        <v>130</v>
      </c>
      <c r="E108" s="619"/>
      <c r="F108" s="714"/>
      <c r="G108" s="539"/>
      <c r="H108" s="539"/>
      <c r="I108" s="619"/>
      <c r="J108" s="714"/>
      <c r="K108" s="539"/>
      <c r="L108" s="539"/>
      <c r="M108" s="619"/>
      <c r="N108" s="714"/>
      <c r="O108" s="539"/>
      <c r="P108" s="539"/>
      <c r="Q108" s="539"/>
      <c r="R108" s="539"/>
      <c r="S108" s="539">
        <f t="shared" ref="S108:W108" si="91">S98*S$68/1000</f>
        <v>0</v>
      </c>
      <c r="T108" s="539">
        <f t="shared" si="91"/>
        <v>0</v>
      </c>
      <c r="U108" s="539">
        <f t="shared" si="91"/>
        <v>0</v>
      </c>
      <c r="V108" s="539">
        <f t="shared" si="91"/>
        <v>0</v>
      </c>
      <c r="W108" s="539">
        <f t="shared" si="91"/>
        <v>0</v>
      </c>
      <c r="X108" s="513"/>
      <c r="Y108" s="1257"/>
      <c r="Z108" s="1257"/>
      <c r="AA108" s="1257"/>
    </row>
    <row r="109" spans="2:27" s="1228" customFormat="1" x14ac:dyDescent="0.35">
      <c r="B109" s="1119" t="s">
        <v>875</v>
      </c>
      <c r="C109" s="1120" t="s">
        <v>750</v>
      </c>
      <c r="D109" s="1121" t="s">
        <v>130</v>
      </c>
      <c r="E109" s="619"/>
      <c r="F109" s="732">
        <f>F99*F63/1000*0.933</f>
        <v>12083.393730780555</v>
      </c>
      <c r="G109" s="539">
        <f>G99*G63/1000*0.933</f>
        <v>91314.839096669995</v>
      </c>
      <c r="H109" s="539">
        <f t="shared" si="82"/>
        <v>79231.445365889434</v>
      </c>
      <c r="I109" s="619"/>
      <c r="J109" s="732">
        <f>J99*J63/1000*0.933</f>
        <v>10948.590839902416</v>
      </c>
      <c r="K109" s="539">
        <f>K99*K63/1000*0.933</f>
        <v>45170.992102356002</v>
      </c>
      <c r="L109" s="539">
        <f t="shared" si="86"/>
        <v>34222.401262453583</v>
      </c>
      <c r="M109" s="619"/>
      <c r="N109" s="732">
        <f>N99*N63/1000*0.933</f>
        <v>11282.205795778846</v>
      </c>
      <c r="O109" s="539">
        <f>O99*O63/1000*0.933</f>
        <v>23666.725707768001</v>
      </c>
      <c r="P109" s="539">
        <f>P99*P63/1000*0.933</f>
        <v>7274.8293166024541</v>
      </c>
      <c r="Q109" s="539">
        <f t="shared" si="89"/>
        <v>30941.555024370457</v>
      </c>
      <c r="R109" s="539">
        <f>Q109-N109</f>
        <v>19659.349228591611</v>
      </c>
      <c r="S109" s="539">
        <f>S99*S63/1000*0.933</f>
        <v>14544.198461675505</v>
      </c>
      <c r="T109" s="539">
        <f>T99*T63/1000*0.933</f>
        <v>14544.198461675505</v>
      </c>
      <c r="U109" s="539">
        <f>U99*U63/1000*0.933</f>
        <v>14544.198461675505</v>
      </c>
      <c r="V109" s="539">
        <f>V99*V63/1000*0.933</f>
        <v>14544.198461675505</v>
      </c>
      <c r="W109" s="539">
        <f>W99*W63/1000*0.933</f>
        <v>14544.198461675505</v>
      </c>
      <c r="X109" s="513"/>
      <c r="Y109" s="1257"/>
      <c r="Z109" s="1257"/>
      <c r="AA109" s="1257"/>
    </row>
    <row r="110" spans="2:27" s="1228" customFormat="1" x14ac:dyDescent="0.35">
      <c r="B110" s="1119" t="s">
        <v>876</v>
      </c>
      <c r="C110" s="1120" t="s">
        <v>751</v>
      </c>
      <c r="D110" s="1121" t="s">
        <v>130</v>
      </c>
      <c r="E110" s="619"/>
      <c r="F110" s="539">
        <f>F100*F64/1000*0.853</f>
        <v>1042.6101465519755</v>
      </c>
      <c r="G110" s="539">
        <f>G100*G64/1000*0.853</f>
        <v>7879.0594674099984</v>
      </c>
      <c r="H110" s="539">
        <f t="shared" si="82"/>
        <v>6836.4493208580225</v>
      </c>
      <c r="I110" s="619"/>
      <c r="J110" s="539">
        <f>J100*J64/1000*0.853</f>
        <v>2404.2051296496788</v>
      </c>
      <c r="K110" s="539">
        <f>K100*K64/1000*0.853</f>
        <v>9919.1149356000005</v>
      </c>
      <c r="L110" s="539">
        <f t="shared" si="86"/>
        <v>7514.9098059503212</v>
      </c>
      <c r="M110" s="619"/>
      <c r="N110" s="539">
        <f>N100*N64/1000*0.853</f>
        <v>3241.5972389595217</v>
      </c>
      <c r="O110" s="539">
        <f>O100*O64/1000*0.853</f>
        <v>7292.6283051999999</v>
      </c>
      <c r="P110" s="539">
        <f>P100*P64/1000*0.853</f>
        <v>1597.4824720417969</v>
      </c>
      <c r="Q110" s="539">
        <f t="shared" si="89"/>
        <v>8890.1107772417963</v>
      </c>
      <c r="R110" s="539">
        <f>Q110-N110</f>
        <v>5648.5135382822746</v>
      </c>
      <c r="S110" s="539">
        <f>S100*S64/1000*0.853</f>
        <v>3193.765942989141</v>
      </c>
      <c r="T110" s="539">
        <f>T100*T64/1000*0.853</f>
        <v>3193.765942989141</v>
      </c>
      <c r="U110" s="539">
        <f>U100*U64/1000*0.853</f>
        <v>3193.765942989141</v>
      </c>
      <c r="V110" s="539">
        <f>V100*V64/1000*0.853</f>
        <v>3193.765942989141</v>
      </c>
      <c r="W110" s="539">
        <f>W100*W64/1000*0.853</f>
        <v>3193.765942989141</v>
      </c>
      <c r="X110" s="513"/>
      <c r="Y110" s="1257"/>
      <c r="Z110" s="1257"/>
      <c r="AA110" s="1257"/>
    </row>
    <row r="111" spans="2:27" s="1228" customFormat="1" x14ac:dyDescent="0.35">
      <c r="B111" s="1119" t="s">
        <v>1497</v>
      </c>
      <c r="C111" s="1120" t="s">
        <v>857</v>
      </c>
      <c r="D111" s="1121" t="s">
        <v>130</v>
      </c>
      <c r="E111" s="619"/>
      <c r="F111" s="539">
        <f>F101*F65/1000</f>
        <v>0</v>
      </c>
      <c r="G111" s="539">
        <f>G101*G65/1000</f>
        <v>0</v>
      </c>
      <c r="H111" s="539">
        <f t="shared" si="82"/>
        <v>0</v>
      </c>
      <c r="I111" s="619"/>
      <c r="J111" s="539">
        <f>J101*J65/1000</f>
        <v>0</v>
      </c>
      <c r="K111" s="539">
        <f>K101*K65/1000</f>
        <v>0</v>
      </c>
      <c r="L111" s="539">
        <f t="shared" si="86"/>
        <v>0</v>
      </c>
      <c r="M111" s="619"/>
      <c r="N111" s="539">
        <f t="shared" ref="N111:P112" si="92">N101*N65/1000</f>
        <v>0</v>
      </c>
      <c r="O111" s="539">
        <f t="shared" si="92"/>
        <v>0</v>
      </c>
      <c r="P111" s="539">
        <f t="shared" si="92"/>
        <v>0</v>
      </c>
      <c r="Q111" s="539">
        <f t="shared" si="89"/>
        <v>0</v>
      </c>
      <c r="R111" s="539">
        <f t="shared" ref="R111:R112" si="93">Q111-N111</f>
        <v>0</v>
      </c>
      <c r="S111" s="539">
        <f t="shared" ref="S111:W112" si="94">S101*S65/1000</f>
        <v>0</v>
      </c>
      <c r="T111" s="539">
        <f t="shared" si="94"/>
        <v>0</v>
      </c>
      <c r="U111" s="539">
        <f t="shared" si="94"/>
        <v>0</v>
      </c>
      <c r="V111" s="539">
        <f t="shared" si="94"/>
        <v>0</v>
      </c>
      <c r="W111" s="539">
        <f t="shared" si="94"/>
        <v>0</v>
      </c>
      <c r="X111" s="513"/>
      <c r="Y111" s="1257"/>
      <c r="Z111" s="1257"/>
      <c r="AA111" s="1257"/>
    </row>
    <row r="112" spans="2:27" s="1228" customFormat="1" x14ac:dyDescent="0.35">
      <c r="B112" s="1119" t="s">
        <v>1498</v>
      </c>
      <c r="C112" s="1120" t="s">
        <v>858</v>
      </c>
      <c r="D112" s="1121" t="s">
        <v>130</v>
      </c>
      <c r="E112" s="619"/>
      <c r="F112" s="539">
        <f>F102*F66/1000</f>
        <v>0</v>
      </c>
      <c r="G112" s="539">
        <f>G102*G66/1000</f>
        <v>0</v>
      </c>
      <c r="H112" s="539">
        <f t="shared" si="82"/>
        <v>0</v>
      </c>
      <c r="I112" s="619"/>
      <c r="J112" s="539">
        <f>J102*J66/1000</f>
        <v>0</v>
      </c>
      <c r="K112" s="539">
        <f>K102*K66/1000</f>
        <v>0</v>
      </c>
      <c r="L112" s="539">
        <f t="shared" si="86"/>
        <v>0</v>
      </c>
      <c r="M112" s="619"/>
      <c r="N112" s="539">
        <f t="shared" si="92"/>
        <v>0</v>
      </c>
      <c r="O112" s="539">
        <f t="shared" si="92"/>
        <v>0</v>
      </c>
      <c r="P112" s="539">
        <f t="shared" si="92"/>
        <v>0</v>
      </c>
      <c r="Q112" s="539">
        <f t="shared" si="89"/>
        <v>0</v>
      </c>
      <c r="R112" s="539">
        <f t="shared" si="93"/>
        <v>0</v>
      </c>
      <c r="S112" s="539">
        <f t="shared" si="94"/>
        <v>0</v>
      </c>
      <c r="T112" s="539">
        <f t="shared" si="94"/>
        <v>0</v>
      </c>
      <c r="U112" s="539">
        <f t="shared" si="94"/>
        <v>0</v>
      </c>
      <c r="V112" s="539">
        <f t="shared" si="94"/>
        <v>0</v>
      </c>
      <c r="W112" s="539">
        <f t="shared" si="94"/>
        <v>0</v>
      </c>
      <c r="X112" s="513"/>
      <c r="Y112" s="1257"/>
      <c r="Z112" s="1257"/>
      <c r="AA112" s="1257"/>
    </row>
    <row r="113" spans="2:24" s="1258" customFormat="1" x14ac:dyDescent="0.3">
      <c r="B113" s="460"/>
      <c r="C113" s="459" t="s">
        <v>375</v>
      </c>
      <c r="D113" s="389" t="s">
        <v>130</v>
      </c>
      <c r="E113" s="623"/>
      <c r="F113" s="505">
        <f>F23*F39</f>
        <v>6791473.3499999996</v>
      </c>
      <c r="G113" s="505">
        <f>SUM(G104:G112)</f>
        <v>7035302.7232640795</v>
      </c>
      <c r="H113" s="505">
        <f>SUM(H104:H112)</f>
        <v>243829.37326408003</v>
      </c>
      <c r="I113" s="623"/>
      <c r="J113" s="505">
        <f>J23*J39</f>
        <v>6826419.1800000006</v>
      </c>
      <c r="K113" s="505">
        <f>SUM(K104:K112)</f>
        <v>6889017.3806939563</v>
      </c>
      <c r="L113" s="505">
        <f>SUM(L104:L112)</f>
        <v>62598.200693956016</v>
      </c>
      <c r="M113" s="623"/>
      <c r="N113" s="505">
        <f>N23*N39</f>
        <v>7473655.0184286423</v>
      </c>
      <c r="O113" s="505">
        <f>SUM(O104:O112)</f>
        <v>2982144.8728349679</v>
      </c>
      <c r="P113" s="505">
        <f>SUM(P104:P112)</f>
        <v>4535060.8784286426</v>
      </c>
      <c r="Q113" s="505">
        <f t="shared" ref="Q113:R113" si="95">SUM(Q104:Q112)</f>
        <v>7517205.751263611</v>
      </c>
      <c r="R113" s="505">
        <f t="shared" si="95"/>
        <v>43550.732834968585</v>
      </c>
      <c r="S113" s="505">
        <f>SUM(S104:S112)</f>
        <v>8990822.545755649</v>
      </c>
      <c r="T113" s="505">
        <f>SUM(T104:T112)</f>
        <v>8991134.3412499409</v>
      </c>
      <c r="U113" s="505">
        <f>SUM(U104:U112)</f>
        <v>8991134.3412499409</v>
      </c>
      <c r="V113" s="505">
        <f>SUM(V104:V112)</f>
        <v>8991446.1367442347</v>
      </c>
      <c r="W113" s="505">
        <f>SUM(W104:W112)</f>
        <v>8990822.545755649</v>
      </c>
      <c r="X113" s="509"/>
    </row>
    <row r="114" spans="2:24" s="1228" customFormat="1" x14ac:dyDescent="0.3">
      <c r="B114" s="460"/>
      <c r="C114" s="459"/>
      <c r="D114" s="461"/>
      <c r="E114" s="624"/>
      <c r="F114" s="508"/>
      <c r="G114" s="508"/>
      <c r="H114" s="508"/>
      <c r="I114" s="624"/>
      <c r="J114" s="508"/>
      <c r="K114" s="508"/>
      <c r="L114" s="508"/>
      <c r="M114" s="624"/>
      <c r="N114" s="505"/>
      <c r="O114" s="505"/>
      <c r="P114" s="505"/>
      <c r="Q114" s="505"/>
      <c r="R114" s="505"/>
      <c r="S114" s="505"/>
      <c r="T114" s="505"/>
      <c r="U114" s="505"/>
      <c r="V114" s="505"/>
      <c r="W114" s="505"/>
      <c r="X114" s="507"/>
    </row>
    <row r="115" spans="2:24" s="1228" customFormat="1" x14ac:dyDescent="0.3">
      <c r="B115" s="460">
        <v>4</v>
      </c>
      <c r="C115" s="459" t="s">
        <v>133</v>
      </c>
      <c r="D115" s="461"/>
      <c r="E115" s="624"/>
      <c r="F115" s="508"/>
      <c r="G115" s="508"/>
      <c r="H115" s="508"/>
      <c r="I115" s="624"/>
      <c r="J115" s="508"/>
      <c r="K115" s="508"/>
      <c r="L115" s="508"/>
      <c r="M115" s="624"/>
      <c r="N115" s="505"/>
      <c r="O115" s="505"/>
      <c r="P115" s="505"/>
      <c r="Q115" s="505"/>
      <c r="R115" s="505"/>
      <c r="S115" s="505"/>
      <c r="T115" s="505"/>
      <c r="U115" s="505"/>
      <c r="V115" s="505"/>
      <c r="W115" s="505"/>
      <c r="X115" s="507"/>
    </row>
    <row r="116" spans="2:24" s="1228" customFormat="1" x14ac:dyDescent="0.35">
      <c r="B116" s="1119" t="s">
        <v>877</v>
      </c>
      <c r="C116" s="1120" t="s">
        <v>748</v>
      </c>
      <c r="D116" s="1121" t="s">
        <v>134</v>
      </c>
      <c r="E116" s="623"/>
      <c r="F116" s="505">
        <f t="shared" ref="F116:G118" si="96">F94*F73/10^7</f>
        <v>1201.8705493121613</v>
      </c>
      <c r="G116" s="505">
        <f t="shared" si="96"/>
        <v>1250.5527992998025</v>
      </c>
      <c r="H116" s="505">
        <f>G116-F116</f>
        <v>48.682249987641171</v>
      </c>
      <c r="I116" s="623"/>
      <c r="J116" s="505">
        <f>J94*J73/10^7</f>
        <v>1363.3555812158086</v>
      </c>
      <c r="K116" s="505">
        <f>K94*K73/10^7</f>
        <v>1325.6207541735434</v>
      </c>
      <c r="L116" s="505">
        <f>K116-J116</f>
        <v>-37.734827042265124</v>
      </c>
      <c r="M116" s="623"/>
      <c r="N116" s="505">
        <f t="shared" ref="N116" si="97">N94*N73/10^7</f>
        <v>1499.7005499630038</v>
      </c>
      <c r="O116" s="505">
        <f>O94*O73/10^7</f>
        <v>563.71408114887197</v>
      </c>
      <c r="P116" s="505">
        <f>P94*P73/10^7</f>
        <v>939.65430109700719</v>
      </c>
      <c r="Q116" s="505">
        <f>O116+P116</f>
        <v>1503.3683822458793</v>
      </c>
      <c r="R116" s="505">
        <f t="shared" ref="R116:R124" si="98">Q116-N116</f>
        <v>3.6678322828754517</v>
      </c>
      <c r="S116" s="505">
        <f>S94*S73/10^7</f>
        <v>1926.5858793149043</v>
      </c>
      <c r="T116" s="505">
        <f>T94*T73/10^7</f>
        <v>2022.9854652555714</v>
      </c>
      <c r="U116" s="505">
        <f t="shared" ref="U116:W116" si="99">U94*U73/10^7</f>
        <v>2124.1347385183503</v>
      </c>
      <c r="V116" s="505">
        <f t="shared" si="99"/>
        <v>2230.4189723466188</v>
      </c>
      <c r="W116" s="505">
        <f t="shared" si="99"/>
        <v>2341.7771774690123</v>
      </c>
      <c r="X116" s="507"/>
    </row>
    <row r="117" spans="2:24" s="1228" customFormat="1" x14ac:dyDescent="0.35">
      <c r="B117" s="1119" t="s">
        <v>878</v>
      </c>
      <c r="C117" s="1120" t="s">
        <v>749</v>
      </c>
      <c r="D117" s="1121" t="s">
        <v>134</v>
      </c>
      <c r="E117" s="623"/>
      <c r="F117" s="505">
        <f t="shared" si="96"/>
        <v>0</v>
      </c>
      <c r="G117" s="505">
        <f t="shared" si="96"/>
        <v>0</v>
      </c>
      <c r="H117" s="505">
        <f>G117-F117</f>
        <v>0</v>
      </c>
      <c r="I117" s="623"/>
      <c r="J117" s="505">
        <f t="shared" ref="J117:K117" si="100">J95*J74/10^7</f>
        <v>0</v>
      </c>
      <c r="K117" s="505">
        <f t="shared" si="100"/>
        <v>0</v>
      </c>
      <c r="L117" s="505">
        <f>K117-J117</f>
        <v>0</v>
      </c>
      <c r="M117" s="623"/>
      <c r="N117" s="505">
        <f t="shared" ref="N117:O117" si="101">N95*N74/10^7</f>
        <v>0</v>
      </c>
      <c r="O117" s="505">
        <f t="shared" si="101"/>
        <v>0</v>
      </c>
      <c r="P117" s="505">
        <f t="shared" ref="P117" si="102">P95*P74/10^7</f>
        <v>0</v>
      </c>
      <c r="Q117" s="505">
        <f t="shared" ref="Q117:Q124" si="103">O117+P117</f>
        <v>0</v>
      </c>
      <c r="R117" s="505">
        <f t="shared" si="98"/>
        <v>0</v>
      </c>
      <c r="S117" s="505">
        <f t="shared" ref="S117:W117" si="104">S95*S74/10^7</f>
        <v>0</v>
      </c>
      <c r="T117" s="505">
        <f t="shared" si="104"/>
        <v>0</v>
      </c>
      <c r="U117" s="505">
        <f t="shared" si="104"/>
        <v>0</v>
      </c>
      <c r="V117" s="505">
        <f t="shared" si="104"/>
        <v>0</v>
      </c>
      <c r="W117" s="505">
        <f t="shared" si="104"/>
        <v>0</v>
      </c>
      <c r="X117" s="507"/>
    </row>
    <row r="118" spans="2:24" s="1228" customFormat="1" x14ac:dyDescent="0.35">
      <c r="B118" s="1119" t="s">
        <v>879</v>
      </c>
      <c r="C118" s="1120" t="s">
        <v>856</v>
      </c>
      <c r="D118" s="1121" t="s">
        <v>134</v>
      </c>
      <c r="E118" s="623"/>
      <c r="F118" s="505">
        <f t="shared" si="96"/>
        <v>0</v>
      </c>
      <c r="G118" s="505">
        <f t="shared" si="96"/>
        <v>0</v>
      </c>
      <c r="H118" s="505">
        <f>G118-F118</f>
        <v>0</v>
      </c>
      <c r="I118" s="623"/>
      <c r="J118" s="505">
        <f t="shared" ref="J118:K118" si="105">J96*J75/10^7</f>
        <v>0</v>
      </c>
      <c r="K118" s="505">
        <f t="shared" si="105"/>
        <v>0</v>
      </c>
      <c r="L118" s="505">
        <f>K118-J118</f>
        <v>0</v>
      </c>
      <c r="M118" s="623"/>
      <c r="N118" s="505">
        <f t="shared" ref="N118:O118" si="106">N96*N75/10^7</f>
        <v>0</v>
      </c>
      <c r="O118" s="505">
        <f t="shared" si="106"/>
        <v>0</v>
      </c>
      <c r="P118" s="505">
        <f t="shared" ref="P118" si="107">P96*P75/10^7</f>
        <v>0</v>
      </c>
      <c r="Q118" s="505">
        <f t="shared" si="103"/>
        <v>0</v>
      </c>
      <c r="R118" s="505">
        <f t="shared" si="98"/>
        <v>0</v>
      </c>
      <c r="S118" s="505">
        <f t="shared" ref="S118:W118" si="108">S96*S75/10^7</f>
        <v>0</v>
      </c>
      <c r="T118" s="505">
        <f t="shared" si="108"/>
        <v>0</v>
      </c>
      <c r="U118" s="505">
        <f t="shared" si="108"/>
        <v>0</v>
      </c>
      <c r="V118" s="505">
        <f t="shared" si="108"/>
        <v>0</v>
      </c>
      <c r="W118" s="505">
        <f t="shared" si="108"/>
        <v>0</v>
      </c>
      <c r="X118" s="507"/>
    </row>
    <row r="119" spans="2:24" s="1228" customFormat="1" x14ac:dyDescent="0.35">
      <c r="B119" s="1119" t="s">
        <v>880</v>
      </c>
      <c r="C119" s="1120" t="s">
        <v>1488</v>
      </c>
      <c r="D119" s="1121" t="s">
        <v>134</v>
      </c>
      <c r="E119" s="623"/>
      <c r="F119" s="505"/>
      <c r="G119" s="505"/>
      <c r="H119" s="505"/>
      <c r="I119" s="623"/>
      <c r="J119" s="505"/>
      <c r="K119" s="505"/>
      <c r="L119" s="505"/>
      <c r="M119" s="623"/>
      <c r="N119" s="505"/>
      <c r="O119" s="505"/>
      <c r="P119" s="505"/>
      <c r="Q119" s="505"/>
      <c r="R119" s="505"/>
      <c r="S119" s="505">
        <f t="shared" ref="S119:W119" si="109">S97*S76/10^7</f>
        <v>0</v>
      </c>
      <c r="T119" s="505">
        <f t="shared" si="109"/>
        <v>0</v>
      </c>
      <c r="U119" s="505">
        <f t="shared" si="109"/>
        <v>0</v>
      </c>
      <c r="V119" s="505">
        <f t="shared" si="109"/>
        <v>0</v>
      </c>
      <c r="W119" s="505">
        <f t="shared" si="109"/>
        <v>0</v>
      </c>
      <c r="X119" s="507"/>
    </row>
    <row r="120" spans="2:24" s="1228" customFormat="1" x14ac:dyDescent="0.35">
      <c r="B120" s="1119" t="s">
        <v>881</v>
      </c>
      <c r="C120" s="1120" t="s">
        <v>1489</v>
      </c>
      <c r="D120" s="1121" t="s">
        <v>134</v>
      </c>
      <c r="E120" s="623"/>
      <c r="F120" s="505"/>
      <c r="G120" s="505"/>
      <c r="H120" s="505"/>
      <c r="I120" s="623"/>
      <c r="J120" s="505"/>
      <c r="K120" s="505"/>
      <c r="L120" s="505"/>
      <c r="M120" s="623"/>
      <c r="N120" s="505"/>
      <c r="O120" s="505"/>
      <c r="P120" s="505"/>
      <c r="Q120" s="505"/>
      <c r="R120" s="505"/>
      <c r="S120" s="505">
        <f t="shared" ref="S120:W120" si="110">S98*S77/10^7</f>
        <v>0</v>
      </c>
      <c r="T120" s="505">
        <f t="shared" si="110"/>
        <v>0</v>
      </c>
      <c r="U120" s="505">
        <f t="shared" si="110"/>
        <v>0</v>
      </c>
      <c r="V120" s="505">
        <f t="shared" si="110"/>
        <v>0</v>
      </c>
      <c r="W120" s="505">
        <f t="shared" si="110"/>
        <v>0</v>
      </c>
      <c r="X120" s="507"/>
    </row>
    <row r="121" spans="2:24" s="1228" customFormat="1" x14ac:dyDescent="0.35">
      <c r="B121" s="1119" t="s">
        <v>882</v>
      </c>
      <c r="C121" s="1120" t="s">
        <v>750</v>
      </c>
      <c r="D121" s="1121" t="s">
        <v>134</v>
      </c>
      <c r="E121" s="623"/>
      <c r="F121" s="505">
        <f t="shared" ref="F121:G124" si="111">F99*F78/10^7</f>
        <v>7.1424664586923585</v>
      </c>
      <c r="G121" s="505">
        <f t="shared" si="111"/>
        <v>53.975993000000003</v>
      </c>
      <c r="H121" s="505">
        <f>G121-F121</f>
        <v>46.833526541307641</v>
      </c>
      <c r="I121" s="623"/>
      <c r="J121" s="505">
        <f t="shared" ref="J121:K121" si="112">J99*J78/10^7</f>
        <v>7.817878855698992</v>
      </c>
      <c r="K121" s="505">
        <f t="shared" si="112"/>
        <v>32.254501900000008</v>
      </c>
      <c r="L121" s="505">
        <f>K121-J121</f>
        <v>24.436623044301015</v>
      </c>
      <c r="M121" s="623"/>
      <c r="N121" s="505">
        <f t="shared" ref="N121:O121" si="113">N99*N78/10^7</f>
        <v>6.7388175621518265</v>
      </c>
      <c r="O121" s="505">
        <f t="shared" si="113"/>
        <v>13.286653421568888</v>
      </c>
      <c r="P121" s="505">
        <f t="shared" ref="P121" si="114">P99*P78/10^7</f>
        <v>5.1946168346896036</v>
      </c>
      <c r="Q121" s="505">
        <f t="shared" si="103"/>
        <v>18.48127025625849</v>
      </c>
      <c r="R121" s="505">
        <f t="shared" si="98"/>
        <v>11.742452694106664</v>
      </c>
      <c r="S121" s="505">
        <f t="shared" ref="S121:W121" si="115">S99*S78/10^7</f>
        <v>8.6601168997478783</v>
      </c>
      <c r="T121" s="505">
        <f t="shared" si="115"/>
        <v>9.0931227447352736</v>
      </c>
      <c r="U121" s="505">
        <f t="shared" si="115"/>
        <v>9.5477788819720377</v>
      </c>
      <c r="V121" s="505">
        <f t="shared" si="115"/>
        <v>10.025167826070641</v>
      </c>
      <c r="W121" s="505">
        <f t="shared" si="115"/>
        <v>10.526426217374173</v>
      </c>
      <c r="X121" s="507"/>
    </row>
    <row r="122" spans="2:24" s="1228" customFormat="1" x14ac:dyDescent="0.35">
      <c r="B122" s="1119" t="s">
        <v>883</v>
      </c>
      <c r="C122" s="1120" t="s">
        <v>751</v>
      </c>
      <c r="D122" s="1121" t="s">
        <v>134</v>
      </c>
      <c r="E122" s="623"/>
      <c r="F122" s="505">
        <f t="shared" si="111"/>
        <v>0.70349658537333826</v>
      </c>
      <c r="G122" s="505">
        <f t="shared" si="111"/>
        <v>5.3163605299711971</v>
      </c>
      <c r="H122" s="505">
        <f>G122-F122</f>
        <v>4.6128639445978585</v>
      </c>
      <c r="I122" s="623"/>
      <c r="J122" s="505">
        <f t="shared" ref="J122:K122" si="116">J100*J79/10^7</f>
        <v>1.9690967058645021</v>
      </c>
      <c r="K122" s="505">
        <f t="shared" si="116"/>
        <v>8.1239725778421192</v>
      </c>
      <c r="L122" s="505">
        <f>K122-J122</f>
        <v>6.1548758719776169</v>
      </c>
      <c r="M122" s="623"/>
      <c r="N122" s="505">
        <f t="shared" ref="N122:O122" si="117">N100*N79/10^7</f>
        <v>2.5797554921962136</v>
      </c>
      <c r="O122" s="505">
        <f t="shared" si="117"/>
        <v>5.7666304258507193</v>
      </c>
      <c r="P122" s="505">
        <f t="shared" ref="P122" si="118">P100*P79/10^7</f>
        <v>1.3083731644113641</v>
      </c>
      <c r="Q122" s="505">
        <f t="shared" si="103"/>
        <v>7.0750035902620834</v>
      </c>
      <c r="R122" s="505">
        <f t="shared" si="98"/>
        <v>4.4952480980658702</v>
      </c>
      <c r="S122" s="505">
        <f t="shared" ref="S122:W122" si="119">S100*S79/10^7</f>
        <v>2.7372421612991733</v>
      </c>
      <c r="T122" s="505">
        <f t="shared" si="119"/>
        <v>2.8741042693641319</v>
      </c>
      <c r="U122" s="505">
        <f t="shared" si="119"/>
        <v>3.0178094828323392</v>
      </c>
      <c r="V122" s="505">
        <f t="shared" si="119"/>
        <v>3.1686999569739562</v>
      </c>
      <c r="W122" s="505">
        <f t="shared" si="119"/>
        <v>3.3271349548226539</v>
      </c>
      <c r="X122" s="507"/>
    </row>
    <row r="123" spans="2:24" s="1228" customFormat="1" x14ac:dyDescent="0.35">
      <c r="B123" s="1119" t="s">
        <v>1499</v>
      </c>
      <c r="C123" s="1120" t="s">
        <v>857</v>
      </c>
      <c r="D123" s="1121" t="s">
        <v>134</v>
      </c>
      <c r="E123" s="623"/>
      <c r="F123" s="505">
        <f t="shared" si="111"/>
        <v>0</v>
      </c>
      <c r="G123" s="505">
        <f t="shared" si="111"/>
        <v>0</v>
      </c>
      <c r="H123" s="505">
        <f t="shared" ref="H123:H124" si="120">G123-F123</f>
        <v>0</v>
      </c>
      <c r="I123" s="623"/>
      <c r="J123" s="505">
        <f t="shared" ref="J123:K123" si="121">J101*J80/10^7</f>
        <v>0</v>
      </c>
      <c r="K123" s="505">
        <f t="shared" si="121"/>
        <v>0</v>
      </c>
      <c r="L123" s="505">
        <f t="shared" ref="L123:L124" si="122">K123-J123</f>
        <v>0</v>
      </c>
      <c r="M123" s="623"/>
      <c r="N123" s="505">
        <f t="shared" ref="N123:O123" si="123">N101*N80/10^7</f>
        <v>0</v>
      </c>
      <c r="O123" s="505">
        <f t="shared" si="123"/>
        <v>0</v>
      </c>
      <c r="P123" s="505">
        <f t="shared" ref="P123" si="124">P101*P80/10^7</f>
        <v>0</v>
      </c>
      <c r="Q123" s="505">
        <f t="shared" si="103"/>
        <v>0</v>
      </c>
      <c r="R123" s="505">
        <f t="shared" si="98"/>
        <v>0</v>
      </c>
      <c r="S123" s="505">
        <f t="shared" ref="S123:W123" si="125">S101*S80/10^7</f>
        <v>0</v>
      </c>
      <c r="T123" s="505">
        <f t="shared" si="125"/>
        <v>0</v>
      </c>
      <c r="U123" s="505">
        <f t="shared" si="125"/>
        <v>0</v>
      </c>
      <c r="V123" s="505">
        <f t="shared" si="125"/>
        <v>0</v>
      </c>
      <c r="W123" s="505">
        <f t="shared" si="125"/>
        <v>0</v>
      </c>
      <c r="X123" s="507"/>
    </row>
    <row r="124" spans="2:24" s="1228" customFormat="1" x14ac:dyDescent="0.35">
      <c r="B124" s="1119" t="s">
        <v>1500</v>
      </c>
      <c r="C124" s="1120" t="s">
        <v>858</v>
      </c>
      <c r="D124" s="1121" t="s">
        <v>134</v>
      </c>
      <c r="E124" s="623"/>
      <c r="F124" s="505">
        <f t="shared" si="111"/>
        <v>0</v>
      </c>
      <c r="G124" s="505">
        <f t="shared" si="111"/>
        <v>0</v>
      </c>
      <c r="H124" s="505">
        <f t="shared" si="120"/>
        <v>0</v>
      </c>
      <c r="I124" s="623"/>
      <c r="J124" s="505">
        <f t="shared" ref="J124:K124" si="126">J102*J81/10^7</f>
        <v>0</v>
      </c>
      <c r="K124" s="505">
        <f t="shared" si="126"/>
        <v>0</v>
      </c>
      <c r="L124" s="505">
        <f t="shared" si="122"/>
        <v>0</v>
      </c>
      <c r="M124" s="623"/>
      <c r="N124" s="505">
        <f t="shared" ref="N124:O124" si="127">N102*N81/10^7</f>
        <v>0</v>
      </c>
      <c r="O124" s="505">
        <f t="shared" si="127"/>
        <v>0</v>
      </c>
      <c r="P124" s="505">
        <f t="shared" ref="P124" si="128">P102*P81/10^7</f>
        <v>0</v>
      </c>
      <c r="Q124" s="505">
        <f t="shared" si="103"/>
        <v>0</v>
      </c>
      <c r="R124" s="505">
        <f t="shared" si="98"/>
        <v>0</v>
      </c>
      <c r="S124" s="505">
        <f t="shared" ref="S124:W124" si="129">S102*S81/10^7</f>
        <v>0</v>
      </c>
      <c r="T124" s="505">
        <f t="shared" si="129"/>
        <v>0</v>
      </c>
      <c r="U124" s="505">
        <f t="shared" si="129"/>
        <v>0</v>
      </c>
      <c r="V124" s="505">
        <f t="shared" si="129"/>
        <v>0</v>
      </c>
      <c r="W124" s="505">
        <f t="shared" si="129"/>
        <v>0</v>
      </c>
      <c r="X124" s="507"/>
    </row>
    <row r="125" spans="2:24" s="1258" customFormat="1" x14ac:dyDescent="0.3">
      <c r="B125" s="460"/>
      <c r="C125" s="459" t="s">
        <v>133</v>
      </c>
      <c r="D125" s="389" t="s">
        <v>134</v>
      </c>
      <c r="E125" s="623"/>
      <c r="F125" s="505">
        <f t="shared" ref="F125:L125" si="130">SUM(F116:F124)</f>
        <v>1209.716512356227</v>
      </c>
      <c r="G125" s="505">
        <f>SUM(G116:G124)</f>
        <v>1309.8451528297737</v>
      </c>
      <c r="H125" s="505">
        <f t="shared" si="130"/>
        <v>100.12864047354667</v>
      </c>
      <c r="I125" s="623"/>
      <c r="J125" s="505">
        <f t="shared" ref="J125:K125" si="131">SUM(J116:J124)</f>
        <v>1373.1425567773722</v>
      </c>
      <c r="K125" s="505">
        <f t="shared" si="131"/>
        <v>1365.9992286513855</v>
      </c>
      <c r="L125" s="505">
        <f t="shared" si="130"/>
        <v>-7.1433281259864918</v>
      </c>
      <c r="M125" s="623"/>
      <c r="N125" s="505">
        <f t="shared" ref="N125:O125" si="132">SUM(N116:N124)</f>
        <v>1509.0191230173518</v>
      </c>
      <c r="O125" s="505">
        <f t="shared" si="132"/>
        <v>582.76736499629158</v>
      </c>
      <c r="P125" s="505">
        <f t="shared" ref="P125" si="133">SUM(P116:P124)</f>
        <v>946.15729109610811</v>
      </c>
      <c r="Q125" s="505">
        <f>SUM(Q116:Q124)</f>
        <v>1528.9246560923998</v>
      </c>
      <c r="R125" s="505">
        <f>SUM(R116:R124)</f>
        <v>19.905533075047984</v>
      </c>
      <c r="S125" s="505">
        <f t="shared" ref="S125:W125" si="134">SUM(S116:S124)</f>
        <v>1937.9832383759515</v>
      </c>
      <c r="T125" s="505">
        <f t="shared" si="134"/>
        <v>2034.9526922696707</v>
      </c>
      <c r="U125" s="505">
        <f t="shared" si="134"/>
        <v>2136.700326883155</v>
      </c>
      <c r="V125" s="505">
        <f t="shared" si="134"/>
        <v>2243.6128401296633</v>
      </c>
      <c r="W125" s="505">
        <f t="shared" si="134"/>
        <v>2355.6307386412091</v>
      </c>
      <c r="X125" s="509"/>
    </row>
    <row r="126" spans="2:24" s="1228" customFormat="1" x14ac:dyDescent="0.3">
      <c r="B126" s="460"/>
      <c r="C126" s="459"/>
      <c r="D126" s="461"/>
      <c r="E126" s="624"/>
      <c r="F126" s="508"/>
      <c r="G126" s="508"/>
      <c r="H126" s="508"/>
      <c r="I126" s="624"/>
      <c r="J126" s="508"/>
      <c r="K126" s="508"/>
      <c r="L126" s="508"/>
      <c r="M126" s="624"/>
      <c r="N126" s="505"/>
      <c r="O126" s="505"/>
      <c r="P126" s="505"/>
      <c r="Q126" s="505"/>
      <c r="R126" s="505"/>
      <c r="S126" s="505"/>
      <c r="T126" s="505"/>
      <c r="U126" s="505"/>
      <c r="V126" s="505"/>
      <c r="W126" s="505"/>
      <c r="X126" s="507"/>
    </row>
    <row r="127" spans="2:24" s="1228" customFormat="1" x14ac:dyDescent="0.3">
      <c r="B127" s="460">
        <v>5</v>
      </c>
      <c r="C127" s="459" t="s">
        <v>699</v>
      </c>
      <c r="D127" s="461"/>
      <c r="E127" s="624"/>
      <c r="F127" s="508"/>
      <c r="G127" s="508"/>
      <c r="H127" s="508"/>
      <c r="I127" s="624"/>
      <c r="J127" s="508"/>
      <c r="K127" s="508"/>
      <c r="L127" s="508"/>
      <c r="M127" s="624"/>
      <c r="N127" s="505"/>
      <c r="O127" s="505"/>
      <c r="P127" s="505"/>
      <c r="Q127" s="505"/>
      <c r="R127" s="505"/>
      <c r="S127" s="505"/>
      <c r="T127" s="505"/>
      <c r="U127" s="505"/>
      <c r="V127" s="505"/>
      <c r="W127" s="505"/>
      <c r="X127" s="507"/>
    </row>
    <row r="128" spans="2:24" s="1228" customFormat="1" x14ac:dyDescent="0.35">
      <c r="B128" s="475">
        <v>5.0999999999999996</v>
      </c>
      <c r="C128" s="377" t="s">
        <v>748</v>
      </c>
      <c r="D128" s="388" t="s">
        <v>134</v>
      </c>
      <c r="E128" s="623"/>
      <c r="F128" s="505">
        <f>G128</f>
        <v>0</v>
      </c>
      <c r="G128" s="505"/>
      <c r="H128" s="505">
        <f>G128-F128</f>
        <v>0</v>
      </c>
      <c r="I128" s="623"/>
      <c r="J128" s="505">
        <f>K128</f>
        <v>0</v>
      </c>
      <c r="K128" s="505"/>
      <c r="L128" s="505">
        <f>K128-J128</f>
        <v>0</v>
      </c>
      <c r="M128" s="623"/>
      <c r="N128" s="505">
        <f>Q128</f>
        <v>0</v>
      </c>
      <c r="O128" s="505"/>
      <c r="P128" s="505"/>
      <c r="Q128" s="505">
        <f>SUM(O128:P128)</f>
        <v>0</v>
      </c>
      <c r="R128" s="505">
        <f t="shared" ref="R128:R131" si="135">Q128-N128</f>
        <v>0</v>
      </c>
      <c r="S128" s="505"/>
      <c r="T128" s="505"/>
      <c r="U128" s="505"/>
      <c r="V128" s="505"/>
      <c r="W128" s="505"/>
      <c r="X128" s="507"/>
    </row>
    <row r="129" spans="2:24" s="1228" customFormat="1" x14ac:dyDescent="0.35">
      <c r="B129" s="475">
        <v>5.2</v>
      </c>
      <c r="C129" s="377" t="s">
        <v>111</v>
      </c>
      <c r="D129" s="388" t="s">
        <v>134</v>
      </c>
      <c r="E129" s="623"/>
      <c r="F129" s="505">
        <f t="shared" ref="F129:F130" si="136">G129</f>
        <v>0</v>
      </c>
      <c r="G129" s="505"/>
      <c r="H129" s="505">
        <f>G129-F129</f>
        <v>0</v>
      </c>
      <c r="I129" s="623"/>
      <c r="J129" s="505">
        <f t="shared" ref="J129:J130" si="137">K129</f>
        <v>0</v>
      </c>
      <c r="K129" s="505"/>
      <c r="L129" s="505">
        <f>K129-J129</f>
        <v>0</v>
      </c>
      <c r="M129" s="623"/>
      <c r="N129" s="505">
        <f t="shared" ref="N129:N130" si="138">Q129</f>
        <v>0</v>
      </c>
      <c r="O129" s="505"/>
      <c r="P129" s="505"/>
      <c r="Q129" s="505">
        <f t="shared" ref="Q129:Q130" si="139">SUM(O129:P129)</f>
        <v>0</v>
      </c>
      <c r="R129" s="505">
        <f t="shared" si="135"/>
        <v>0</v>
      </c>
      <c r="S129" s="505"/>
      <c r="T129" s="505"/>
      <c r="U129" s="505"/>
      <c r="V129" s="505"/>
      <c r="W129" s="505"/>
      <c r="X129" s="507"/>
    </row>
    <row r="130" spans="2:24" s="1228" customFormat="1" x14ac:dyDescent="0.35">
      <c r="B130" s="475">
        <v>5.3</v>
      </c>
      <c r="C130" s="377" t="s">
        <v>113</v>
      </c>
      <c r="D130" s="388" t="s">
        <v>134</v>
      </c>
      <c r="E130" s="623"/>
      <c r="F130" s="505">
        <f t="shared" si="136"/>
        <v>0</v>
      </c>
      <c r="G130" s="505"/>
      <c r="H130" s="505">
        <f>G130-F130</f>
        <v>0</v>
      </c>
      <c r="I130" s="623"/>
      <c r="J130" s="505">
        <f t="shared" si="137"/>
        <v>0</v>
      </c>
      <c r="K130" s="505"/>
      <c r="L130" s="505">
        <f>K130-J130</f>
        <v>0</v>
      </c>
      <c r="M130" s="623"/>
      <c r="N130" s="505">
        <f t="shared" si="138"/>
        <v>0</v>
      </c>
      <c r="O130" s="505"/>
      <c r="P130" s="505"/>
      <c r="Q130" s="505">
        <f t="shared" si="139"/>
        <v>0</v>
      </c>
      <c r="R130" s="505">
        <f t="shared" si="135"/>
        <v>0</v>
      </c>
      <c r="S130" s="505"/>
      <c r="T130" s="505"/>
      <c r="U130" s="505"/>
      <c r="V130" s="505"/>
      <c r="W130" s="505"/>
      <c r="X130" s="507"/>
    </row>
    <row r="131" spans="2:24" s="1228" customFormat="1" x14ac:dyDescent="0.3">
      <c r="B131" s="460"/>
      <c r="C131" s="459" t="s">
        <v>700</v>
      </c>
      <c r="D131" s="388" t="s">
        <v>134</v>
      </c>
      <c r="E131" s="629"/>
      <c r="F131" s="523">
        <f t="shared" ref="F131:Q131" si="140">SUM(F128:F130)</f>
        <v>0</v>
      </c>
      <c r="G131" s="523">
        <f t="shared" si="140"/>
        <v>0</v>
      </c>
      <c r="H131" s="523">
        <f t="shared" si="140"/>
        <v>0</v>
      </c>
      <c r="I131" s="629"/>
      <c r="J131" s="508">
        <f t="shared" si="140"/>
        <v>0</v>
      </c>
      <c r="K131" s="508">
        <f t="shared" si="140"/>
        <v>0</v>
      </c>
      <c r="L131" s="505">
        <f t="shared" si="140"/>
        <v>0</v>
      </c>
      <c r="M131" s="629"/>
      <c r="N131" s="508">
        <f t="shared" si="140"/>
        <v>0</v>
      </c>
      <c r="O131" s="508">
        <f t="shared" si="140"/>
        <v>0</v>
      </c>
      <c r="P131" s="508">
        <f t="shared" si="140"/>
        <v>0</v>
      </c>
      <c r="Q131" s="508">
        <f t="shared" si="140"/>
        <v>0</v>
      </c>
      <c r="R131" s="505">
        <f t="shared" si="135"/>
        <v>0</v>
      </c>
      <c r="S131" s="523">
        <f t="shared" ref="S131:W131" si="141">SUM(S128:S130)</f>
        <v>0</v>
      </c>
      <c r="T131" s="523">
        <f t="shared" si="141"/>
        <v>0</v>
      </c>
      <c r="U131" s="523">
        <f t="shared" si="141"/>
        <v>0</v>
      </c>
      <c r="V131" s="523">
        <f t="shared" si="141"/>
        <v>0</v>
      </c>
      <c r="W131" s="523">
        <f t="shared" si="141"/>
        <v>0</v>
      </c>
      <c r="X131" s="507"/>
    </row>
    <row r="132" spans="2:24" s="1228" customFormat="1" x14ac:dyDescent="0.3">
      <c r="B132" s="460"/>
      <c r="C132" s="459"/>
      <c r="D132" s="461"/>
      <c r="E132" s="624"/>
      <c r="F132" s="508"/>
      <c r="G132" s="508"/>
      <c r="H132" s="508"/>
      <c r="I132" s="624"/>
      <c r="J132" s="508"/>
      <c r="K132" s="508"/>
      <c r="L132" s="508"/>
      <c r="M132" s="624"/>
      <c r="N132" s="505"/>
      <c r="O132" s="505"/>
      <c r="P132" s="505"/>
      <c r="Q132" s="505"/>
      <c r="R132" s="505"/>
      <c r="S132" s="508"/>
      <c r="T132" s="508"/>
      <c r="U132" s="508"/>
      <c r="V132" s="508"/>
      <c r="W132" s="508"/>
      <c r="X132" s="507"/>
    </row>
    <row r="133" spans="2:24" s="1228" customFormat="1" ht="30" x14ac:dyDescent="0.3">
      <c r="B133" s="460">
        <v>6</v>
      </c>
      <c r="C133" s="459" t="s">
        <v>701</v>
      </c>
      <c r="D133" s="461"/>
      <c r="E133" s="624"/>
      <c r="F133" s="508"/>
      <c r="G133" s="508"/>
      <c r="H133" s="508"/>
      <c r="I133" s="624"/>
      <c r="J133" s="508"/>
      <c r="K133" s="508"/>
      <c r="L133" s="508"/>
      <c r="M133" s="624"/>
      <c r="N133" s="505"/>
      <c r="O133" s="505"/>
      <c r="P133" s="505"/>
      <c r="Q133" s="505"/>
      <c r="R133" s="505"/>
      <c r="S133" s="508"/>
      <c r="T133" s="508"/>
      <c r="U133" s="508"/>
      <c r="V133" s="508"/>
      <c r="W133" s="508"/>
      <c r="X133" s="507"/>
    </row>
    <row r="134" spans="2:24" s="1228" customFormat="1" x14ac:dyDescent="0.35">
      <c r="B134" s="475">
        <v>6.1</v>
      </c>
      <c r="C134" s="377" t="s">
        <v>748</v>
      </c>
      <c r="D134" s="388" t="s">
        <v>134</v>
      </c>
      <c r="E134" s="623"/>
      <c r="F134" s="505">
        <f t="shared" ref="F134:F136" si="142">G134</f>
        <v>0</v>
      </c>
      <c r="G134" s="505"/>
      <c r="H134" s="505"/>
      <c r="I134" s="623"/>
      <c r="J134" s="505">
        <f t="shared" ref="J134:J136" si="143">K134</f>
        <v>0</v>
      </c>
      <c r="K134" s="505"/>
      <c r="L134" s="505">
        <f>K134-J134</f>
        <v>0</v>
      </c>
      <c r="M134" s="623"/>
      <c r="N134" s="505">
        <f t="shared" ref="N134:N136" si="144">Q134</f>
        <v>0</v>
      </c>
      <c r="O134" s="505"/>
      <c r="P134" s="505"/>
      <c r="Q134" s="505">
        <f>SUM(O134:P134)</f>
        <v>0</v>
      </c>
      <c r="R134" s="505">
        <f t="shared" ref="R134:R137" si="145">Q134-N134</f>
        <v>0</v>
      </c>
      <c r="S134" s="505"/>
      <c r="T134" s="505"/>
      <c r="U134" s="505"/>
      <c r="V134" s="505"/>
      <c r="W134" s="505"/>
      <c r="X134" s="507"/>
    </row>
    <row r="135" spans="2:24" s="1228" customFormat="1" x14ac:dyDescent="0.35">
      <c r="B135" s="475">
        <v>6.2</v>
      </c>
      <c r="C135" s="377" t="s">
        <v>111</v>
      </c>
      <c r="D135" s="388" t="s">
        <v>134</v>
      </c>
      <c r="E135" s="623"/>
      <c r="F135" s="505">
        <f t="shared" si="142"/>
        <v>0</v>
      </c>
      <c r="G135" s="505"/>
      <c r="H135" s="505"/>
      <c r="I135" s="623"/>
      <c r="J135" s="505">
        <f t="shared" si="143"/>
        <v>0</v>
      </c>
      <c r="K135" s="505"/>
      <c r="L135" s="505">
        <f>K135-J135</f>
        <v>0</v>
      </c>
      <c r="M135" s="623"/>
      <c r="N135" s="505">
        <f t="shared" si="144"/>
        <v>0</v>
      </c>
      <c r="O135" s="505"/>
      <c r="P135" s="505"/>
      <c r="Q135" s="505">
        <f t="shared" ref="Q135:Q136" si="146">SUM(O135:P135)</f>
        <v>0</v>
      </c>
      <c r="R135" s="505">
        <f t="shared" si="145"/>
        <v>0</v>
      </c>
      <c r="S135" s="505"/>
      <c r="T135" s="505"/>
      <c r="U135" s="505"/>
      <c r="V135" s="505"/>
      <c r="W135" s="505"/>
      <c r="X135" s="507"/>
    </row>
    <row r="136" spans="2:24" s="1228" customFormat="1" x14ac:dyDescent="0.35">
      <c r="B136" s="475">
        <v>6.3</v>
      </c>
      <c r="C136" s="377" t="s">
        <v>113</v>
      </c>
      <c r="D136" s="388" t="s">
        <v>134</v>
      </c>
      <c r="E136" s="623"/>
      <c r="F136" s="505">
        <f t="shared" si="142"/>
        <v>0</v>
      </c>
      <c r="G136" s="505"/>
      <c r="H136" s="505"/>
      <c r="I136" s="623"/>
      <c r="J136" s="505">
        <f t="shared" si="143"/>
        <v>0</v>
      </c>
      <c r="K136" s="505"/>
      <c r="L136" s="505">
        <f>K136-J136</f>
        <v>0</v>
      </c>
      <c r="M136" s="623"/>
      <c r="N136" s="505">
        <f t="shared" si="144"/>
        <v>0</v>
      </c>
      <c r="O136" s="505"/>
      <c r="P136" s="505"/>
      <c r="Q136" s="505">
        <f t="shared" si="146"/>
        <v>0</v>
      </c>
      <c r="R136" s="505">
        <f t="shared" si="145"/>
        <v>0</v>
      </c>
      <c r="S136" s="505"/>
      <c r="T136" s="505"/>
      <c r="U136" s="505"/>
      <c r="V136" s="505"/>
      <c r="W136" s="505"/>
      <c r="X136" s="507"/>
    </row>
    <row r="137" spans="2:24" s="1228" customFormat="1" x14ac:dyDescent="0.3">
      <c r="B137" s="460"/>
      <c r="C137" s="459" t="s">
        <v>702</v>
      </c>
      <c r="D137" s="389" t="s">
        <v>134</v>
      </c>
      <c r="E137" s="629"/>
      <c r="F137" s="523">
        <f t="shared" ref="F137:Q137" si="147">SUM(F134:F136)</f>
        <v>0</v>
      </c>
      <c r="G137" s="523">
        <f t="shared" si="147"/>
        <v>0</v>
      </c>
      <c r="H137" s="523">
        <f t="shared" si="147"/>
        <v>0</v>
      </c>
      <c r="I137" s="629"/>
      <c r="J137" s="508">
        <f t="shared" si="147"/>
        <v>0</v>
      </c>
      <c r="K137" s="508">
        <f t="shared" si="147"/>
        <v>0</v>
      </c>
      <c r="L137" s="505">
        <f t="shared" si="147"/>
        <v>0</v>
      </c>
      <c r="M137" s="629"/>
      <c r="N137" s="508">
        <f t="shared" si="147"/>
        <v>0</v>
      </c>
      <c r="O137" s="508">
        <f t="shared" si="147"/>
        <v>0</v>
      </c>
      <c r="P137" s="508">
        <f t="shared" si="147"/>
        <v>0</v>
      </c>
      <c r="Q137" s="508">
        <f t="shared" si="147"/>
        <v>0</v>
      </c>
      <c r="R137" s="505">
        <f t="shared" si="145"/>
        <v>0</v>
      </c>
      <c r="S137" s="523">
        <f t="shared" ref="S137:W137" si="148">SUM(S134:S136)</f>
        <v>0</v>
      </c>
      <c r="T137" s="523">
        <f t="shared" si="148"/>
        <v>0</v>
      </c>
      <c r="U137" s="523">
        <f t="shared" si="148"/>
        <v>0</v>
      </c>
      <c r="V137" s="523">
        <f t="shared" si="148"/>
        <v>0</v>
      </c>
      <c r="W137" s="523">
        <f t="shared" si="148"/>
        <v>0</v>
      </c>
      <c r="X137" s="507"/>
    </row>
    <row r="138" spans="2:24" s="1228" customFormat="1" x14ac:dyDescent="0.3">
      <c r="B138" s="460"/>
      <c r="C138" s="459"/>
      <c r="D138" s="388"/>
      <c r="E138" s="624"/>
      <c r="F138" s="508"/>
      <c r="G138" s="508"/>
      <c r="H138" s="508"/>
      <c r="I138" s="624"/>
      <c r="J138" s="508"/>
      <c r="K138" s="508"/>
      <c r="L138" s="508"/>
      <c r="M138" s="624"/>
      <c r="N138" s="505"/>
      <c r="O138" s="505"/>
      <c r="P138" s="505"/>
      <c r="Q138" s="505"/>
      <c r="R138" s="505"/>
      <c r="S138" s="508"/>
      <c r="T138" s="508"/>
      <c r="U138" s="508"/>
      <c r="V138" s="508"/>
      <c r="W138" s="508"/>
      <c r="X138" s="507"/>
    </row>
    <row r="139" spans="2:24" s="1228" customFormat="1" ht="30" x14ac:dyDescent="0.3">
      <c r="B139" s="460">
        <v>7</v>
      </c>
      <c r="C139" s="459" t="s">
        <v>135</v>
      </c>
      <c r="D139" s="461"/>
      <c r="E139" s="624"/>
      <c r="F139" s="508"/>
      <c r="G139" s="508"/>
      <c r="H139" s="508"/>
      <c r="I139" s="624"/>
      <c r="J139" s="508"/>
      <c r="K139" s="508"/>
      <c r="L139" s="508"/>
      <c r="M139" s="624"/>
      <c r="N139" s="505"/>
      <c r="O139" s="505"/>
      <c r="P139" s="505"/>
      <c r="Q139" s="505"/>
      <c r="R139" s="505"/>
      <c r="S139" s="508"/>
      <c r="T139" s="508"/>
      <c r="U139" s="508"/>
      <c r="V139" s="508"/>
      <c r="W139" s="508"/>
      <c r="X139" s="507"/>
    </row>
    <row r="140" spans="2:24" s="1228" customFormat="1" x14ac:dyDescent="0.35">
      <c r="B140" s="475" t="s">
        <v>769</v>
      </c>
      <c r="C140" s="377" t="s">
        <v>853</v>
      </c>
      <c r="D140" s="388" t="s">
        <v>134</v>
      </c>
      <c r="E140" s="623"/>
      <c r="F140" s="505">
        <f t="shared" ref="F140:F152" si="149">G140</f>
        <v>0</v>
      </c>
      <c r="G140" s="505">
        <v>0</v>
      </c>
      <c r="H140" s="505">
        <f>G140-F140</f>
        <v>0</v>
      </c>
      <c r="I140" s="623"/>
      <c r="J140" s="505">
        <f t="shared" ref="J140:J152" si="150">K140</f>
        <v>0</v>
      </c>
      <c r="K140" s="505">
        <v>0</v>
      </c>
      <c r="L140" s="505">
        <f>K140-J140</f>
        <v>0</v>
      </c>
      <c r="M140" s="623"/>
      <c r="N140" s="505">
        <f t="shared" ref="N140:N152" si="151">Q140</f>
        <v>0</v>
      </c>
      <c r="O140" s="505"/>
      <c r="P140" s="505"/>
      <c r="Q140" s="505">
        <f t="shared" ref="Q140" si="152">SUM(O140:P140)</f>
        <v>0</v>
      </c>
      <c r="R140" s="505">
        <f t="shared" ref="R140" si="153">Q140-N140</f>
        <v>0</v>
      </c>
      <c r="S140" s="816">
        <v>0</v>
      </c>
      <c r="T140" s="816">
        <v>0</v>
      </c>
      <c r="U140" s="816">
        <v>0</v>
      </c>
      <c r="V140" s="816">
        <v>0</v>
      </c>
      <c r="W140" s="816">
        <v>0</v>
      </c>
      <c r="X140" s="507"/>
    </row>
    <row r="141" spans="2:24" s="1228" customFormat="1" ht="31" x14ac:dyDescent="0.35">
      <c r="B141" s="475" t="s">
        <v>770</v>
      </c>
      <c r="C141" s="377" t="s">
        <v>854</v>
      </c>
      <c r="D141" s="388" t="s">
        <v>134</v>
      </c>
      <c r="E141" s="623"/>
      <c r="F141" s="505">
        <f t="shared" si="149"/>
        <v>0</v>
      </c>
      <c r="G141" s="505">
        <v>0</v>
      </c>
      <c r="H141" s="505">
        <f t="shared" ref="H141:H152" si="154">G141-F141</f>
        <v>0</v>
      </c>
      <c r="I141" s="623"/>
      <c r="J141" s="505">
        <f t="shared" si="150"/>
        <v>0</v>
      </c>
      <c r="K141" s="505">
        <v>0</v>
      </c>
      <c r="L141" s="505">
        <f t="shared" ref="L141:L152" si="155">K141-J141</f>
        <v>0</v>
      </c>
      <c r="M141" s="623"/>
      <c r="N141" s="505">
        <f t="shared" si="151"/>
        <v>0</v>
      </c>
      <c r="O141" s="505"/>
      <c r="P141" s="505"/>
      <c r="Q141" s="505">
        <f t="shared" ref="Q141:Q152" si="156">SUM(O141:P141)</f>
        <v>0</v>
      </c>
      <c r="R141" s="505">
        <f t="shared" ref="R141:R152" si="157">Q141-N141</f>
        <v>0</v>
      </c>
      <c r="S141" s="816"/>
      <c r="T141" s="816"/>
      <c r="U141" s="816"/>
      <c r="V141" s="816"/>
      <c r="W141" s="816"/>
      <c r="X141" s="507"/>
    </row>
    <row r="142" spans="2:24" s="1228" customFormat="1" x14ac:dyDescent="0.35">
      <c r="B142" s="475" t="s">
        <v>771</v>
      </c>
      <c r="C142" s="377" t="s">
        <v>758</v>
      </c>
      <c r="D142" s="388" t="s">
        <v>134</v>
      </c>
      <c r="E142" s="623"/>
      <c r="F142" s="505">
        <f t="shared" si="149"/>
        <v>0</v>
      </c>
      <c r="G142" s="505">
        <v>0</v>
      </c>
      <c r="H142" s="505">
        <f t="shared" si="154"/>
        <v>0</v>
      </c>
      <c r="I142" s="623"/>
      <c r="J142" s="505">
        <f t="shared" si="150"/>
        <v>0</v>
      </c>
      <c r="K142" s="505">
        <v>0</v>
      </c>
      <c r="L142" s="505">
        <f t="shared" si="155"/>
        <v>0</v>
      </c>
      <c r="M142" s="623"/>
      <c r="N142" s="505">
        <f t="shared" si="151"/>
        <v>0</v>
      </c>
      <c r="O142" s="505"/>
      <c r="P142" s="505"/>
      <c r="Q142" s="505">
        <f t="shared" si="156"/>
        <v>0</v>
      </c>
      <c r="R142" s="505">
        <f t="shared" si="157"/>
        <v>0</v>
      </c>
      <c r="S142" s="816">
        <v>0</v>
      </c>
      <c r="T142" s="816">
        <v>0</v>
      </c>
      <c r="U142" s="816">
        <v>0</v>
      </c>
      <c r="V142" s="816">
        <v>0</v>
      </c>
      <c r="W142" s="816">
        <v>0</v>
      </c>
      <c r="X142" s="507"/>
    </row>
    <row r="143" spans="2:24" s="1228" customFormat="1" x14ac:dyDescent="0.35">
      <c r="B143" s="475" t="s">
        <v>834</v>
      </c>
      <c r="C143" s="377" t="s">
        <v>759</v>
      </c>
      <c r="D143" s="388" t="s">
        <v>134</v>
      </c>
      <c r="E143" s="623"/>
      <c r="F143" s="505">
        <f t="shared" si="149"/>
        <v>0</v>
      </c>
      <c r="G143" s="505">
        <v>0</v>
      </c>
      <c r="H143" s="505">
        <f t="shared" si="154"/>
        <v>0</v>
      </c>
      <c r="I143" s="623"/>
      <c r="J143" s="505">
        <f t="shared" si="150"/>
        <v>0</v>
      </c>
      <c r="K143" s="505">
        <v>0</v>
      </c>
      <c r="L143" s="505">
        <f t="shared" si="155"/>
        <v>0</v>
      </c>
      <c r="M143" s="623"/>
      <c r="N143" s="505">
        <f t="shared" si="151"/>
        <v>0</v>
      </c>
      <c r="O143" s="505"/>
      <c r="P143" s="505"/>
      <c r="Q143" s="505">
        <f t="shared" si="156"/>
        <v>0</v>
      </c>
      <c r="R143" s="505">
        <f t="shared" si="157"/>
        <v>0</v>
      </c>
      <c r="S143" s="816">
        <v>0</v>
      </c>
      <c r="T143" s="816">
        <v>0</v>
      </c>
      <c r="U143" s="816">
        <v>0</v>
      </c>
      <c r="V143" s="816">
        <v>0</v>
      </c>
      <c r="W143" s="816">
        <v>0</v>
      </c>
      <c r="X143" s="507"/>
    </row>
    <row r="144" spans="2:24" s="1228" customFormat="1" x14ac:dyDescent="0.35">
      <c r="B144" s="475" t="s">
        <v>835</v>
      </c>
      <c r="C144" s="377" t="s">
        <v>760</v>
      </c>
      <c r="D144" s="388" t="s">
        <v>134</v>
      </c>
      <c r="E144" s="623"/>
      <c r="F144" s="505">
        <f t="shared" si="149"/>
        <v>0</v>
      </c>
      <c r="G144" s="505">
        <v>0</v>
      </c>
      <c r="H144" s="505">
        <f t="shared" si="154"/>
        <v>0</v>
      </c>
      <c r="I144" s="623"/>
      <c r="J144" s="505">
        <f t="shared" si="150"/>
        <v>0</v>
      </c>
      <c r="K144" s="505">
        <v>0</v>
      </c>
      <c r="L144" s="505">
        <f t="shared" si="155"/>
        <v>0</v>
      </c>
      <c r="M144" s="623"/>
      <c r="N144" s="505">
        <f t="shared" si="151"/>
        <v>0</v>
      </c>
      <c r="O144" s="505"/>
      <c r="P144" s="505"/>
      <c r="Q144" s="505">
        <f t="shared" si="156"/>
        <v>0</v>
      </c>
      <c r="R144" s="505">
        <f t="shared" si="157"/>
        <v>0</v>
      </c>
      <c r="S144" s="816">
        <v>0</v>
      </c>
      <c r="T144" s="816">
        <v>0</v>
      </c>
      <c r="U144" s="816">
        <v>0</v>
      </c>
      <c r="V144" s="816">
        <v>0</v>
      </c>
      <c r="W144" s="816">
        <v>0</v>
      </c>
      <c r="X144" s="507"/>
    </row>
    <row r="145" spans="2:24" s="1228" customFormat="1" x14ac:dyDescent="0.35">
      <c r="B145" s="475" t="s">
        <v>836</v>
      </c>
      <c r="C145" s="377" t="s">
        <v>761</v>
      </c>
      <c r="D145" s="388" t="s">
        <v>134</v>
      </c>
      <c r="E145" s="623"/>
      <c r="F145" s="505">
        <f t="shared" si="149"/>
        <v>0</v>
      </c>
      <c r="G145" s="505">
        <v>0</v>
      </c>
      <c r="H145" s="505">
        <f t="shared" si="154"/>
        <v>0</v>
      </c>
      <c r="I145" s="623"/>
      <c r="J145" s="505">
        <f t="shared" si="150"/>
        <v>0</v>
      </c>
      <c r="K145" s="505">
        <v>0</v>
      </c>
      <c r="L145" s="505">
        <f t="shared" si="155"/>
        <v>0</v>
      </c>
      <c r="M145" s="623"/>
      <c r="N145" s="505">
        <f t="shared" si="151"/>
        <v>0</v>
      </c>
      <c r="O145" s="505"/>
      <c r="P145" s="505"/>
      <c r="Q145" s="505">
        <f t="shared" si="156"/>
        <v>0</v>
      </c>
      <c r="R145" s="505">
        <f t="shared" si="157"/>
        <v>0</v>
      </c>
      <c r="S145" s="816">
        <v>0</v>
      </c>
      <c r="T145" s="816">
        <v>0</v>
      </c>
      <c r="U145" s="816">
        <v>0</v>
      </c>
      <c r="V145" s="816">
        <v>0</v>
      </c>
      <c r="W145" s="816">
        <v>0</v>
      </c>
      <c r="X145" s="507"/>
    </row>
    <row r="146" spans="2:24" s="1228" customFormat="1" x14ac:dyDescent="0.35">
      <c r="B146" s="475" t="s">
        <v>837</v>
      </c>
      <c r="C146" s="377" t="s">
        <v>762</v>
      </c>
      <c r="D146" s="388" t="s">
        <v>134</v>
      </c>
      <c r="E146" s="623"/>
      <c r="F146" s="505">
        <f t="shared" si="149"/>
        <v>0</v>
      </c>
      <c r="G146" s="505">
        <v>0</v>
      </c>
      <c r="H146" s="505">
        <f t="shared" si="154"/>
        <v>0</v>
      </c>
      <c r="I146" s="623"/>
      <c r="J146" s="505">
        <f t="shared" si="150"/>
        <v>0</v>
      </c>
      <c r="K146" s="505">
        <v>0</v>
      </c>
      <c r="L146" s="505">
        <f t="shared" si="155"/>
        <v>0</v>
      </c>
      <c r="M146" s="623"/>
      <c r="N146" s="505">
        <f t="shared" si="151"/>
        <v>0</v>
      </c>
      <c r="O146" s="505"/>
      <c r="P146" s="505"/>
      <c r="Q146" s="505">
        <f t="shared" si="156"/>
        <v>0</v>
      </c>
      <c r="R146" s="505">
        <f t="shared" si="157"/>
        <v>0</v>
      </c>
      <c r="S146" s="816">
        <v>0</v>
      </c>
      <c r="T146" s="816">
        <v>0</v>
      </c>
      <c r="U146" s="816">
        <v>0</v>
      </c>
      <c r="V146" s="816">
        <v>0</v>
      </c>
      <c r="W146" s="816">
        <v>0</v>
      </c>
      <c r="X146" s="507"/>
    </row>
    <row r="147" spans="2:24" s="1228" customFormat="1" x14ac:dyDescent="0.35">
      <c r="B147" s="475" t="s">
        <v>838</v>
      </c>
      <c r="C147" s="377" t="s">
        <v>763</v>
      </c>
      <c r="D147" s="388" t="s">
        <v>134</v>
      </c>
      <c r="E147" s="623"/>
      <c r="F147" s="505">
        <f t="shared" si="149"/>
        <v>0</v>
      </c>
      <c r="G147" s="505">
        <v>0</v>
      </c>
      <c r="H147" s="505">
        <f t="shared" si="154"/>
        <v>0</v>
      </c>
      <c r="I147" s="623"/>
      <c r="J147" s="505">
        <f t="shared" si="150"/>
        <v>0</v>
      </c>
      <c r="K147" s="505">
        <v>0</v>
      </c>
      <c r="L147" s="505">
        <f t="shared" si="155"/>
        <v>0</v>
      </c>
      <c r="M147" s="623"/>
      <c r="N147" s="505">
        <f t="shared" si="151"/>
        <v>0</v>
      </c>
      <c r="O147" s="505"/>
      <c r="P147" s="505"/>
      <c r="Q147" s="505">
        <f t="shared" si="156"/>
        <v>0</v>
      </c>
      <c r="R147" s="505">
        <f t="shared" si="157"/>
        <v>0</v>
      </c>
      <c r="S147" s="816">
        <v>0</v>
      </c>
      <c r="T147" s="816">
        <v>0</v>
      </c>
      <c r="U147" s="816">
        <v>0</v>
      </c>
      <c r="V147" s="816">
        <v>0</v>
      </c>
      <c r="W147" s="816">
        <v>0</v>
      </c>
      <c r="X147" s="507"/>
    </row>
    <row r="148" spans="2:24" s="1228" customFormat="1" ht="31" x14ac:dyDescent="0.35">
      <c r="B148" s="475" t="s">
        <v>839</v>
      </c>
      <c r="C148" s="377" t="s">
        <v>764</v>
      </c>
      <c r="D148" s="388" t="s">
        <v>134</v>
      </c>
      <c r="E148" s="623"/>
      <c r="F148" s="505">
        <f t="shared" si="149"/>
        <v>0</v>
      </c>
      <c r="G148" s="505">
        <v>0</v>
      </c>
      <c r="H148" s="505">
        <f t="shared" si="154"/>
        <v>0</v>
      </c>
      <c r="I148" s="623"/>
      <c r="J148" s="505">
        <f t="shared" si="150"/>
        <v>0</v>
      </c>
      <c r="K148" s="505">
        <v>0</v>
      </c>
      <c r="L148" s="505">
        <f t="shared" si="155"/>
        <v>0</v>
      </c>
      <c r="M148" s="623"/>
      <c r="N148" s="505">
        <f t="shared" si="151"/>
        <v>0</v>
      </c>
      <c r="O148" s="505"/>
      <c r="P148" s="505"/>
      <c r="Q148" s="505">
        <f t="shared" si="156"/>
        <v>0</v>
      </c>
      <c r="R148" s="505">
        <f t="shared" si="157"/>
        <v>0</v>
      </c>
      <c r="S148" s="816">
        <v>0</v>
      </c>
      <c r="T148" s="816">
        <v>0</v>
      </c>
      <c r="U148" s="816">
        <v>0</v>
      </c>
      <c r="V148" s="816">
        <v>0</v>
      </c>
      <c r="W148" s="816">
        <v>0</v>
      </c>
      <c r="X148" s="507"/>
    </row>
    <row r="149" spans="2:24" s="1228" customFormat="1" ht="31" x14ac:dyDescent="0.35">
      <c r="B149" s="475" t="s">
        <v>840</v>
      </c>
      <c r="C149" s="377" t="s">
        <v>765</v>
      </c>
      <c r="D149" s="388" t="s">
        <v>134</v>
      </c>
      <c r="E149" s="623"/>
      <c r="F149" s="505">
        <f t="shared" si="149"/>
        <v>0</v>
      </c>
      <c r="G149" s="505">
        <v>0</v>
      </c>
      <c r="H149" s="505">
        <f t="shared" si="154"/>
        <v>0</v>
      </c>
      <c r="I149" s="623"/>
      <c r="J149" s="505">
        <f t="shared" si="150"/>
        <v>0</v>
      </c>
      <c r="K149" s="505">
        <v>0</v>
      </c>
      <c r="L149" s="505">
        <f t="shared" si="155"/>
        <v>0</v>
      </c>
      <c r="M149" s="623"/>
      <c r="N149" s="505">
        <f t="shared" si="151"/>
        <v>0</v>
      </c>
      <c r="O149" s="505"/>
      <c r="P149" s="505"/>
      <c r="Q149" s="505">
        <f t="shared" si="156"/>
        <v>0</v>
      </c>
      <c r="R149" s="505">
        <f t="shared" si="157"/>
        <v>0</v>
      </c>
      <c r="S149" s="816">
        <v>0</v>
      </c>
      <c r="T149" s="816">
        <v>0</v>
      </c>
      <c r="U149" s="816">
        <v>0</v>
      </c>
      <c r="V149" s="816">
        <v>0</v>
      </c>
      <c r="W149" s="816">
        <v>0</v>
      </c>
      <c r="X149" s="507"/>
    </row>
    <row r="150" spans="2:24" s="1228" customFormat="1" x14ac:dyDescent="0.35">
      <c r="B150" s="475" t="s">
        <v>841</v>
      </c>
      <c r="C150" s="377" t="s">
        <v>766</v>
      </c>
      <c r="D150" s="388" t="s">
        <v>134</v>
      </c>
      <c r="E150" s="623"/>
      <c r="F150" s="505">
        <f t="shared" si="149"/>
        <v>0</v>
      </c>
      <c r="G150" s="505">
        <v>0</v>
      </c>
      <c r="H150" s="505">
        <f t="shared" si="154"/>
        <v>0</v>
      </c>
      <c r="I150" s="623"/>
      <c r="J150" s="505">
        <f t="shared" si="150"/>
        <v>0</v>
      </c>
      <c r="K150" s="505">
        <v>0</v>
      </c>
      <c r="L150" s="505">
        <f t="shared" si="155"/>
        <v>0</v>
      </c>
      <c r="M150" s="623"/>
      <c r="N150" s="505">
        <f t="shared" si="151"/>
        <v>0</v>
      </c>
      <c r="O150" s="505"/>
      <c r="P150" s="505"/>
      <c r="Q150" s="505">
        <f t="shared" si="156"/>
        <v>0</v>
      </c>
      <c r="R150" s="505">
        <f t="shared" si="157"/>
        <v>0</v>
      </c>
      <c r="S150" s="816">
        <v>0</v>
      </c>
      <c r="T150" s="816">
        <v>0</v>
      </c>
      <c r="U150" s="816">
        <v>0</v>
      </c>
      <c r="V150" s="816">
        <v>0</v>
      </c>
      <c r="W150" s="816">
        <v>0</v>
      </c>
      <c r="X150" s="507"/>
    </row>
    <row r="151" spans="2:24" s="1228" customFormat="1" x14ac:dyDescent="0.35">
      <c r="B151" s="475" t="s">
        <v>842</v>
      </c>
      <c r="C151" s="377" t="s">
        <v>767</v>
      </c>
      <c r="D151" s="388" t="s">
        <v>134</v>
      </c>
      <c r="E151" s="623"/>
      <c r="F151" s="505">
        <f t="shared" si="149"/>
        <v>0</v>
      </c>
      <c r="G151" s="505">
        <v>0</v>
      </c>
      <c r="H151" s="505">
        <f t="shared" si="154"/>
        <v>0</v>
      </c>
      <c r="I151" s="623"/>
      <c r="J151" s="505">
        <f t="shared" si="150"/>
        <v>0</v>
      </c>
      <c r="K151" s="505">
        <v>0</v>
      </c>
      <c r="L151" s="505">
        <f t="shared" si="155"/>
        <v>0</v>
      </c>
      <c r="M151" s="623"/>
      <c r="N151" s="505">
        <f t="shared" si="151"/>
        <v>0</v>
      </c>
      <c r="O151" s="505"/>
      <c r="P151" s="505"/>
      <c r="Q151" s="505">
        <f t="shared" si="156"/>
        <v>0</v>
      </c>
      <c r="R151" s="505">
        <f t="shared" si="157"/>
        <v>0</v>
      </c>
      <c r="S151" s="816">
        <v>0</v>
      </c>
      <c r="T151" s="816">
        <v>0</v>
      </c>
      <c r="U151" s="816">
        <v>0</v>
      </c>
      <c r="V151" s="816">
        <v>0</v>
      </c>
      <c r="W151" s="816">
        <v>0</v>
      </c>
      <c r="X151" s="507"/>
    </row>
    <row r="152" spans="2:24" s="1228" customFormat="1" x14ac:dyDescent="0.35">
      <c r="B152" s="475" t="s">
        <v>843</v>
      </c>
      <c r="C152" s="377" t="s">
        <v>768</v>
      </c>
      <c r="D152" s="388" t="s">
        <v>134</v>
      </c>
      <c r="E152" s="623"/>
      <c r="F152" s="505">
        <f t="shared" si="149"/>
        <v>0</v>
      </c>
      <c r="G152" s="505">
        <v>0</v>
      </c>
      <c r="H152" s="505">
        <f t="shared" si="154"/>
        <v>0</v>
      </c>
      <c r="I152" s="623"/>
      <c r="J152" s="505">
        <f t="shared" si="150"/>
        <v>0</v>
      </c>
      <c r="K152" s="505">
        <v>0</v>
      </c>
      <c r="L152" s="505">
        <f t="shared" si="155"/>
        <v>0</v>
      </c>
      <c r="M152" s="623"/>
      <c r="N152" s="505">
        <f t="shared" si="151"/>
        <v>0</v>
      </c>
      <c r="O152" s="505"/>
      <c r="P152" s="505"/>
      <c r="Q152" s="505">
        <f t="shared" si="156"/>
        <v>0</v>
      </c>
      <c r="R152" s="505">
        <f t="shared" si="157"/>
        <v>0</v>
      </c>
      <c r="S152" s="816">
        <v>0</v>
      </c>
      <c r="T152" s="816">
        <v>0</v>
      </c>
      <c r="U152" s="816">
        <v>0</v>
      </c>
      <c r="V152" s="816">
        <v>0</v>
      </c>
      <c r="W152" s="816">
        <v>0</v>
      </c>
      <c r="X152" s="507"/>
    </row>
    <row r="153" spans="2:24" s="1258" customFormat="1" ht="30" x14ac:dyDescent="0.3">
      <c r="B153" s="460"/>
      <c r="C153" s="459" t="s">
        <v>136</v>
      </c>
      <c r="D153" s="389" t="s">
        <v>134</v>
      </c>
      <c r="E153" s="623"/>
      <c r="F153" s="505">
        <f>SUM(F140:F152)</f>
        <v>0</v>
      </c>
      <c r="G153" s="505">
        <f t="shared" ref="G153:R153" si="158">SUM(G140:G152)</f>
        <v>0</v>
      </c>
      <c r="H153" s="505">
        <f t="shared" si="158"/>
        <v>0</v>
      </c>
      <c r="I153" s="623"/>
      <c r="J153" s="505">
        <f t="shared" si="158"/>
        <v>0</v>
      </c>
      <c r="K153" s="505">
        <f t="shared" si="158"/>
        <v>0</v>
      </c>
      <c r="L153" s="505">
        <f t="shared" si="158"/>
        <v>0</v>
      </c>
      <c r="M153" s="623"/>
      <c r="N153" s="505">
        <f t="shared" si="158"/>
        <v>0</v>
      </c>
      <c r="O153" s="505">
        <f t="shared" si="158"/>
        <v>0</v>
      </c>
      <c r="P153" s="505">
        <f t="shared" si="158"/>
        <v>0</v>
      </c>
      <c r="Q153" s="505">
        <f t="shared" si="158"/>
        <v>0</v>
      </c>
      <c r="R153" s="505">
        <f t="shared" si="158"/>
        <v>0</v>
      </c>
      <c r="S153" s="505">
        <f t="shared" ref="S153:W153" si="159">SUM(S140:S152)</f>
        <v>0</v>
      </c>
      <c r="T153" s="505">
        <f t="shared" si="159"/>
        <v>0</v>
      </c>
      <c r="U153" s="505">
        <f t="shared" si="159"/>
        <v>0</v>
      </c>
      <c r="V153" s="505">
        <f t="shared" si="159"/>
        <v>0</v>
      </c>
      <c r="W153" s="505">
        <f t="shared" si="159"/>
        <v>0</v>
      </c>
      <c r="X153" s="509"/>
    </row>
    <row r="154" spans="2:24" s="1228" customFormat="1" x14ac:dyDescent="0.3">
      <c r="B154" s="460"/>
      <c r="C154" s="459"/>
      <c r="D154" s="461"/>
      <c r="E154" s="624"/>
      <c r="F154" s="508"/>
      <c r="G154" s="508"/>
      <c r="H154" s="508"/>
      <c r="I154" s="624"/>
      <c r="J154" s="508"/>
      <c r="K154" s="508"/>
      <c r="L154" s="508"/>
      <c r="M154" s="624"/>
      <c r="N154" s="508"/>
      <c r="O154" s="508"/>
      <c r="P154" s="508"/>
      <c r="Q154" s="505"/>
      <c r="R154" s="505"/>
      <c r="S154" s="508"/>
      <c r="T154" s="508"/>
      <c r="U154" s="508"/>
      <c r="V154" s="508"/>
      <c r="W154" s="508"/>
      <c r="X154" s="507"/>
    </row>
    <row r="155" spans="2:24" s="1259" customFormat="1" x14ac:dyDescent="0.3">
      <c r="B155" s="462">
        <v>8</v>
      </c>
      <c r="C155" s="463" t="s">
        <v>703</v>
      </c>
      <c r="D155" s="388" t="s">
        <v>134</v>
      </c>
      <c r="E155" s="625">
        <v>1405.430643438021</v>
      </c>
      <c r="F155" s="786">
        <f>F125+F131+F137+F153</f>
        <v>1209.716512356227</v>
      </c>
      <c r="G155" s="418">
        <f>G125+G131+G137+G4153</f>
        <v>1309.8451528297737</v>
      </c>
      <c r="H155" s="418">
        <f t="shared" ref="H155:Q155" si="160">H125+H131+H137+H153</f>
        <v>100.12864047354667</v>
      </c>
      <c r="I155" s="625">
        <v>1727.000383629294</v>
      </c>
      <c r="J155" s="418">
        <f t="shared" si="160"/>
        <v>1373.1425567773722</v>
      </c>
      <c r="K155" s="418">
        <f t="shared" si="160"/>
        <v>1365.9992286513855</v>
      </c>
      <c r="L155" s="418">
        <f t="shared" si="160"/>
        <v>-7.1433281259864918</v>
      </c>
      <c r="M155" s="625">
        <v>1720.7990823220232</v>
      </c>
      <c r="N155" s="418">
        <f t="shared" si="160"/>
        <v>1509.0191230173518</v>
      </c>
      <c r="O155" s="418">
        <f t="shared" si="160"/>
        <v>582.76736499629158</v>
      </c>
      <c r="P155" s="418">
        <f t="shared" si="160"/>
        <v>946.15729109610811</v>
      </c>
      <c r="Q155" s="418">
        <f t="shared" si="160"/>
        <v>1528.9246560923998</v>
      </c>
      <c r="R155" s="704">
        <f>R125+R131+R137+R153</f>
        <v>19.905533075047984</v>
      </c>
      <c r="S155" s="418">
        <f>S125+S131+S137+S153</f>
        <v>1937.9832383759515</v>
      </c>
      <c r="T155" s="418">
        <f t="shared" ref="T155:W155" si="161">T125+T131+T137+T153</f>
        <v>2034.9526922696707</v>
      </c>
      <c r="U155" s="418">
        <f t="shared" si="161"/>
        <v>2136.700326883155</v>
      </c>
      <c r="V155" s="418">
        <f t="shared" si="161"/>
        <v>2243.6128401296633</v>
      </c>
      <c r="W155" s="418">
        <f t="shared" si="161"/>
        <v>2355.6307386412091</v>
      </c>
      <c r="X155" s="402"/>
    </row>
    <row r="156" spans="2:24" s="1260" customFormat="1" x14ac:dyDescent="0.35">
      <c r="B156" s="382"/>
      <c r="C156" s="383"/>
      <c r="D156" s="384"/>
      <c r="E156" s="496"/>
      <c r="F156" s="496"/>
      <c r="G156" s="496"/>
      <c r="H156" s="496"/>
      <c r="I156" s="496"/>
      <c r="J156" s="496"/>
      <c r="K156" s="496"/>
      <c r="L156" s="496"/>
      <c r="M156" s="496"/>
      <c r="N156" s="495"/>
      <c r="O156" s="495"/>
      <c r="P156" s="495"/>
      <c r="Q156" s="495"/>
      <c r="R156" s="495"/>
      <c r="S156" s="496"/>
      <c r="T156" s="496"/>
      <c r="U156" s="496"/>
      <c r="V156" s="496"/>
      <c r="W156" s="496"/>
      <c r="X156" s="392"/>
    </row>
    <row r="157" spans="2:24" s="1260" customFormat="1" x14ac:dyDescent="0.35">
      <c r="B157" s="382">
        <v>9</v>
      </c>
      <c r="C157" s="383" t="s">
        <v>704</v>
      </c>
      <c r="D157" s="384" t="s">
        <v>137</v>
      </c>
      <c r="E157" s="496">
        <v>4.4204204227771369</v>
      </c>
      <c r="F157" s="712">
        <f>F155/F37*10</f>
        <v>4.8227130712860315</v>
      </c>
      <c r="G157" s="496">
        <f>G155/G37*10</f>
        <v>5.3006797927139555</v>
      </c>
      <c r="H157" s="496">
        <f t="shared" ref="H157" si="162">G157-F157</f>
        <v>0.47796672142792396</v>
      </c>
      <c r="I157" s="496">
        <v>5.1003959218498256</v>
      </c>
      <c r="J157" s="496">
        <f>J155/J37*10</f>
        <v>5.4462113463371464</v>
      </c>
      <c r="K157" s="496">
        <f>K155/K37*10</f>
        <v>5.4932473581381558</v>
      </c>
      <c r="L157" s="496">
        <f t="shared" ref="L157" si="163">K157-J157</f>
        <v>4.7036011801009359E-2</v>
      </c>
      <c r="M157" s="496">
        <v>5.0960049654743802</v>
      </c>
      <c r="N157" s="496">
        <f t="shared" ref="N157:W157" si="164">N155/N37*10</f>
        <v>5.4668041152074132</v>
      </c>
      <c r="O157" s="496">
        <f t="shared" si="164"/>
        <v>5.4907088479634023</v>
      </c>
      <c r="P157" s="496">
        <f t="shared" si="164"/>
        <v>5.6487458511197675</v>
      </c>
      <c r="Q157" s="496">
        <f t="shared" si="164"/>
        <v>5.5874469174946659</v>
      </c>
      <c r="R157" s="712">
        <f t="shared" si="164"/>
        <v>-8.3026362614853575</v>
      </c>
      <c r="S157" s="496">
        <f t="shared" si="164"/>
        <v>5.813024260201356</v>
      </c>
      <c r="T157" s="496">
        <f t="shared" si="164"/>
        <v>6.103674644363136</v>
      </c>
      <c r="U157" s="496">
        <f t="shared" si="164"/>
        <v>6.4088583765812954</v>
      </c>
      <c r="V157" s="496">
        <f t="shared" si="164"/>
        <v>6.7293003816684935</v>
      </c>
      <c r="W157" s="496">
        <f t="shared" si="164"/>
        <v>7.0657673196763762</v>
      </c>
      <c r="X157" s="496"/>
    </row>
    <row r="158" spans="2:24" s="1238" customFormat="1" ht="18.5" x14ac:dyDescent="0.35">
      <c r="B158" s="1261"/>
      <c r="C158" s="398"/>
      <c r="D158" s="1262"/>
      <c r="E158" s="1262"/>
      <c r="F158" s="1262"/>
      <c r="G158" s="1262"/>
      <c r="H158" s="1262"/>
      <c r="I158" s="1262"/>
      <c r="J158" s="1262"/>
      <c r="K158" s="1262"/>
      <c r="L158" s="1262"/>
      <c r="M158" s="392"/>
      <c r="N158" s="392"/>
      <c r="O158" s="392"/>
      <c r="P158" s="392"/>
      <c r="Q158" s="392"/>
      <c r="R158" s="392"/>
      <c r="S158" s="403"/>
      <c r="T158" s="403"/>
      <c r="U158" s="403"/>
      <c r="V158" s="403"/>
      <c r="W158" s="403"/>
      <c r="X158" s="1254"/>
    </row>
    <row r="159" spans="2:24" x14ac:dyDescent="0.35">
      <c r="P159" s="1244"/>
      <c r="S159" s="1263"/>
      <c r="T159" s="1263"/>
      <c r="U159" s="1263"/>
      <c r="V159" s="1263"/>
      <c r="W159" s="1263"/>
    </row>
    <row r="160" spans="2:24" x14ac:dyDescent="0.35">
      <c r="S160" s="1263"/>
      <c r="T160" s="1263"/>
      <c r="U160" s="1263"/>
      <c r="V160" s="1263"/>
      <c r="W160" s="1263"/>
    </row>
    <row r="161" spans="2:23" x14ac:dyDescent="0.35">
      <c r="S161" s="1263"/>
      <c r="T161" s="1263"/>
      <c r="U161" s="1263"/>
      <c r="V161" s="1263"/>
      <c r="W161" s="1263"/>
    </row>
    <row r="162" spans="2:23" x14ac:dyDescent="0.35">
      <c r="S162" s="1263"/>
      <c r="T162" s="1263"/>
      <c r="U162" s="1263"/>
      <c r="V162" s="1263"/>
      <c r="W162" s="1263"/>
    </row>
    <row r="163" spans="2:23" ht="16" thickBot="1" x14ac:dyDescent="0.4">
      <c r="B163" s="1495" t="s">
        <v>2077</v>
      </c>
      <c r="S163" s="1263"/>
      <c r="T163" s="1263"/>
      <c r="U163" s="1263"/>
      <c r="V163" s="1263"/>
      <c r="W163" s="1263"/>
    </row>
    <row r="164" spans="2:23" ht="16" thickBot="1" x14ac:dyDescent="0.4">
      <c r="B164" s="1264" t="s">
        <v>606</v>
      </c>
      <c r="C164" s="1265"/>
      <c r="D164" s="1266" t="s">
        <v>926</v>
      </c>
      <c r="E164" s="1266" t="s">
        <v>1527</v>
      </c>
      <c r="F164" s="1267" t="s">
        <v>1528</v>
      </c>
      <c r="G164" s="1268" t="s">
        <v>1529</v>
      </c>
      <c r="H164" s="1268" t="s">
        <v>1530</v>
      </c>
      <c r="I164" s="1268" t="s">
        <v>1531</v>
      </c>
      <c r="S164" s="1263"/>
      <c r="T164" s="1263"/>
      <c r="U164" s="1263"/>
      <c r="V164" s="1263"/>
      <c r="W164" s="1263"/>
    </row>
    <row r="165" spans="2:23" ht="31" thickBot="1" x14ac:dyDescent="0.4">
      <c r="B165" s="1269" t="s">
        <v>1526</v>
      </c>
      <c r="C165" s="1265"/>
      <c r="D165" s="1270" t="s">
        <v>1556</v>
      </c>
      <c r="E165" s="1270" t="s">
        <v>1556</v>
      </c>
      <c r="F165" s="1270" t="s">
        <v>1556</v>
      </c>
      <c r="G165" s="1270" t="s">
        <v>1556</v>
      </c>
      <c r="H165" s="1270" t="s">
        <v>1556</v>
      </c>
      <c r="I165" s="1270" t="s">
        <v>1556</v>
      </c>
      <c r="S165" s="1263"/>
      <c r="T165" s="1263"/>
      <c r="U165" s="1263"/>
      <c r="V165" s="1263"/>
      <c r="W165" s="1263"/>
    </row>
    <row r="166" spans="2:23" x14ac:dyDescent="0.35">
      <c r="B166" s="1185"/>
      <c r="C166" s="1185"/>
      <c r="D166" s="1271"/>
      <c r="E166" s="1265"/>
      <c r="F166" s="1265"/>
      <c r="G166" s="1265"/>
      <c r="H166" s="1272"/>
      <c r="I166" s="1238"/>
      <c r="S166" s="1263"/>
      <c r="T166" s="1263"/>
      <c r="U166" s="1263"/>
      <c r="V166" s="1263"/>
      <c r="W166" s="1263"/>
    </row>
    <row r="167" spans="2:23" x14ac:dyDescent="0.35">
      <c r="B167" s="1273" t="s">
        <v>424</v>
      </c>
      <c r="C167" s="1274" t="s">
        <v>36</v>
      </c>
      <c r="D167" s="1265"/>
      <c r="E167" s="1275"/>
      <c r="F167" s="1276"/>
      <c r="G167" s="384"/>
      <c r="H167" s="392"/>
      <c r="I167" s="384"/>
      <c r="S167" s="1263"/>
      <c r="T167" s="1263"/>
      <c r="U167" s="1263"/>
      <c r="V167" s="1263"/>
      <c r="W167" s="1263"/>
    </row>
    <row r="168" spans="2:23" x14ac:dyDescent="0.35">
      <c r="B168" s="1273">
        <v>1</v>
      </c>
      <c r="C168" s="1274" t="s">
        <v>1532</v>
      </c>
      <c r="D168" s="1277">
        <f>$N$39</f>
        <v>2430</v>
      </c>
      <c r="E168" s="1277">
        <f>S40</f>
        <v>2415</v>
      </c>
      <c r="F168" s="1278">
        <f>$T$40</f>
        <v>2415</v>
      </c>
      <c r="G168" s="1279">
        <f>$U$40</f>
        <v>2415</v>
      </c>
      <c r="H168" s="1279">
        <f>$V$40</f>
        <v>2415</v>
      </c>
      <c r="I168" s="1279">
        <f>$W$40</f>
        <v>2415</v>
      </c>
      <c r="S168" s="1263"/>
      <c r="T168" s="1263"/>
      <c r="U168" s="1263"/>
      <c r="V168" s="1263"/>
      <c r="W168" s="1263"/>
    </row>
    <row r="169" spans="2:23" x14ac:dyDescent="0.35">
      <c r="B169" s="1273">
        <f>B168+1</f>
        <v>2</v>
      </c>
      <c r="C169" s="1274" t="s">
        <v>1533</v>
      </c>
      <c r="D169" s="1280">
        <f>P68+85</f>
        <v>3244.9999999999995</v>
      </c>
      <c r="E169" s="1280">
        <f>S68+85</f>
        <v>3202.9549429182944</v>
      </c>
      <c r="F169" s="1281">
        <f>T68+85</f>
        <v>3202.9549429182939</v>
      </c>
      <c r="G169" s="1281">
        <f>U68+85</f>
        <v>3202.9549429182939</v>
      </c>
      <c r="H169" s="1281">
        <f>V68+85</f>
        <v>3202.9549429182944</v>
      </c>
      <c r="I169" s="1281">
        <f>W68+85</f>
        <v>3202.9549429182944</v>
      </c>
      <c r="S169" s="1263"/>
      <c r="T169" s="1263"/>
      <c r="U169" s="1263"/>
      <c r="V169" s="1263"/>
      <c r="W169" s="1263"/>
    </row>
    <row r="170" spans="2:23" x14ac:dyDescent="0.35">
      <c r="B170" s="1273">
        <f t="shared" ref="B170:B176" si="165">B169+1</f>
        <v>3</v>
      </c>
      <c r="C170" s="1274" t="s">
        <v>1534</v>
      </c>
      <c r="D170" s="1282">
        <f t="shared" ref="D170:I170" si="166">D169-85</f>
        <v>3159.9999999999995</v>
      </c>
      <c r="E170" s="1282">
        <f t="shared" si="166"/>
        <v>3117.9549429182944</v>
      </c>
      <c r="F170" s="1283">
        <f t="shared" si="166"/>
        <v>3117.9549429182939</v>
      </c>
      <c r="G170" s="1284">
        <f t="shared" si="166"/>
        <v>3117.9549429182939</v>
      </c>
      <c r="H170" s="1284">
        <f t="shared" si="166"/>
        <v>3117.9549429182944</v>
      </c>
      <c r="I170" s="1284">
        <f t="shared" si="166"/>
        <v>3117.9549429182944</v>
      </c>
      <c r="S170" s="1263"/>
      <c r="T170" s="1263"/>
      <c r="U170" s="1263"/>
      <c r="V170" s="1263"/>
      <c r="W170" s="1263"/>
    </row>
    <row r="171" spans="2:23" x14ac:dyDescent="0.35">
      <c r="B171" s="1273">
        <f t="shared" si="165"/>
        <v>4</v>
      </c>
      <c r="C171" s="1274" t="s">
        <v>1535</v>
      </c>
      <c r="D171" s="1285">
        <v>7.4999999999999997E-3</v>
      </c>
      <c r="E171" s="1285">
        <v>7.4999999999999997E-3</v>
      </c>
      <c r="F171" s="1285">
        <v>7.4999999999999997E-3</v>
      </c>
      <c r="G171" s="1285">
        <v>7.4999999999999997E-3</v>
      </c>
      <c r="H171" s="1285">
        <v>7.4999999999999997E-3</v>
      </c>
      <c r="I171" s="1285">
        <v>7.4999999999999997E-3</v>
      </c>
      <c r="S171" s="1263"/>
      <c r="T171" s="1263"/>
      <c r="U171" s="1263"/>
      <c r="V171" s="1263"/>
      <c r="W171" s="1263"/>
    </row>
    <row r="172" spans="2:23" x14ac:dyDescent="0.35">
      <c r="B172" s="1273">
        <f t="shared" si="165"/>
        <v>5</v>
      </c>
      <c r="C172" s="1274" t="s">
        <v>2078</v>
      </c>
      <c r="D172" s="1286">
        <v>0.85</v>
      </c>
      <c r="E172" s="1286">
        <v>0.85</v>
      </c>
      <c r="F172" s="1286">
        <v>0.85</v>
      </c>
      <c r="G172" s="1286">
        <v>0.85</v>
      </c>
      <c r="H172" s="1286">
        <v>0.85</v>
      </c>
      <c r="I172" s="1286">
        <v>0.85</v>
      </c>
      <c r="S172" s="1263"/>
      <c r="T172" s="1263"/>
      <c r="U172" s="1263"/>
      <c r="V172" s="1263"/>
      <c r="W172" s="1263"/>
    </row>
    <row r="173" spans="2:23" ht="45" x14ac:dyDescent="0.35">
      <c r="B173" s="1273">
        <f t="shared" si="165"/>
        <v>6</v>
      </c>
      <c r="C173" s="1274" t="s">
        <v>1536</v>
      </c>
      <c r="D173" s="1287">
        <v>600</v>
      </c>
      <c r="E173" s="1287">
        <v>600</v>
      </c>
      <c r="F173" s="1287">
        <v>600</v>
      </c>
      <c r="G173" s="1287">
        <v>600</v>
      </c>
      <c r="H173" s="1287">
        <v>600</v>
      </c>
      <c r="I173" s="1287">
        <v>600</v>
      </c>
      <c r="S173" s="1263"/>
      <c r="T173" s="1263"/>
      <c r="U173" s="1263"/>
      <c r="V173" s="1263"/>
      <c r="W173" s="1263"/>
    </row>
    <row r="174" spans="2:23" ht="30" x14ac:dyDescent="0.35">
      <c r="B174" s="1273">
        <f t="shared" si="165"/>
        <v>7</v>
      </c>
      <c r="C174" s="1274" t="s">
        <v>1537</v>
      </c>
      <c r="D174" s="1287">
        <f t="shared" ref="D174:I174" si="167">IF(D173&lt;=200,95%,73%)</f>
        <v>0.73</v>
      </c>
      <c r="E174" s="1287">
        <f t="shared" si="167"/>
        <v>0.73</v>
      </c>
      <c r="F174" s="1287">
        <f t="shared" si="167"/>
        <v>0.73</v>
      </c>
      <c r="G174" s="1287">
        <f t="shared" si="167"/>
        <v>0.73</v>
      </c>
      <c r="H174" s="1287">
        <f t="shared" si="167"/>
        <v>0.73</v>
      </c>
      <c r="I174" s="1287">
        <f t="shared" si="167"/>
        <v>0.73</v>
      </c>
      <c r="S174" s="1263"/>
      <c r="T174" s="1263"/>
      <c r="U174" s="1263"/>
      <c r="V174" s="1263"/>
      <c r="W174" s="1263"/>
    </row>
    <row r="175" spans="2:23" x14ac:dyDescent="0.35">
      <c r="B175" s="1273">
        <f t="shared" si="165"/>
        <v>8</v>
      </c>
      <c r="C175" s="1274" t="s">
        <v>1538</v>
      </c>
      <c r="D175" s="1287">
        <f t="shared" ref="D175:I175" si="168">IF(D174=73%,26.8,35.2)</f>
        <v>26.8</v>
      </c>
      <c r="E175" s="1287">
        <f t="shared" si="168"/>
        <v>26.8</v>
      </c>
      <c r="F175" s="1287">
        <f t="shared" si="168"/>
        <v>26.8</v>
      </c>
      <c r="G175" s="1287">
        <f t="shared" si="168"/>
        <v>26.8</v>
      </c>
      <c r="H175" s="1287">
        <f t="shared" si="168"/>
        <v>26.8</v>
      </c>
      <c r="I175" s="1287">
        <f t="shared" si="168"/>
        <v>26.8</v>
      </c>
      <c r="S175" s="1263"/>
      <c r="T175" s="1263"/>
      <c r="U175" s="1263"/>
      <c r="V175" s="1263"/>
      <c r="W175" s="1263"/>
    </row>
    <row r="176" spans="2:23" ht="30" x14ac:dyDescent="0.35">
      <c r="B176" s="1273">
        <f t="shared" si="165"/>
        <v>9</v>
      </c>
      <c r="C176" s="1274" t="s">
        <v>1539</v>
      </c>
      <c r="D176" s="1286">
        <v>0.67</v>
      </c>
      <c r="E176" s="1286">
        <v>0.67</v>
      </c>
      <c r="F176" s="1286">
        <v>0.67</v>
      </c>
      <c r="G176" s="1286">
        <v>0.67</v>
      </c>
      <c r="H176" s="1286">
        <v>0.67</v>
      </c>
      <c r="I176" s="1286">
        <v>0.67</v>
      </c>
      <c r="S176" s="1263"/>
      <c r="T176" s="1263"/>
      <c r="U176" s="1263"/>
      <c r="V176" s="1263"/>
      <c r="W176" s="1263"/>
    </row>
    <row r="177" spans="2:23" x14ac:dyDescent="0.35">
      <c r="B177" s="1273">
        <f>B176+1</f>
        <v>10</v>
      </c>
      <c r="C177" s="1274" t="s">
        <v>1540</v>
      </c>
      <c r="D177" s="1288">
        <f t="shared" ref="D177:I177" si="169">D175*D176/D174</f>
        <v>24.597260273972609</v>
      </c>
      <c r="E177" s="1288">
        <f t="shared" si="169"/>
        <v>24.597260273972609</v>
      </c>
      <c r="F177" s="1288">
        <f t="shared" si="169"/>
        <v>24.597260273972609</v>
      </c>
      <c r="G177" s="1288">
        <f t="shared" si="169"/>
        <v>24.597260273972609</v>
      </c>
      <c r="H177" s="1288">
        <f t="shared" si="169"/>
        <v>24.597260273972609</v>
      </c>
      <c r="I177" s="1288">
        <f t="shared" si="169"/>
        <v>24.597260273972609</v>
      </c>
      <c r="S177" s="1263"/>
      <c r="T177" s="1263"/>
      <c r="U177" s="1263"/>
      <c r="V177" s="1263"/>
      <c r="W177" s="1263"/>
    </row>
    <row r="178" spans="2:23" ht="30" x14ac:dyDescent="0.35">
      <c r="B178" s="1273">
        <f>B177+1</f>
        <v>11</v>
      </c>
      <c r="C178" s="1274" t="s">
        <v>1541</v>
      </c>
      <c r="D178" s="1289">
        <f t="shared" ref="D178:I178" si="170">(D177*D168*D171/D170)*(85/D172)</f>
        <v>14.186236344719964</v>
      </c>
      <c r="E178" s="1289">
        <f t="shared" si="170"/>
        <v>14.288784952592678</v>
      </c>
      <c r="F178" s="1289">
        <f t="shared" si="170"/>
        <v>14.288784952592682</v>
      </c>
      <c r="G178" s="1290">
        <f t="shared" si="170"/>
        <v>14.288784952592682</v>
      </c>
      <c r="H178" s="1290">
        <f t="shared" si="170"/>
        <v>14.288784952592678</v>
      </c>
      <c r="I178" s="1290">
        <f t="shared" si="170"/>
        <v>14.288784952592678</v>
      </c>
      <c r="S178" s="1263"/>
      <c r="T178" s="1263"/>
      <c r="U178" s="1263"/>
      <c r="V178" s="1263"/>
      <c r="W178" s="1263"/>
    </row>
    <row r="179" spans="2:23" x14ac:dyDescent="0.35">
      <c r="B179" s="1291"/>
      <c r="C179" s="1291"/>
      <c r="D179" s="1292"/>
      <c r="E179" s="1292"/>
      <c r="F179" s="1276"/>
      <c r="G179" s="1276"/>
      <c r="H179" s="1276"/>
      <c r="I179" s="1276"/>
      <c r="S179" s="1263"/>
      <c r="T179" s="1263"/>
      <c r="U179" s="1263"/>
      <c r="V179" s="1263"/>
      <c r="W179" s="1263"/>
    </row>
    <row r="180" spans="2:23" x14ac:dyDescent="0.35">
      <c r="B180" s="1291"/>
      <c r="C180" s="1291"/>
      <c r="D180" s="1292"/>
      <c r="E180" s="1292"/>
      <c r="F180" s="1276"/>
      <c r="G180" s="1276"/>
      <c r="H180" s="1276"/>
      <c r="I180" s="1276"/>
      <c r="S180" s="1263"/>
      <c r="T180" s="1263"/>
      <c r="U180" s="1263"/>
      <c r="V180" s="1263"/>
      <c r="W180" s="1263"/>
    </row>
    <row r="181" spans="2:23" ht="30" x14ac:dyDescent="0.35">
      <c r="B181" s="1273" t="s">
        <v>424</v>
      </c>
      <c r="C181" s="1274" t="s">
        <v>1542</v>
      </c>
      <c r="D181" s="1275"/>
      <c r="E181" s="1275"/>
      <c r="F181" s="1276"/>
      <c r="G181" s="1276"/>
      <c r="H181" s="1276"/>
      <c r="I181" s="1276"/>
      <c r="S181" s="1263"/>
      <c r="T181" s="1263"/>
      <c r="U181" s="1263"/>
      <c r="V181" s="1263"/>
      <c r="W181" s="1263"/>
    </row>
    <row r="182" spans="2:23" x14ac:dyDescent="0.35">
      <c r="B182" s="1273">
        <v>1</v>
      </c>
      <c r="C182" s="1274" t="s">
        <v>1543</v>
      </c>
      <c r="D182" s="1293">
        <f>$P$23*59/182*0</f>
        <v>0</v>
      </c>
      <c r="E182" s="1293">
        <f>S23*274/365</f>
        <v>2794.7308517394681</v>
      </c>
      <c r="F182" s="1294">
        <f>T23</f>
        <v>3723.0369943063938</v>
      </c>
      <c r="G182" s="1294">
        <f>U23</f>
        <v>3723.0369943063938</v>
      </c>
      <c r="H182" s="1294">
        <f>V23</f>
        <v>3723.1661021715258</v>
      </c>
      <c r="I182" s="1294">
        <f>W23</f>
        <v>3722.9078864412627</v>
      </c>
      <c r="S182" s="1263"/>
      <c r="T182" s="1263"/>
      <c r="U182" s="1263"/>
      <c r="V182" s="1263"/>
      <c r="W182" s="1263"/>
    </row>
    <row r="183" spans="2:23" x14ac:dyDescent="0.35">
      <c r="B183" s="1273">
        <f>B182+1</f>
        <v>2</v>
      </c>
      <c r="C183" s="1274" t="s">
        <v>1544</v>
      </c>
      <c r="D183" s="1295" t="s">
        <v>2112</v>
      </c>
      <c r="E183" s="1295" t="s">
        <v>2112</v>
      </c>
      <c r="F183" s="1295" t="s">
        <v>2112</v>
      </c>
      <c r="G183" s="1295" t="s">
        <v>2112</v>
      </c>
      <c r="H183" s="1295" t="s">
        <v>2112</v>
      </c>
      <c r="I183" s="1295" t="s">
        <v>2112</v>
      </c>
      <c r="S183" s="1263"/>
      <c r="T183" s="1263"/>
      <c r="U183" s="1263"/>
      <c r="V183" s="1263"/>
      <c r="W183" s="1263"/>
    </row>
    <row r="184" spans="2:23" ht="30" x14ac:dyDescent="0.35">
      <c r="B184" s="1273">
        <f t="shared" ref="B184:B187" si="171">B183+1</f>
        <v>3</v>
      </c>
      <c r="C184" s="1274" t="s">
        <v>1541</v>
      </c>
      <c r="D184" s="1282">
        <f t="shared" ref="D184:I184" si="172">IF(D183="SBC",12*100%/D172,D178)</f>
        <v>14.117647058823529</v>
      </c>
      <c r="E184" s="1282">
        <f t="shared" si="172"/>
        <v>14.117647058823529</v>
      </c>
      <c r="F184" s="1282">
        <f t="shared" si="172"/>
        <v>14.117647058823529</v>
      </c>
      <c r="G184" s="1296">
        <f t="shared" si="172"/>
        <v>14.117647058823529</v>
      </c>
      <c r="H184" s="1296">
        <f t="shared" si="172"/>
        <v>14.117647058823529</v>
      </c>
      <c r="I184" s="1296">
        <f t="shared" si="172"/>
        <v>14.117647058823529</v>
      </c>
      <c r="S184" s="1263"/>
      <c r="T184" s="1263"/>
      <c r="U184" s="1263"/>
      <c r="V184" s="1263"/>
      <c r="W184" s="1263"/>
    </row>
    <row r="185" spans="2:23" x14ac:dyDescent="0.35">
      <c r="B185" s="1273">
        <f t="shared" si="171"/>
        <v>4</v>
      </c>
      <c r="C185" s="1274" t="s">
        <v>1545</v>
      </c>
      <c r="D185" s="1282">
        <f t="shared" ref="D185" si="173">D182*D184</f>
        <v>0</v>
      </c>
      <c r="E185" s="1282">
        <f t="shared" ref="E185" si="174">E182*E184</f>
        <v>39455.023789263076</v>
      </c>
      <c r="F185" s="1282">
        <f>F182*F184</f>
        <v>52560.522272560855</v>
      </c>
      <c r="G185" s="1296">
        <f>G182*G184</f>
        <v>52560.522272560855</v>
      </c>
      <c r="H185" s="1296">
        <f>H182*H184</f>
        <v>52562.344971833307</v>
      </c>
      <c r="I185" s="1296">
        <f>I182*I184</f>
        <v>52558.69957328841</v>
      </c>
    </row>
    <row r="186" spans="2:23" x14ac:dyDescent="0.35">
      <c r="B186" s="1273">
        <f t="shared" si="171"/>
        <v>5</v>
      </c>
      <c r="C186" s="1274" t="s">
        <v>1546</v>
      </c>
      <c r="D186" s="1297" t="str">
        <f t="shared" ref="D186:I186" si="175">IF(D183="SBC","44895.46","3228.75")</f>
        <v>44895.46</v>
      </c>
      <c r="E186" s="1295" t="str">
        <f t="shared" si="175"/>
        <v>44895.46</v>
      </c>
      <c r="F186" s="1295" t="str">
        <f t="shared" si="175"/>
        <v>44895.46</v>
      </c>
      <c r="G186" s="1295" t="str">
        <f t="shared" si="175"/>
        <v>44895.46</v>
      </c>
      <c r="H186" s="1295" t="str">
        <f t="shared" si="175"/>
        <v>44895.46</v>
      </c>
      <c r="I186" s="1295" t="str">
        <f t="shared" si="175"/>
        <v>44895.46</v>
      </c>
    </row>
    <row r="187" spans="2:23" ht="30" x14ac:dyDescent="0.35">
      <c r="B187" s="1273">
        <f t="shared" si="171"/>
        <v>6</v>
      </c>
      <c r="C187" s="1274" t="s">
        <v>1547</v>
      </c>
      <c r="D187" s="1289">
        <f t="shared" ref="D187:I187" si="176">D186*D185/10^7</f>
        <v>0</v>
      </c>
      <c r="E187" s="1289">
        <f t="shared" si="176"/>
        <v>177.13514423299088</v>
      </c>
      <c r="F187" s="1289">
        <f t="shared" si="176"/>
        <v>235.97288252668648</v>
      </c>
      <c r="G187" s="1290">
        <f t="shared" si="176"/>
        <v>235.97288252668648</v>
      </c>
      <c r="H187" s="1290">
        <f t="shared" si="176"/>
        <v>235.98106561891433</v>
      </c>
      <c r="I187" s="1290">
        <f t="shared" si="176"/>
        <v>235.96469943445868</v>
      </c>
    </row>
    <row r="188" spans="2:23" x14ac:dyDescent="0.35">
      <c r="B188" s="1291"/>
      <c r="C188" s="1291"/>
      <c r="D188" s="1293"/>
      <c r="E188" s="1287"/>
      <c r="F188" s="1276"/>
      <c r="G188" s="1276"/>
      <c r="H188" s="1276"/>
      <c r="I188" s="1276"/>
    </row>
    <row r="189" spans="2:23" x14ac:dyDescent="0.35">
      <c r="B189" s="1291"/>
      <c r="C189" s="1291"/>
      <c r="D189" s="1287"/>
      <c r="E189" s="1287"/>
      <c r="F189" s="1276"/>
      <c r="G189" s="1276"/>
      <c r="H189" s="1276"/>
      <c r="I189" s="1276"/>
    </row>
    <row r="190" spans="2:23" ht="30" x14ac:dyDescent="0.35">
      <c r="B190" s="1273" t="s">
        <v>424</v>
      </c>
      <c r="C190" s="1273" t="s">
        <v>1550</v>
      </c>
      <c r="D190" s="1275"/>
      <c r="E190" s="1275"/>
      <c r="F190" s="1276"/>
      <c r="G190" s="1276"/>
      <c r="H190" s="1276"/>
      <c r="I190" s="1276"/>
    </row>
    <row r="191" spans="2:23" x14ac:dyDescent="0.35">
      <c r="B191" s="1273">
        <v>1</v>
      </c>
      <c r="C191" s="1273" t="s">
        <v>1543</v>
      </c>
      <c r="D191" s="1282">
        <f t="shared" ref="D191:I191" si="177">D182</f>
        <v>0</v>
      </c>
      <c r="E191" s="1282">
        <f t="shared" si="177"/>
        <v>2794.7308517394681</v>
      </c>
      <c r="F191" s="1282">
        <f t="shared" si="177"/>
        <v>3723.0369943063938</v>
      </c>
      <c r="G191" s="1298">
        <f t="shared" si="177"/>
        <v>3723.0369943063938</v>
      </c>
      <c r="H191" s="1298">
        <f t="shared" si="177"/>
        <v>3723.1661021715258</v>
      </c>
      <c r="I191" s="1298">
        <f t="shared" si="177"/>
        <v>3722.9078864412627</v>
      </c>
    </row>
    <row r="192" spans="2:23" x14ac:dyDescent="0.35">
      <c r="B192" s="1273">
        <f>B191+1</f>
        <v>2</v>
      </c>
      <c r="C192" s="1273" t="s">
        <v>1544</v>
      </c>
      <c r="D192" s="1295" t="s">
        <v>2113</v>
      </c>
      <c r="E192" s="1295" t="s">
        <v>2113</v>
      </c>
      <c r="F192" s="1295" t="s">
        <v>2113</v>
      </c>
      <c r="G192" s="1295" t="s">
        <v>2113</v>
      </c>
      <c r="H192" s="1295" t="s">
        <v>2113</v>
      </c>
      <c r="I192" s="1295" t="s">
        <v>2113</v>
      </c>
    </row>
    <row r="193" spans="2:9" ht="30" x14ac:dyDescent="0.35">
      <c r="B193" s="1273">
        <f t="shared" ref="B193:B196" si="178">B192+1</f>
        <v>3</v>
      </c>
      <c r="C193" s="1273" t="s">
        <v>1551</v>
      </c>
      <c r="D193" s="1282">
        <v>0.6</v>
      </c>
      <c r="E193" s="1282">
        <v>0.6</v>
      </c>
      <c r="F193" s="1282">
        <v>0.6</v>
      </c>
      <c r="G193" s="1282">
        <v>0.6</v>
      </c>
      <c r="H193" s="1282">
        <v>0.6</v>
      </c>
      <c r="I193" s="1282">
        <v>0.6</v>
      </c>
    </row>
    <row r="194" spans="2:9" x14ac:dyDescent="0.35">
      <c r="B194" s="1273">
        <f t="shared" si="178"/>
        <v>4</v>
      </c>
      <c r="C194" s="1273" t="s">
        <v>1552</v>
      </c>
      <c r="D194" s="1282">
        <f t="shared" ref="D194" si="179">D191*D193</f>
        <v>0</v>
      </c>
      <c r="E194" s="1282">
        <f t="shared" ref="E194" si="180">E191*E193</f>
        <v>1676.8385110436809</v>
      </c>
      <c r="F194" s="1282">
        <f>F191*F193</f>
        <v>2233.8221965838361</v>
      </c>
      <c r="G194" s="1296">
        <f>G191*G193</f>
        <v>2233.8221965838361</v>
      </c>
      <c r="H194" s="1296">
        <f>H191*H193</f>
        <v>2233.8996613029153</v>
      </c>
      <c r="I194" s="1296">
        <f>I191*I193</f>
        <v>2233.7447318647573</v>
      </c>
    </row>
    <row r="195" spans="2:9" x14ac:dyDescent="0.35">
      <c r="B195" s="1273">
        <f t="shared" si="178"/>
        <v>5</v>
      </c>
      <c r="C195" s="1273" t="s">
        <v>1553</v>
      </c>
      <c r="D195" s="1287">
        <v>116.82</v>
      </c>
      <c r="E195" s="1287">
        <v>116.82</v>
      </c>
      <c r="F195" s="1287">
        <v>116.82</v>
      </c>
      <c r="G195" s="1287">
        <v>116.82</v>
      </c>
      <c r="H195" s="1287">
        <v>116.82</v>
      </c>
      <c r="I195" s="1287">
        <v>116.82</v>
      </c>
    </row>
    <row r="196" spans="2:9" ht="30" x14ac:dyDescent="0.35">
      <c r="B196" s="1273">
        <f t="shared" si="178"/>
        <v>6</v>
      </c>
      <c r="C196" s="1273" t="s">
        <v>1554</v>
      </c>
      <c r="D196" s="1282">
        <f t="shared" ref="D196:I196" si="181">D195*D194/10^7</f>
        <v>0</v>
      </c>
      <c r="E196" s="1282">
        <f t="shared" si="181"/>
        <v>1.9588827486012279E-2</v>
      </c>
      <c r="F196" s="1282">
        <f t="shared" si="181"/>
        <v>2.6095510900492374E-2</v>
      </c>
      <c r="G196" s="1296">
        <f t="shared" si="181"/>
        <v>2.6095510900492374E-2</v>
      </c>
      <c r="H196" s="1296">
        <f t="shared" si="181"/>
        <v>2.6096415843340656E-2</v>
      </c>
      <c r="I196" s="1296">
        <f t="shared" si="181"/>
        <v>2.6094605957644096E-2</v>
      </c>
    </row>
    <row r="197" spans="2:9" x14ac:dyDescent="0.35">
      <c r="B197" s="1238"/>
      <c r="C197" s="1265"/>
      <c r="D197" s="1299"/>
      <c r="E197" s="1299"/>
      <c r="F197" s="1276"/>
      <c r="G197" s="1276"/>
      <c r="H197" s="1276"/>
      <c r="I197" s="1276"/>
    </row>
    <row r="198" spans="2:9" ht="16" thickBot="1" x14ac:dyDescent="0.4">
      <c r="B198" s="392"/>
      <c r="C198" s="382" t="s">
        <v>1555</v>
      </c>
      <c r="D198" s="1300">
        <f t="shared" ref="D198:I198" si="182">D187+D196</f>
        <v>0</v>
      </c>
      <c r="E198" s="1300">
        <f t="shared" si="182"/>
        <v>177.1547330604769</v>
      </c>
      <c r="F198" s="1300">
        <f t="shared" si="182"/>
        <v>235.99897803758697</v>
      </c>
      <c r="G198" s="1301">
        <f t="shared" si="182"/>
        <v>235.99897803758697</v>
      </c>
      <c r="H198" s="1301">
        <f t="shared" si="182"/>
        <v>236.00716203475767</v>
      </c>
      <c r="I198" s="1301">
        <f t="shared" si="182"/>
        <v>235.99079404041632</v>
      </c>
    </row>
    <row r="199" spans="2:9" x14ac:dyDescent="0.35">
      <c r="B199" s="1238"/>
      <c r="C199" s="1265"/>
      <c r="D199" s="1265"/>
      <c r="E199" s="1302"/>
      <c r="F199" s="1303"/>
      <c r="G199" s="1304"/>
      <c r="H199" s="1265"/>
      <c r="I199" s="1305"/>
    </row>
  </sheetData>
  <mergeCells count="14">
    <mergeCell ref="S6:W6"/>
    <mergeCell ref="N2:X2"/>
    <mergeCell ref="N3:X3"/>
    <mergeCell ref="N4:X4"/>
    <mergeCell ref="B6:B8"/>
    <mergeCell ref="C6:C8"/>
    <mergeCell ref="D6:D8"/>
    <mergeCell ref="X6:X8"/>
    <mergeCell ref="B2:L2"/>
    <mergeCell ref="B3:L3"/>
    <mergeCell ref="E6:H6"/>
    <mergeCell ref="I6:L6"/>
    <mergeCell ref="M6:R6"/>
    <mergeCell ref="B4:L4"/>
  </mergeCells>
  <phoneticPr fontId="21" type="noConversion"/>
  <dataValidations count="1">
    <dataValidation type="list" allowBlank="1" showInputMessage="1" showErrorMessage="1" sqref="D173:I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E10" activePane="bottomRight" state="frozen"/>
      <selection activeCell="G26" sqref="G26"/>
      <selection pane="topRight" activeCell="G26" sqref="G26"/>
      <selection pane="bottomLeft" activeCell="G26" sqref="G26"/>
      <selection pane="bottomRight" activeCell="I28" sqref="I28"/>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x14ac:dyDescent="0.3">
      <c r="B2" s="1758" t="str">
        <f>Index!B2</f>
        <v xml:space="preserve">      Maharashtra State Power Generation Company Ltd.</v>
      </c>
      <c r="C2" s="1758"/>
      <c r="D2" s="1758"/>
      <c r="E2" s="1758"/>
      <c r="F2" s="1758"/>
      <c r="G2" s="1758"/>
      <c r="H2" s="1758"/>
      <c r="I2" s="1758"/>
      <c r="J2" s="1758"/>
      <c r="K2" s="1791" t="str">
        <f>B2</f>
        <v xml:space="preserve">      Maharashtra State Power Generation Company Ltd.</v>
      </c>
      <c r="L2" s="1791"/>
      <c r="M2" s="1791"/>
      <c r="N2" s="1791"/>
      <c r="O2" s="1791"/>
      <c r="P2" s="1791"/>
      <c r="Q2" s="1791"/>
      <c r="R2" s="1791"/>
      <c r="S2" s="1791"/>
      <c r="T2" s="1791"/>
      <c r="U2" s="1791"/>
    </row>
    <row r="3" spans="2:21" x14ac:dyDescent="0.3">
      <c r="B3" s="1758" t="str">
        <f>Index!B3</f>
        <v>MYT Petition Formats for Parli Units 6 &amp; 7</v>
      </c>
      <c r="C3" s="1758"/>
      <c r="D3" s="1758"/>
      <c r="E3" s="1758"/>
      <c r="F3" s="1758"/>
      <c r="G3" s="1758"/>
      <c r="H3" s="1758"/>
      <c r="I3" s="1758"/>
      <c r="J3" s="1758"/>
      <c r="K3" s="1791" t="str">
        <f>B3</f>
        <v>MYT Petition Formats for Parli Units 6 &amp; 7</v>
      </c>
      <c r="L3" s="1791"/>
      <c r="M3" s="1791"/>
      <c r="N3" s="1791"/>
      <c r="O3" s="1791"/>
      <c r="P3" s="1791"/>
      <c r="Q3" s="1791"/>
      <c r="R3" s="1791"/>
      <c r="S3" s="1791"/>
      <c r="T3" s="1791"/>
      <c r="U3" s="1791"/>
    </row>
    <row r="4" spans="2:21" x14ac:dyDescent="0.3">
      <c r="B4" s="1758" t="s">
        <v>382</v>
      </c>
      <c r="C4" s="1758"/>
      <c r="D4" s="1758"/>
      <c r="E4" s="1758"/>
      <c r="F4" s="1758"/>
      <c r="G4" s="1758"/>
      <c r="H4" s="1758"/>
      <c r="I4" s="1758"/>
      <c r="J4" s="1758"/>
      <c r="K4" s="1791" t="str">
        <f>B4</f>
        <v>Form 2.3: Fuel Cost Details for Thermal Generation</v>
      </c>
      <c r="L4" s="1791"/>
      <c r="M4" s="1791"/>
      <c r="N4" s="1791"/>
      <c r="O4" s="1791"/>
      <c r="P4" s="1791"/>
      <c r="Q4" s="1791"/>
      <c r="R4" s="1791"/>
      <c r="S4" s="1791"/>
      <c r="T4" s="1791"/>
      <c r="U4" s="1791"/>
    </row>
    <row r="5" spans="2:21" x14ac:dyDescent="0.3">
      <c r="B5" s="185"/>
      <c r="C5" s="117"/>
      <c r="D5" s="117"/>
      <c r="E5" s="117"/>
      <c r="F5" s="117"/>
      <c r="G5" s="117"/>
      <c r="H5" s="117"/>
      <c r="I5" s="117"/>
      <c r="J5" s="117"/>
      <c r="K5" s="117"/>
      <c r="L5" s="117"/>
      <c r="M5" s="117"/>
      <c r="N5" s="117"/>
      <c r="O5" s="117"/>
      <c r="P5" s="117"/>
      <c r="Q5" s="117"/>
      <c r="R5" s="117"/>
      <c r="S5" s="117"/>
      <c r="T5" s="117"/>
      <c r="U5" s="117"/>
    </row>
    <row r="6" spans="2:21" x14ac:dyDescent="0.3">
      <c r="B6" s="53"/>
      <c r="C6" s="17"/>
      <c r="D6" s="18"/>
      <c r="E6" s="18"/>
      <c r="F6" s="18"/>
      <c r="G6" s="18"/>
      <c r="H6" s="18"/>
      <c r="I6" s="18"/>
      <c r="J6" s="18"/>
      <c r="K6" s="18"/>
      <c r="L6" s="18"/>
      <c r="M6" s="18"/>
    </row>
    <row r="7" spans="2:21" s="35" customFormat="1" ht="15" x14ac:dyDescent="0.3">
      <c r="B7" s="1792" t="s">
        <v>339</v>
      </c>
      <c r="C7" s="1794" t="s">
        <v>36</v>
      </c>
      <c r="D7" s="1794" t="s">
        <v>138</v>
      </c>
      <c r="E7" s="1754" t="s">
        <v>506</v>
      </c>
      <c r="F7" s="1755"/>
      <c r="G7" s="1756"/>
      <c r="H7" s="1754" t="s">
        <v>507</v>
      </c>
      <c r="I7" s="1755"/>
      <c r="J7" s="1756"/>
      <c r="K7" s="1754" t="s">
        <v>508</v>
      </c>
      <c r="L7" s="1755"/>
      <c r="M7" s="1755"/>
      <c r="N7" s="1755"/>
      <c r="O7" s="1756"/>
      <c r="P7" s="1757" t="s">
        <v>967</v>
      </c>
      <c r="Q7" s="1757"/>
      <c r="R7" s="1757"/>
      <c r="S7" s="1757"/>
      <c r="T7" s="1757"/>
      <c r="U7" s="1760" t="s">
        <v>26</v>
      </c>
    </row>
    <row r="8" spans="2:21" s="36" customFormat="1" ht="44.25" customHeight="1" x14ac:dyDescent="0.25">
      <c r="B8" s="1792"/>
      <c r="C8" s="1794"/>
      <c r="D8" s="1794"/>
      <c r="E8" s="290" t="s">
        <v>916</v>
      </c>
      <c r="F8" s="291" t="s">
        <v>78</v>
      </c>
      <c r="G8" s="291" t="s">
        <v>449</v>
      </c>
      <c r="H8" s="716" t="s">
        <v>916</v>
      </c>
      <c r="I8" s="291" t="s">
        <v>78</v>
      </c>
      <c r="J8" s="291" t="s">
        <v>449</v>
      </c>
      <c r="K8" s="716" t="s">
        <v>916</v>
      </c>
      <c r="L8" s="291" t="s">
        <v>443</v>
      </c>
      <c r="M8" s="291" t="s">
        <v>447</v>
      </c>
      <c r="N8" s="291" t="s">
        <v>79</v>
      </c>
      <c r="O8" s="291" t="s">
        <v>450</v>
      </c>
      <c r="P8" s="672" t="s">
        <v>968</v>
      </c>
      <c r="Q8" s="672" t="s">
        <v>969</v>
      </c>
      <c r="R8" s="672" t="s">
        <v>970</v>
      </c>
      <c r="S8" s="672" t="s">
        <v>971</v>
      </c>
      <c r="T8" s="672" t="s">
        <v>972</v>
      </c>
      <c r="U8" s="1761"/>
    </row>
    <row r="9" spans="2:21" s="36" customFormat="1" ht="15" x14ac:dyDescent="0.25">
      <c r="B9" s="1793"/>
      <c r="C9" s="1764"/>
      <c r="D9" s="1764"/>
      <c r="E9" s="291" t="s">
        <v>80</v>
      </c>
      <c r="F9" s="291" t="s">
        <v>81</v>
      </c>
      <c r="G9" s="291" t="s">
        <v>676</v>
      </c>
      <c r="H9" s="291" t="s">
        <v>390</v>
      </c>
      <c r="I9" s="291" t="s">
        <v>408</v>
      </c>
      <c r="J9" s="291" t="s">
        <v>454</v>
      </c>
      <c r="K9" s="291" t="s">
        <v>409</v>
      </c>
      <c r="L9" s="291" t="s">
        <v>410</v>
      </c>
      <c r="M9" s="291" t="s">
        <v>589</v>
      </c>
      <c r="N9" s="291" t="s">
        <v>677</v>
      </c>
      <c r="O9" s="291" t="s">
        <v>984</v>
      </c>
      <c r="P9" s="672" t="s">
        <v>21</v>
      </c>
      <c r="Q9" s="672" t="s">
        <v>21</v>
      </c>
      <c r="R9" s="672" t="s">
        <v>21</v>
      </c>
      <c r="S9" s="672" t="s">
        <v>21</v>
      </c>
      <c r="T9" s="672" t="s">
        <v>21</v>
      </c>
      <c r="U9" s="1795"/>
    </row>
    <row r="10" spans="2:21" s="36" customFormat="1" ht="15.5" x14ac:dyDescent="0.25">
      <c r="B10" s="340" t="s">
        <v>171</v>
      </c>
      <c r="C10" s="341" t="s">
        <v>783</v>
      </c>
      <c r="D10" s="397"/>
      <c r="E10" s="397"/>
      <c r="F10" s="397"/>
      <c r="G10" s="397"/>
      <c r="H10" s="397"/>
      <c r="I10" s="397"/>
      <c r="J10" s="397"/>
      <c r="K10" s="387"/>
      <c r="L10" s="387"/>
      <c r="M10" s="387"/>
      <c r="N10" s="387"/>
      <c r="O10" s="387"/>
      <c r="P10" s="387"/>
      <c r="Q10" s="387"/>
      <c r="R10" s="387"/>
      <c r="S10" s="387"/>
      <c r="T10" s="387"/>
      <c r="U10" s="387"/>
    </row>
    <row r="11" spans="2:21" s="419" customFormat="1" ht="15.5" x14ac:dyDescent="0.35">
      <c r="B11" s="417">
        <v>1</v>
      </c>
      <c r="C11" s="398" t="s">
        <v>139</v>
      </c>
      <c r="D11" s="462" t="s">
        <v>116</v>
      </c>
      <c r="E11" s="726">
        <f>F11</f>
        <v>3195.75</v>
      </c>
      <c r="F11" s="722">
        <v>3195.75</v>
      </c>
      <c r="G11" s="722">
        <f>F11-E11</f>
        <v>0</v>
      </c>
      <c r="H11" s="726">
        <f>I11</f>
        <v>3686.8367375470698</v>
      </c>
      <c r="I11" s="833">
        <v>3686.8367375470698</v>
      </c>
      <c r="J11" s="722">
        <f>I11-H11</f>
        <v>0</v>
      </c>
      <c r="K11" s="623"/>
      <c r="L11" s="1190">
        <v>3375.1151867111075</v>
      </c>
      <c r="M11" s="1190"/>
      <c r="N11" s="1192"/>
      <c r="O11" s="506">
        <f>N11-K11</f>
        <v>0</v>
      </c>
      <c r="P11" s="1186"/>
      <c r="Q11" s="1186"/>
      <c r="R11" s="1186"/>
      <c r="S11" s="1186"/>
      <c r="T11" s="1186"/>
      <c r="U11" s="418"/>
    </row>
    <row r="12" spans="2:21" s="419" customFormat="1" ht="15.5" x14ac:dyDescent="0.35">
      <c r="B12" s="417">
        <f>B11+1</f>
        <v>2</v>
      </c>
      <c r="C12" s="399" t="s">
        <v>784</v>
      </c>
      <c r="D12" s="462" t="s">
        <v>116</v>
      </c>
      <c r="E12" s="726">
        <f t="shared" ref="E12:E22" si="0">F12</f>
        <v>1167.1333057290001</v>
      </c>
      <c r="F12" s="722">
        <v>1167.1333057290001</v>
      </c>
      <c r="G12" s="722">
        <f t="shared" ref="G12:G25" si="1">F12-E12</f>
        <v>0</v>
      </c>
      <c r="H12" s="726">
        <f t="shared" ref="H12:H22" si="2">I12</f>
        <v>1221</v>
      </c>
      <c r="I12" s="833">
        <v>1221</v>
      </c>
      <c r="J12" s="722">
        <f t="shared" ref="J12:J25" si="3">I12-H12</f>
        <v>0</v>
      </c>
      <c r="K12" s="623"/>
      <c r="L12" s="1190">
        <v>1181.7650538901926</v>
      </c>
      <c r="M12" s="1190"/>
      <c r="N12" s="558"/>
      <c r="O12" s="506">
        <f t="shared" ref="O12:O25" si="4">N12-K12</f>
        <v>0</v>
      </c>
      <c r="P12" s="1186"/>
      <c r="Q12" s="1186"/>
      <c r="R12" s="1186"/>
      <c r="S12" s="1186"/>
      <c r="T12" s="1186"/>
      <c r="U12" s="418"/>
    </row>
    <row r="13" spans="2:21" s="419" customFormat="1" ht="15.5" x14ac:dyDescent="0.35">
      <c r="B13" s="417">
        <f t="shared" ref="B13:B26" si="5">B12+1</f>
        <v>3</v>
      </c>
      <c r="C13" s="399" t="s">
        <v>227</v>
      </c>
      <c r="D13" s="462" t="s">
        <v>116</v>
      </c>
      <c r="E13" s="726">
        <f t="shared" si="0"/>
        <v>0</v>
      </c>
      <c r="F13" s="722">
        <v>0</v>
      </c>
      <c r="G13" s="722">
        <f t="shared" si="1"/>
        <v>0</v>
      </c>
      <c r="H13" s="726">
        <f t="shared" si="2"/>
        <v>0</v>
      </c>
      <c r="I13" s="833">
        <v>0</v>
      </c>
      <c r="J13" s="722">
        <f t="shared" si="3"/>
        <v>0</v>
      </c>
      <c r="K13" s="623"/>
      <c r="L13" s="1190">
        <v>0</v>
      </c>
      <c r="M13" s="1190"/>
      <c r="N13" s="558"/>
      <c r="O13" s="506">
        <f t="shared" si="4"/>
        <v>0</v>
      </c>
      <c r="P13" s="1186"/>
      <c r="Q13" s="1186"/>
      <c r="R13" s="1186"/>
      <c r="S13" s="1186"/>
      <c r="T13" s="1186"/>
      <c r="U13" s="418"/>
    </row>
    <row r="14" spans="2:21" s="419" customFormat="1" ht="15.5" x14ac:dyDescent="0.35">
      <c r="B14" s="417">
        <f t="shared" si="5"/>
        <v>4</v>
      </c>
      <c r="C14" s="399" t="s">
        <v>793</v>
      </c>
      <c r="D14" s="462" t="s">
        <v>116</v>
      </c>
      <c r="E14" s="726">
        <f t="shared" si="0"/>
        <v>0</v>
      </c>
      <c r="F14" s="722">
        <v>0</v>
      </c>
      <c r="G14" s="722">
        <f t="shared" si="1"/>
        <v>0</v>
      </c>
      <c r="H14" s="726">
        <f t="shared" si="2"/>
        <v>0</v>
      </c>
      <c r="I14" s="833">
        <v>0</v>
      </c>
      <c r="J14" s="722">
        <f t="shared" si="3"/>
        <v>0</v>
      </c>
      <c r="K14" s="623"/>
      <c r="L14" s="1190">
        <v>0</v>
      </c>
      <c r="M14" s="1190"/>
      <c r="N14" s="558"/>
      <c r="O14" s="722">
        <f t="shared" si="4"/>
        <v>0</v>
      </c>
      <c r="P14" s="1186"/>
      <c r="Q14" s="1186"/>
      <c r="R14" s="1186"/>
      <c r="S14" s="1186"/>
      <c r="T14" s="1186"/>
      <c r="U14" s="402"/>
    </row>
    <row r="15" spans="2:21" s="419" customFormat="1" ht="15.5" x14ac:dyDescent="0.35">
      <c r="B15" s="417">
        <f t="shared" si="5"/>
        <v>5</v>
      </c>
      <c r="C15" s="399" t="s">
        <v>824</v>
      </c>
      <c r="D15" s="462" t="s">
        <v>116</v>
      </c>
      <c r="E15" s="726">
        <f t="shared" si="0"/>
        <v>201.61623000000003</v>
      </c>
      <c r="F15" s="722">
        <v>201.61623000000003</v>
      </c>
      <c r="G15" s="722">
        <f t="shared" si="1"/>
        <v>0</v>
      </c>
      <c r="H15" s="726">
        <f t="shared" si="2"/>
        <v>231.40820833228841</v>
      </c>
      <c r="I15" s="833">
        <v>231.40820833228841</v>
      </c>
      <c r="J15" s="722">
        <f t="shared" si="3"/>
        <v>0</v>
      </c>
      <c r="K15" s="623"/>
      <c r="L15" s="1190">
        <v>212.5240887718</v>
      </c>
      <c r="M15" s="1190"/>
      <c r="N15" s="558"/>
      <c r="O15" s="722">
        <f t="shared" si="4"/>
        <v>0</v>
      </c>
      <c r="P15" s="1186"/>
      <c r="Q15" s="1186"/>
      <c r="R15" s="1186"/>
      <c r="S15" s="1186"/>
      <c r="T15" s="1186"/>
      <c r="U15" s="402"/>
    </row>
    <row r="16" spans="2:21" s="419" customFormat="1" ht="15.5" x14ac:dyDescent="0.35">
      <c r="B16" s="417">
        <f t="shared" si="5"/>
        <v>6</v>
      </c>
      <c r="C16" s="399" t="s">
        <v>785</v>
      </c>
      <c r="D16" s="462" t="s">
        <v>116</v>
      </c>
      <c r="E16" s="726">
        <f t="shared" si="0"/>
        <v>0</v>
      </c>
      <c r="F16" s="722">
        <v>0</v>
      </c>
      <c r="G16" s="722">
        <f t="shared" si="1"/>
        <v>0</v>
      </c>
      <c r="H16" s="726">
        <f t="shared" si="2"/>
        <v>0</v>
      </c>
      <c r="I16" s="833">
        <v>0</v>
      </c>
      <c r="J16" s="722">
        <f t="shared" si="3"/>
        <v>0</v>
      </c>
      <c r="K16" s="623"/>
      <c r="L16" s="1190">
        <v>0</v>
      </c>
      <c r="M16" s="1190"/>
      <c r="N16" s="558"/>
      <c r="O16" s="722">
        <f t="shared" si="4"/>
        <v>0</v>
      </c>
      <c r="P16" s="1186"/>
      <c r="Q16" s="1186"/>
      <c r="R16" s="1186"/>
      <c r="S16" s="1186"/>
      <c r="T16" s="1186"/>
      <c r="U16" s="402"/>
    </row>
    <row r="17" spans="2:21" s="419" customFormat="1" ht="15.5" x14ac:dyDescent="0.35">
      <c r="B17" s="417">
        <f t="shared" si="5"/>
        <v>7</v>
      </c>
      <c r="C17" s="399" t="s">
        <v>786</v>
      </c>
      <c r="D17" s="462" t="s">
        <v>116</v>
      </c>
      <c r="E17" s="726">
        <f t="shared" si="0"/>
        <v>447.40500000000003</v>
      </c>
      <c r="F17" s="722">
        <v>447.40500000000003</v>
      </c>
      <c r="G17" s="722">
        <f t="shared" si="1"/>
        <v>0</v>
      </c>
      <c r="H17" s="726">
        <f t="shared" si="2"/>
        <v>516.15714325658985</v>
      </c>
      <c r="I17" s="833">
        <v>516.15714325658985</v>
      </c>
      <c r="J17" s="722">
        <f t="shared" si="3"/>
        <v>0</v>
      </c>
      <c r="K17" s="623"/>
      <c r="L17" s="1190">
        <v>472.51612613955513</v>
      </c>
      <c r="M17" s="1190"/>
      <c r="N17" s="558"/>
      <c r="O17" s="722">
        <f t="shared" si="4"/>
        <v>0</v>
      </c>
      <c r="P17" s="1186"/>
      <c r="Q17" s="1186"/>
      <c r="R17" s="1186"/>
      <c r="S17" s="1186"/>
      <c r="T17" s="1186"/>
      <c r="U17" s="402"/>
    </row>
    <row r="18" spans="2:21" s="419" customFormat="1" ht="15.5" x14ac:dyDescent="0.35">
      <c r="B18" s="417">
        <f t="shared" si="5"/>
        <v>8</v>
      </c>
      <c r="C18" s="399" t="s">
        <v>787</v>
      </c>
      <c r="D18" s="462" t="s">
        <v>116</v>
      </c>
      <c r="E18" s="726">
        <f t="shared" si="0"/>
        <v>123</v>
      </c>
      <c r="F18" s="722">
        <v>123</v>
      </c>
      <c r="G18" s="722">
        <f t="shared" si="1"/>
        <v>0</v>
      </c>
      <c r="H18" s="726">
        <f t="shared" si="2"/>
        <v>130</v>
      </c>
      <c r="I18" s="833">
        <v>130</v>
      </c>
      <c r="J18" s="722">
        <f t="shared" si="3"/>
        <v>0</v>
      </c>
      <c r="K18" s="623"/>
      <c r="L18" s="1190">
        <v>125.8226511103399</v>
      </c>
      <c r="M18" s="1190"/>
      <c r="N18" s="558"/>
      <c r="O18" s="722">
        <f t="shared" si="4"/>
        <v>0</v>
      </c>
      <c r="P18" s="1186"/>
      <c r="Q18" s="1186"/>
      <c r="R18" s="1186"/>
      <c r="S18" s="1186"/>
      <c r="T18" s="1186"/>
      <c r="U18" s="402"/>
    </row>
    <row r="19" spans="2:21" s="419" customFormat="1" ht="15.5" x14ac:dyDescent="0.35">
      <c r="B19" s="417">
        <f t="shared" si="5"/>
        <v>9</v>
      </c>
      <c r="C19" s="399" t="s">
        <v>788</v>
      </c>
      <c r="D19" s="462" t="s">
        <v>116</v>
      </c>
      <c r="E19" s="726">
        <f t="shared" si="0"/>
        <v>400</v>
      </c>
      <c r="F19" s="722">
        <v>400</v>
      </c>
      <c r="G19" s="722">
        <f t="shared" si="1"/>
        <v>0</v>
      </c>
      <c r="H19" s="726">
        <f t="shared" si="2"/>
        <v>400</v>
      </c>
      <c r="I19" s="833">
        <v>400</v>
      </c>
      <c r="J19" s="722">
        <f t="shared" si="3"/>
        <v>0</v>
      </c>
      <c r="K19" s="623"/>
      <c r="L19" s="1190">
        <v>400</v>
      </c>
      <c r="M19" s="1190"/>
      <c r="N19" s="558"/>
      <c r="O19" s="722">
        <f t="shared" si="4"/>
        <v>0</v>
      </c>
      <c r="P19" s="1186"/>
      <c r="Q19" s="1186"/>
      <c r="R19" s="1186"/>
      <c r="S19" s="1186"/>
      <c r="T19" s="1186"/>
      <c r="U19" s="402"/>
    </row>
    <row r="20" spans="2:21" s="419" customFormat="1" ht="15.5" x14ac:dyDescent="0.35">
      <c r="B20" s="417">
        <f t="shared" si="5"/>
        <v>10</v>
      </c>
      <c r="C20" s="399" t="s">
        <v>789</v>
      </c>
      <c r="D20" s="462" t="s">
        <v>116</v>
      </c>
      <c r="E20" s="726">
        <f t="shared" si="0"/>
        <v>123</v>
      </c>
      <c r="F20" s="722">
        <v>123</v>
      </c>
      <c r="G20" s="722">
        <f t="shared" si="1"/>
        <v>0</v>
      </c>
      <c r="H20" s="726">
        <f t="shared" si="2"/>
        <v>130</v>
      </c>
      <c r="I20" s="833">
        <v>130</v>
      </c>
      <c r="J20" s="722">
        <f t="shared" si="3"/>
        <v>0</v>
      </c>
      <c r="K20" s="623"/>
      <c r="L20" s="1190">
        <v>125.8226511103399</v>
      </c>
      <c r="M20" s="1190"/>
      <c r="N20" s="558"/>
      <c r="O20" s="722">
        <f t="shared" si="4"/>
        <v>0</v>
      </c>
      <c r="P20" s="1186"/>
      <c r="Q20" s="1186"/>
      <c r="R20" s="1186"/>
      <c r="S20" s="1186"/>
      <c r="T20" s="1186"/>
      <c r="U20" s="402"/>
    </row>
    <row r="21" spans="2:21" s="419" customFormat="1" ht="15.5" x14ac:dyDescent="0.35">
      <c r="B21" s="417">
        <f t="shared" si="5"/>
        <v>11</v>
      </c>
      <c r="C21" s="399" t="s">
        <v>820</v>
      </c>
      <c r="D21" s="462" t="s">
        <v>116</v>
      </c>
      <c r="E21" s="726">
        <f t="shared" si="0"/>
        <v>143.1696</v>
      </c>
      <c r="F21" s="722">
        <v>143.1696</v>
      </c>
      <c r="G21" s="722">
        <f t="shared" si="1"/>
        <v>0</v>
      </c>
      <c r="H21" s="726">
        <f t="shared" si="2"/>
        <v>165.17028584210877</v>
      </c>
      <c r="I21" s="833">
        <v>165.17028584210877</v>
      </c>
      <c r="J21" s="722">
        <f t="shared" si="3"/>
        <v>0</v>
      </c>
      <c r="K21" s="623"/>
      <c r="L21" s="1190">
        <v>151.20516036465764</v>
      </c>
      <c r="M21" s="1190"/>
      <c r="N21" s="558"/>
      <c r="O21" s="722">
        <f t="shared" si="4"/>
        <v>0</v>
      </c>
      <c r="P21" s="1186"/>
      <c r="Q21" s="1186"/>
      <c r="R21" s="1186"/>
      <c r="S21" s="1186"/>
      <c r="T21" s="1186"/>
      <c r="U21" s="402"/>
    </row>
    <row r="22" spans="2:21" s="419" customFormat="1" ht="15.5" x14ac:dyDescent="0.35">
      <c r="B22" s="417">
        <f t="shared" si="5"/>
        <v>12</v>
      </c>
      <c r="C22" s="399" t="s">
        <v>809</v>
      </c>
      <c r="D22" s="462" t="s">
        <v>116</v>
      </c>
      <c r="E22" s="726">
        <f t="shared" si="0"/>
        <v>29.800909999892237</v>
      </c>
      <c r="F22" s="722">
        <v>29.800909999892237</v>
      </c>
      <c r="G22" s="722">
        <f t="shared" si="1"/>
        <v>0</v>
      </c>
      <c r="H22" s="726">
        <f t="shared" si="2"/>
        <v>30.738604846413896</v>
      </c>
      <c r="I22" s="833">
        <v>30.738604846413896</v>
      </c>
      <c r="J22" s="722">
        <f t="shared" si="3"/>
        <v>0</v>
      </c>
      <c r="K22" s="623"/>
      <c r="L22" s="1190">
        <v>64.618298031125605</v>
      </c>
      <c r="M22" s="1190"/>
      <c r="N22" s="558"/>
      <c r="O22" s="722">
        <f t="shared" si="4"/>
        <v>0</v>
      </c>
      <c r="P22" s="1186"/>
      <c r="Q22" s="1186"/>
      <c r="R22" s="1186"/>
      <c r="S22" s="1186"/>
      <c r="T22" s="1186"/>
      <c r="U22" s="402"/>
    </row>
    <row r="23" spans="2:21" s="419" customFormat="1" ht="45" x14ac:dyDescent="0.3">
      <c r="B23" s="476">
        <f t="shared" si="5"/>
        <v>13</v>
      </c>
      <c r="C23" s="420" t="s">
        <v>705</v>
      </c>
      <c r="D23" s="462" t="s">
        <v>116</v>
      </c>
      <c r="E23" s="455">
        <f>SUM(E11:E22)</f>
        <v>5830.8750457288925</v>
      </c>
      <c r="F23" s="455">
        <f>SUM(F11:F22)</f>
        <v>5830.8750457288925</v>
      </c>
      <c r="G23" s="455">
        <f t="shared" si="1"/>
        <v>0</v>
      </c>
      <c r="H23" s="455">
        <f>SUM(H11:H22)</f>
        <v>6511.3109798244705</v>
      </c>
      <c r="I23" s="455">
        <f>SUM(I11:I22)</f>
        <v>6511.3109798244705</v>
      </c>
      <c r="J23" s="455">
        <f>SUM(J11:J22)</f>
        <v>0</v>
      </c>
      <c r="K23" s="1106"/>
      <c r="L23" s="1106">
        <f t="shared" ref="L23" si="6">SUM(L11:L22)</f>
        <v>6109.3892161291196</v>
      </c>
      <c r="M23" s="1106"/>
      <c r="N23" s="1193"/>
      <c r="O23" s="455">
        <f t="shared" ref="O23" si="7">SUM(O11:O22)</f>
        <v>0</v>
      </c>
      <c r="P23" s="1106"/>
      <c r="Q23" s="1106"/>
      <c r="R23" s="1106"/>
      <c r="S23" s="1106"/>
      <c r="T23" s="1106"/>
      <c r="U23" s="402"/>
    </row>
    <row r="24" spans="2:21" s="419" customFormat="1" ht="15.5" x14ac:dyDescent="0.35">
      <c r="B24" s="417">
        <f t="shared" si="5"/>
        <v>14</v>
      </c>
      <c r="C24" s="421" t="s">
        <v>142</v>
      </c>
      <c r="D24" s="462" t="s">
        <v>98</v>
      </c>
      <c r="E24" s="454">
        <f>'F2.2'!$F$43</f>
        <v>8.0000000000000002E-3</v>
      </c>
      <c r="F24" s="454">
        <f>'F2.2'!$G$44</f>
        <v>4.8999999999999998E-3</v>
      </c>
      <c r="G24" s="454">
        <f t="shared" si="1"/>
        <v>-3.1000000000000003E-3</v>
      </c>
      <c r="H24" s="454">
        <v>8.0000000000000002E-3</v>
      </c>
      <c r="I24" s="454">
        <f>'F2.2'!$K$44</f>
        <v>7.4999999999999997E-3</v>
      </c>
      <c r="J24" s="454">
        <f t="shared" si="3"/>
        <v>-5.0000000000000044E-4</v>
      </c>
      <c r="K24" s="454"/>
      <c r="L24" s="454">
        <f>'F2.2'!O44</f>
        <v>5.8504486537598946E-3</v>
      </c>
      <c r="M24" s="454"/>
      <c r="N24" s="1194"/>
      <c r="O24" s="454">
        <f t="shared" si="4"/>
        <v>0</v>
      </c>
      <c r="P24" s="454"/>
      <c r="Q24" s="454"/>
      <c r="R24" s="454"/>
      <c r="S24" s="454"/>
      <c r="T24" s="454"/>
      <c r="U24" s="403"/>
    </row>
    <row r="25" spans="2:21" s="419" customFormat="1" ht="15.5" x14ac:dyDescent="0.35">
      <c r="B25" s="417">
        <f t="shared" si="5"/>
        <v>15</v>
      </c>
      <c r="C25" s="421" t="s">
        <v>685</v>
      </c>
      <c r="D25" s="462" t="s">
        <v>116</v>
      </c>
      <c r="E25" s="722"/>
      <c r="F25" s="727"/>
      <c r="G25" s="722">
        <f t="shared" si="1"/>
        <v>0</v>
      </c>
      <c r="H25" s="722"/>
      <c r="I25" s="722"/>
      <c r="J25" s="722">
        <f t="shared" si="3"/>
        <v>0</v>
      </c>
      <c r="K25" s="1190"/>
      <c r="L25" s="1190"/>
      <c r="M25" s="1190"/>
      <c r="N25" s="1190"/>
      <c r="O25" s="722">
        <f t="shared" si="4"/>
        <v>0</v>
      </c>
      <c r="P25" s="1186"/>
      <c r="Q25" s="1107"/>
      <c r="R25" s="1186"/>
      <c r="S25" s="1107"/>
      <c r="T25" s="1107"/>
      <c r="U25" s="403"/>
    </row>
    <row r="26" spans="2:21" s="419" customFormat="1" ht="45" x14ac:dyDescent="0.3">
      <c r="B26" s="476">
        <f t="shared" si="5"/>
        <v>16</v>
      </c>
      <c r="C26" s="420" t="s">
        <v>706</v>
      </c>
      <c r="D26" s="422" t="s">
        <v>116</v>
      </c>
      <c r="E26" s="455">
        <f t="shared" ref="E26:J26" si="8">(E23-E22)/(1-E24)+E25+E22</f>
        <v>5877.6579016621909</v>
      </c>
      <c r="F26" s="455">
        <f>(F23-F22)/(1-F24)+F25+F22</f>
        <v>5859.4402786352057</v>
      </c>
      <c r="G26" s="455">
        <f t="shared" si="8"/>
        <v>0</v>
      </c>
      <c r="H26" s="455">
        <f t="shared" si="8"/>
        <v>6563.5736602678417</v>
      </c>
      <c r="I26" s="455">
        <f t="shared" si="8"/>
        <v>6560.2825594842543</v>
      </c>
      <c r="J26" s="455">
        <f t="shared" si="8"/>
        <v>0</v>
      </c>
      <c r="K26" s="1106">
        <f>N26</f>
        <v>6398.1347328442416</v>
      </c>
      <c r="L26" s="1106">
        <f>(L23-L22)/(1-L24)+L25+L22</f>
        <v>6144.9619544884381</v>
      </c>
      <c r="M26" s="1106">
        <v>6560.2825594842543</v>
      </c>
      <c r="N26" s="1106">
        <f>SUMPRODUCT(L26:M26,'F2.2'!O94:P94)/SUM('F2.2'!O94:P94)</f>
        <v>6398.1347328442416</v>
      </c>
      <c r="O26" s="711">
        <f>O23/(1-O24)+O25</f>
        <v>0</v>
      </c>
      <c r="P26" s="1106">
        <v>6694.4738020758532</v>
      </c>
      <c r="Q26" s="1106">
        <v>7029.1974921796464</v>
      </c>
      <c r="R26" s="1106">
        <v>7380.6573667886296</v>
      </c>
      <c r="S26" s="1106">
        <v>7749.6902351280596</v>
      </c>
      <c r="T26" s="1106">
        <v>8137.1747468844633</v>
      </c>
      <c r="U26" s="455"/>
    </row>
    <row r="27" spans="2:21" s="6" customFormat="1" ht="15.5" x14ac:dyDescent="0.3">
      <c r="B27" s="405"/>
      <c r="C27" s="401"/>
      <c r="D27" s="404"/>
      <c r="E27" s="423"/>
      <c r="F27" s="423"/>
      <c r="G27" s="722"/>
      <c r="H27" s="423"/>
      <c r="I27" s="423"/>
      <c r="J27" s="722"/>
      <c r="K27" s="423"/>
      <c r="L27" s="423"/>
      <c r="M27" s="423"/>
      <c r="N27" s="1190"/>
      <c r="O27" s="722"/>
      <c r="P27" s="423"/>
      <c r="Q27" s="423"/>
      <c r="R27" s="423"/>
      <c r="S27" s="423"/>
      <c r="T27" s="423"/>
      <c r="U27" s="392"/>
    </row>
    <row r="28" spans="2:21" s="6" customFormat="1" ht="15" x14ac:dyDescent="0.3">
      <c r="B28" s="343" t="s">
        <v>184</v>
      </c>
      <c r="C28" s="344" t="s">
        <v>790</v>
      </c>
      <c r="D28" s="404"/>
      <c r="E28" s="423"/>
      <c r="F28" s="423"/>
      <c r="G28" s="722"/>
      <c r="H28" s="423"/>
      <c r="I28" s="423"/>
      <c r="J28" s="722"/>
      <c r="K28" s="423"/>
      <c r="L28" s="423"/>
      <c r="M28" s="423"/>
      <c r="N28" s="1190"/>
      <c r="O28" s="722"/>
      <c r="P28" s="423"/>
      <c r="Q28" s="423"/>
      <c r="R28" s="423"/>
      <c r="S28" s="423"/>
      <c r="T28" s="423"/>
      <c r="U28" s="392"/>
    </row>
    <row r="29" spans="2:21" s="6" customFormat="1" ht="15.5" x14ac:dyDescent="0.35">
      <c r="B29" s="345">
        <v>1</v>
      </c>
      <c r="C29" s="399" t="s">
        <v>791</v>
      </c>
      <c r="D29" s="404" t="s">
        <v>116</v>
      </c>
      <c r="E29" s="722">
        <f>F29</f>
        <v>0</v>
      </c>
      <c r="F29" s="722">
        <v>0</v>
      </c>
      <c r="G29" s="722">
        <f t="shared" ref="G29:G39" si="9">F29-E29</f>
        <v>0</v>
      </c>
      <c r="H29" s="722">
        <f>I29</f>
        <v>0</v>
      </c>
      <c r="I29" s="833">
        <v>0</v>
      </c>
      <c r="J29" s="722">
        <f t="shared" ref="J29:J39" si="10">I29-H29</f>
        <v>0</v>
      </c>
      <c r="K29" s="535">
        <f>N29</f>
        <v>0</v>
      </c>
      <c r="L29" s="1190">
        <v>0</v>
      </c>
      <c r="M29" s="1190"/>
      <c r="N29" s="1190"/>
      <c r="O29" s="722">
        <f t="shared" ref="O29:O38" si="11">N29-K29</f>
        <v>0</v>
      </c>
      <c r="P29" s="1186"/>
      <c r="Q29" s="1186"/>
      <c r="R29" s="1186"/>
      <c r="S29" s="1186"/>
      <c r="T29" s="1186"/>
      <c r="U29" s="392"/>
    </row>
    <row r="30" spans="2:21" s="6" customFormat="1" ht="15.5" x14ac:dyDescent="0.35">
      <c r="B30" s="345">
        <v>2</v>
      </c>
      <c r="C30" s="399" t="s">
        <v>792</v>
      </c>
      <c r="D30" s="404" t="s">
        <v>116</v>
      </c>
      <c r="E30" s="722">
        <f t="shared" ref="E30:E38" si="12">F30</f>
        <v>0</v>
      </c>
      <c r="F30" s="722">
        <v>0</v>
      </c>
      <c r="G30" s="722">
        <f t="shared" si="9"/>
        <v>0</v>
      </c>
      <c r="H30" s="722">
        <f t="shared" ref="H30:H38" si="13">I30</f>
        <v>0</v>
      </c>
      <c r="I30" s="833">
        <v>0</v>
      </c>
      <c r="J30" s="722">
        <f t="shared" si="10"/>
        <v>0</v>
      </c>
      <c r="K30" s="535">
        <f t="shared" ref="K30:K38" si="14">N30</f>
        <v>0</v>
      </c>
      <c r="L30" s="1190">
        <v>0</v>
      </c>
      <c r="M30" s="1190"/>
      <c r="N30" s="1190"/>
      <c r="O30" s="722">
        <f t="shared" si="11"/>
        <v>0</v>
      </c>
      <c r="P30" s="1186"/>
      <c r="Q30" s="1186"/>
      <c r="R30" s="1186"/>
      <c r="S30" s="1186"/>
      <c r="T30" s="1186"/>
      <c r="U30" s="392"/>
    </row>
    <row r="31" spans="2:21" s="6" customFormat="1" ht="15.5" x14ac:dyDescent="0.35">
      <c r="B31" s="345">
        <v>3</v>
      </c>
      <c r="C31" s="399" t="s">
        <v>227</v>
      </c>
      <c r="D31" s="404" t="s">
        <v>116</v>
      </c>
      <c r="E31" s="722">
        <f t="shared" si="12"/>
        <v>0</v>
      </c>
      <c r="F31" s="722">
        <v>0</v>
      </c>
      <c r="G31" s="722">
        <f t="shared" si="9"/>
        <v>0</v>
      </c>
      <c r="H31" s="722">
        <f t="shared" si="13"/>
        <v>0</v>
      </c>
      <c r="I31" s="833">
        <v>0</v>
      </c>
      <c r="J31" s="722">
        <f t="shared" si="10"/>
        <v>0</v>
      </c>
      <c r="K31" s="535">
        <f t="shared" si="14"/>
        <v>0</v>
      </c>
      <c r="L31" s="1190">
        <v>0</v>
      </c>
      <c r="M31" s="1190"/>
      <c r="N31" s="1190"/>
      <c r="O31" s="722">
        <f t="shared" si="11"/>
        <v>0</v>
      </c>
      <c r="P31" s="1186"/>
      <c r="Q31" s="1186"/>
      <c r="R31" s="1186"/>
      <c r="S31" s="1186"/>
      <c r="T31" s="1186"/>
      <c r="U31" s="392"/>
    </row>
    <row r="32" spans="2:21" s="6" customFormat="1" ht="15.5" x14ac:dyDescent="0.35">
      <c r="B32" s="345">
        <v>4</v>
      </c>
      <c r="C32" s="399" t="s">
        <v>793</v>
      </c>
      <c r="D32" s="404" t="s">
        <v>116</v>
      </c>
      <c r="E32" s="722">
        <f t="shared" si="12"/>
        <v>0</v>
      </c>
      <c r="F32" s="722">
        <v>0</v>
      </c>
      <c r="G32" s="722">
        <f t="shared" si="9"/>
        <v>0</v>
      </c>
      <c r="H32" s="722">
        <f t="shared" si="13"/>
        <v>0</v>
      </c>
      <c r="I32" s="833">
        <v>0</v>
      </c>
      <c r="J32" s="722">
        <f t="shared" si="10"/>
        <v>0</v>
      </c>
      <c r="K32" s="535">
        <f t="shared" si="14"/>
        <v>0</v>
      </c>
      <c r="L32" s="1190">
        <v>0</v>
      </c>
      <c r="M32" s="1190"/>
      <c r="N32" s="1190"/>
      <c r="O32" s="722">
        <f t="shared" si="11"/>
        <v>0</v>
      </c>
      <c r="P32" s="1186"/>
      <c r="Q32" s="1186"/>
      <c r="R32" s="1186"/>
      <c r="S32" s="1186"/>
      <c r="T32" s="1186"/>
      <c r="U32" s="392"/>
    </row>
    <row r="33" spans="2:21" s="6" customFormat="1" ht="15.5" x14ac:dyDescent="0.35">
      <c r="B33" s="345">
        <v>5</v>
      </c>
      <c r="C33" s="399" t="s">
        <v>794</v>
      </c>
      <c r="D33" s="404" t="s">
        <v>116</v>
      </c>
      <c r="E33" s="722">
        <f t="shared" si="12"/>
        <v>0</v>
      </c>
      <c r="F33" s="722">
        <v>0</v>
      </c>
      <c r="G33" s="722">
        <f t="shared" si="9"/>
        <v>0</v>
      </c>
      <c r="H33" s="722">
        <f t="shared" si="13"/>
        <v>0</v>
      </c>
      <c r="I33" s="833">
        <v>0</v>
      </c>
      <c r="J33" s="722">
        <f t="shared" si="10"/>
        <v>0</v>
      </c>
      <c r="K33" s="535">
        <f t="shared" si="14"/>
        <v>0</v>
      </c>
      <c r="L33" s="1190">
        <v>0</v>
      </c>
      <c r="M33" s="1190"/>
      <c r="N33" s="1190"/>
      <c r="O33" s="722">
        <f t="shared" si="11"/>
        <v>0</v>
      </c>
      <c r="P33" s="1186"/>
      <c r="Q33" s="1186"/>
      <c r="R33" s="1186"/>
      <c r="S33" s="1186"/>
      <c r="T33" s="1186"/>
      <c r="U33" s="392"/>
    </row>
    <row r="34" spans="2:21" s="6" customFormat="1" ht="15.5" x14ac:dyDescent="0.35">
      <c r="B34" s="345">
        <v>6</v>
      </c>
      <c r="C34" s="399" t="s">
        <v>785</v>
      </c>
      <c r="D34" s="404" t="s">
        <v>116</v>
      </c>
      <c r="E34" s="722">
        <f t="shared" si="12"/>
        <v>0</v>
      </c>
      <c r="F34" s="722">
        <v>0</v>
      </c>
      <c r="G34" s="722">
        <f t="shared" si="9"/>
        <v>0</v>
      </c>
      <c r="H34" s="722">
        <f t="shared" si="13"/>
        <v>0</v>
      </c>
      <c r="I34" s="833">
        <v>0</v>
      </c>
      <c r="J34" s="722">
        <f t="shared" si="10"/>
        <v>0</v>
      </c>
      <c r="K34" s="535">
        <f t="shared" si="14"/>
        <v>0</v>
      </c>
      <c r="L34" s="1190">
        <v>0</v>
      </c>
      <c r="M34" s="1190"/>
      <c r="N34" s="1190"/>
      <c r="O34" s="722">
        <f t="shared" si="11"/>
        <v>0</v>
      </c>
      <c r="P34" s="1186"/>
      <c r="Q34" s="1186"/>
      <c r="R34" s="1186"/>
      <c r="S34" s="1186"/>
      <c r="T34" s="1186"/>
      <c r="U34" s="392"/>
    </row>
    <row r="35" spans="2:21" s="6" customFormat="1" ht="15.5" x14ac:dyDescent="0.35">
      <c r="B35" s="345">
        <v>7</v>
      </c>
      <c r="C35" s="399" t="s">
        <v>786</v>
      </c>
      <c r="D35" s="404" t="s">
        <v>116</v>
      </c>
      <c r="E35" s="722">
        <f t="shared" si="12"/>
        <v>0</v>
      </c>
      <c r="F35" s="722">
        <v>0</v>
      </c>
      <c r="G35" s="722">
        <f t="shared" si="9"/>
        <v>0</v>
      </c>
      <c r="H35" s="722">
        <f t="shared" si="13"/>
        <v>0</v>
      </c>
      <c r="I35" s="833">
        <v>0</v>
      </c>
      <c r="J35" s="722">
        <f t="shared" si="10"/>
        <v>0</v>
      </c>
      <c r="K35" s="535">
        <f t="shared" si="14"/>
        <v>0</v>
      </c>
      <c r="L35" s="1190">
        <v>0</v>
      </c>
      <c r="M35" s="1190"/>
      <c r="N35" s="1190"/>
      <c r="O35" s="722">
        <f t="shared" si="11"/>
        <v>0</v>
      </c>
      <c r="P35" s="1186"/>
      <c r="Q35" s="1186"/>
      <c r="R35" s="1186"/>
      <c r="S35" s="1186"/>
      <c r="T35" s="1186"/>
      <c r="U35" s="392"/>
    </row>
    <row r="36" spans="2:21" s="6" customFormat="1" ht="15.5" x14ac:dyDescent="0.35">
      <c r="B36" s="345">
        <v>8</v>
      </c>
      <c r="C36" s="399" t="s">
        <v>787</v>
      </c>
      <c r="D36" s="404" t="s">
        <v>116</v>
      </c>
      <c r="E36" s="722">
        <f t="shared" si="12"/>
        <v>0</v>
      </c>
      <c r="F36" s="722">
        <v>0</v>
      </c>
      <c r="G36" s="722">
        <f t="shared" si="9"/>
        <v>0</v>
      </c>
      <c r="H36" s="722">
        <f t="shared" si="13"/>
        <v>0</v>
      </c>
      <c r="I36" s="833">
        <v>0</v>
      </c>
      <c r="J36" s="722">
        <f t="shared" si="10"/>
        <v>0</v>
      </c>
      <c r="K36" s="535">
        <f t="shared" si="14"/>
        <v>0</v>
      </c>
      <c r="L36" s="1190">
        <v>0</v>
      </c>
      <c r="M36" s="1190"/>
      <c r="N36" s="1190"/>
      <c r="O36" s="722">
        <f t="shared" si="11"/>
        <v>0</v>
      </c>
      <c r="P36" s="1186"/>
      <c r="Q36" s="1186"/>
      <c r="R36" s="1186"/>
      <c r="S36" s="1186"/>
      <c r="T36" s="1186"/>
      <c r="U36" s="392"/>
    </row>
    <row r="37" spans="2:21" s="6" customFormat="1" ht="15.5" x14ac:dyDescent="0.35">
      <c r="B37" s="345">
        <v>9</v>
      </c>
      <c r="C37" s="399" t="s">
        <v>209</v>
      </c>
      <c r="D37" s="404" t="s">
        <v>116</v>
      </c>
      <c r="E37" s="722">
        <f t="shared" si="12"/>
        <v>0</v>
      </c>
      <c r="F37" s="722">
        <v>0</v>
      </c>
      <c r="G37" s="722">
        <f t="shared" si="9"/>
        <v>0</v>
      </c>
      <c r="H37" s="722">
        <f t="shared" si="13"/>
        <v>0</v>
      </c>
      <c r="I37" s="833">
        <v>0</v>
      </c>
      <c r="J37" s="722">
        <f t="shared" si="10"/>
        <v>0</v>
      </c>
      <c r="K37" s="535">
        <f t="shared" si="14"/>
        <v>0</v>
      </c>
      <c r="L37" s="1190">
        <v>0</v>
      </c>
      <c r="M37" s="1190"/>
      <c r="N37" s="1190"/>
      <c r="O37" s="722">
        <f t="shared" si="11"/>
        <v>0</v>
      </c>
      <c r="P37" s="1186"/>
      <c r="Q37" s="1186"/>
      <c r="R37" s="1186"/>
      <c r="S37" s="1186"/>
      <c r="T37" s="1186"/>
      <c r="U37" s="392"/>
    </row>
    <row r="38" spans="2:21" s="6" customFormat="1" ht="15.5" x14ac:dyDescent="0.35">
      <c r="B38" s="345">
        <v>10</v>
      </c>
      <c r="C38" s="399" t="s">
        <v>209</v>
      </c>
      <c r="D38" s="404" t="s">
        <v>116</v>
      </c>
      <c r="E38" s="722">
        <f t="shared" si="12"/>
        <v>0</v>
      </c>
      <c r="F38" s="722">
        <v>0</v>
      </c>
      <c r="G38" s="722">
        <f t="shared" si="9"/>
        <v>0</v>
      </c>
      <c r="H38" s="722">
        <f t="shared" si="13"/>
        <v>0</v>
      </c>
      <c r="I38" s="833">
        <v>0</v>
      </c>
      <c r="J38" s="722">
        <f t="shared" si="10"/>
        <v>0</v>
      </c>
      <c r="K38" s="535">
        <f t="shared" si="14"/>
        <v>0</v>
      </c>
      <c r="L38" s="1190">
        <v>0</v>
      </c>
      <c r="M38" s="1190"/>
      <c r="N38" s="1190"/>
      <c r="O38" s="722">
        <f t="shared" si="11"/>
        <v>0</v>
      </c>
      <c r="P38" s="1186"/>
      <c r="Q38" s="1186"/>
      <c r="R38" s="1186"/>
      <c r="S38" s="1186"/>
      <c r="T38" s="1186"/>
      <c r="U38" s="392"/>
    </row>
    <row r="39" spans="2:21" s="419" customFormat="1" ht="15.5" x14ac:dyDescent="0.35">
      <c r="B39" s="417">
        <v>11</v>
      </c>
      <c r="C39" s="399" t="s">
        <v>809</v>
      </c>
      <c r="D39" s="422" t="s">
        <v>116</v>
      </c>
      <c r="E39" s="1131">
        <f>F39</f>
        <v>0</v>
      </c>
      <c r="F39" s="1131">
        <v>0</v>
      </c>
      <c r="G39" s="1131">
        <f t="shared" si="9"/>
        <v>0</v>
      </c>
      <c r="H39" s="1131">
        <f>I39</f>
        <v>0</v>
      </c>
      <c r="I39" s="1131">
        <v>0</v>
      </c>
      <c r="J39" s="1131">
        <f t="shared" si="10"/>
        <v>0</v>
      </c>
      <c r="K39" s="535"/>
      <c r="L39" s="1213">
        <v>0</v>
      </c>
      <c r="M39" s="1213"/>
      <c r="N39" s="1213"/>
      <c r="O39" s="1131"/>
      <c r="P39" s="1213"/>
      <c r="Q39" s="1213"/>
      <c r="R39" s="1213"/>
      <c r="S39" s="1213"/>
      <c r="T39" s="1213"/>
      <c r="U39" s="403"/>
    </row>
    <row r="40" spans="2:21" s="6" customFormat="1" ht="15" x14ac:dyDescent="0.3">
      <c r="B40" s="343"/>
      <c r="C40" s="344" t="s">
        <v>795</v>
      </c>
      <c r="D40" s="404" t="s">
        <v>116</v>
      </c>
      <c r="E40" s="455">
        <f t="shared" ref="E40:J40" si="15">SUM(E29:E39)</f>
        <v>0</v>
      </c>
      <c r="F40" s="455">
        <f t="shared" si="15"/>
        <v>0</v>
      </c>
      <c r="G40" s="455">
        <f t="shared" si="15"/>
        <v>0</v>
      </c>
      <c r="H40" s="455">
        <f t="shared" si="15"/>
        <v>0</v>
      </c>
      <c r="I40" s="455">
        <f t="shared" si="15"/>
        <v>0</v>
      </c>
      <c r="J40" s="455">
        <f t="shared" si="15"/>
        <v>0</v>
      </c>
      <c r="K40" s="1106">
        <f>N40</f>
        <v>0</v>
      </c>
      <c r="L40" s="1106">
        <f>SUM(L29:L39)</f>
        <v>0</v>
      </c>
      <c r="M40" s="1106">
        <v>0</v>
      </c>
      <c r="N40" s="1106">
        <f>IFERROR(SUMPRODUCT(L40:M40,'F2.2'!O95:P95)/SUM('F2.2'!O95:P95),0)</f>
        <v>0</v>
      </c>
      <c r="O40" s="455">
        <f t="shared" ref="O40" si="16">SUM(O29:O38)</f>
        <v>0</v>
      </c>
      <c r="P40" s="1106">
        <v>0</v>
      </c>
      <c r="Q40" s="1106">
        <v>0</v>
      </c>
      <c r="R40" s="1106">
        <v>0</v>
      </c>
      <c r="S40" s="1106">
        <v>0</v>
      </c>
      <c r="T40" s="1106">
        <v>0</v>
      </c>
      <c r="U40" s="400">
        <f t="shared" ref="U40" si="17">SUM(U29:U38)</f>
        <v>0</v>
      </c>
    </row>
    <row r="41" spans="2:21" s="6" customFormat="1" ht="15.5" x14ac:dyDescent="0.3">
      <c r="B41" s="405"/>
      <c r="C41" s="401"/>
      <c r="D41" s="404"/>
      <c r="E41" s="722"/>
      <c r="F41" s="722"/>
      <c r="G41" s="722"/>
      <c r="H41" s="722"/>
      <c r="I41" s="722"/>
      <c r="J41" s="722"/>
      <c r="K41" s="1190"/>
      <c r="L41" s="1190"/>
      <c r="M41" s="1190"/>
      <c r="N41" s="1190"/>
      <c r="O41" s="722"/>
      <c r="P41" s="1186"/>
      <c r="Q41" s="1186"/>
      <c r="R41" s="1186"/>
      <c r="S41" s="1186"/>
      <c r="T41" s="1186"/>
      <c r="U41" s="392"/>
    </row>
    <row r="42" spans="2:21" s="419" customFormat="1" ht="15" x14ac:dyDescent="0.3">
      <c r="B42" s="476" t="s">
        <v>185</v>
      </c>
      <c r="C42" s="344" t="s">
        <v>884</v>
      </c>
      <c r="D42" s="422"/>
      <c r="E42" s="722"/>
      <c r="F42" s="722"/>
      <c r="G42" s="722"/>
      <c r="H42" s="722"/>
      <c r="I42" s="722"/>
      <c r="J42" s="722"/>
      <c r="K42" s="1190"/>
      <c r="L42" s="1190"/>
      <c r="M42" s="1190"/>
      <c r="N42" s="1190"/>
      <c r="O42" s="722"/>
      <c r="P42" s="1186"/>
      <c r="Q42" s="1186"/>
      <c r="R42" s="1186"/>
      <c r="S42" s="1186"/>
      <c r="T42" s="1186"/>
      <c r="U42" s="403"/>
    </row>
    <row r="43" spans="2:21" s="419" customFormat="1" ht="15.5" x14ac:dyDescent="0.35">
      <c r="B43" s="476">
        <v>1</v>
      </c>
      <c r="C43" s="399" t="s">
        <v>791</v>
      </c>
      <c r="D43" s="422" t="s">
        <v>885</v>
      </c>
      <c r="E43" s="722">
        <f>F43</f>
        <v>0</v>
      </c>
      <c r="F43" s="722">
        <v>0</v>
      </c>
      <c r="G43" s="722">
        <f t="shared" ref="G43:G52" si="18">F43-E43</f>
        <v>0</v>
      </c>
      <c r="H43" s="722">
        <f>I43</f>
        <v>0</v>
      </c>
      <c r="I43" s="833">
        <v>0</v>
      </c>
      <c r="J43" s="722">
        <f t="shared" ref="J43:J53" si="19">I43-H43</f>
        <v>0</v>
      </c>
      <c r="K43" s="1190"/>
      <c r="L43" s="1190">
        <v>0</v>
      </c>
      <c r="M43" s="1190"/>
      <c r="N43" s="1190"/>
      <c r="O43" s="722">
        <f t="shared" ref="O43:O52" si="20">N43-K43</f>
        <v>0</v>
      </c>
      <c r="P43" s="1186"/>
      <c r="Q43" s="1186"/>
      <c r="R43" s="1186"/>
      <c r="S43" s="1186"/>
      <c r="T43" s="1186"/>
      <c r="U43" s="403"/>
    </row>
    <row r="44" spans="2:21" s="419" customFormat="1" ht="15.5" x14ac:dyDescent="0.35">
      <c r="B44" s="476">
        <f>+B43+1</f>
        <v>2</v>
      </c>
      <c r="C44" s="399" t="s">
        <v>792</v>
      </c>
      <c r="D44" s="422" t="s">
        <v>885</v>
      </c>
      <c r="E44" s="722">
        <f t="shared" ref="E44:E52" si="21">F44</f>
        <v>0</v>
      </c>
      <c r="F44" s="722">
        <v>0</v>
      </c>
      <c r="G44" s="722">
        <f t="shared" si="18"/>
        <v>0</v>
      </c>
      <c r="H44" s="722">
        <f t="shared" ref="H44:H52" si="22">I44</f>
        <v>0</v>
      </c>
      <c r="I44" s="833">
        <v>0</v>
      </c>
      <c r="J44" s="722">
        <f t="shared" si="19"/>
        <v>0</v>
      </c>
      <c r="K44" s="1190"/>
      <c r="L44" s="1190">
        <v>0</v>
      </c>
      <c r="M44" s="1190"/>
      <c r="N44" s="1190"/>
      <c r="O44" s="722">
        <f t="shared" si="20"/>
        <v>0</v>
      </c>
      <c r="P44" s="1186"/>
      <c r="Q44" s="1186"/>
      <c r="R44" s="1186"/>
      <c r="S44" s="1186"/>
      <c r="T44" s="1186"/>
      <c r="U44" s="403"/>
    </row>
    <row r="45" spans="2:21" s="419" customFormat="1" ht="15.5" x14ac:dyDescent="0.35">
      <c r="B45" s="476">
        <f t="shared" ref="B45:B53" si="23">+B44+1</f>
        <v>3</v>
      </c>
      <c r="C45" s="399" t="s">
        <v>227</v>
      </c>
      <c r="D45" s="422" t="s">
        <v>885</v>
      </c>
      <c r="E45" s="722">
        <f t="shared" si="21"/>
        <v>0</v>
      </c>
      <c r="F45" s="722">
        <v>0</v>
      </c>
      <c r="G45" s="722">
        <f t="shared" si="18"/>
        <v>0</v>
      </c>
      <c r="H45" s="722">
        <f t="shared" si="22"/>
        <v>0</v>
      </c>
      <c r="I45" s="833">
        <v>0</v>
      </c>
      <c r="J45" s="722">
        <f t="shared" si="19"/>
        <v>0</v>
      </c>
      <c r="K45" s="1190"/>
      <c r="L45" s="1190">
        <v>0</v>
      </c>
      <c r="M45" s="1190"/>
      <c r="N45" s="1190"/>
      <c r="O45" s="722">
        <f t="shared" si="20"/>
        <v>0</v>
      </c>
      <c r="P45" s="1186"/>
      <c r="Q45" s="1186"/>
      <c r="R45" s="1186"/>
      <c r="S45" s="1186"/>
      <c r="T45" s="1186"/>
      <c r="U45" s="403"/>
    </row>
    <row r="46" spans="2:21" s="419" customFormat="1" ht="15.5" x14ac:dyDescent="0.35">
      <c r="B46" s="476">
        <f t="shared" si="23"/>
        <v>4</v>
      </c>
      <c r="C46" s="399" t="s">
        <v>793</v>
      </c>
      <c r="D46" s="422" t="s">
        <v>885</v>
      </c>
      <c r="E46" s="722">
        <f t="shared" si="21"/>
        <v>0</v>
      </c>
      <c r="F46" s="722">
        <v>0</v>
      </c>
      <c r="G46" s="722">
        <f t="shared" si="18"/>
        <v>0</v>
      </c>
      <c r="H46" s="722">
        <f t="shared" si="22"/>
        <v>0</v>
      </c>
      <c r="I46" s="833">
        <v>0</v>
      </c>
      <c r="J46" s="722">
        <f t="shared" si="19"/>
        <v>0</v>
      </c>
      <c r="K46" s="1190"/>
      <c r="L46" s="1190">
        <v>0</v>
      </c>
      <c r="M46" s="1190"/>
      <c r="N46" s="1190"/>
      <c r="O46" s="722">
        <f t="shared" si="20"/>
        <v>0</v>
      </c>
      <c r="P46" s="1186"/>
      <c r="Q46" s="1186"/>
      <c r="R46" s="1186"/>
      <c r="S46" s="1186"/>
      <c r="T46" s="1186"/>
      <c r="U46" s="403"/>
    </row>
    <row r="47" spans="2:21" s="419" customFormat="1" ht="15.5" x14ac:dyDescent="0.35">
      <c r="B47" s="476">
        <f t="shared" si="23"/>
        <v>5</v>
      </c>
      <c r="C47" s="399" t="s">
        <v>794</v>
      </c>
      <c r="D47" s="422" t="s">
        <v>885</v>
      </c>
      <c r="E47" s="722">
        <f t="shared" si="21"/>
        <v>0</v>
      </c>
      <c r="F47" s="722">
        <v>0</v>
      </c>
      <c r="G47" s="722">
        <f t="shared" si="18"/>
        <v>0</v>
      </c>
      <c r="H47" s="722">
        <f t="shared" si="22"/>
        <v>0</v>
      </c>
      <c r="I47" s="833">
        <v>0</v>
      </c>
      <c r="J47" s="722">
        <f t="shared" si="19"/>
        <v>0</v>
      </c>
      <c r="K47" s="1190"/>
      <c r="L47" s="1190">
        <v>0</v>
      </c>
      <c r="M47" s="1190"/>
      <c r="N47" s="1190"/>
      <c r="O47" s="722">
        <f t="shared" si="20"/>
        <v>0</v>
      </c>
      <c r="P47" s="1186"/>
      <c r="Q47" s="1186"/>
      <c r="R47" s="1186"/>
      <c r="S47" s="1186"/>
      <c r="T47" s="1186"/>
      <c r="U47" s="403"/>
    </row>
    <row r="48" spans="2:21" s="419" customFormat="1" ht="15.5" x14ac:dyDescent="0.35">
      <c r="B48" s="476">
        <f t="shared" si="23"/>
        <v>6</v>
      </c>
      <c r="C48" s="399" t="s">
        <v>785</v>
      </c>
      <c r="D48" s="422" t="s">
        <v>885</v>
      </c>
      <c r="E48" s="722">
        <f t="shared" si="21"/>
        <v>0</v>
      </c>
      <c r="F48" s="722">
        <v>0</v>
      </c>
      <c r="G48" s="722">
        <f t="shared" si="18"/>
        <v>0</v>
      </c>
      <c r="H48" s="722">
        <f t="shared" si="22"/>
        <v>0</v>
      </c>
      <c r="I48" s="833">
        <v>0</v>
      </c>
      <c r="J48" s="722">
        <f t="shared" si="19"/>
        <v>0</v>
      </c>
      <c r="K48" s="1190"/>
      <c r="L48" s="1190">
        <v>0</v>
      </c>
      <c r="M48" s="1190"/>
      <c r="N48" s="1190"/>
      <c r="O48" s="722">
        <f t="shared" si="20"/>
        <v>0</v>
      </c>
      <c r="P48" s="1186"/>
      <c r="Q48" s="1186"/>
      <c r="R48" s="1186"/>
      <c r="S48" s="1186"/>
      <c r="T48" s="1186"/>
      <c r="U48" s="403"/>
    </row>
    <row r="49" spans="2:21" s="419" customFormat="1" ht="15.5" x14ac:dyDescent="0.35">
      <c r="B49" s="476">
        <f t="shared" si="23"/>
        <v>7</v>
      </c>
      <c r="C49" s="399" t="s">
        <v>786</v>
      </c>
      <c r="D49" s="422" t="s">
        <v>885</v>
      </c>
      <c r="E49" s="722">
        <f t="shared" si="21"/>
        <v>0</v>
      </c>
      <c r="F49" s="722">
        <v>0</v>
      </c>
      <c r="G49" s="722">
        <f t="shared" si="18"/>
        <v>0</v>
      </c>
      <c r="H49" s="722">
        <f t="shared" si="22"/>
        <v>0</v>
      </c>
      <c r="I49" s="833">
        <v>0</v>
      </c>
      <c r="J49" s="722">
        <f t="shared" si="19"/>
        <v>0</v>
      </c>
      <c r="K49" s="1190"/>
      <c r="L49" s="1190">
        <v>0</v>
      </c>
      <c r="M49" s="1190"/>
      <c r="N49" s="1190"/>
      <c r="O49" s="722">
        <f t="shared" si="20"/>
        <v>0</v>
      </c>
      <c r="P49" s="1186"/>
      <c r="Q49" s="1186"/>
      <c r="R49" s="1186"/>
      <c r="S49" s="1186"/>
      <c r="T49" s="1186"/>
      <c r="U49" s="403"/>
    </row>
    <row r="50" spans="2:21" s="419" customFormat="1" ht="15.5" x14ac:dyDescent="0.35">
      <c r="B50" s="476">
        <f t="shared" si="23"/>
        <v>8</v>
      </c>
      <c r="C50" s="399" t="s">
        <v>787</v>
      </c>
      <c r="D50" s="422" t="s">
        <v>885</v>
      </c>
      <c r="E50" s="722">
        <f t="shared" si="21"/>
        <v>0</v>
      </c>
      <c r="F50" s="722">
        <v>0</v>
      </c>
      <c r="G50" s="722">
        <f t="shared" si="18"/>
        <v>0</v>
      </c>
      <c r="H50" s="722">
        <f t="shared" si="22"/>
        <v>0</v>
      </c>
      <c r="I50" s="833">
        <v>0</v>
      </c>
      <c r="J50" s="722">
        <f t="shared" si="19"/>
        <v>0</v>
      </c>
      <c r="K50" s="1190"/>
      <c r="L50" s="1190">
        <v>0</v>
      </c>
      <c r="M50" s="1190"/>
      <c r="N50" s="1190"/>
      <c r="O50" s="722">
        <f t="shared" si="20"/>
        <v>0</v>
      </c>
      <c r="P50" s="1186"/>
      <c r="Q50" s="1186"/>
      <c r="R50" s="1186"/>
      <c r="S50" s="1186"/>
      <c r="T50" s="1186"/>
      <c r="U50" s="403"/>
    </row>
    <row r="51" spans="2:21" s="419" customFormat="1" ht="15.5" x14ac:dyDescent="0.35">
      <c r="B51" s="476">
        <f t="shared" si="23"/>
        <v>9</v>
      </c>
      <c r="C51" s="399" t="s">
        <v>886</v>
      </c>
      <c r="D51" s="422" t="s">
        <v>885</v>
      </c>
      <c r="E51" s="722">
        <f t="shared" si="21"/>
        <v>0</v>
      </c>
      <c r="F51" s="722">
        <v>0</v>
      </c>
      <c r="G51" s="722">
        <f t="shared" si="18"/>
        <v>0</v>
      </c>
      <c r="H51" s="722">
        <f t="shared" si="22"/>
        <v>0</v>
      </c>
      <c r="I51" s="833">
        <v>0</v>
      </c>
      <c r="J51" s="722">
        <f t="shared" si="19"/>
        <v>0</v>
      </c>
      <c r="K51" s="1190"/>
      <c r="L51" s="1190">
        <v>0</v>
      </c>
      <c r="M51" s="1190"/>
      <c r="N51" s="1190"/>
      <c r="O51" s="722">
        <f t="shared" si="20"/>
        <v>0</v>
      </c>
      <c r="P51" s="1186"/>
      <c r="Q51" s="1186"/>
      <c r="R51" s="1186"/>
      <c r="S51" s="1186"/>
      <c r="T51" s="1186"/>
      <c r="U51" s="403"/>
    </row>
    <row r="52" spans="2:21" s="419" customFormat="1" ht="15.5" x14ac:dyDescent="0.35">
      <c r="B52" s="476">
        <f t="shared" si="23"/>
        <v>10</v>
      </c>
      <c r="C52" s="399" t="s">
        <v>209</v>
      </c>
      <c r="D52" s="422" t="s">
        <v>885</v>
      </c>
      <c r="E52" s="722">
        <f t="shared" si="21"/>
        <v>0</v>
      </c>
      <c r="F52" s="722">
        <v>0</v>
      </c>
      <c r="G52" s="722">
        <f t="shared" si="18"/>
        <v>0</v>
      </c>
      <c r="H52" s="722">
        <f t="shared" si="22"/>
        <v>0</v>
      </c>
      <c r="I52" s="833">
        <v>0</v>
      </c>
      <c r="J52" s="722">
        <f t="shared" si="19"/>
        <v>0</v>
      </c>
      <c r="K52" s="1190"/>
      <c r="L52" s="1190">
        <v>0</v>
      </c>
      <c r="M52" s="1190"/>
      <c r="N52" s="1190"/>
      <c r="O52" s="722">
        <f t="shared" si="20"/>
        <v>0</v>
      </c>
      <c r="P52" s="1186"/>
      <c r="Q52" s="1186"/>
      <c r="R52" s="1186"/>
      <c r="S52" s="1186"/>
      <c r="T52" s="1186"/>
      <c r="U52" s="403"/>
    </row>
    <row r="53" spans="2:21" s="419" customFormat="1" ht="15.5" x14ac:dyDescent="0.35">
      <c r="B53" s="476">
        <f t="shared" si="23"/>
        <v>11</v>
      </c>
      <c r="C53" s="399" t="s">
        <v>809</v>
      </c>
      <c r="D53" s="422" t="s">
        <v>116</v>
      </c>
      <c r="E53" s="1131">
        <f>F53</f>
        <v>0</v>
      </c>
      <c r="F53" s="1131">
        <v>0</v>
      </c>
      <c r="G53" s="1131"/>
      <c r="H53" s="1131">
        <f>I53</f>
        <v>0</v>
      </c>
      <c r="I53" s="1131">
        <v>0</v>
      </c>
      <c r="J53" s="1131">
        <f t="shared" si="19"/>
        <v>0</v>
      </c>
      <c r="K53" s="1213"/>
      <c r="L53" s="1213">
        <v>0</v>
      </c>
      <c r="M53" s="1213"/>
      <c r="N53" s="1213"/>
      <c r="O53" s="1131"/>
      <c r="P53" s="1213"/>
      <c r="Q53" s="1213"/>
      <c r="R53" s="1213"/>
      <c r="S53" s="1213"/>
      <c r="T53" s="1213"/>
      <c r="U53" s="403"/>
    </row>
    <row r="54" spans="2:21" s="419" customFormat="1" ht="15" x14ac:dyDescent="0.3">
      <c r="B54" s="476"/>
      <c r="C54" s="344" t="s">
        <v>887</v>
      </c>
      <c r="D54" s="422" t="s">
        <v>885</v>
      </c>
      <c r="E54" s="455">
        <f>SUM(E43:E53)</f>
        <v>0</v>
      </c>
      <c r="F54" s="455">
        <f>SUM(F43:F53)</f>
        <v>0</v>
      </c>
      <c r="G54" s="455">
        <f t="shared" ref="G54:O54" si="24">SUM(G43:G52)</f>
        <v>0</v>
      </c>
      <c r="H54" s="455">
        <f>SUM(H43:H53)</f>
        <v>0</v>
      </c>
      <c r="I54" s="455">
        <f>SUM(I43:I53)</f>
        <v>0</v>
      </c>
      <c r="J54" s="455">
        <f>SUM(J43:J53)</f>
        <v>0</v>
      </c>
      <c r="K54" s="1106">
        <f>N54</f>
        <v>0</v>
      </c>
      <c r="L54" s="1106">
        <f>SUM(L43:L53)</f>
        <v>0</v>
      </c>
      <c r="M54" s="1106">
        <v>0</v>
      </c>
      <c r="N54" s="1106">
        <f>IFERROR(SUMPRODUCT(L54:M54,'F2.2'!O96:P96)/SUM('F2.2'!O96:P96),0)</f>
        <v>0</v>
      </c>
      <c r="O54" s="455">
        <f t="shared" si="24"/>
        <v>0</v>
      </c>
      <c r="P54" s="1106">
        <v>0</v>
      </c>
      <c r="Q54" s="1106">
        <v>0</v>
      </c>
      <c r="R54" s="1106">
        <v>0</v>
      </c>
      <c r="S54" s="1106">
        <v>0</v>
      </c>
      <c r="T54" s="1106">
        <v>0</v>
      </c>
      <c r="U54" s="403"/>
    </row>
    <row r="55" spans="2:21" s="6" customFormat="1" ht="15.5" x14ac:dyDescent="0.3">
      <c r="B55" s="405"/>
      <c r="C55" s="401"/>
      <c r="D55" s="404"/>
      <c r="E55" s="544"/>
      <c r="F55" s="544"/>
      <c r="G55" s="544"/>
      <c r="H55" s="544"/>
      <c r="I55" s="544"/>
      <c r="J55" s="544"/>
      <c r="K55" s="1108"/>
      <c r="L55" s="1108"/>
      <c r="M55" s="1108"/>
      <c r="N55" s="1108"/>
      <c r="O55" s="544"/>
      <c r="P55" s="1108"/>
      <c r="Q55" s="1108"/>
      <c r="R55" s="1108"/>
      <c r="S55" s="1108"/>
      <c r="T55" s="1108"/>
      <c r="U55" s="392"/>
    </row>
    <row r="56" spans="2:21" s="6" customFormat="1" ht="15" x14ac:dyDescent="0.3">
      <c r="B56" s="1122" t="s">
        <v>801</v>
      </c>
      <c r="C56" s="1123" t="s">
        <v>1501</v>
      </c>
      <c r="D56" s="1124"/>
      <c r="E56" s="544"/>
      <c r="F56" s="544"/>
      <c r="G56" s="544"/>
      <c r="H56" s="544"/>
      <c r="I56" s="544"/>
      <c r="J56" s="544"/>
      <c r="K56" s="1108"/>
      <c r="L56" s="1108"/>
      <c r="M56" s="1108"/>
      <c r="N56" s="1108"/>
      <c r="O56" s="544"/>
      <c r="P56" s="1108"/>
      <c r="Q56" s="1108"/>
      <c r="R56" s="1108"/>
      <c r="S56" s="1108"/>
      <c r="T56" s="1108"/>
      <c r="U56" s="392"/>
    </row>
    <row r="57" spans="2:21" s="6" customFormat="1" ht="15.5" x14ac:dyDescent="0.35">
      <c r="B57" s="1122">
        <v>1</v>
      </c>
      <c r="C57" s="1125" t="s">
        <v>791</v>
      </c>
      <c r="D57" s="1124" t="s">
        <v>885</v>
      </c>
      <c r="E57" s="544"/>
      <c r="F57" s="544"/>
      <c r="G57" s="544"/>
      <c r="H57" s="544"/>
      <c r="I57" s="544"/>
      <c r="J57" s="544"/>
      <c r="K57" s="1108"/>
      <c r="L57" s="1108"/>
      <c r="M57" s="1108"/>
      <c r="N57" s="1108"/>
      <c r="O57" s="544"/>
      <c r="P57" s="1108"/>
      <c r="Q57" s="1108"/>
      <c r="R57" s="1108"/>
      <c r="S57" s="1108"/>
      <c r="T57" s="1108"/>
      <c r="U57" s="392"/>
    </row>
    <row r="58" spans="2:21" s="6" customFormat="1" ht="15.5" x14ac:dyDescent="0.35">
      <c r="B58" s="1122">
        <f>+B57+1</f>
        <v>2</v>
      </c>
      <c r="C58" s="1125" t="s">
        <v>792</v>
      </c>
      <c r="D58" s="1124" t="s">
        <v>885</v>
      </c>
      <c r="E58" s="544"/>
      <c r="F58" s="544"/>
      <c r="G58" s="544"/>
      <c r="H58" s="544"/>
      <c r="I58" s="544"/>
      <c r="J58" s="544"/>
      <c r="K58" s="1108"/>
      <c r="L58" s="1108"/>
      <c r="M58" s="1108"/>
      <c r="N58" s="1108"/>
      <c r="O58" s="544"/>
      <c r="P58" s="1108"/>
      <c r="Q58" s="1108"/>
      <c r="R58" s="1108"/>
      <c r="S58" s="1108"/>
      <c r="T58" s="1108"/>
      <c r="U58" s="392"/>
    </row>
    <row r="59" spans="2:21" s="6" customFormat="1" ht="15.5" x14ac:dyDescent="0.35">
      <c r="B59" s="1122">
        <f t="shared" ref="B59:B67" si="25">+B58+1</f>
        <v>3</v>
      </c>
      <c r="C59" s="1125" t="s">
        <v>227</v>
      </c>
      <c r="D59" s="1124" t="s">
        <v>885</v>
      </c>
      <c r="E59" s="544"/>
      <c r="F59" s="544"/>
      <c r="G59" s="544"/>
      <c r="H59" s="544"/>
      <c r="I59" s="544"/>
      <c r="J59" s="544"/>
      <c r="K59" s="1108"/>
      <c r="L59" s="1108"/>
      <c r="M59" s="1108"/>
      <c r="N59" s="1108"/>
      <c r="O59" s="544"/>
      <c r="P59" s="1108"/>
      <c r="Q59" s="1108"/>
      <c r="R59" s="1108"/>
      <c r="S59" s="1108"/>
      <c r="T59" s="1108"/>
      <c r="U59" s="392"/>
    </row>
    <row r="60" spans="2:21" s="6" customFormat="1" ht="15.5" x14ac:dyDescent="0.35">
      <c r="B60" s="1122">
        <f t="shared" si="25"/>
        <v>4</v>
      </c>
      <c r="C60" s="1125" t="s">
        <v>793</v>
      </c>
      <c r="D60" s="1124" t="s">
        <v>885</v>
      </c>
      <c r="E60" s="544"/>
      <c r="F60" s="544"/>
      <c r="G60" s="544"/>
      <c r="H60" s="544"/>
      <c r="I60" s="544"/>
      <c r="J60" s="544"/>
      <c r="K60" s="1108"/>
      <c r="L60" s="1108"/>
      <c r="M60" s="1108"/>
      <c r="N60" s="1108"/>
      <c r="O60" s="544"/>
      <c r="P60" s="1108"/>
      <c r="Q60" s="1108"/>
      <c r="R60" s="1108"/>
      <c r="S60" s="1108"/>
      <c r="T60" s="1108"/>
      <c r="U60" s="392"/>
    </row>
    <row r="61" spans="2:21" s="6" customFormat="1" ht="15.5" x14ac:dyDescent="0.35">
      <c r="B61" s="1122">
        <f t="shared" si="25"/>
        <v>5</v>
      </c>
      <c r="C61" s="1125" t="s">
        <v>794</v>
      </c>
      <c r="D61" s="1124" t="s">
        <v>885</v>
      </c>
      <c r="E61" s="544"/>
      <c r="F61" s="544"/>
      <c r="G61" s="544"/>
      <c r="H61" s="544"/>
      <c r="I61" s="544"/>
      <c r="J61" s="544"/>
      <c r="K61" s="1108"/>
      <c r="L61" s="1108"/>
      <c r="M61" s="1108"/>
      <c r="N61" s="1108"/>
      <c r="O61" s="544"/>
      <c r="P61" s="1108"/>
      <c r="Q61" s="1108"/>
      <c r="R61" s="1108"/>
      <c r="S61" s="1108"/>
      <c r="T61" s="1108"/>
      <c r="U61" s="392"/>
    </row>
    <row r="62" spans="2:21" s="6" customFormat="1" ht="15.5" x14ac:dyDescent="0.35">
      <c r="B62" s="1122">
        <f t="shared" si="25"/>
        <v>6</v>
      </c>
      <c r="C62" s="1125" t="s">
        <v>785</v>
      </c>
      <c r="D62" s="1124" t="s">
        <v>885</v>
      </c>
      <c r="E62" s="544"/>
      <c r="F62" s="544"/>
      <c r="G62" s="544"/>
      <c r="H62" s="544"/>
      <c r="I62" s="544"/>
      <c r="J62" s="544"/>
      <c r="K62" s="1108"/>
      <c r="L62" s="1108"/>
      <c r="M62" s="1108"/>
      <c r="N62" s="1108"/>
      <c r="O62" s="544"/>
      <c r="P62" s="1108"/>
      <c r="Q62" s="1108"/>
      <c r="R62" s="1108"/>
      <c r="S62" s="1108"/>
      <c r="T62" s="1108"/>
      <c r="U62" s="392"/>
    </row>
    <row r="63" spans="2:21" s="6" customFormat="1" ht="15.5" x14ac:dyDescent="0.35">
      <c r="B63" s="1122">
        <f t="shared" si="25"/>
        <v>7</v>
      </c>
      <c r="C63" s="1125" t="s">
        <v>786</v>
      </c>
      <c r="D63" s="1124" t="s">
        <v>885</v>
      </c>
      <c r="E63" s="544"/>
      <c r="F63" s="544"/>
      <c r="G63" s="544"/>
      <c r="H63" s="544"/>
      <c r="I63" s="544"/>
      <c r="J63" s="544"/>
      <c r="K63" s="1108"/>
      <c r="L63" s="1108"/>
      <c r="M63" s="1108"/>
      <c r="N63" s="1108"/>
      <c r="O63" s="544"/>
      <c r="P63" s="1108"/>
      <c r="Q63" s="1108"/>
      <c r="R63" s="1108"/>
      <c r="S63" s="1108"/>
      <c r="T63" s="1108"/>
      <c r="U63" s="392"/>
    </row>
    <row r="64" spans="2:21" s="6" customFormat="1" ht="15.5" x14ac:dyDescent="0.35">
      <c r="B64" s="1122">
        <f t="shared" si="25"/>
        <v>8</v>
      </c>
      <c r="C64" s="1125" t="s">
        <v>787</v>
      </c>
      <c r="D64" s="1124" t="s">
        <v>885</v>
      </c>
      <c r="E64" s="544"/>
      <c r="F64" s="544"/>
      <c r="G64" s="544"/>
      <c r="H64" s="544"/>
      <c r="I64" s="544"/>
      <c r="J64" s="544"/>
      <c r="K64" s="1108"/>
      <c r="L64" s="1108"/>
      <c r="M64" s="1108"/>
      <c r="N64" s="1108"/>
      <c r="O64" s="544"/>
      <c r="P64" s="1108"/>
      <c r="Q64" s="1108"/>
      <c r="R64" s="1108"/>
      <c r="S64" s="1108"/>
      <c r="T64" s="1108"/>
      <c r="U64" s="392"/>
    </row>
    <row r="65" spans="2:21" s="6" customFormat="1" ht="15.5" x14ac:dyDescent="0.35">
      <c r="B65" s="1122">
        <f t="shared" si="25"/>
        <v>9</v>
      </c>
      <c r="C65" s="1125" t="s">
        <v>886</v>
      </c>
      <c r="D65" s="1124" t="s">
        <v>885</v>
      </c>
      <c r="E65" s="544"/>
      <c r="F65" s="544"/>
      <c r="G65" s="544"/>
      <c r="H65" s="544"/>
      <c r="I65" s="544"/>
      <c r="J65" s="544"/>
      <c r="K65" s="1108"/>
      <c r="L65" s="1108"/>
      <c r="M65" s="1108"/>
      <c r="N65" s="1108"/>
      <c r="O65" s="544"/>
      <c r="P65" s="1108"/>
      <c r="Q65" s="1108"/>
      <c r="R65" s="1108"/>
      <c r="S65" s="1108"/>
      <c r="T65" s="1108"/>
      <c r="U65" s="392"/>
    </row>
    <row r="66" spans="2:21" s="6" customFormat="1" ht="15.5" x14ac:dyDescent="0.35">
      <c r="B66" s="1122">
        <f t="shared" si="25"/>
        <v>10</v>
      </c>
      <c r="C66" s="1125" t="s">
        <v>209</v>
      </c>
      <c r="D66" s="1124" t="s">
        <v>885</v>
      </c>
      <c r="E66" s="544"/>
      <c r="F66" s="544"/>
      <c r="G66" s="544"/>
      <c r="H66" s="544"/>
      <c r="I66" s="544"/>
      <c r="J66" s="544"/>
      <c r="K66" s="1108"/>
      <c r="L66" s="1108"/>
      <c r="M66" s="1108"/>
      <c r="N66" s="1108"/>
      <c r="O66" s="544"/>
      <c r="P66" s="1108"/>
      <c r="Q66" s="1108"/>
      <c r="R66" s="1108"/>
      <c r="S66" s="1108"/>
      <c r="T66" s="1108"/>
      <c r="U66" s="392"/>
    </row>
    <row r="67" spans="2:21" s="6" customFormat="1" ht="15.5" x14ac:dyDescent="0.35">
      <c r="B67" s="1122">
        <f t="shared" si="25"/>
        <v>11</v>
      </c>
      <c r="C67" s="1125" t="s">
        <v>809</v>
      </c>
      <c r="D67" s="1124" t="s">
        <v>885</v>
      </c>
      <c r="E67" s="544"/>
      <c r="F67" s="544"/>
      <c r="G67" s="544"/>
      <c r="H67" s="544"/>
      <c r="I67" s="544"/>
      <c r="J67" s="544"/>
      <c r="K67" s="1108"/>
      <c r="L67" s="1108"/>
      <c r="M67" s="1108"/>
      <c r="N67" s="1108"/>
      <c r="O67" s="544"/>
      <c r="P67" s="1108"/>
      <c r="Q67" s="1108"/>
      <c r="R67" s="1108"/>
      <c r="S67" s="1108"/>
      <c r="T67" s="1108"/>
      <c r="U67" s="392"/>
    </row>
    <row r="68" spans="2:21" s="6" customFormat="1" ht="15" x14ac:dyDescent="0.3">
      <c r="B68" s="1122"/>
      <c r="C68" s="1123" t="s">
        <v>1502</v>
      </c>
      <c r="D68" s="1124" t="s">
        <v>885</v>
      </c>
      <c r="E68" s="544"/>
      <c r="F68" s="544"/>
      <c r="G68" s="544"/>
      <c r="H68" s="544"/>
      <c r="I68" s="544"/>
      <c r="J68" s="544"/>
      <c r="K68" s="1108"/>
      <c r="L68" s="1108"/>
      <c r="M68" s="1108"/>
      <c r="N68" s="1108"/>
      <c r="O68" s="544"/>
      <c r="P68" s="1108">
        <v>0</v>
      </c>
      <c r="Q68" s="1108">
        <v>0</v>
      </c>
      <c r="R68" s="1108">
        <v>0</v>
      </c>
      <c r="S68" s="1108">
        <v>0</v>
      </c>
      <c r="T68" s="1108">
        <v>0</v>
      </c>
      <c r="U68" s="392"/>
    </row>
    <row r="69" spans="2:21" s="6" customFormat="1" ht="15" x14ac:dyDescent="0.3">
      <c r="B69" s="1122"/>
      <c r="C69" s="1123"/>
      <c r="D69" s="1124"/>
      <c r="E69" s="544"/>
      <c r="F69" s="544"/>
      <c r="G69" s="544"/>
      <c r="H69" s="544"/>
      <c r="I69" s="544"/>
      <c r="J69" s="544"/>
      <c r="K69" s="1108"/>
      <c r="L69" s="1108"/>
      <c r="M69" s="1108"/>
      <c r="N69" s="1108"/>
      <c r="O69" s="544"/>
      <c r="P69" s="1108"/>
      <c r="Q69" s="1108"/>
      <c r="R69" s="1108"/>
      <c r="S69" s="1108"/>
      <c r="T69" s="1108"/>
      <c r="U69" s="392"/>
    </row>
    <row r="70" spans="2:21" s="6" customFormat="1" ht="15" x14ac:dyDescent="0.3">
      <c r="B70" s="1122" t="s">
        <v>888</v>
      </c>
      <c r="C70" s="1123" t="s">
        <v>1503</v>
      </c>
      <c r="D70" s="1124"/>
      <c r="E70" s="544"/>
      <c r="F70" s="544"/>
      <c r="G70" s="544"/>
      <c r="H70" s="544"/>
      <c r="I70" s="544"/>
      <c r="J70" s="544"/>
      <c r="K70" s="1108"/>
      <c r="L70" s="1108"/>
      <c r="M70" s="1108"/>
      <c r="N70" s="1108"/>
      <c r="O70" s="544"/>
      <c r="P70" s="1108"/>
      <c r="Q70" s="1108"/>
      <c r="R70" s="1108"/>
      <c r="S70" s="1108"/>
      <c r="T70" s="1108"/>
      <c r="U70" s="392"/>
    </row>
    <row r="71" spans="2:21" s="6" customFormat="1" ht="15.5" x14ac:dyDescent="0.35">
      <c r="B71" s="1122">
        <v>1</v>
      </c>
      <c r="C71" s="1125" t="s">
        <v>791</v>
      </c>
      <c r="D71" s="1124" t="s">
        <v>885</v>
      </c>
      <c r="E71" s="544"/>
      <c r="F71" s="544"/>
      <c r="G71" s="544"/>
      <c r="H71" s="544"/>
      <c r="I71" s="544"/>
      <c r="J71" s="544"/>
      <c r="K71" s="1108"/>
      <c r="L71" s="1108"/>
      <c r="M71" s="1108"/>
      <c r="N71" s="1108"/>
      <c r="O71" s="544"/>
      <c r="P71" s="1108"/>
      <c r="Q71" s="1108"/>
      <c r="R71" s="1108"/>
      <c r="S71" s="1108"/>
      <c r="T71" s="1108"/>
      <c r="U71" s="392"/>
    </row>
    <row r="72" spans="2:21" s="6" customFormat="1" ht="15.5" x14ac:dyDescent="0.35">
      <c r="B72" s="1122">
        <f>+B71+1</f>
        <v>2</v>
      </c>
      <c r="C72" s="1125" t="s">
        <v>792</v>
      </c>
      <c r="D72" s="1124" t="s">
        <v>885</v>
      </c>
      <c r="E72" s="544"/>
      <c r="F72" s="544"/>
      <c r="G72" s="544"/>
      <c r="H72" s="544"/>
      <c r="I72" s="544"/>
      <c r="J72" s="544"/>
      <c r="K72" s="1108"/>
      <c r="L72" s="1108"/>
      <c r="M72" s="1108"/>
      <c r="N72" s="1108"/>
      <c r="O72" s="544"/>
      <c r="P72" s="1108"/>
      <c r="Q72" s="1108"/>
      <c r="R72" s="1108"/>
      <c r="S72" s="1108"/>
      <c r="T72" s="1108"/>
      <c r="U72" s="392"/>
    </row>
    <row r="73" spans="2:21" s="6" customFormat="1" ht="15.5" x14ac:dyDescent="0.35">
      <c r="B73" s="1122">
        <f t="shared" ref="B73:B81" si="26">+B72+1</f>
        <v>3</v>
      </c>
      <c r="C73" s="1125" t="s">
        <v>227</v>
      </c>
      <c r="D73" s="1124" t="s">
        <v>885</v>
      </c>
      <c r="E73" s="544"/>
      <c r="F73" s="544"/>
      <c r="G73" s="544"/>
      <c r="H73" s="544"/>
      <c r="I73" s="544"/>
      <c r="J73" s="544"/>
      <c r="K73" s="1108"/>
      <c r="L73" s="1108"/>
      <c r="M73" s="1108"/>
      <c r="N73" s="1108"/>
      <c r="O73" s="544"/>
      <c r="P73" s="1108"/>
      <c r="Q73" s="1108"/>
      <c r="R73" s="1108"/>
      <c r="S73" s="1108"/>
      <c r="T73" s="1108"/>
      <c r="U73" s="392"/>
    </row>
    <row r="74" spans="2:21" s="6" customFormat="1" ht="15.5" x14ac:dyDescent="0.35">
      <c r="B74" s="1122">
        <f t="shared" si="26"/>
        <v>4</v>
      </c>
      <c r="C74" s="1125" t="s">
        <v>793</v>
      </c>
      <c r="D74" s="1124" t="s">
        <v>885</v>
      </c>
      <c r="E74" s="544"/>
      <c r="F74" s="544"/>
      <c r="G74" s="544"/>
      <c r="H74" s="544"/>
      <c r="I74" s="544"/>
      <c r="J74" s="544"/>
      <c r="K74" s="1108"/>
      <c r="L74" s="1108"/>
      <c r="M74" s="1108"/>
      <c r="N74" s="1108"/>
      <c r="O74" s="544"/>
      <c r="P74" s="1108"/>
      <c r="Q74" s="1108"/>
      <c r="R74" s="1108"/>
      <c r="S74" s="1108"/>
      <c r="T74" s="1108"/>
      <c r="U74" s="392"/>
    </row>
    <row r="75" spans="2:21" s="6" customFormat="1" ht="15.5" x14ac:dyDescent="0.35">
      <c r="B75" s="1122">
        <f t="shared" si="26"/>
        <v>5</v>
      </c>
      <c r="C75" s="1125" t="s">
        <v>794</v>
      </c>
      <c r="D75" s="1124" t="s">
        <v>885</v>
      </c>
      <c r="E75" s="544"/>
      <c r="F75" s="544"/>
      <c r="G75" s="544"/>
      <c r="H75" s="544"/>
      <c r="I75" s="544"/>
      <c r="J75" s="544"/>
      <c r="K75" s="1108"/>
      <c r="L75" s="1108"/>
      <c r="M75" s="1108"/>
      <c r="N75" s="1108"/>
      <c r="O75" s="544"/>
      <c r="P75" s="1108"/>
      <c r="Q75" s="1108"/>
      <c r="R75" s="1108"/>
      <c r="S75" s="1108"/>
      <c r="T75" s="1108"/>
      <c r="U75" s="392"/>
    </row>
    <row r="76" spans="2:21" s="6" customFormat="1" ht="15.5" x14ac:dyDescent="0.35">
      <c r="B76" s="1122">
        <f t="shared" si="26"/>
        <v>6</v>
      </c>
      <c r="C76" s="1125" t="s">
        <v>785</v>
      </c>
      <c r="D76" s="1124" t="s">
        <v>885</v>
      </c>
      <c r="E76" s="544"/>
      <c r="F76" s="544"/>
      <c r="G76" s="544"/>
      <c r="H76" s="544"/>
      <c r="I76" s="544"/>
      <c r="J76" s="544"/>
      <c r="K76" s="1108"/>
      <c r="L76" s="1108"/>
      <c r="M76" s="1108"/>
      <c r="N76" s="1108"/>
      <c r="O76" s="544"/>
      <c r="P76" s="1108"/>
      <c r="Q76" s="1108"/>
      <c r="R76" s="1108"/>
      <c r="S76" s="1108"/>
      <c r="T76" s="1108"/>
      <c r="U76" s="392"/>
    </row>
    <row r="77" spans="2:21" s="6" customFormat="1" ht="15.5" x14ac:dyDescent="0.35">
      <c r="B77" s="1122">
        <f t="shared" si="26"/>
        <v>7</v>
      </c>
      <c r="C77" s="1125" t="s">
        <v>786</v>
      </c>
      <c r="D77" s="1124" t="s">
        <v>885</v>
      </c>
      <c r="E77" s="544"/>
      <c r="F77" s="544"/>
      <c r="G77" s="544"/>
      <c r="H77" s="544"/>
      <c r="I77" s="544"/>
      <c r="J77" s="544"/>
      <c r="K77" s="1108"/>
      <c r="L77" s="1108"/>
      <c r="M77" s="1108"/>
      <c r="N77" s="1108"/>
      <c r="O77" s="544"/>
      <c r="P77" s="1108"/>
      <c r="Q77" s="1108"/>
      <c r="R77" s="1108"/>
      <c r="S77" s="1108"/>
      <c r="T77" s="1108"/>
      <c r="U77" s="392"/>
    </row>
    <row r="78" spans="2:21" s="6" customFormat="1" ht="15.5" x14ac:dyDescent="0.35">
      <c r="B78" s="1122">
        <f t="shared" si="26"/>
        <v>8</v>
      </c>
      <c r="C78" s="1125" t="s">
        <v>787</v>
      </c>
      <c r="D78" s="1124" t="s">
        <v>885</v>
      </c>
      <c r="E78" s="544"/>
      <c r="F78" s="544"/>
      <c r="G78" s="544"/>
      <c r="H78" s="544"/>
      <c r="I78" s="544"/>
      <c r="J78" s="544"/>
      <c r="K78" s="1108"/>
      <c r="L78" s="1108"/>
      <c r="M78" s="1108"/>
      <c r="N78" s="1108"/>
      <c r="O78" s="544"/>
      <c r="P78" s="1108"/>
      <c r="Q78" s="1108"/>
      <c r="R78" s="1108"/>
      <c r="S78" s="1108"/>
      <c r="T78" s="1108"/>
      <c r="U78" s="392"/>
    </row>
    <row r="79" spans="2:21" s="6" customFormat="1" ht="15.5" x14ac:dyDescent="0.35">
      <c r="B79" s="1122">
        <f t="shared" si="26"/>
        <v>9</v>
      </c>
      <c r="C79" s="1125" t="s">
        <v>886</v>
      </c>
      <c r="D79" s="1124" t="s">
        <v>885</v>
      </c>
      <c r="E79" s="544"/>
      <c r="F79" s="544"/>
      <c r="G79" s="544"/>
      <c r="H79" s="544"/>
      <c r="I79" s="544"/>
      <c r="J79" s="544"/>
      <c r="K79" s="1108"/>
      <c r="L79" s="1108"/>
      <c r="M79" s="1108"/>
      <c r="N79" s="1108"/>
      <c r="O79" s="544"/>
      <c r="P79" s="1108"/>
      <c r="Q79" s="1108"/>
      <c r="R79" s="1108"/>
      <c r="S79" s="1108"/>
      <c r="T79" s="1108"/>
      <c r="U79" s="392"/>
    </row>
    <row r="80" spans="2:21" s="6" customFormat="1" ht="15.5" x14ac:dyDescent="0.35">
      <c r="B80" s="1122">
        <f t="shared" si="26"/>
        <v>10</v>
      </c>
      <c r="C80" s="1125" t="s">
        <v>209</v>
      </c>
      <c r="D80" s="1124" t="s">
        <v>885</v>
      </c>
      <c r="E80" s="544"/>
      <c r="F80" s="544"/>
      <c r="G80" s="544"/>
      <c r="H80" s="544"/>
      <c r="I80" s="544"/>
      <c r="J80" s="544"/>
      <c r="K80" s="1108"/>
      <c r="L80" s="1108"/>
      <c r="M80" s="1108"/>
      <c r="N80" s="1108"/>
      <c r="O80" s="544"/>
      <c r="P80" s="1108"/>
      <c r="Q80" s="1108"/>
      <c r="R80" s="1108"/>
      <c r="S80" s="1108"/>
      <c r="T80" s="1108"/>
      <c r="U80" s="392"/>
    </row>
    <row r="81" spans="2:21" s="6" customFormat="1" ht="15.5" x14ac:dyDescent="0.35">
      <c r="B81" s="1122">
        <f t="shared" si="26"/>
        <v>11</v>
      </c>
      <c r="C81" s="1125" t="s">
        <v>809</v>
      </c>
      <c r="D81" s="1124" t="s">
        <v>885</v>
      </c>
      <c r="E81" s="544"/>
      <c r="F81" s="544"/>
      <c r="G81" s="544"/>
      <c r="H81" s="544"/>
      <c r="I81" s="544"/>
      <c r="J81" s="544"/>
      <c r="K81" s="1108"/>
      <c r="L81" s="1108"/>
      <c r="M81" s="1108"/>
      <c r="N81" s="1108"/>
      <c r="O81" s="544"/>
      <c r="P81" s="1108"/>
      <c r="Q81" s="1108"/>
      <c r="R81" s="1108"/>
      <c r="S81" s="1108"/>
      <c r="T81" s="1108"/>
      <c r="U81" s="392"/>
    </row>
    <row r="82" spans="2:21" s="6" customFormat="1" ht="15" x14ac:dyDescent="0.3">
      <c r="B82" s="1122"/>
      <c r="C82" s="1123" t="s">
        <v>1504</v>
      </c>
      <c r="D82" s="1124" t="s">
        <v>885</v>
      </c>
      <c r="E82" s="544"/>
      <c r="F82" s="544"/>
      <c r="G82" s="544"/>
      <c r="H82" s="544"/>
      <c r="I82" s="544"/>
      <c r="J82" s="544"/>
      <c r="K82" s="1108"/>
      <c r="L82" s="1108"/>
      <c r="M82" s="1108"/>
      <c r="N82" s="1108"/>
      <c r="O82" s="544"/>
      <c r="P82" s="1108">
        <v>0</v>
      </c>
      <c r="Q82" s="1108">
        <v>0</v>
      </c>
      <c r="R82" s="1108">
        <v>0</v>
      </c>
      <c r="S82" s="1108">
        <v>0</v>
      </c>
      <c r="T82" s="1108">
        <v>0</v>
      </c>
      <c r="U82" s="392"/>
    </row>
    <row r="83" spans="2:21" s="6" customFormat="1" ht="15.5" x14ac:dyDescent="0.3">
      <c r="B83" s="405"/>
      <c r="C83" s="401"/>
      <c r="D83" s="404"/>
      <c r="E83" s="544"/>
      <c r="F83" s="544"/>
      <c r="G83" s="544"/>
      <c r="H83" s="544"/>
      <c r="I83" s="544"/>
      <c r="J83" s="544"/>
      <c r="K83" s="1108"/>
      <c r="L83" s="1108"/>
      <c r="M83" s="1108"/>
      <c r="N83" s="1108"/>
      <c r="O83" s="544"/>
      <c r="P83" s="1108"/>
      <c r="Q83" s="1108"/>
      <c r="R83" s="1108"/>
      <c r="S83" s="1108"/>
      <c r="T83" s="1108"/>
      <c r="U83" s="392"/>
    </row>
    <row r="84" spans="2:21" s="6" customFormat="1" ht="15" x14ac:dyDescent="0.3">
      <c r="B84" s="343" t="s">
        <v>801</v>
      </c>
      <c r="C84" s="344" t="s">
        <v>796</v>
      </c>
      <c r="D84" s="406"/>
      <c r="E84" s="544"/>
      <c r="F84" s="544"/>
      <c r="G84" s="544"/>
      <c r="H84" s="544"/>
      <c r="I84" s="544"/>
      <c r="J84" s="544"/>
      <c r="K84" s="1108"/>
      <c r="L84" s="1108"/>
      <c r="M84" s="1108"/>
      <c r="N84" s="1108"/>
      <c r="O84" s="544"/>
      <c r="P84" s="1108"/>
      <c r="Q84" s="1108"/>
      <c r="R84" s="1108"/>
      <c r="S84" s="1108"/>
      <c r="T84" s="1108"/>
      <c r="U84" s="392"/>
    </row>
    <row r="85" spans="2:21" s="6" customFormat="1" ht="15.5" x14ac:dyDescent="0.35">
      <c r="B85" s="345">
        <v>1</v>
      </c>
      <c r="C85" s="399" t="s">
        <v>139</v>
      </c>
      <c r="D85" s="406" t="s">
        <v>800</v>
      </c>
      <c r="E85" s="477">
        <f>F85</f>
        <v>52127.017848186508</v>
      </c>
      <c r="F85" s="477">
        <v>52127.017848186508</v>
      </c>
      <c r="G85" s="477">
        <f t="shared" ref="G85:G96" si="27">F85-E85</f>
        <v>0</v>
      </c>
      <c r="H85" s="477">
        <f>I85</f>
        <v>63267.069689349533</v>
      </c>
      <c r="I85" s="477">
        <v>63267.069689349533</v>
      </c>
      <c r="J85" s="477">
        <f t="shared" ref="J85:J96" si="28">I85-H85</f>
        <v>0</v>
      </c>
      <c r="K85" s="713"/>
      <c r="L85" s="1109">
        <v>59568.197673837472</v>
      </c>
      <c r="M85" s="1109"/>
      <c r="N85" s="1109"/>
      <c r="O85" s="477">
        <f t="shared" ref="O85:O96" si="29">N85-K85</f>
        <v>0</v>
      </c>
      <c r="P85" s="1109"/>
      <c r="Q85" s="1109"/>
      <c r="R85" s="1109"/>
      <c r="S85" s="1109"/>
      <c r="T85" s="1109"/>
      <c r="U85" s="392"/>
    </row>
    <row r="86" spans="2:21" s="6" customFormat="1" ht="15.5" x14ac:dyDescent="0.35">
      <c r="B86" s="345">
        <v>2</v>
      </c>
      <c r="C86" s="399" t="s">
        <v>784</v>
      </c>
      <c r="D86" s="406" t="s">
        <v>800</v>
      </c>
      <c r="E86" s="477">
        <f t="shared" ref="E86:E96" si="30">F86</f>
        <v>0</v>
      </c>
      <c r="F86" s="477">
        <v>0</v>
      </c>
      <c r="G86" s="477">
        <f t="shared" si="27"/>
        <v>0</v>
      </c>
      <c r="H86" s="477">
        <f t="shared" ref="H86:H96" si="31">I86</f>
        <v>0</v>
      </c>
      <c r="I86" s="477">
        <v>0</v>
      </c>
      <c r="J86" s="477">
        <f t="shared" si="28"/>
        <v>0</v>
      </c>
      <c r="K86" s="713"/>
      <c r="L86" s="1109">
        <v>0</v>
      </c>
      <c r="M86" s="1109"/>
      <c r="N86" s="1109"/>
      <c r="O86" s="477">
        <f t="shared" si="29"/>
        <v>0</v>
      </c>
      <c r="P86" s="1109"/>
      <c r="Q86" s="1109"/>
      <c r="R86" s="1109"/>
      <c r="S86" s="1109"/>
      <c r="T86" s="1109"/>
      <c r="U86" s="392"/>
    </row>
    <row r="87" spans="2:21" s="419" customFormat="1" ht="15.5" x14ac:dyDescent="0.35">
      <c r="B87" s="417">
        <v>3</v>
      </c>
      <c r="C87" s="399" t="s">
        <v>227</v>
      </c>
      <c r="D87" s="462" t="s">
        <v>800</v>
      </c>
      <c r="E87" s="477">
        <f t="shared" si="30"/>
        <v>0</v>
      </c>
      <c r="F87" s="477">
        <v>0</v>
      </c>
      <c r="G87" s="477">
        <f t="shared" si="27"/>
        <v>0</v>
      </c>
      <c r="H87" s="477">
        <f t="shared" si="31"/>
        <v>0</v>
      </c>
      <c r="I87" s="477">
        <v>0</v>
      </c>
      <c r="J87" s="477">
        <f t="shared" si="28"/>
        <v>0</v>
      </c>
      <c r="K87" s="713"/>
      <c r="L87" s="1109">
        <v>0</v>
      </c>
      <c r="M87" s="1109"/>
      <c r="N87" s="1109"/>
      <c r="O87" s="477">
        <f t="shared" si="29"/>
        <v>0</v>
      </c>
      <c r="P87" s="1109"/>
      <c r="Q87" s="1109"/>
      <c r="R87" s="1109"/>
      <c r="S87" s="1109"/>
      <c r="T87" s="1109"/>
      <c r="U87" s="403"/>
    </row>
    <row r="88" spans="2:21" s="419" customFormat="1" ht="15.5" x14ac:dyDescent="0.35">
      <c r="B88" s="417">
        <v>4</v>
      </c>
      <c r="C88" s="399" t="s">
        <v>793</v>
      </c>
      <c r="D88" s="462" t="s">
        <v>800</v>
      </c>
      <c r="E88" s="477">
        <f t="shared" si="30"/>
        <v>0</v>
      </c>
      <c r="F88" s="477">
        <v>0</v>
      </c>
      <c r="G88" s="477">
        <f t="shared" si="27"/>
        <v>0</v>
      </c>
      <c r="H88" s="477">
        <f t="shared" si="31"/>
        <v>0</v>
      </c>
      <c r="I88" s="477">
        <v>0</v>
      </c>
      <c r="J88" s="477">
        <f t="shared" si="28"/>
        <v>0</v>
      </c>
      <c r="K88" s="713"/>
      <c r="L88" s="1109">
        <v>0</v>
      </c>
      <c r="M88" s="1109"/>
      <c r="N88" s="1109"/>
      <c r="O88" s="477">
        <f t="shared" si="29"/>
        <v>0</v>
      </c>
      <c r="P88" s="1109"/>
      <c r="Q88" s="1109"/>
      <c r="R88" s="1109"/>
      <c r="S88" s="1109"/>
      <c r="T88" s="1109"/>
      <c r="U88" s="403"/>
    </row>
    <row r="89" spans="2:21" s="6" customFormat="1" ht="15.5" x14ac:dyDescent="0.35">
      <c r="B89" s="345">
        <v>5</v>
      </c>
      <c r="C89" s="399" t="s">
        <v>140</v>
      </c>
      <c r="D89" s="406" t="s">
        <v>800</v>
      </c>
      <c r="E89" s="477">
        <f t="shared" si="30"/>
        <v>9382.8632126735702</v>
      </c>
      <c r="F89" s="477">
        <v>9382.8632126735702</v>
      </c>
      <c r="G89" s="477">
        <f t="shared" si="27"/>
        <v>0</v>
      </c>
      <c r="H89" s="477">
        <f t="shared" si="31"/>
        <v>11388.072544082916</v>
      </c>
      <c r="I89" s="477">
        <v>11388.072544082916</v>
      </c>
      <c r="J89" s="477">
        <f t="shared" si="28"/>
        <v>0</v>
      </c>
      <c r="K89" s="713"/>
      <c r="L89" s="1109">
        <v>10722.275581290745</v>
      </c>
      <c r="M89" s="1109"/>
      <c r="N89" s="1109"/>
      <c r="O89" s="477">
        <f t="shared" si="29"/>
        <v>0</v>
      </c>
      <c r="P89" s="1109"/>
      <c r="Q89" s="1109"/>
      <c r="R89" s="1109"/>
      <c r="S89" s="1109"/>
      <c r="T89" s="1109"/>
      <c r="U89" s="392"/>
    </row>
    <row r="90" spans="2:21" s="6" customFormat="1" ht="15.5" x14ac:dyDescent="0.35">
      <c r="B90" s="345">
        <v>6</v>
      </c>
      <c r="C90" s="399" t="s">
        <v>785</v>
      </c>
      <c r="D90" s="406" t="s">
        <v>800</v>
      </c>
      <c r="E90" s="477">
        <f t="shared" si="30"/>
        <v>0</v>
      </c>
      <c r="F90" s="477">
        <v>0</v>
      </c>
      <c r="G90" s="477">
        <f t="shared" si="27"/>
        <v>0</v>
      </c>
      <c r="H90" s="477">
        <f t="shared" si="31"/>
        <v>0</v>
      </c>
      <c r="I90" s="477">
        <v>0</v>
      </c>
      <c r="J90" s="477">
        <f t="shared" si="28"/>
        <v>0</v>
      </c>
      <c r="K90" s="713"/>
      <c r="L90" s="1109">
        <v>0</v>
      </c>
      <c r="M90" s="1109"/>
      <c r="N90" s="1109"/>
      <c r="O90" s="477">
        <f t="shared" si="29"/>
        <v>0</v>
      </c>
      <c r="P90" s="1109"/>
      <c r="Q90" s="1109"/>
      <c r="R90" s="1109"/>
      <c r="S90" s="1109"/>
      <c r="T90" s="1109"/>
      <c r="U90" s="392"/>
    </row>
    <row r="91" spans="2:21" s="6" customFormat="1" ht="15.5" x14ac:dyDescent="0.35">
      <c r="B91" s="345">
        <v>7</v>
      </c>
      <c r="C91" s="399" t="s">
        <v>786</v>
      </c>
      <c r="D91" s="406" t="s">
        <v>800</v>
      </c>
      <c r="E91" s="477">
        <f t="shared" si="30"/>
        <v>0</v>
      </c>
      <c r="F91" s="477">
        <v>0</v>
      </c>
      <c r="G91" s="477">
        <f t="shared" si="27"/>
        <v>0</v>
      </c>
      <c r="H91" s="477">
        <f t="shared" si="31"/>
        <v>0</v>
      </c>
      <c r="I91" s="477">
        <v>0</v>
      </c>
      <c r="J91" s="477">
        <f t="shared" si="28"/>
        <v>0</v>
      </c>
      <c r="K91" s="713"/>
      <c r="L91" s="1109">
        <v>0</v>
      </c>
      <c r="M91" s="1109"/>
      <c r="N91" s="1109"/>
      <c r="O91" s="477">
        <f t="shared" si="29"/>
        <v>0</v>
      </c>
      <c r="P91" s="1109"/>
      <c r="Q91" s="1109"/>
      <c r="R91" s="1109"/>
      <c r="S91" s="1109"/>
      <c r="T91" s="1109"/>
      <c r="U91" s="392"/>
    </row>
    <row r="92" spans="2:21" s="6" customFormat="1" ht="15.5" x14ac:dyDescent="0.35">
      <c r="B92" s="345">
        <v>8</v>
      </c>
      <c r="C92" s="399" t="s">
        <v>787</v>
      </c>
      <c r="D92" s="406" t="s">
        <v>800</v>
      </c>
      <c r="E92" s="477">
        <f t="shared" si="30"/>
        <v>0</v>
      </c>
      <c r="F92" s="477">
        <v>0</v>
      </c>
      <c r="G92" s="477">
        <f t="shared" si="27"/>
        <v>0</v>
      </c>
      <c r="H92" s="477">
        <f t="shared" si="31"/>
        <v>0</v>
      </c>
      <c r="I92" s="477">
        <v>0</v>
      </c>
      <c r="J92" s="477">
        <f t="shared" si="28"/>
        <v>0</v>
      </c>
      <c r="K92" s="713"/>
      <c r="L92" s="1109">
        <v>0</v>
      </c>
      <c r="M92" s="1109"/>
      <c r="N92" s="1109"/>
      <c r="O92" s="477">
        <f t="shared" si="29"/>
        <v>0</v>
      </c>
      <c r="P92" s="1109"/>
      <c r="Q92" s="1109"/>
      <c r="R92" s="1109"/>
      <c r="S92" s="1109"/>
      <c r="T92" s="1109"/>
      <c r="U92" s="392"/>
    </row>
    <row r="93" spans="2:21" s="6" customFormat="1" ht="15.5" x14ac:dyDescent="0.35">
      <c r="B93" s="345">
        <v>9</v>
      </c>
      <c r="C93" s="399" t="s">
        <v>825</v>
      </c>
      <c r="D93" s="406" t="s">
        <v>800</v>
      </c>
      <c r="E93" s="477">
        <f t="shared" si="30"/>
        <v>0</v>
      </c>
      <c r="F93" s="477">
        <v>0</v>
      </c>
      <c r="G93" s="477">
        <f t="shared" si="27"/>
        <v>0</v>
      </c>
      <c r="H93" s="477">
        <f t="shared" si="31"/>
        <v>0</v>
      </c>
      <c r="I93" s="477">
        <v>0</v>
      </c>
      <c r="J93" s="477">
        <f t="shared" si="28"/>
        <v>0</v>
      </c>
      <c r="K93" s="713"/>
      <c r="L93" s="1109">
        <v>0</v>
      </c>
      <c r="M93" s="1109"/>
      <c r="N93" s="1109"/>
      <c r="O93" s="477">
        <f t="shared" si="29"/>
        <v>0</v>
      </c>
      <c r="P93" s="1109"/>
      <c r="Q93" s="1109"/>
      <c r="R93" s="1109"/>
      <c r="S93" s="1109"/>
      <c r="T93" s="1109"/>
      <c r="U93" s="392"/>
    </row>
    <row r="94" spans="2:21" s="419" customFormat="1" ht="15.5" x14ac:dyDescent="0.3">
      <c r="B94" s="417">
        <v>10</v>
      </c>
      <c r="C94" s="448" t="s">
        <v>209</v>
      </c>
      <c r="D94" s="462" t="s">
        <v>800</v>
      </c>
      <c r="E94" s="477">
        <f t="shared" si="30"/>
        <v>0</v>
      </c>
      <c r="F94" s="477">
        <v>0</v>
      </c>
      <c r="G94" s="477">
        <f t="shared" si="27"/>
        <v>0</v>
      </c>
      <c r="H94" s="477">
        <f t="shared" si="31"/>
        <v>0</v>
      </c>
      <c r="I94" s="477">
        <v>0</v>
      </c>
      <c r="J94" s="477">
        <f t="shared" si="28"/>
        <v>0</v>
      </c>
      <c r="K94" s="713"/>
      <c r="L94" s="1109">
        <v>0</v>
      </c>
      <c r="M94" s="1109"/>
      <c r="N94" s="1109"/>
      <c r="O94" s="477">
        <f t="shared" si="29"/>
        <v>0</v>
      </c>
      <c r="P94" s="1109"/>
      <c r="Q94" s="1109"/>
      <c r="R94" s="1109"/>
      <c r="S94" s="1109"/>
      <c r="T94" s="1109"/>
      <c r="U94" s="403"/>
    </row>
    <row r="95" spans="2:21" s="6" customFormat="1" ht="15.5" x14ac:dyDescent="0.35">
      <c r="B95" s="345">
        <v>11</v>
      </c>
      <c r="C95" s="399" t="s">
        <v>789</v>
      </c>
      <c r="D95" s="406" t="s">
        <v>800</v>
      </c>
      <c r="E95" s="477">
        <f t="shared" si="30"/>
        <v>0</v>
      </c>
      <c r="F95" s="477"/>
      <c r="G95" s="477">
        <f t="shared" si="27"/>
        <v>0</v>
      </c>
      <c r="H95" s="477">
        <f t="shared" si="31"/>
        <v>0</v>
      </c>
      <c r="I95" s="477"/>
      <c r="J95" s="477">
        <f t="shared" si="28"/>
        <v>0</v>
      </c>
      <c r="K95" s="713"/>
      <c r="L95" s="1109"/>
      <c r="M95" s="1190"/>
      <c r="N95" s="1109"/>
      <c r="O95" s="477">
        <f t="shared" si="29"/>
        <v>0</v>
      </c>
      <c r="P95" s="1109"/>
      <c r="Q95" s="1109"/>
      <c r="R95" s="1109"/>
      <c r="S95" s="1109"/>
      <c r="T95" s="1109"/>
      <c r="U95" s="392"/>
    </row>
    <row r="96" spans="2:21" s="6" customFormat="1" ht="15.5" x14ac:dyDescent="0.35">
      <c r="B96" s="345">
        <v>12</v>
      </c>
      <c r="C96" s="399" t="s">
        <v>141</v>
      </c>
      <c r="D96" s="406" t="s">
        <v>800</v>
      </c>
      <c r="E96" s="477">
        <f t="shared" si="30"/>
        <v>0</v>
      </c>
      <c r="F96" s="477"/>
      <c r="G96" s="477">
        <f t="shared" si="27"/>
        <v>0</v>
      </c>
      <c r="H96" s="477">
        <f t="shared" si="31"/>
        <v>0</v>
      </c>
      <c r="I96" s="477"/>
      <c r="J96" s="477">
        <f t="shared" si="28"/>
        <v>0</v>
      </c>
      <c r="K96" s="713"/>
      <c r="L96" s="1109"/>
      <c r="M96" s="1190"/>
      <c r="N96" s="1109"/>
      <c r="O96" s="477">
        <f t="shared" si="29"/>
        <v>0</v>
      </c>
      <c r="P96" s="1109"/>
      <c r="Q96" s="1109"/>
      <c r="R96" s="1109"/>
      <c r="S96" s="1109"/>
      <c r="T96" s="1109"/>
      <c r="U96" s="392"/>
    </row>
    <row r="97" spans="2:21" s="6" customFormat="1" ht="15" x14ac:dyDescent="0.3">
      <c r="B97" s="343"/>
      <c r="C97" s="344" t="s">
        <v>797</v>
      </c>
      <c r="D97" s="406" t="s">
        <v>800</v>
      </c>
      <c r="E97" s="478">
        <f t="shared" ref="E97:O97" si="32">SUM(E85:E96)</f>
        <v>61509.881060860076</v>
      </c>
      <c r="F97" s="478">
        <f t="shared" si="32"/>
        <v>61509.881060860076</v>
      </c>
      <c r="G97" s="478">
        <f t="shared" si="32"/>
        <v>0</v>
      </c>
      <c r="H97" s="478">
        <f t="shared" ref="H97" si="33">SUM(H85:H96)</f>
        <v>74655.142233432445</v>
      </c>
      <c r="I97" s="478">
        <f t="shared" si="32"/>
        <v>74655.142233432445</v>
      </c>
      <c r="J97" s="478">
        <f t="shared" si="32"/>
        <v>0</v>
      </c>
      <c r="K97" s="1110">
        <f>N97</f>
        <v>71058.743604558433</v>
      </c>
      <c r="L97" s="1110">
        <f t="shared" ref="L97" si="34">SUM(L85:L96)</f>
        <v>70290.473255128221</v>
      </c>
      <c r="M97" s="1110">
        <v>74655.142233432445</v>
      </c>
      <c r="N97" s="1110">
        <f>SUMPRODUCT(L97:M97,'F2.2'!O100:P100)/SUM('F2.2'!O100:P100)</f>
        <v>71058.743604558433</v>
      </c>
      <c r="O97" s="478">
        <f t="shared" si="32"/>
        <v>0</v>
      </c>
      <c r="P97" s="1110">
        <v>78122.176859183455</v>
      </c>
      <c r="Q97" s="1110">
        <v>82028.285702142632</v>
      </c>
      <c r="R97" s="1110">
        <v>86129.699987249769</v>
      </c>
      <c r="S97" s="1110">
        <v>90436.184986612265</v>
      </c>
      <c r="T97" s="1110">
        <v>94957.994235942882</v>
      </c>
      <c r="U97" s="400">
        <f t="shared" ref="U97" si="35">SUM(U85:U96)</f>
        <v>0</v>
      </c>
    </row>
    <row r="98" spans="2:21" s="6" customFormat="1" ht="15.5" x14ac:dyDescent="0.35">
      <c r="B98" s="345"/>
      <c r="C98" s="399"/>
      <c r="D98" s="406"/>
      <c r="E98" s="477"/>
      <c r="F98" s="477"/>
      <c r="G98" s="477"/>
      <c r="H98" s="477"/>
      <c r="I98" s="477"/>
      <c r="J98" s="477"/>
      <c r="K98" s="1109"/>
      <c r="L98" s="1109"/>
      <c r="M98" s="1109"/>
      <c r="N98" s="1109"/>
      <c r="O98" s="477"/>
      <c r="P98" s="1109"/>
      <c r="Q98" s="1109"/>
      <c r="R98" s="1109"/>
      <c r="S98" s="1109"/>
      <c r="T98" s="1109"/>
      <c r="U98" s="392"/>
    </row>
    <row r="99" spans="2:21" s="6" customFormat="1" ht="15" x14ac:dyDescent="0.3">
      <c r="B99" s="343" t="s">
        <v>888</v>
      </c>
      <c r="C99" s="344" t="s">
        <v>798</v>
      </c>
      <c r="D99" s="406"/>
      <c r="E99" s="477"/>
      <c r="F99" s="477"/>
      <c r="G99" s="477"/>
      <c r="H99" s="477"/>
      <c r="I99" s="477"/>
      <c r="J99" s="477"/>
      <c r="K99" s="1109"/>
      <c r="L99" s="1109"/>
      <c r="M99" s="1109"/>
      <c r="N99" s="1109"/>
      <c r="O99" s="477"/>
      <c r="P99" s="1109"/>
      <c r="Q99" s="1109"/>
      <c r="R99" s="1109"/>
      <c r="S99" s="1109"/>
      <c r="T99" s="1109"/>
      <c r="U99" s="392"/>
    </row>
    <row r="100" spans="2:21" s="11" customFormat="1" ht="15.5" x14ac:dyDescent="0.35">
      <c r="B100" s="417">
        <v>1</v>
      </c>
      <c r="C100" s="399" t="s">
        <v>139</v>
      </c>
      <c r="D100" s="511" t="s">
        <v>800</v>
      </c>
      <c r="E100" s="477">
        <f t="shared" ref="E100:E111" si="36">F100</f>
        <v>47167.443291810043</v>
      </c>
      <c r="F100" s="477">
        <v>47167.443291810043</v>
      </c>
      <c r="G100" s="477">
        <f t="shared" ref="G100:G111" si="37">F100-E100</f>
        <v>0</v>
      </c>
      <c r="H100" s="477">
        <f t="shared" ref="H100:H111" si="38">I100</f>
        <v>58042.511636478535</v>
      </c>
      <c r="I100" s="477">
        <v>58042.511636478535</v>
      </c>
      <c r="J100" s="477">
        <f t="shared" ref="J100:J111" si="39">I100-H100</f>
        <v>0</v>
      </c>
      <c r="K100" s="1109"/>
      <c r="L100" s="1109">
        <v>45703.093764180725</v>
      </c>
      <c r="M100" s="1109"/>
      <c r="N100" s="1109"/>
      <c r="O100" s="477">
        <f t="shared" ref="O100:O111" si="40">N100-K100</f>
        <v>0</v>
      </c>
      <c r="P100" s="1109"/>
      <c r="Q100" s="1109"/>
      <c r="R100" s="1109"/>
      <c r="S100" s="1109"/>
      <c r="T100" s="1109"/>
      <c r="U100" s="512"/>
    </row>
    <row r="101" spans="2:21" s="11" customFormat="1" ht="15.5" x14ac:dyDescent="0.35">
      <c r="B101" s="417">
        <v>2</v>
      </c>
      <c r="C101" s="399" t="s">
        <v>784</v>
      </c>
      <c r="D101" s="511" t="s">
        <v>800</v>
      </c>
      <c r="E101" s="477">
        <f t="shared" si="36"/>
        <v>0</v>
      </c>
      <c r="F101" s="477">
        <v>0</v>
      </c>
      <c r="G101" s="477">
        <f t="shared" si="37"/>
        <v>0</v>
      </c>
      <c r="H101" s="477">
        <f t="shared" si="38"/>
        <v>0</v>
      </c>
      <c r="I101" s="477">
        <v>0</v>
      </c>
      <c r="J101" s="477">
        <f t="shared" si="39"/>
        <v>0</v>
      </c>
      <c r="K101" s="1109"/>
      <c r="L101" s="1109">
        <v>0</v>
      </c>
      <c r="M101" s="1109"/>
      <c r="N101" s="1109"/>
      <c r="O101" s="477">
        <f t="shared" si="40"/>
        <v>0</v>
      </c>
      <c r="P101" s="1109"/>
      <c r="Q101" s="1109"/>
      <c r="R101" s="1109"/>
      <c r="S101" s="1109"/>
      <c r="T101" s="1109"/>
      <c r="U101" s="512"/>
    </row>
    <row r="102" spans="2:21" s="11" customFormat="1" ht="15.5" x14ac:dyDescent="0.35">
      <c r="B102" s="417">
        <v>3</v>
      </c>
      <c r="C102" s="399" t="s">
        <v>227</v>
      </c>
      <c r="D102" s="511" t="s">
        <v>800</v>
      </c>
      <c r="E102" s="477">
        <f t="shared" si="36"/>
        <v>0</v>
      </c>
      <c r="F102" s="477">
        <v>0</v>
      </c>
      <c r="G102" s="477">
        <f t="shared" si="37"/>
        <v>0</v>
      </c>
      <c r="H102" s="477">
        <f t="shared" si="38"/>
        <v>0</v>
      </c>
      <c r="I102" s="477">
        <v>0</v>
      </c>
      <c r="J102" s="477">
        <f t="shared" si="39"/>
        <v>0</v>
      </c>
      <c r="K102" s="1109"/>
      <c r="L102" s="1109">
        <v>0</v>
      </c>
      <c r="M102" s="1109"/>
      <c r="N102" s="1109"/>
      <c r="O102" s="477">
        <f t="shared" si="40"/>
        <v>0</v>
      </c>
      <c r="P102" s="1109"/>
      <c r="Q102" s="1109"/>
      <c r="R102" s="1109"/>
      <c r="S102" s="1109"/>
      <c r="T102" s="1109"/>
      <c r="U102" s="512"/>
    </row>
    <row r="103" spans="2:21" s="11" customFormat="1" ht="15.5" x14ac:dyDescent="0.35">
      <c r="B103" s="417">
        <v>4</v>
      </c>
      <c r="C103" s="399" t="s">
        <v>793</v>
      </c>
      <c r="D103" s="511" t="s">
        <v>800</v>
      </c>
      <c r="E103" s="477">
        <f t="shared" si="36"/>
        <v>0</v>
      </c>
      <c r="F103" s="477">
        <v>0</v>
      </c>
      <c r="G103" s="477">
        <f t="shared" si="37"/>
        <v>0</v>
      </c>
      <c r="H103" s="477">
        <f t="shared" si="38"/>
        <v>0</v>
      </c>
      <c r="I103" s="477">
        <v>0</v>
      </c>
      <c r="J103" s="477">
        <f t="shared" si="39"/>
        <v>0</v>
      </c>
      <c r="K103" s="1109"/>
      <c r="L103" s="1109">
        <v>0</v>
      </c>
      <c r="M103" s="1109"/>
      <c r="N103" s="1109"/>
      <c r="O103" s="477">
        <f t="shared" si="40"/>
        <v>0</v>
      </c>
      <c r="P103" s="1109"/>
      <c r="Q103" s="1109"/>
      <c r="R103" s="1109"/>
      <c r="S103" s="1109"/>
      <c r="T103" s="1109"/>
      <c r="U103" s="512"/>
    </row>
    <row r="104" spans="2:21" s="11" customFormat="1" ht="15.5" x14ac:dyDescent="0.35">
      <c r="B104" s="417">
        <v>5</v>
      </c>
      <c r="C104" s="399" t="s">
        <v>824</v>
      </c>
      <c r="D104" s="511" t="s">
        <v>800</v>
      </c>
      <c r="E104" s="477">
        <f t="shared" si="36"/>
        <v>8456.4583083512643</v>
      </c>
      <c r="F104" s="477">
        <v>8456.4583083512643</v>
      </c>
      <c r="G104" s="477">
        <f t="shared" si="37"/>
        <v>0</v>
      </c>
      <c r="H104" s="477">
        <f t="shared" si="38"/>
        <v>10440.11938626232</v>
      </c>
      <c r="I104" s="477">
        <v>10440.11938626232</v>
      </c>
      <c r="J104" s="477">
        <f t="shared" si="39"/>
        <v>0</v>
      </c>
      <c r="K104" s="1109"/>
      <c r="L104" s="1109">
        <v>8226.5568775525298</v>
      </c>
      <c r="M104" s="1109"/>
      <c r="N104" s="1109"/>
      <c r="O104" s="477">
        <f t="shared" si="40"/>
        <v>0</v>
      </c>
      <c r="P104" s="1109"/>
      <c r="Q104" s="1109"/>
      <c r="R104" s="1109"/>
      <c r="S104" s="1109"/>
      <c r="T104" s="1109"/>
      <c r="U104" s="512"/>
    </row>
    <row r="105" spans="2:21" s="11" customFormat="1" ht="15.5" x14ac:dyDescent="0.35">
      <c r="B105" s="417">
        <v>6</v>
      </c>
      <c r="C105" s="399" t="s">
        <v>826</v>
      </c>
      <c r="D105" s="511" t="s">
        <v>800</v>
      </c>
      <c r="E105" s="477">
        <f t="shared" si="36"/>
        <v>0</v>
      </c>
      <c r="F105" s="477">
        <v>0</v>
      </c>
      <c r="G105" s="477">
        <f t="shared" si="37"/>
        <v>0</v>
      </c>
      <c r="H105" s="477">
        <f t="shared" si="38"/>
        <v>0</v>
      </c>
      <c r="I105" s="477">
        <v>0</v>
      </c>
      <c r="J105" s="477">
        <f t="shared" si="39"/>
        <v>0</v>
      </c>
      <c r="K105" s="1109"/>
      <c r="L105" s="1109">
        <v>0</v>
      </c>
      <c r="M105" s="1109"/>
      <c r="N105" s="1109"/>
      <c r="O105" s="477">
        <f t="shared" si="40"/>
        <v>0</v>
      </c>
      <c r="P105" s="1109"/>
      <c r="Q105" s="1109"/>
      <c r="R105" s="1109"/>
      <c r="S105" s="1109"/>
      <c r="T105" s="1109"/>
      <c r="U105" s="512"/>
    </row>
    <row r="106" spans="2:21" s="11" customFormat="1" ht="15.5" x14ac:dyDescent="0.35">
      <c r="B106" s="417">
        <v>7</v>
      </c>
      <c r="C106" s="399" t="s">
        <v>786</v>
      </c>
      <c r="D106" s="511" t="s">
        <v>800</v>
      </c>
      <c r="E106" s="477">
        <f t="shared" si="36"/>
        <v>0</v>
      </c>
      <c r="F106" s="477">
        <v>0</v>
      </c>
      <c r="G106" s="477">
        <f t="shared" si="37"/>
        <v>0</v>
      </c>
      <c r="H106" s="477">
        <f t="shared" si="38"/>
        <v>0</v>
      </c>
      <c r="I106" s="477">
        <v>0</v>
      </c>
      <c r="J106" s="477">
        <f t="shared" si="39"/>
        <v>0</v>
      </c>
      <c r="K106" s="1109"/>
      <c r="L106" s="1109">
        <v>0</v>
      </c>
      <c r="M106" s="1109"/>
      <c r="N106" s="1109"/>
      <c r="O106" s="477">
        <f t="shared" si="40"/>
        <v>0</v>
      </c>
      <c r="P106" s="1109"/>
      <c r="Q106" s="1109"/>
      <c r="R106" s="1109"/>
      <c r="S106" s="1109"/>
      <c r="T106" s="1109"/>
      <c r="U106" s="512"/>
    </row>
    <row r="107" spans="2:21" s="11" customFormat="1" ht="15.5" x14ac:dyDescent="0.35">
      <c r="B107" s="417">
        <v>8</v>
      </c>
      <c r="C107" s="399" t="s">
        <v>787</v>
      </c>
      <c r="D107" s="511" t="s">
        <v>800</v>
      </c>
      <c r="E107" s="477">
        <f t="shared" si="36"/>
        <v>0</v>
      </c>
      <c r="F107" s="477">
        <v>0</v>
      </c>
      <c r="G107" s="477">
        <f t="shared" si="37"/>
        <v>0</v>
      </c>
      <c r="H107" s="477">
        <f t="shared" si="38"/>
        <v>0</v>
      </c>
      <c r="I107" s="477">
        <v>0</v>
      </c>
      <c r="J107" s="477">
        <f t="shared" si="39"/>
        <v>0</v>
      </c>
      <c r="K107" s="1109"/>
      <c r="L107" s="1109">
        <v>0</v>
      </c>
      <c r="M107" s="1109"/>
      <c r="N107" s="1109"/>
      <c r="O107" s="477">
        <f t="shared" si="40"/>
        <v>0</v>
      </c>
      <c r="P107" s="1109"/>
      <c r="Q107" s="1109"/>
      <c r="R107" s="1109"/>
      <c r="S107" s="1109"/>
      <c r="T107" s="1109"/>
      <c r="U107" s="512"/>
    </row>
    <row r="108" spans="2:21" s="11" customFormat="1" ht="15.5" x14ac:dyDescent="0.35">
      <c r="B108" s="417">
        <v>9</v>
      </c>
      <c r="C108" s="399" t="s">
        <v>827</v>
      </c>
      <c r="D108" s="511" t="s">
        <v>800</v>
      </c>
      <c r="E108" s="477">
        <f t="shared" si="36"/>
        <v>0</v>
      </c>
      <c r="F108" s="477">
        <v>0</v>
      </c>
      <c r="G108" s="477">
        <f t="shared" si="37"/>
        <v>0</v>
      </c>
      <c r="H108" s="477">
        <f t="shared" si="38"/>
        <v>0</v>
      </c>
      <c r="I108" s="477">
        <v>0</v>
      </c>
      <c r="J108" s="477">
        <f t="shared" si="39"/>
        <v>0</v>
      </c>
      <c r="K108" s="1109"/>
      <c r="L108" s="1109">
        <v>0</v>
      </c>
      <c r="M108" s="1109"/>
      <c r="N108" s="1109"/>
      <c r="O108" s="477">
        <f t="shared" si="40"/>
        <v>0</v>
      </c>
      <c r="P108" s="1109"/>
      <c r="Q108" s="1109"/>
      <c r="R108" s="1109"/>
      <c r="S108" s="1109"/>
      <c r="T108" s="1109"/>
      <c r="U108" s="512"/>
    </row>
    <row r="109" spans="2:21" s="11" customFormat="1" ht="15.5" x14ac:dyDescent="0.35">
      <c r="B109" s="417">
        <v>10</v>
      </c>
      <c r="C109" s="399" t="s">
        <v>209</v>
      </c>
      <c r="D109" s="511" t="s">
        <v>800</v>
      </c>
      <c r="E109" s="477">
        <f t="shared" si="36"/>
        <v>43.92</v>
      </c>
      <c r="F109" s="477">
        <v>43.92</v>
      </c>
      <c r="G109" s="477">
        <f t="shared" si="37"/>
        <v>0</v>
      </c>
      <c r="H109" s="477">
        <f t="shared" si="38"/>
        <v>43.92</v>
      </c>
      <c r="I109" s="477">
        <v>43.92</v>
      </c>
      <c r="J109" s="477">
        <f t="shared" si="39"/>
        <v>0</v>
      </c>
      <c r="K109" s="1109"/>
      <c r="L109" s="1109">
        <v>0</v>
      </c>
      <c r="M109" s="1109"/>
      <c r="N109" s="1109"/>
      <c r="O109" s="477">
        <f t="shared" si="40"/>
        <v>0</v>
      </c>
      <c r="P109" s="1109"/>
      <c r="Q109" s="1109"/>
      <c r="R109" s="1109"/>
      <c r="S109" s="1109"/>
      <c r="T109" s="1109"/>
      <c r="U109" s="512"/>
    </row>
    <row r="110" spans="2:21" s="11" customFormat="1" ht="15.5" x14ac:dyDescent="0.35">
      <c r="B110" s="417">
        <v>11</v>
      </c>
      <c r="C110" s="399" t="s">
        <v>789</v>
      </c>
      <c r="D110" s="511" t="s">
        <v>800</v>
      </c>
      <c r="E110" s="477">
        <f t="shared" si="36"/>
        <v>0</v>
      </c>
      <c r="F110" s="477"/>
      <c r="G110" s="477">
        <f t="shared" si="37"/>
        <v>0</v>
      </c>
      <c r="H110" s="477">
        <f t="shared" si="38"/>
        <v>0</v>
      </c>
      <c r="I110" s="477"/>
      <c r="J110" s="477">
        <f t="shared" si="39"/>
        <v>0</v>
      </c>
      <c r="K110" s="1109"/>
      <c r="L110" s="1109"/>
      <c r="M110" s="1195"/>
      <c r="N110" s="1109"/>
      <c r="O110" s="477">
        <f t="shared" si="40"/>
        <v>0</v>
      </c>
      <c r="P110" s="1109"/>
      <c r="Q110" s="1109"/>
      <c r="R110" s="1109"/>
      <c r="S110" s="1109"/>
      <c r="T110" s="1109"/>
      <c r="U110" s="512"/>
    </row>
    <row r="111" spans="2:21" s="11" customFormat="1" ht="15.5" x14ac:dyDescent="0.35">
      <c r="B111" s="417">
        <v>12</v>
      </c>
      <c r="C111" s="399" t="s">
        <v>141</v>
      </c>
      <c r="D111" s="511" t="s">
        <v>800</v>
      </c>
      <c r="E111" s="477">
        <f t="shared" si="36"/>
        <v>0</v>
      </c>
      <c r="F111" s="477"/>
      <c r="G111" s="477">
        <f t="shared" si="37"/>
        <v>0</v>
      </c>
      <c r="H111" s="477">
        <f t="shared" si="38"/>
        <v>0</v>
      </c>
      <c r="I111" s="477"/>
      <c r="J111" s="477">
        <f t="shared" si="39"/>
        <v>0</v>
      </c>
      <c r="K111" s="1109"/>
      <c r="L111" s="1109"/>
      <c r="M111" s="1195"/>
      <c r="N111" s="1195"/>
      <c r="O111" s="477">
        <f t="shared" si="40"/>
        <v>0</v>
      </c>
      <c r="P111" s="1109"/>
      <c r="Q111" s="1109"/>
      <c r="R111" s="1109"/>
      <c r="S111" s="1109"/>
      <c r="T111" s="1109"/>
      <c r="U111" s="512"/>
    </row>
    <row r="112" spans="2:21" s="6" customFormat="1" ht="15" x14ac:dyDescent="0.3">
      <c r="B112" s="343"/>
      <c r="C112" s="344" t="s">
        <v>799</v>
      </c>
      <c r="D112" s="406" t="s">
        <v>800</v>
      </c>
      <c r="E112" s="478">
        <f>SUM(E100:E111)</f>
        <v>55667.821600161304</v>
      </c>
      <c r="F112" s="478">
        <f>SUM(F100:F111)</f>
        <v>55667.821600161304</v>
      </c>
      <c r="G112" s="478">
        <f t="shared" ref="G112:O112" si="41">SUM(G100:G111)</f>
        <v>0</v>
      </c>
      <c r="H112" s="478">
        <f>SUM(H100:H111)</f>
        <v>68526.551022740852</v>
      </c>
      <c r="I112" s="478">
        <f t="shared" si="41"/>
        <v>68526.551022740852</v>
      </c>
      <c r="J112" s="478">
        <f t="shared" si="41"/>
        <v>0</v>
      </c>
      <c r="K112" s="1110">
        <f>N112</f>
        <v>57364.154996514328</v>
      </c>
      <c r="L112" s="1110">
        <f t="shared" ref="L112" si="42">SUM(L100:L111)</f>
        <v>53929.650641733257</v>
      </c>
      <c r="M112" s="1110">
        <v>68526.551022740852</v>
      </c>
      <c r="N112" s="1196">
        <f>SUMPRODUCT(L112:M112,'F2.2'!O99:P99)/SUM('F2.2'!O99:P99)</f>
        <v>57364.154996514328</v>
      </c>
      <c r="O112" s="478">
        <f t="shared" si="41"/>
        <v>0</v>
      </c>
      <c r="P112" s="1110">
        <v>57142.880143543036</v>
      </c>
      <c r="Q112" s="1110">
        <v>60000.024150720194</v>
      </c>
      <c r="R112" s="1110">
        <v>63000.025358256207</v>
      </c>
      <c r="S112" s="1110">
        <v>66150.026626169027</v>
      </c>
      <c r="T112" s="1110">
        <v>69457.527957477476</v>
      </c>
      <c r="U112" s="400">
        <f t="shared" ref="U112" si="43">SUM(U100:U111)</f>
        <v>0</v>
      </c>
    </row>
    <row r="113" spans="2:21" s="6" customFormat="1" ht="15.5" x14ac:dyDescent="0.3">
      <c r="B113" s="345"/>
      <c r="C113" s="344"/>
      <c r="D113" s="406"/>
      <c r="E113" s="477"/>
      <c r="F113" s="477"/>
      <c r="G113" s="477"/>
      <c r="H113" s="477"/>
      <c r="I113" s="477"/>
      <c r="J113" s="477"/>
      <c r="K113" s="1109"/>
      <c r="L113" s="1109"/>
      <c r="M113" s="1109"/>
      <c r="N113" s="1109"/>
      <c r="O113" s="477"/>
      <c r="P113" s="1109"/>
      <c r="Q113" s="1109"/>
      <c r="R113" s="1109"/>
      <c r="S113" s="1109"/>
      <c r="T113" s="1109"/>
      <c r="U113" s="400"/>
    </row>
    <row r="114" spans="2:21" s="419" customFormat="1" ht="15" x14ac:dyDescent="0.3">
      <c r="B114" s="476" t="s">
        <v>894</v>
      </c>
      <c r="C114" s="344" t="s">
        <v>892</v>
      </c>
      <c r="D114" s="462"/>
      <c r="E114" s="477"/>
      <c r="F114" s="477"/>
      <c r="G114" s="477"/>
      <c r="H114" s="477"/>
      <c r="I114" s="477"/>
      <c r="J114" s="477"/>
      <c r="K114" s="1109"/>
      <c r="L114" s="1109"/>
      <c r="M114" s="1109"/>
      <c r="N114" s="1109"/>
      <c r="O114" s="477"/>
      <c r="P114" s="1109"/>
      <c r="Q114" s="1109"/>
      <c r="R114" s="1109"/>
      <c r="S114" s="1109"/>
      <c r="T114" s="1109"/>
      <c r="U114" s="402"/>
    </row>
    <row r="115" spans="2:21" s="419" customFormat="1" ht="15.5" x14ac:dyDescent="0.35">
      <c r="B115" s="476">
        <v>1</v>
      </c>
      <c r="C115" s="399" t="s">
        <v>791</v>
      </c>
      <c r="D115" s="511" t="s">
        <v>800</v>
      </c>
      <c r="E115" s="477">
        <f t="shared" ref="E115:E124" si="44">F115</f>
        <v>0</v>
      </c>
      <c r="F115" s="477">
        <v>0</v>
      </c>
      <c r="G115" s="477">
        <f t="shared" ref="G115:G124" si="45">F115-E115</f>
        <v>0</v>
      </c>
      <c r="H115" s="477">
        <f t="shared" ref="H115:H124" si="46">I115</f>
        <v>0</v>
      </c>
      <c r="I115" s="477">
        <v>0</v>
      </c>
      <c r="J115" s="477">
        <f t="shared" ref="J115:J124" si="47">I115-H115</f>
        <v>0</v>
      </c>
      <c r="K115" s="1109">
        <f t="shared" ref="K115:K124" si="48">N115</f>
        <v>0</v>
      </c>
      <c r="L115" s="1109">
        <v>0</v>
      </c>
      <c r="M115" s="1109"/>
      <c r="N115" s="1197">
        <f>IFERROR(SUMPRODUCT(L115:M115,'F2.2'!$O$101:$P$101)/SUM('F2.2'!$O$101:$P$101),0)</f>
        <v>0</v>
      </c>
      <c r="O115" s="477">
        <f t="shared" ref="O115:O124" si="49">N115-K115</f>
        <v>0</v>
      </c>
      <c r="P115" s="1109"/>
      <c r="Q115" s="1109"/>
      <c r="R115" s="1109"/>
      <c r="S115" s="1109"/>
      <c r="T115" s="1109"/>
      <c r="U115" s="402"/>
    </row>
    <row r="116" spans="2:21" s="419" customFormat="1" ht="15.5" x14ac:dyDescent="0.35">
      <c r="B116" s="476">
        <f>+B115+1</f>
        <v>2</v>
      </c>
      <c r="C116" s="399" t="s">
        <v>792</v>
      </c>
      <c r="D116" s="511" t="s">
        <v>800</v>
      </c>
      <c r="E116" s="477">
        <f t="shared" si="44"/>
        <v>0</v>
      </c>
      <c r="F116" s="477">
        <v>0</v>
      </c>
      <c r="G116" s="477">
        <f t="shared" si="45"/>
        <v>0</v>
      </c>
      <c r="H116" s="477">
        <f t="shared" si="46"/>
        <v>0</v>
      </c>
      <c r="I116" s="477">
        <v>0</v>
      </c>
      <c r="J116" s="477">
        <f t="shared" si="47"/>
        <v>0</v>
      </c>
      <c r="K116" s="1109">
        <f>N116</f>
        <v>0</v>
      </c>
      <c r="L116" s="1109">
        <v>0</v>
      </c>
      <c r="M116" s="1109"/>
      <c r="N116" s="1197">
        <f>IFERROR(SUMPRODUCT(L116:M116,'F2.2'!$O$101:$P$101)/SUM('F2.2'!$O$101:$P$101),0)</f>
        <v>0</v>
      </c>
      <c r="O116" s="477">
        <f t="shared" si="49"/>
        <v>0</v>
      </c>
      <c r="P116" s="1109"/>
      <c r="Q116" s="1109"/>
      <c r="R116" s="1109"/>
      <c r="S116" s="1109"/>
      <c r="T116" s="1109"/>
      <c r="U116" s="402"/>
    </row>
    <row r="117" spans="2:21" s="419" customFormat="1" ht="15.5" x14ac:dyDescent="0.35">
      <c r="B117" s="476">
        <f t="shared" ref="B117:B124" si="50">+B116+1</f>
        <v>3</v>
      </c>
      <c r="C117" s="399" t="s">
        <v>227</v>
      </c>
      <c r="D117" s="511" t="s">
        <v>800</v>
      </c>
      <c r="E117" s="477">
        <f t="shared" si="44"/>
        <v>0</v>
      </c>
      <c r="F117" s="477">
        <v>0</v>
      </c>
      <c r="G117" s="477">
        <f t="shared" si="45"/>
        <v>0</v>
      </c>
      <c r="H117" s="477">
        <f t="shared" si="46"/>
        <v>0</v>
      </c>
      <c r="I117" s="477">
        <v>0</v>
      </c>
      <c r="J117" s="477">
        <f t="shared" si="47"/>
        <v>0</v>
      </c>
      <c r="K117" s="1109">
        <f t="shared" si="48"/>
        <v>0</v>
      </c>
      <c r="L117" s="1109">
        <v>0</v>
      </c>
      <c r="M117" s="1109"/>
      <c r="N117" s="1197">
        <f>IFERROR(SUMPRODUCT(L117:M117,'F2.2'!$O$101:$P$101)/SUM('F2.2'!$O$101:$P$101),0)</f>
        <v>0</v>
      </c>
      <c r="O117" s="477">
        <f t="shared" si="49"/>
        <v>0</v>
      </c>
      <c r="P117" s="1109"/>
      <c r="Q117" s="1109"/>
      <c r="R117" s="1109"/>
      <c r="S117" s="1109"/>
      <c r="T117" s="1109"/>
      <c r="U117" s="402"/>
    </row>
    <row r="118" spans="2:21" s="419" customFormat="1" ht="15.5" x14ac:dyDescent="0.35">
      <c r="B118" s="476">
        <f t="shared" si="50"/>
        <v>4</v>
      </c>
      <c r="C118" s="399" t="s">
        <v>793</v>
      </c>
      <c r="D118" s="511" t="s">
        <v>800</v>
      </c>
      <c r="E118" s="477">
        <f t="shared" si="44"/>
        <v>0</v>
      </c>
      <c r="F118" s="477">
        <v>0</v>
      </c>
      <c r="G118" s="477">
        <f t="shared" si="45"/>
        <v>0</v>
      </c>
      <c r="H118" s="477">
        <f t="shared" si="46"/>
        <v>0</v>
      </c>
      <c r="I118" s="477">
        <v>0</v>
      </c>
      <c r="J118" s="477">
        <f t="shared" si="47"/>
        <v>0</v>
      </c>
      <c r="K118" s="1109">
        <f t="shared" si="48"/>
        <v>0</v>
      </c>
      <c r="L118" s="1109">
        <v>0</v>
      </c>
      <c r="M118" s="1109"/>
      <c r="N118" s="1197">
        <f>IFERROR(SUMPRODUCT(L118:M118,'F2.2'!$O$101:$P$101)/SUM('F2.2'!$O$101:$P$101),0)</f>
        <v>0</v>
      </c>
      <c r="O118" s="477">
        <f t="shared" si="49"/>
        <v>0</v>
      </c>
      <c r="P118" s="1109"/>
      <c r="Q118" s="1109"/>
      <c r="R118" s="1109"/>
      <c r="S118" s="1109"/>
      <c r="T118" s="1109"/>
      <c r="U118" s="402"/>
    </row>
    <row r="119" spans="2:21" s="419" customFormat="1" ht="15.5" x14ac:dyDescent="0.35">
      <c r="B119" s="476">
        <f t="shared" si="50"/>
        <v>5</v>
      </c>
      <c r="C119" s="399" t="s">
        <v>794</v>
      </c>
      <c r="D119" s="511" t="s">
        <v>800</v>
      </c>
      <c r="E119" s="477">
        <f t="shared" si="44"/>
        <v>0</v>
      </c>
      <c r="F119" s="477">
        <v>0</v>
      </c>
      <c r="G119" s="477">
        <f t="shared" si="45"/>
        <v>0</v>
      </c>
      <c r="H119" s="477">
        <f t="shared" si="46"/>
        <v>0</v>
      </c>
      <c r="I119" s="477">
        <v>0</v>
      </c>
      <c r="J119" s="477">
        <f t="shared" si="47"/>
        <v>0</v>
      </c>
      <c r="K119" s="1109">
        <f t="shared" si="48"/>
        <v>0</v>
      </c>
      <c r="L119" s="1109">
        <v>0</v>
      </c>
      <c r="M119" s="1109"/>
      <c r="N119" s="1197">
        <f>IFERROR(SUMPRODUCT(L119:M119,'F2.2'!$O$101:$P$101)/SUM('F2.2'!$O$101:$P$101),0)</f>
        <v>0</v>
      </c>
      <c r="O119" s="477">
        <f t="shared" si="49"/>
        <v>0</v>
      </c>
      <c r="P119" s="1109"/>
      <c r="Q119" s="1109"/>
      <c r="R119" s="1109"/>
      <c r="S119" s="1109"/>
      <c r="T119" s="1109"/>
      <c r="U119" s="402"/>
    </row>
    <row r="120" spans="2:21" s="419" customFormat="1" ht="15.5" x14ac:dyDescent="0.35">
      <c r="B120" s="476">
        <f t="shared" si="50"/>
        <v>6</v>
      </c>
      <c r="C120" s="399" t="s">
        <v>785</v>
      </c>
      <c r="D120" s="511" t="s">
        <v>800</v>
      </c>
      <c r="E120" s="477">
        <f t="shared" si="44"/>
        <v>0</v>
      </c>
      <c r="F120" s="477">
        <v>0</v>
      </c>
      <c r="G120" s="477">
        <f t="shared" si="45"/>
        <v>0</v>
      </c>
      <c r="H120" s="477">
        <f t="shared" si="46"/>
        <v>0</v>
      </c>
      <c r="I120" s="477">
        <v>0</v>
      </c>
      <c r="J120" s="477">
        <f t="shared" si="47"/>
        <v>0</v>
      </c>
      <c r="K120" s="1109">
        <f t="shared" si="48"/>
        <v>0</v>
      </c>
      <c r="L120" s="1109">
        <v>0</v>
      </c>
      <c r="M120" s="1109"/>
      <c r="N120" s="1197">
        <f>IFERROR(SUMPRODUCT(L120:M120,'F2.2'!$O$101:$P$101)/SUM('F2.2'!$O$101:$P$101),0)</f>
        <v>0</v>
      </c>
      <c r="O120" s="477">
        <f t="shared" si="49"/>
        <v>0</v>
      </c>
      <c r="P120" s="1109"/>
      <c r="Q120" s="1109"/>
      <c r="R120" s="1109"/>
      <c r="S120" s="1109"/>
      <c r="T120" s="1109"/>
      <c r="U120" s="402"/>
    </row>
    <row r="121" spans="2:21" s="419" customFormat="1" ht="15.5" x14ac:dyDescent="0.35">
      <c r="B121" s="476">
        <f t="shared" si="50"/>
        <v>7</v>
      </c>
      <c r="C121" s="399" t="s">
        <v>786</v>
      </c>
      <c r="D121" s="511" t="s">
        <v>800</v>
      </c>
      <c r="E121" s="477">
        <f t="shared" si="44"/>
        <v>0</v>
      </c>
      <c r="F121" s="477">
        <v>0</v>
      </c>
      <c r="G121" s="477">
        <f t="shared" si="45"/>
        <v>0</v>
      </c>
      <c r="H121" s="477">
        <f t="shared" si="46"/>
        <v>0</v>
      </c>
      <c r="I121" s="477">
        <v>0</v>
      </c>
      <c r="J121" s="477">
        <f t="shared" si="47"/>
        <v>0</v>
      </c>
      <c r="K121" s="1109">
        <f t="shared" si="48"/>
        <v>0</v>
      </c>
      <c r="L121" s="1109">
        <v>0</v>
      </c>
      <c r="M121" s="1109"/>
      <c r="N121" s="1197">
        <f>IFERROR(SUMPRODUCT(L121:M121,'F2.2'!$O$101:$P$101)/SUM('F2.2'!$O$101:$P$101),0)</f>
        <v>0</v>
      </c>
      <c r="O121" s="477">
        <f t="shared" si="49"/>
        <v>0</v>
      </c>
      <c r="P121" s="1109"/>
      <c r="Q121" s="1109"/>
      <c r="R121" s="1109"/>
      <c r="S121" s="1109"/>
      <c r="T121" s="1109"/>
      <c r="U121" s="402"/>
    </row>
    <row r="122" spans="2:21" s="419" customFormat="1" ht="15.5" x14ac:dyDescent="0.35">
      <c r="B122" s="476">
        <f t="shared" si="50"/>
        <v>8</v>
      </c>
      <c r="C122" s="399" t="s">
        <v>787</v>
      </c>
      <c r="D122" s="511" t="s">
        <v>800</v>
      </c>
      <c r="E122" s="477">
        <f t="shared" si="44"/>
        <v>0</v>
      </c>
      <c r="F122" s="477">
        <v>0</v>
      </c>
      <c r="G122" s="477">
        <f t="shared" si="45"/>
        <v>0</v>
      </c>
      <c r="H122" s="477">
        <f t="shared" si="46"/>
        <v>0</v>
      </c>
      <c r="I122" s="477">
        <v>0</v>
      </c>
      <c r="J122" s="477">
        <f t="shared" si="47"/>
        <v>0</v>
      </c>
      <c r="K122" s="1109">
        <f t="shared" si="48"/>
        <v>0</v>
      </c>
      <c r="L122" s="1109">
        <v>0</v>
      </c>
      <c r="M122" s="1109"/>
      <c r="N122" s="1197">
        <f>IFERROR(SUMPRODUCT(L122:M122,'F2.2'!$O$101:$P$101)/SUM('F2.2'!$O$101:$P$101),0)</f>
        <v>0</v>
      </c>
      <c r="O122" s="477">
        <f t="shared" si="49"/>
        <v>0</v>
      </c>
      <c r="P122" s="1109"/>
      <c r="Q122" s="1109"/>
      <c r="R122" s="1109"/>
      <c r="S122" s="1109"/>
      <c r="T122" s="1109"/>
      <c r="U122" s="402"/>
    </row>
    <row r="123" spans="2:21" s="419" customFormat="1" ht="15.5" x14ac:dyDescent="0.35">
      <c r="B123" s="476">
        <f t="shared" si="50"/>
        <v>9</v>
      </c>
      <c r="C123" s="399" t="s">
        <v>209</v>
      </c>
      <c r="D123" s="511" t="s">
        <v>800</v>
      </c>
      <c r="E123" s="477">
        <f t="shared" si="44"/>
        <v>0</v>
      </c>
      <c r="F123" s="477">
        <v>0</v>
      </c>
      <c r="G123" s="477">
        <f t="shared" si="45"/>
        <v>0</v>
      </c>
      <c r="H123" s="477">
        <f t="shared" si="46"/>
        <v>0</v>
      </c>
      <c r="I123" s="477">
        <v>0</v>
      </c>
      <c r="J123" s="477">
        <f t="shared" si="47"/>
        <v>0</v>
      </c>
      <c r="K123" s="1109">
        <f t="shared" si="48"/>
        <v>0</v>
      </c>
      <c r="L123" s="1109">
        <v>0</v>
      </c>
      <c r="M123" s="1109"/>
      <c r="N123" s="1197">
        <f>IFERROR(SUMPRODUCT(L123:M123,'F2.2'!$O$101:$P$101)/SUM('F2.2'!$O$101:$P$101),0)</f>
        <v>0</v>
      </c>
      <c r="O123" s="477">
        <f t="shared" si="49"/>
        <v>0</v>
      </c>
      <c r="P123" s="1109"/>
      <c r="Q123" s="1109"/>
      <c r="R123" s="1109"/>
      <c r="S123" s="1109"/>
      <c r="T123" s="1109"/>
      <c r="U123" s="402"/>
    </row>
    <row r="124" spans="2:21" s="419" customFormat="1" ht="15.5" x14ac:dyDescent="0.35">
      <c r="B124" s="476">
        <f t="shared" si="50"/>
        <v>10</v>
      </c>
      <c r="C124" s="399" t="s">
        <v>209</v>
      </c>
      <c r="D124" s="511" t="s">
        <v>800</v>
      </c>
      <c r="E124" s="477">
        <f t="shared" si="44"/>
        <v>0</v>
      </c>
      <c r="F124" s="477">
        <v>0</v>
      </c>
      <c r="G124" s="477">
        <f t="shared" si="45"/>
        <v>0</v>
      </c>
      <c r="H124" s="477">
        <f t="shared" si="46"/>
        <v>0</v>
      </c>
      <c r="I124" s="477">
        <v>0</v>
      </c>
      <c r="J124" s="477">
        <f t="shared" si="47"/>
        <v>0</v>
      </c>
      <c r="K124" s="1109">
        <f t="shared" si="48"/>
        <v>0</v>
      </c>
      <c r="L124" s="1109">
        <v>0</v>
      </c>
      <c r="M124" s="1109"/>
      <c r="N124" s="1197">
        <f>IFERROR(SUMPRODUCT(L124:M124,'F2.2'!$O$101:$P$101)/SUM('F2.2'!$O$101:$P$101),0)</f>
        <v>0</v>
      </c>
      <c r="O124" s="477">
        <f t="shared" si="49"/>
        <v>0</v>
      </c>
      <c r="P124" s="1109"/>
      <c r="Q124" s="1109"/>
      <c r="R124" s="1109"/>
      <c r="S124" s="1109"/>
      <c r="T124" s="1109"/>
      <c r="U124" s="402"/>
    </row>
    <row r="125" spans="2:21" s="419" customFormat="1" ht="15" x14ac:dyDescent="0.3">
      <c r="B125" s="476"/>
      <c r="C125" s="344" t="s">
        <v>893</v>
      </c>
      <c r="D125" s="462" t="s">
        <v>800</v>
      </c>
      <c r="E125" s="478">
        <f>SUM(E115:E124)</f>
        <v>0</v>
      </c>
      <c r="F125" s="478">
        <f>SUM(F115:F124)</f>
        <v>0</v>
      </c>
      <c r="G125" s="478">
        <f t="shared" ref="G125:O125" si="51">SUM(G115:G124)</f>
        <v>0</v>
      </c>
      <c r="H125" s="478">
        <f>SUM(H115:H124)</f>
        <v>0</v>
      </c>
      <c r="I125" s="478">
        <f>SUM(I115:I124)</f>
        <v>0</v>
      </c>
      <c r="J125" s="478">
        <f t="shared" si="51"/>
        <v>0</v>
      </c>
      <c r="K125" s="1110">
        <f t="shared" si="51"/>
        <v>0</v>
      </c>
      <c r="L125" s="1110">
        <f t="shared" si="51"/>
        <v>0</v>
      </c>
      <c r="M125" s="1110">
        <v>0</v>
      </c>
      <c r="N125" s="1198">
        <f t="shared" si="51"/>
        <v>0</v>
      </c>
      <c r="O125" s="478">
        <f t="shared" si="51"/>
        <v>0</v>
      </c>
      <c r="P125" s="1110">
        <v>0</v>
      </c>
      <c r="Q125" s="1110">
        <v>0</v>
      </c>
      <c r="R125" s="1110">
        <v>0</v>
      </c>
      <c r="S125" s="1110">
        <v>0</v>
      </c>
      <c r="T125" s="1110">
        <v>0</v>
      </c>
      <c r="U125" s="402"/>
    </row>
    <row r="126" spans="2:21" s="419" customFormat="1" ht="15" x14ac:dyDescent="0.3">
      <c r="B126" s="476"/>
      <c r="C126" s="344"/>
      <c r="D126" s="462"/>
      <c r="E126" s="477"/>
      <c r="F126" s="477"/>
      <c r="G126" s="477"/>
      <c r="H126" s="477"/>
      <c r="I126" s="477"/>
      <c r="J126" s="477"/>
      <c r="K126" s="1109"/>
      <c r="L126" s="1109"/>
      <c r="M126" s="1109"/>
      <c r="N126" s="1109"/>
      <c r="O126" s="477"/>
      <c r="P126" s="1109"/>
      <c r="Q126" s="1109"/>
      <c r="R126" s="1109"/>
      <c r="S126" s="1109"/>
      <c r="T126" s="1109"/>
      <c r="U126" s="402"/>
    </row>
    <row r="127" spans="2:21" s="419" customFormat="1" ht="15" x14ac:dyDescent="0.3">
      <c r="B127" s="476" t="s">
        <v>895</v>
      </c>
      <c r="C127" s="344" t="s">
        <v>889</v>
      </c>
      <c r="D127" s="462"/>
      <c r="E127" s="477"/>
      <c r="F127" s="477"/>
      <c r="G127" s="477"/>
      <c r="H127" s="477"/>
      <c r="I127" s="477"/>
      <c r="J127" s="477"/>
      <c r="K127" s="1109"/>
      <c r="L127" s="1109"/>
      <c r="M127" s="1109"/>
      <c r="N127" s="1109"/>
      <c r="O127" s="477"/>
      <c r="P127" s="1109"/>
      <c r="Q127" s="1109"/>
      <c r="R127" s="1109"/>
      <c r="S127" s="1109"/>
      <c r="T127" s="1109"/>
      <c r="U127" s="402"/>
    </row>
    <row r="128" spans="2:21" s="419" customFormat="1" ht="15" x14ac:dyDescent="0.3">
      <c r="B128" s="476">
        <v>1</v>
      </c>
      <c r="C128" s="344" t="s">
        <v>791</v>
      </c>
      <c r="D128" s="462" t="s">
        <v>800</v>
      </c>
      <c r="E128" s="477">
        <f t="shared" ref="E128:E137" si="52">F128</f>
        <v>52127.017848186508</v>
      </c>
      <c r="F128" s="477">
        <v>52127.017848186508</v>
      </c>
      <c r="G128" s="477">
        <f t="shared" ref="G128:G137" si="53">F128-E128</f>
        <v>0</v>
      </c>
      <c r="H128" s="477">
        <f t="shared" ref="H128:H137" si="54">I128</f>
        <v>0</v>
      </c>
      <c r="I128" s="477">
        <v>0</v>
      </c>
      <c r="J128" s="477">
        <f t="shared" ref="J128:J137" si="55">I128-H128</f>
        <v>0</v>
      </c>
      <c r="K128" s="1109">
        <f>N128</f>
        <v>0</v>
      </c>
      <c r="L128" s="1109">
        <v>0</v>
      </c>
      <c r="M128" s="1109"/>
      <c r="N128" s="1197">
        <f>IFERROR(SUMPRODUCT(L128:M128,'F2.2'!$O$102:$P$102)/SUM('F2.2'!$O$102:$P$102),0)</f>
        <v>0</v>
      </c>
      <c r="O128" s="477">
        <f t="shared" ref="O128:O137" si="56">N128-K128</f>
        <v>0</v>
      </c>
      <c r="P128" s="1109"/>
      <c r="Q128" s="1109"/>
      <c r="R128" s="1109"/>
      <c r="S128" s="1109"/>
      <c r="T128" s="1109"/>
      <c r="U128" s="402"/>
    </row>
    <row r="129" spans="2:21" s="419" customFormat="1" ht="15" x14ac:dyDescent="0.3">
      <c r="B129" s="476">
        <f>1+B128</f>
        <v>2</v>
      </c>
      <c r="C129" s="344" t="s">
        <v>792</v>
      </c>
      <c r="D129" s="462" t="s">
        <v>800</v>
      </c>
      <c r="E129" s="477">
        <f t="shared" si="52"/>
        <v>0</v>
      </c>
      <c r="F129" s="477">
        <v>0</v>
      </c>
      <c r="G129" s="477">
        <f t="shared" si="53"/>
        <v>0</v>
      </c>
      <c r="H129" s="477">
        <f t="shared" si="54"/>
        <v>0</v>
      </c>
      <c r="I129" s="477">
        <v>0</v>
      </c>
      <c r="J129" s="477">
        <f t="shared" si="55"/>
        <v>0</v>
      </c>
      <c r="K129" s="1109">
        <f t="shared" ref="K129:K137" si="57">N129</f>
        <v>0</v>
      </c>
      <c r="L129" s="1109">
        <v>0</v>
      </c>
      <c r="M129" s="1109"/>
      <c r="N129" s="1197">
        <f>IFERROR(SUMPRODUCT(L129:M129,'F2.2'!$O$102:$P$102)/SUM('F2.2'!$O$102:$P$102),0)</f>
        <v>0</v>
      </c>
      <c r="O129" s="477">
        <f t="shared" si="56"/>
        <v>0</v>
      </c>
      <c r="P129" s="1109"/>
      <c r="Q129" s="1109"/>
      <c r="R129" s="1109"/>
      <c r="S129" s="1109"/>
      <c r="T129" s="1109"/>
      <c r="U129" s="402"/>
    </row>
    <row r="130" spans="2:21" s="419" customFormat="1" ht="15" x14ac:dyDescent="0.3">
      <c r="B130" s="476">
        <f t="shared" ref="B130:B137" si="58">1+B129</f>
        <v>3</v>
      </c>
      <c r="C130" s="344" t="s">
        <v>227</v>
      </c>
      <c r="D130" s="462" t="s">
        <v>800</v>
      </c>
      <c r="E130" s="477">
        <f t="shared" si="52"/>
        <v>0</v>
      </c>
      <c r="F130" s="477">
        <v>0</v>
      </c>
      <c r="G130" s="477">
        <f t="shared" si="53"/>
        <v>0</v>
      </c>
      <c r="H130" s="477">
        <f t="shared" si="54"/>
        <v>0</v>
      </c>
      <c r="I130" s="477">
        <v>0</v>
      </c>
      <c r="J130" s="477">
        <f t="shared" si="55"/>
        <v>0</v>
      </c>
      <c r="K130" s="1109">
        <f t="shared" si="57"/>
        <v>0</v>
      </c>
      <c r="L130" s="1109">
        <v>0</v>
      </c>
      <c r="M130" s="1109"/>
      <c r="N130" s="1197">
        <f>IFERROR(SUMPRODUCT(L130:M130,'F2.2'!$O$102:$P$102)/SUM('F2.2'!$O$102:$P$102),0)</f>
        <v>0</v>
      </c>
      <c r="O130" s="477">
        <f t="shared" si="56"/>
        <v>0</v>
      </c>
      <c r="P130" s="1109"/>
      <c r="Q130" s="1109"/>
      <c r="R130" s="1109"/>
      <c r="S130" s="1109"/>
      <c r="T130" s="1109"/>
      <c r="U130" s="402"/>
    </row>
    <row r="131" spans="2:21" s="419" customFormat="1" ht="15" x14ac:dyDescent="0.3">
      <c r="B131" s="476">
        <f t="shared" si="58"/>
        <v>4</v>
      </c>
      <c r="C131" s="344" t="s">
        <v>793</v>
      </c>
      <c r="D131" s="462" t="s">
        <v>800</v>
      </c>
      <c r="E131" s="477">
        <f t="shared" si="52"/>
        <v>0</v>
      </c>
      <c r="F131" s="477">
        <v>0</v>
      </c>
      <c r="G131" s="477">
        <f t="shared" si="53"/>
        <v>0</v>
      </c>
      <c r="H131" s="477">
        <f t="shared" si="54"/>
        <v>0</v>
      </c>
      <c r="I131" s="477">
        <v>0</v>
      </c>
      <c r="J131" s="477">
        <f t="shared" si="55"/>
        <v>0</v>
      </c>
      <c r="K131" s="1109">
        <f t="shared" si="57"/>
        <v>0</v>
      </c>
      <c r="L131" s="1109">
        <v>0</v>
      </c>
      <c r="M131" s="1109"/>
      <c r="N131" s="1197">
        <f>IFERROR(SUMPRODUCT(L131:M131,'F2.2'!$O$102:$P$102)/SUM('F2.2'!$O$102:$P$102),0)</f>
        <v>0</v>
      </c>
      <c r="O131" s="477">
        <f t="shared" si="56"/>
        <v>0</v>
      </c>
      <c r="P131" s="1109"/>
      <c r="Q131" s="1109"/>
      <c r="R131" s="1109"/>
      <c r="S131" s="1109"/>
      <c r="T131" s="1109"/>
      <c r="U131" s="402"/>
    </row>
    <row r="132" spans="2:21" s="419" customFormat="1" ht="15" x14ac:dyDescent="0.3">
      <c r="B132" s="476">
        <f t="shared" si="58"/>
        <v>5</v>
      </c>
      <c r="C132" s="344" t="s">
        <v>824</v>
      </c>
      <c r="D132" s="462" t="s">
        <v>800</v>
      </c>
      <c r="E132" s="477">
        <f t="shared" si="52"/>
        <v>9382.8632126735702</v>
      </c>
      <c r="F132" s="477">
        <v>9382.8632126735702</v>
      </c>
      <c r="G132" s="477">
        <f t="shared" si="53"/>
        <v>0</v>
      </c>
      <c r="H132" s="477">
        <f t="shared" si="54"/>
        <v>0</v>
      </c>
      <c r="I132" s="477">
        <v>0</v>
      </c>
      <c r="J132" s="477">
        <f t="shared" si="55"/>
        <v>0</v>
      </c>
      <c r="K132" s="1109">
        <f t="shared" si="57"/>
        <v>0</v>
      </c>
      <c r="L132" s="1109">
        <v>0</v>
      </c>
      <c r="M132" s="1109"/>
      <c r="N132" s="1197">
        <f>IFERROR(SUMPRODUCT(L132:M132,'F2.2'!$O$102:$P$102)/SUM('F2.2'!$O$102:$P$102),0)</f>
        <v>0</v>
      </c>
      <c r="O132" s="477">
        <f t="shared" si="56"/>
        <v>0</v>
      </c>
      <c r="P132" s="1109"/>
      <c r="Q132" s="1109"/>
      <c r="R132" s="1109"/>
      <c r="S132" s="1109"/>
      <c r="T132" s="1109"/>
      <c r="U132" s="402"/>
    </row>
    <row r="133" spans="2:21" s="419" customFormat="1" ht="15" x14ac:dyDescent="0.3">
      <c r="B133" s="476">
        <f t="shared" si="58"/>
        <v>6</v>
      </c>
      <c r="C133" s="344" t="s">
        <v>785</v>
      </c>
      <c r="D133" s="462" t="s">
        <v>800</v>
      </c>
      <c r="E133" s="477">
        <f t="shared" si="52"/>
        <v>0</v>
      </c>
      <c r="F133" s="477">
        <v>0</v>
      </c>
      <c r="G133" s="477">
        <f t="shared" si="53"/>
        <v>0</v>
      </c>
      <c r="H133" s="477">
        <f t="shared" si="54"/>
        <v>0</v>
      </c>
      <c r="I133" s="477">
        <v>0</v>
      </c>
      <c r="J133" s="477">
        <f t="shared" si="55"/>
        <v>0</v>
      </c>
      <c r="K133" s="1109">
        <f t="shared" si="57"/>
        <v>0</v>
      </c>
      <c r="L133" s="1109">
        <v>0</v>
      </c>
      <c r="M133" s="1109"/>
      <c r="N133" s="1197">
        <f>IFERROR(SUMPRODUCT(L133:M133,'F2.2'!$O$102:$P$102)/SUM('F2.2'!$O$102:$P$102),0)</f>
        <v>0</v>
      </c>
      <c r="O133" s="477">
        <f t="shared" si="56"/>
        <v>0</v>
      </c>
      <c r="P133" s="1109"/>
      <c r="Q133" s="1109"/>
      <c r="R133" s="1109"/>
      <c r="S133" s="1109"/>
      <c r="T133" s="1109"/>
      <c r="U133" s="402"/>
    </row>
    <row r="134" spans="2:21" s="419" customFormat="1" ht="15" x14ac:dyDescent="0.3">
      <c r="B134" s="476">
        <f t="shared" si="58"/>
        <v>7</v>
      </c>
      <c r="C134" s="344" t="s">
        <v>786</v>
      </c>
      <c r="D134" s="462" t="s">
        <v>800</v>
      </c>
      <c r="E134" s="477">
        <f t="shared" si="52"/>
        <v>0</v>
      </c>
      <c r="F134" s="477">
        <v>0</v>
      </c>
      <c r="G134" s="477">
        <f t="shared" si="53"/>
        <v>0</v>
      </c>
      <c r="H134" s="477">
        <f t="shared" si="54"/>
        <v>0</v>
      </c>
      <c r="I134" s="477">
        <v>0</v>
      </c>
      <c r="J134" s="477">
        <f t="shared" si="55"/>
        <v>0</v>
      </c>
      <c r="K134" s="1109">
        <f t="shared" si="57"/>
        <v>0</v>
      </c>
      <c r="L134" s="1109">
        <v>0</v>
      </c>
      <c r="M134" s="1109"/>
      <c r="N134" s="1197">
        <f>IFERROR(SUMPRODUCT(L134:M134,'F2.2'!$O$102:$P$102)/SUM('F2.2'!$O$102:$P$102),0)</f>
        <v>0</v>
      </c>
      <c r="O134" s="477">
        <f t="shared" si="56"/>
        <v>0</v>
      </c>
      <c r="P134" s="1109"/>
      <c r="Q134" s="1109"/>
      <c r="R134" s="1109"/>
      <c r="S134" s="1109"/>
      <c r="T134" s="1109"/>
      <c r="U134" s="402"/>
    </row>
    <row r="135" spans="2:21" s="419" customFormat="1" ht="15" x14ac:dyDescent="0.3">
      <c r="B135" s="476">
        <f t="shared" si="58"/>
        <v>8</v>
      </c>
      <c r="C135" s="344" t="s">
        <v>787</v>
      </c>
      <c r="D135" s="462" t="s">
        <v>800</v>
      </c>
      <c r="E135" s="477">
        <f t="shared" si="52"/>
        <v>0</v>
      </c>
      <c r="F135" s="477">
        <v>0</v>
      </c>
      <c r="G135" s="477">
        <f t="shared" si="53"/>
        <v>0</v>
      </c>
      <c r="H135" s="477">
        <f t="shared" si="54"/>
        <v>0</v>
      </c>
      <c r="I135" s="477">
        <v>0</v>
      </c>
      <c r="J135" s="477">
        <f t="shared" si="55"/>
        <v>0</v>
      </c>
      <c r="K135" s="1109">
        <f t="shared" si="57"/>
        <v>0</v>
      </c>
      <c r="L135" s="1109">
        <v>0</v>
      </c>
      <c r="M135" s="1109"/>
      <c r="N135" s="1197">
        <f>IFERROR(SUMPRODUCT(L135:M135,'F2.2'!$O$102:$P$102)/SUM('F2.2'!$O$102:$P$102),0)</f>
        <v>0</v>
      </c>
      <c r="O135" s="477">
        <f t="shared" si="56"/>
        <v>0</v>
      </c>
      <c r="P135" s="1109"/>
      <c r="Q135" s="1109"/>
      <c r="R135" s="1109"/>
      <c r="S135" s="1109"/>
      <c r="T135" s="1109"/>
      <c r="U135" s="402"/>
    </row>
    <row r="136" spans="2:21" s="419" customFormat="1" ht="15" x14ac:dyDescent="0.3">
      <c r="B136" s="476">
        <f t="shared" si="58"/>
        <v>9</v>
      </c>
      <c r="C136" s="344" t="s">
        <v>890</v>
      </c>
      <c r="D136" s="462" t="s">
        <v>800</v>
      </c>
      <c r="E136" s="477">
        <f t="shared" si="52"/>
        <v>0</v>
      </c>
      <c r="F136" s="477">
        <v>0</v>
      </c>
      <c r="G136" s="477">
        <f t="shared" si="53"/>
        <v>0</v>
      </c>
      <c r="H136" s="477">
        <f t="shared" si="54"/>
        <v>0</v>
      </c>
      <c r="I136" s="477">
        <v>0</v>
      </c>
      <c r="J136" s="477">
        <f t="shared" si="55"/>
        <v>0</v>
      </c>
      <c r="K136" s="1109">
        <f t="shared" si="57"/>
        <v>0</v>
      </c>
      <c r="L136" s="1109">
        <v>0</v>
      </c>
      <c r="M136" s="1109"/>
      <c r="N136" s="1197">
        <f>IFERROR(SUMPRODUCT(L136:M136,'F2.2'!$O$102:$P$102)/SUM('F2.2'!$O$102:$P$102),0)</f>
        <v>0</v>
      </c>
      <c r="O136" s="477">
        <f t="shared" si="56"/>
        <v>0</v>
      </c>
      <c r="P136" s="1109"/>
      <c r="Q136" s="1109"/>
      <c r="R136" s="1109"/>
      <c r="S136" s="1109"/>
      <c r="T136" s="1109"/>
      <c r="U136" s="402"/>
    </row>
    <row r="137" spans="2:21" s="419" customFormat="1" ht="15" x14ac:dyDescent="0.3">
      <c r="B137" s="476">
        <f t="shared" si="58"/>
        <v>10</v>
      </c>
      <c r="C137" s="344" t="s">
        <v>209</v>
      </c>
      <c r="D137" s="462" t="s">
        <v>800</v>
      </c>
      <c r="E137" s="477">
        <f t="shared" si="52"/>
        <v>0</v>
      </c>
      <c r="F137" s="477">
        <v>0</v>
      </c>
      <c r="G137" s="477">
        <f t="shared" si="53"/>
        <v>0</v>
      </c>
      <c r="H137" s="477">
        <f t="shared" si="54"/>
        <v>0</v>
      </c>
      <c r="I137" s="477">
        <v>0</v>
      </c>
      <c r="J137" s="477">
        <f t="shared" si="55"/>
        <v>0</v>
      </c>
      <c r="K137" s="1109">
        <f t="shared" si="57"/>
        <v>0</v>
      </c>
      <c r="L137" s="1109">
        <v>0</v>
      </c>
      <c r="M137" s="1109"/>
      <c r="N137" s="1197">
        <f>IFERROR(SUMPRODUCT(L137:M137,'F2.2'!$O$102:$P$102)/SUM('F2.2'!$O$102:$P$102),0)</f>
        <v>0</v>
      </c>
      <c r="O137" s="477">
        <f t="shared" si="56"/>
        <v>0</v>
      </c>
      <c r="P137" s="1109"/>
      <c r="Q137" s="1109"/>
      <c r="R137" s="1109"/>
      <c r="S137" s="1109"/>
      <c r="T137" s="1109"/>
      <c r="U137" s="402"/>
    </row>
    <row r="138" spans="2:21" s="419" customFormat="1" ht="15" x14ac:dyDescent="0.3">
      <c r="B138" s="476"/>
      <c r="C138" s="344" t="s">
        <v>891</v>
      </c>
      <c r="D138" s="462" t="s">
        <v>800</v>
      </c>
      <c r="E138" s="477">
        <f>SUM(E128:E137)</f>
        <v>61509.881060860076</v>
      </c>
      <c r="F138" s="477">
        <f>SUM(F128:F137)</f>
        <v>61509.881060860076</v>
      </c>
      <c r="G138" s="477">
        <f t="shared" ref="G138" si="59">SUM(G128:G137)</f>
        <v>0</v>
      </c>
      <c r="H138" s="477">
        <f>SUM(H128:H137)</f>
        <v>0</v>
      </c>
      <c r="I138" s="477">
        <f>SUM(I128:I137)</f>
        <v>0</v>
      </c>
      <c r="J138" s="477">
        <f t="shared" ref="J138:L138" si="60">SUM(J128:J137)</f>
        <v>0</v>
      </c>
      <c r="K138" s="1109">
        <f t="shared" si="60"/>
        <v>0</v>
      </c>
      <c r="L138" s="1109">
        <f t="shared" si="60"/>
        <v>0</v>
      </c>
      <c r="M138" s="1109">
        <v>0</v>
      </c>
      <c r="N138" s="1109">
        <f t="shared" ref="N138" si="61">SUM(N128:N137)</f>
        <v>0</v>
      </c>
      <c r="O138" s="477">
        <f t="shared" ref="O138" si="62">SUM(O128:O137)</f>
        <v>0</v>
      </c>
      <c r="P138" s="1109">
        <v>0</v>
      </c>
      <c r="Q138" s="1109">
        <v>0</v>
      </c>
      <c r="R138" s="1109">
        <v>0</v>
      </c>
      <c r="S138" s="1109">
        <v>0</v>
      </c>
      <c r="T138" s="1109">
        <v>0</v>
      </c>
      <c r="U138" s="402"/>
    </row>
    <row r="139" spans="2:21" s="1" customFormat="1" ht="15.5" x14ac:dyDescent="0.35">
      <c r="B139" s="407"/>
      <c r="C139" s="408"/>
      <c r="D139" s="408"/>
      <c r="E139" s="512"/>
      <c r="F139" s="512"/>
      <c r="G139" s="512"/>
      <c r="H139" s="512"/>
      <c r="I139" s="512"/>
      <c r="J139" s="512"/>
      <c r="K139" s="728"/>
      <c r="L139" s="728"/>
      <c r="M139" s="728"/>
      <c r="N139" s="403"/>
      <c r="O139" s="403"/>
      <c r="P139" s="403"/>
      <c r="Q139" s="403"/>
      <c r="R139" s="403"/>
      <c r="S139" s="403"/>
      <c r="T139" s="403"/>
      <c r="U139" s="392"/>
    </row>
    <row r="140" spans="2:21" s="2" customFormat="1" x14ac:dyDescent="0.3">
      <c r="B140" s="148"/>
      <c r="C140" s="148"/>
      <c r="D140" s="342"/>
      <c r="E140" s="342"/>
      <c r="F140" s="342"/>
      <c r="G140" s="342"/>
      <c r="H140" s="342"/>
      <c r="I140" s="342"/>
      <c r="J140" s="342"/>
      <c r="K140" s="119"/>
      <c r="L140" s="119"/>
      <c r="M140" s="119"/>
      <c r="N140" s="4"/>
      <c r="O140" s="4"/>
      <c r="P140" s="4"/>
      <c r="Q140" s="4"/>
      <c r="R140" s="4"/>
      <c r="S140" s="4"/>
      <c r="T140" s="4"/>
      <c r="U140" s="4"/>
    </row>
    <row r="141" spans="2:21" s="2" customFormat="1" ht="18" customHeight="1" x14ac:dyDescent="0.3">
      <c r="B141" s="42"/>
      <c r="C141" s="733"/>
      <c r="D141" s="733"/>
      <c r="E141" s="733"/>
      <c r="F141" s="733"/>
      <c r="G141" s="733"/>
      <c r="H141" s="733"/>
      <c r="I141" s="733"/>
      <c r="J141" s="733"/>
    </row>
    <row r="142" spans="2:21" x14ac:dyDescent="0.3">
      <c r="B142" s="7"/>
      <c r="C142" s="7"/>
      <c r="D142" s="7"/>
      <c r="E142" s="7"/>
      <c r="F142" s="7"/>
      <c r="G142" s="7"/>
      <c r="H142" s="7"/>
      <c r="I142" s="7"/>
      <c r="J142" s="7"/>
      <c r="K142" s="7"/>
      <c r="L142" s="7"/>
      <c r="M142" s="7"/>
      <c r="N142" s="7"/>
      <c r="O142" s="7"/>
      <c r="P142" s="1"/>
      <c r="Q142" s="1"/>
      <c r="R142" s="1"/>
      <c r="S142" s="1"/>
      <c r="T142" s="1"/>
      <c r="U142" s="1"/>
    </row>
    <row r="143" spans="2:21" x14ac:dyDescent="0.3">
      <c r="B143" s="7"/>
      <c r="C143" s="7"/>
      <c r="D143" s="7"/>
      <c r="E143" s="7"/>
      <c r="F143" s="7"/>
      <c r="G143" s="7"/>
      <c r="H143" s="7"/>
      <c r="I143" s="7"/>
      <c r="J143" s="7"/>
      <c r="K143" s="48"/>
      <c r="L143" s="11"/>
      <c r="M143" s="11"/>
      <c r="N143" s="7"/>
      <c r="O143" s="7"/>
      <c r="P143" s="1"/>
      <c r="Q143" s="1"/>
      <c r="R143" s="1"/>
      <c r="S143" s="1"/>
      <c r="T143" s="1"/>
      <c r="U143" s="1"/>
    </row>
    <row r="144" spans="2:21" x14ac:dyDescent="0.3">
      <c r="B144" s="7"/>
      <c r="C144" s="7"/>
      <c r="D144" s="7"/>
      <c r="E144" s="7"/>
      <c r="F144" s="7"/>
      <c r="G144" s="7"/>
      <c r="H144" s="7"/>
      <c r="I144" s="7"/>
      <c r="J144" s="7"/>
      <c r="K144" s="55"/>
      <c r="L144" s="55"/>
      <c r="M144" s="55"/>
      <c r="N144" s="7"/>
      <c r="O144" s="7"/>
      <c r="P144" s="1"/>
      <c r="Q144" s="1"/>
      <c r="R144" s="1"/>
      <c r="S144" s="1"/>
      <c r="T144" s="1"/>
      <c r="U144" s="1"/>
    </row>
    <row r="145" spans="2:15" x14ac:dyDescent="0.3">
      <c r="B145" s="7"/>
      <c r="C145" s="7"/>
      <c r="D145" s="7"/>
      <c r="E145" s="7"/>
      <c r="F145" s="7"/>
      <c r="G145" s="7"/>
      <c r="H145" s="7"/>
      <c r="I145" s="7"/>
      <c r="J145" s="7"/>
      <c r="K145" s="7"/>
      <c r="L145" s="7"/>
      <c r="M145" s="7"/>
      <c r="N145" s="7"/>
      <c r="O145" s="7"/>
    </row>
    <row r="146" spans="2:15" x14ac:dyDescent="0.3">
      <c r="K146" s="7"/>
      <c r="L146" s="7"/>
      <c r="M146" s="7"/>
      <c r="N146" s="7"/>
      <c r="O146" s="7"/>
    </row>
    <row r="147" spans="2:15" x14ac:dyDescent="0.3">
      <c r="K147" s="7"/>
      <c r="L147" s="7"/>
      <c r="M147" s="56"/>
      <c r="N147" s="7"/>
      <c r="O147" s="7"/>
    </row>
    <row r="148" spans="2:15" x14ac:dyDescent="0.3">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0" max="7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33" zoomScale="53" zoomScaleNormal="75" workbookViewId="0">
      <selection activeCell="F59" sqref="F59"/>
    </sheetView>
  </sheetViews>
  <sheetFormatPr defaultColWidth="9.36328125" defaultRowHeight="14" x14ac:dyDescent="0.3"/>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8.906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758" t="str">
        <f>Index!B2</f>
        <v xml:space="preserve">      Maharashtra State Power Generation Company Ltd.</v>
      </c>
      <c r="C2" s="1758"/>
      <c r="D2" s="1758"/>
      <c r="E2" s="1758"/>
      <c r="F2" s="1758"/>
      <c r="G2" s="117"/>
      <c r="H2" s="117"/>
      <c r="I2" s="117"/>
      <c r="J2" s="117"/>
      <c r="K2" s="117"/>
      <c r="L2" s="117"/>
      <c r="M2" s="117"/>
      <c r="N2" s="117"/>
      <c r="O2" s="117"/>
    </row>
    <row r="3" spans="2:15" x14ac:dyDescent="0.3">
      <c r="B3" s="1758" t="str">
        <f>Index!B3</f>
        <v>MYT Petition Formats for Parli Units 6 &amp; 7</v>
      </c>
      <c r="C3" s="1758"/>
      <c r="D3" s="1758"/>
      <c r="E3" s="1758"/>
      <c r="F3" s="1758"/>
      <c r="G3" s="117"/>
      <c r="H3" s="117"/>
      <c r="I3" s="117"/>
      <c r="J3" s="117"/>
      <c r="K3" s="117"/>
      <c r="L3" s="117"/>
      <c r="M3" s="117"/>
      <c r="N3" s="117"/>
      <c r="O3" s="117"/>
    </row>
    <row r="4" spans="2:15" x14ac:dyDescent="0.3">
      <c r="B4" s="1759" t="s">
        <v>383</v>
      </c>
      <c r="C4" s="1759"/>
      <c r="D4" s="1759"/>
      <c r="E4" s="1759"/>
      <c r="F4" s="1759"/>
      <c r="G4" s="117"/>
      <c r="H4" s="117"/>
      <c r="I4" s="117"/>
      <c r="J4" s="117"/>
      <c r="K4" s="117"/>
      <c r="L4" s="117"/>
      <c r="M4" s="117"/>
      <c r="N4" s="117"/>
      <c r="O4" s="117"/>
    </row>
    <row r="5" spans="2:15" x14ac:dyDescent="0.3">
      <c r="B5" s="155"/>
      <c r="C5" s="7"/>
      <c r="D5" s="18"/>
      <c r="E5" s="18"/>
      <c r="F5" s="18"/>
      <c r="G5" s="18"/>
      <c r="H5" s="18"/>
      <c r="I5" s="18"/>
    </row>
    <row r="6" spans="2:15" x14ac:dyDescent="0.3">
      <c r="B6" s="154" t="s">
        <v>1014</v>
      </c>
      <c r="C6" s="7"/>
      <c r="D6" s="18"/>
      <c r="E6" s="18"/>
      <c r="F6" s="18"/>
      <c r="G6" s="18"/>
      <c r="H6" s="18"/>
      <c r="I6" s="18"/>
    </row>
    <row r="7" spans="2:15" x14ac:dyDescent="0.3">
      <c r="B7" s="154"/>
      <c r="C7" s="17"/>
      <c r="D7" s="18"/>
      <c r="E7" s="18"/>
      <c r="F7" s="21" t="s">
        <v>10</v>
      </c>
      <c r="G7" s="21"/>
      <c r="H7" s="21"/>
      <c r="I7" s="18"/>
    </row>
    <row r="8" spans="2:15" s="35" customFormat="1" x14ac:dyDescent="0.3">
      <c r="B8" s="1798" t="s">
        <v>339</v>
      </c>
      <c r="C8" s="1800" t="s">
        <v>36</v>
      </c>
      <c r="D8" s="1800" t="s">
        <v>144</v>
      </c>
      <c r="E8" s="1754" t="s">
        <v>506</v>
      </c>
      <c r="F8" s="1756"/>
      <c r="G8" s="1754" t="s">
        <v>507</v>
      </c>
      <c r="H8" s="1756"/>
      <c r="I8" s="1754" t="s">
        <v>508</v>
      </c>
      <c r="J8" s="1756"/>
      <c r="K8" s="57"/>
      <c r="L8" s="57"/>
      <c r="M8" s="57"/>
    </row>
    <row r="9" spans="2:15" s="35" customFormat="1" ht="33.65" customHeight="1" x14ac:dyDescent="0.3">
      <c r="B9" s="1799"/>
      <c r="C9" s="1801"/>
      <c r="D9" s="1801"/>
      <c r="E9" s="604" t="s">
        <v>966</v>
      </c>
      <c r="F9" s="253" t="s">
        <v>816</v>
      </c>
      <c r="G9" s="660" t="s">
        <v>966</v>
      </c>
      <c r="H9" s="660" t="s">
        <v>816</v>
      </c>
      <c r="I9" s="660" t="s">
        <v>966</v>
      </c>
      <c r="J9" s="660" t="s">
        <v>816</v>
      </c>
      <c r="K9" s="57"/>
      <c r="L9" s="57"/>
      <c r="M9" s="57"/>
    </row>
    <row r="10" spans="2:15" s="424" customFormat="1" x14ac:dyDescent="0.3">
      <c r="B10" s="423">
        <v>1</v>
      </c>
      <c r="C10" s="545" t="s">
        <v>451</v>
      </c>
      <c r="D10" s="464"/>
      <c r="E10" s="528">
        <f>'F2.2'!E12</f>
        <v>0.85</v>
      </c>
      <c r="F10" s="528">
        <f>'F2.2'!F12</f>
        <v>0.85</v>
      </c>
      <c r="G10" s="528">
        <f>'F2.2'!I12</f>
        <v>0.85</v>
      </c>
      <c r="H10" s="734">
        <f>'F2.2'!J12</f>
        <v>0.85</v>
      </c>
      <c r="I10" s="528">
        <f>'F2.2'!N12</f>
        <v>0.85</v>
      </c>
      <c r="J10" s="734">
        <f>'F2.2'!Q12</f>
        <v>0.85</v>
      </c>
      <c r="K10" s="57"/>
      <c r="L10" s="57"/>
      <c r="M10" s="57"/>
    </row>
    <row r="11" spans="2:15" s="424" customFormat="1" x14ac:dyDescent="0.3">
      <c r="B11" s="423">
        <v>1.1000000000000001</v>
      </c>
      <c r="C11" s="549" t="s">
        <v>644</v>
      </c>
      <c r="D11" s="464"/>
      <c r="E11" s="498"/>
      <c r="F11" s="735"/>
      <c r="G11" s="498"/>
      <c r="H11" s="735"/>
      <c r="I11" s="498"/>
      <c r="J11" s="735"/>
      <c r="K11" s="57"/>
      <c r="L11" s="57"/>
      <c r="M11" s="57"/>
    </row>
    <row r="12" spans="2:15" s="6" customFormat="1" x14ac:dyDescent="0.3">
      <c r="B12" s="423"/>
      <c r="C12" s="736" t="s">
        <v>645</v>
      </c>
      <c r="D12" s="464"/>
      <c r="E12" s="319"/>
      <c r="F12" s="319">
        <f>'F2.2'!F15</f>
        <v>0.77347999999999995</v>
      </c>
      <c r="G12" s="319"/>
      <c r="H12" s="319">
        <f>'F2.2'!J15</f>
        <v>0</v>
      </c>
      <c r="I12" s="319"/>
      <c r="J12" s="319">
        <f>'F2.2'!N15</f>
        <v>0</v>
      </c>
      <c r="K12" s="57"/>
    </row>
    <row r="13" spans="2:15" s="6" customFormat="1" x14ac:dyDescent="0.3">
      <c r="B13" s="423"/>
      <c r="C13" s="736" t="s">
        <v>646</v>
      </c>
      <c r="D13" s="464"/>
      <c r="E13" s="319"/>
      <c r="F13" s="319">
        <f>'F2.2'!F16</f>
        <v>0.78100000000000003</v>
      </c>
      <c r="G13" s="319"/>
      <c r="H13" s="319">
        <f>'F2.2'!J16</f>
        <v>0</v>
      </c>
      <c r="I13" s="319"/>
      <c r="J13" s="319">
        <f>'F2.2'!N16</f>
        <v>0</v>
      </c>
      <c r="K13" s="57"/>
    </row>
    <row r="14" spans="2:15" s="6" customFormat="1" x14ac:dyDescent="0.3">
      <c r="B14" s="423">
        <v>1.2</v>
      </c>
      <c r="C14" s="549" t="s">
        <v>647</v>
      </c>
      <c r="D14" s="464"/>
      <c r="E14" s="319"/>
      <c r="F14" s="319"/>
      <c r="G14" s="319"/>
      <c r="H14" s="319"/>
      <c r="I14" s="319"/>
      <c r="J14" s="319"/>
      <c r="K14" s="57"/>
    </row>
    <row r="15" spans="2:15" s="6" customFormat="1" x14ac:dyDescent="0.3">
      <c r="B15" s="423"/>
      <c r="C15" s="736" t="s">
        <v>645</v>
      </c>
      <c r="D15" s="464"/>
      <c r="E15" s="319"/>
      <c r="F15" s="319">
        <f>'F2.2'!F18</f>
        <v>0.73285</v>
      </c>
      <c r="G15" s="319"/>
      <c r="H15" s="319">
        <f>'F2.2'!J18</f>
        <v>0</v>
      </c>
      <c r="I15" s="319"/>
      <c r="J15" s="319">
        <f>'F2.2'!N18</f>
        <v>0</v>
      </c>
      <c r="K15" s="57"/>
    </row>
    <row r="16" spans="2:15" s="6" customFormat="1" x14ac:dyDescent="0.3">
      <c r="B16" s="423"/>
      <c r="C16" s="736" t="s">
        <v>646</v>
      </c>
      <c r="D16" s="464"/>
      <c r="E16" s="319"/>
      <c r="F16" s="319">
        <f>'F2.2'!F19</f>
        <v>0.73873999999999995</v>
      </c>
      <c r="G16" s="319"/>
      <c r="H16" s="319">
        <f>'F2.2'!J19</f>
        <v>0</v>
      </c>
      <c r="I16" s="319"/>
      <c r="J16" s="319">
        <f>'F2.2'!N19</f>
        <v>0</v>
      </c>
      <c r="K16" s="57"/>
    </row>
    <row r="17" spans="2:11" s="6" customFormat="1" x14ac:dyDescent="0.3">
      <c r="B17" s="423">
        <v>2</v>
      </c>
      <c r="C17" s="545" t="s">
        <v>708</v>
      </c>
      <c r="D17" s="464"/>
      <c r="E17" s="319"/>
      <c r="F17" s="319"/>
      <c r="G17" s="319"/>
      <c r="H17" s="319"/>
      <c r="I17" s="319"/>
      <c r="J17" s="319"/>
      <c r="K17" s="57"/>
    </row>
    <row r="18" spans="2:11" s="6" customFormat="1" x14ac:dyDescent="0.3">
      <c r="B18" s="423">
        <v>3</v>
      </c>
      <c r="C18" s="545" t="s">
        <v>741</v>
      </c>
      <c r="D18" s="464"/>
      <c r="E18" s="319"/>
      <c r="F18" s="319"/>
      <c r="G18" s="319"/>
      <c r="H18" s="319"/>
      <c r="I18" s="319"/>
      <c r="J18" s="319"/>
      <c r="K18" s="57"/>
    </row>
    <row r="19" spans="2:11" s="6" customFormat="1" ht="16" x14ac:dyDescent="0.3">
      <c r="B19" s="423">
        <f>B18+1</f>
        <v>4</v>
      </c>
      <c r="C19" s="545" t="s">
        <v>328</v>
      </c>
      <c r="D19" s="1306">
        <v>30</v>
      </c>
      <c r="E19" s="319">
        <v>114.7112133525636</v>
      </c>
      <c r="F19" s="319">
        <f>SUM('F2.2'!$F$116:$F$118)/365*$D19</f>
        <v>98.783880765383117</v>
      </c>
      <c r="G19" s="491">
        <v>140.59817965595897</v>
      </c>
      <c r="H19" s="319">
        <f>SUM('F2.2'!$J$116:$J$118)/366*$D19</f>
        <v>111.75045747670563</v>
      </c>
      <c r="I19" s="491">
        <v>140.4619237419499</v>
      </c>
      <c r="J19" s="319">
        <f>SUM('F2.2'!$N$116:$N$118)/365*$D19</f>
        <v>123.2630589010688</v>
      </c>
      <c r="K19" s="57"/>
    </row>
    <row r="20" spans="2:11" s="6" customFormat="1" ht="16" x14ac:dyDescent="0.3">
      <c r="B20" s="423">
        <f t="shared" ref="B20:B30" si="0">B19+1</f>
        <v>5</v>
      </c>
      <c r="C20" s="545" t="s">
        <v>331</v>
      </c>
      <c r="D20" s="1306">
        <v>30</v>
      </c>
      <c r="E20" s="319">
        <f>E19</f>
        <v>114.7112133525636</v>
      </c>
      <c r="F20" s="319">
        <f>SUM('F2.2'!$F$116:$F$118)/365*$D20</f>
        <v>98.783880765383117</v>
      </c>
      <c r="G20" s="491">
        <f>G19</f>
        <v>140.59817965595897</v>
      </c>
      <c r="H20" s="319">
        <f>SUM('F2.2'!$J$116:$J$118)/366*$D20</f>
        <v>111.75045747670563</v>
      </c>
      <c r="I20" s="491">
        <f>I19</f>
        <v>140.4619237419499</v>
      </c>
      <c r="J20" s="319">
        <f>SUM('F2.2'!$N$116:$N$118)/365*$D20</f>
        <v>123.2630589010688</v>
      </c>
      <c r="K20" s="57"/>
    </row>
    <row r="21" spans="2:11" s="6" customFormat="1" ht="16" x14ac:dyDescent="0.3">
      <c r="B21" s="423">
        <f t="shared" si="0"/>
        <v>6</v>
      </c>
      <c r="C21" s="91" t="s">
        <v>329</v>
      </c>
      <c r="D21" s="1306"/>
      <c r="E21" s="319"/>
      <c r="F21" s="319"/>
      <c r="G21" s="491"/>
      <c r="H21" s="319"/>
      <c r="I21" s="491"/>
      <c r="J21" s="319"/>
      <c r="K21" s="57"/>
    </row>
    <row r="22" spans="2:11" s="6" customFormat="1" ht="16" x14ac:dyDescent="0.3">
      <c r="B22" s="423">
        <f t="shared" si="0"/>
        <v>7</v>
      </c>
      <c r="C22" s="91" t="s">
        <v>330</v>
      </c>
      <c r="D22" s="1307">
        <v>2</v>
      </c>
      <c r="E22" s="319">
        <v>1.6295912747495012</v>
      </c>
      <c r="F22" s="319">
        <f>SUM('F2.2'!$F$121:$F$124)/12*$D22</f>
        <v>1.3076605073442829</v>
      </c>
      <c r="G22" s="491">
        <v>1.9504319710991354</v>
      </c>
      <c r="H22" s="319">
        <f>SUM('F2.2'!$J$121:$J$124)/12*$D22</f>
        <v>1.6311625935939158</v>
      </c>
      <c r="I22" s="491">
        <v>1.9742794658277381</v>
      </c>
      <c r="J22" s="319">
        <f>SUM('F2.2'!$N$121:$N$124)/12*$D22</f>
        <v>1.5530955090580065</v>
      </c>
      <c r="K22" s="57"/>
    </row>
    <row r="23" spans="2:11" s="6" customFormat="1" ht="16" x14ac:dyDescent="0.3">
      <c r="B23" s="423">
        <f t="shared" si="0"/>
        <v>8</v>
      </c>
      <c r="C23" s="91" t="s">
        <v>145</v>
      </c>
      <c r="D23" s="4"/>
      <c r="E23" s="319"/>
      <c r="F23" s="319"/>
      <c r="G23" s="491"/>
      <c r="H23" s="319"/>
      <c r="I23" s="491"/>
      <c r="J23" s="319"/>
      <c r="K23" s="57"/>
    </row>
    <row r="24" spans="2:11" s="6" customFormat="1" ht="16" x14ac:dyDescent="0.3">
      <c r="B24" s="423">
        <f t="shared" si="0"/>
        <v>9</v>
      </c>
      <c r="C24" s="91" t="s">
        <v>146</v>
      </c>
      <c r="D24" s="4"/>
      <c r="E24" s="319"/>
      <c r="F24" s="319"/>
      <c r="G24" s="491"/>
      <c r="H24" s="319"/>
      <c r="I24" s="491"/>
      <c r="J24" s="319"/>
      <c r="K24" s="57"/>
    </row>
    <row r="25" spans="2:11" s="6" customFormat="1" ht="16" x14ac:dyDescent="0.3">
      <c r="B25" s="423">
        <f t="shared" si="0"/>
        <v>10</v>
      </c>
      <c r="C25" s="91" t="s">
        <v>147</v>
      </c>
      <c r="D25" s="4"/>
      <c r="E25" s="319"/>
      <c r="F25" s="319"/>
      <c r="G25" s="491"/>
      <c r="H25" s="319"/>
      <c r="I25" s="491"/>
      <c r="J25" s="319"/>
      <c r="K25" s="57"/>
    </row>
    <row r="26" spans="2:11" s="6" customFormat="1" x14ac:dyDescent="0.3">
      <c r="B26" s="423">
        <f t="shared" si="0"/>
        <v>11</v>
      </c>
      <c r="C26" s="545" t="s">
        <v>172</v>
      </c>
      <c r="D26" s="1308">
        <v>1</v>
      </c>
      <c r="E26" s="319">
        <v>15.392374833306627</v>
      </c>
      <c r="F26" s="319">
        <f>('F1'!$F$13+'F1'!$F$21)/12*$D26</f>
        <v>15.825204433368137</v>
      </c>
      <c r="G26" s="491">
        <v>15.883292485011104</v>
      </c>
      <c r="H26" s="319">
        <f>('F1'!$J$13+'F1'!$K$21)/12*$D26</f>
        <v>19.986685310815371</v>
      </c>
      <c r="I26" s="491">
        <v>16.392487921430732</v>
      </c>
      <c r="J26" s="319">
        <f>('F1'!$N$13+'F1'!$Q$21)/12*$D26</f>
        <v>21.379348987390717</v>
      </c>
      <c r="K26" s="57"/>
    </row>
    <row r="27" spans="2:11" s="6" customFormat="1" x14ac:dyDescent="0.3">
      <c r="B27" s="423">
        <f t="shared" si="0"/>
        <v>12</v>
      </c>
      <c r="C27" s="545" t="s">
        <v>1015</v>
      </c>
      <c r="D27" s="1309">
        <v>0.01</v>
      </c>
      <c r="E27" s="319">
        <v>30.665850900632009</v>
      </c>
      <c r="F27" s="319">
        <f>'F3.4'!$D$23*$D27</f>
        <v>30.665850900632009</v>
      </c>
      <c r="G27" s="491">
        <v>31.041550900632011</v>
      </c>
      <c r="H27" s="319">
        <f>'F3.4'!$E$23*$D27</f>
        <v>31.009057559492003</v>
      </c>
      <c r="I27" s="491">
        <v>31.299550900632013</v>
      </c>
      <c r="J27" s="319">
        <f>'F3.4'!$H$23*$D27</f>
        <v>31.087705386812004</v>
      </c>
      <c r="K27" s="57"/>
    </row>
    <row r="28" spans="2:11" s="6" customFormat="1" x14ac:dyDescent="0.3">
      <c r="B28" s="423">
        <f t="shared" si="0"/>
        <v>13</v>
      </c>
      <c r="C28" s="545" t="s">
        <v>149</v>
      </c>
      <c r="D28" s="1310">
        <v>45</v>
      </c>
      <c r="E28" s="319">
        <v>229.44299855415503</v>
      </c>
      <c r="F28" s="319">
        <f>('F1'!$G$27-'F1'!$G$11+'F1'!$F$11-'F1'!$G$13+'F1'!$F$13)/365*D28</f>
        <v>210.09575565658594</v>
      </c>
      <c r="G28" s="491">
        <v>269.21947880090102</v>
      </c>
      <c r="H28" s="319">
        <f>('F1'!$K$27-'F1'!$K$11+'F1'!$J$11-'F1'!$K$13+'F1'!$J$13)/366*69</f>
        <v>365.48549345673439</v>
      </c>
      <c r="I28" s="491">
        <v>271.60962928036463</v>
      </c>
      <c r="J28" s="319">
        <f ca="1">('F1'!$Q$27-'F1'!$Q$11+'F1'!$N$11-'F1'!$Q$13+'F1'!$N$13)/365*75</f>
        <v>421.57814786791005</v>
      </c>
      <c r="K28" s="57"/>
    </row>
    <row r="29" spans="2:11" s="6" customFormat="1" ht="16" x14ac:dyDescent="0.3">
      <c r="B29" s="423">
        <f t="shared" si="0"/>
        <v>14</v>
      </c>
      <c r="C29" s="545" t="s">
        <v>548</v>
      </c>
      <c r="D29" s="1310">
        <v>30</v>
      </c>
      <c r="E29" s="319">
        <v>0.67899636447895884</v>
      </c>
      <c r="F29" s="319">
        <f>SUM('F2.2'!$F$121:$F$124)/365*$D29</f>
        <v>0.64487367485471481</v>
      </c>
      <c r="G29" s="491">
        <v>0.81267998795797303</v>
      </c>
      <c r="H29" s="319">
        <f>SUM('F2.2'!$J$121:$J$124)/366*$D29</f>
        <v>0.80221111160356506</v>
      </c>
      <c r="I29" s="491">
        <v>0.82261644409489088</v>
      </c>
      <c r="J29" s="319">
        <f>SUM('F2.2'!$N$121:$N$124)/365*$D29</f>
        <v>0.76591011405600329</v>
      </c>
      <c r="K29" s="57"/>
    </row>
    <row r="30" spans="2:11" s="6" customFormat="1" x14ac:dyDescent="0.3">
      <c r="B30" s="423">
        <f t="shared" si="0"/>
        <v>15</v>
      </c>
      <c r="C30" s="176" t="s">
        <v>150</v>
      </c>
      <c r="D30" s="3"/>
      <c r="E30" s="741">
        <f>SUM(E19:E28)-E29</f>
        <v>505.87424590349144</v>
      </c>
      <c r="F30" s="741">
        <f>SUM(F19:F28)-F29</f>
        <v>454.81735935384188</v>
      </c>
      <c r="G30" s="741">
        <f t="shared" ref="G30:J30" si="1">SUM(G19:G28)-G29</f>
        <v>598.47843348160325</v>
      </c>
      <c r="H30" s="741">
        <f t="shared" si="1"/>
        <v>640.8111027624434</v>
      </c>
      <c r="I30" s="741">
        <f t="shared" si="1"/>
        <v>601.37717860806004</v>
      </c>
      <c r="J30" s="741">
        <f t="shared" ca="1" si="1"/>
        <v>721.35850543925233</v>
      </c>
      <c r="K30" s="57"/>
    </row>
    <row r="31" spans="2:11" s="6" customFormat="1" x14ac:dyDescent="0.3">
      <c r="B31" s="490"/>
      <c r="C31" s="550"/>
      <c r="D31" s="3"/>
      <c r="E31" s="319"/>
      <c r="F31" s="673"/>
      <c r="G31" s="319"/>
      <c r="H31" s="673"/>
      <c r="I31" s="319"/>
      <c r="J31" s="673"/>
      <c r="K31" s="57"/>
    </row>
    <row r="32" spans="2:11" s="6" customFormat="1" x14ac:dyDescent="0.3">
      <c r="B32" s="423">
        <f>B30+1</f>
        <v>16</v>
      </c>
      <c r="C32" s="178" t="s">
        <v>376</v>
      </c>
      <c r="D32" s="3"/>
      <c r="E32" s="319"/>
      <c r="F32" s="319"/>
      <c r="G32" s="319"/>
      <c r="H32" s="319"/>
      <c r="I32" s="319"/>
      <c r="J32" s="319"/>
      <c r="K32" s="57"/>
    </row>
    <row r="33" spans="2:20" x14ac:dyDescent="0.3">
      <c r="B33" s="423">
        <f t="shared" ref="B33:B35" si="2">B32+1</f>
        <v>17</v>
      </c>
      <c r="C33" s="545" t="s">
        <v>377</v>
      </c>
      <c r="D33" s="3"/>
      <c r="E33" s="795">
        <v>9.4500000000000001E-2</v>
      </c>
      <c r="F33" s="795">
        <v>9.2987671232876712E-2</v>
      </c>
      <c r="G33" s="822">
        <v>9.4500000000000001E-2</v>
      </c>
      <c r="H33" s="795">
        <v>0.10065163934426231</v>
      </c>
      <c r="I33" s="822">
        <v>9.4500000000000001E-2</v>
      </c>
      <c r="J33" s="795">
        <v>0.1045</v>
      </c>
      <c r="K33" s="57"/>
    </row>
    <row r="34" spans="2:20" x14ac:dyDescent="0.3">
      <c r="B34" s="239">
        <f t="shared" si="2"/>
        <v>18</v>
      </c>
      <c r="C34" s="176" t="s">
        <v>86</v>
      </c>
      <c r="D34" s="3"/>
      <c r="E34" s="742">
        <f>E30*E33</f>
        <v>47.805116237879943</v>
      </c>
      <c r="F34" s="742">
        <f>F30*F33</f>
        <v>42.292407082600192</v>
      </c>
      <c r="G34" s="742">
        <f t="shared" ref="G34:J34" si="3">G30*G33</f>
        <v>56.55621196401151</v>
      </c>
      <c r="H34" s="742">
        <f>H30*H33</f>
        <v>64.498688003044464</v>
      </c>
      <c r="I34" s="742">
        <f t="shared" si="3"/>
        <v>56.830143378461671</v>
      </c>
      <c r="J34" s="742">
        <f t="shared" ca="1" si="3"/>
        <v>75.381963818401871</v>
      </c>
      <c r="K34" s="57"/>
    </row>
    <row r="35" spans="2:20" x14ac:dyDescent="0.3">
      <c r="B35" s="239">
        <f t="shared" si="2"/>
        <v>19</v>
      </c>
      <c r="C35" s="176" t="s">
        <v>953</v>
      </c>
      <c r="D35" s="3"/>
      <c r="E35" s="743"/>
      <c r="F35" s="319">
        <v>84.823818341218939</v>
      </c>
      <c r="G35" s="743"/>
      <c r="H35" s="319">
        <v>116.1075584108815</v>
      </c>
      <c r="I35" s="743"/>
      <c r="J35" s="319"/>
      <c r="K35" s="57"/>
    </row>
    <row r="36" spans="2:20" s="1" customFormat="1" x14ac:dyDescent="0.3">
      <c r="B36" s="213"/>
      <c r="C36" s="546"/>
      <c r="D36" s="7"/>
      <c r="E36" s="214"/>
      <c r="F36" s="214"/>
      <c r="G36" s="214"/>
      <c r="H36" s="214"/>
      <c r="I36" s="214"/>
      <c r="J36" s="214"/>
      <c r="K36" s="57"/>
      <c r="L36" s="57"/>
      <c r="M36" s="57"/>
      <c r="N36" s="57"/>
      <c r="O36" s="57"/>
      <c r="P36" s="57"/>
    </row>
    <row r="37" spans="2:20" s="1" customFormat="1" hidden="1" x14ac:dyDescent="0.3">
      <c r="B37" s="173" t="s">
        <v>143</v>
      </c>
      <c r="C37" s="547"/>
      <c r="D37" s="7"/>
      <c r="E37" s="7"/>
      <c r="F37" s="7"/>
      <c r="G37" s="7"/>
      <c r="H37" s="7"/>
      <c r="I37" s="7"/>
      <c r="J37" s="7"/>
    </row>
    <row r="38" spans="2:20" s="1" customFormat="1" hidden="1" x14ac:dyDescent="0.3">
      <c r="B38" s="96">
        <v>1</v>
      </c>
      <c r="C38" s="548" t="s">
        <v>152</v>
      </c>
      <c r="D38" s="48"/>
      <c r="E38" s="48"/>
      <c r="F38" s="11"/>
      <c r="G38" s="11"/>
      <c r="H38" s="11"/>
      <c r="I38" s="11"/>
      <c r="J38" s="7"/>
    </row>
    <row r="39" spans="2:20" s="1" customFormat="1" hidden="1" x14ac:dyDescent="0.3">
      <c r="B39" s="96">
        <v>2</v>
      </c>
      <c r="C39" s="548" t="s">
        <v>153</v>
      </c>
      <c r="D39" s="48"/>
      <c r="E39" s="48"/>
      <c r="F39" s="11"/>
      <c r="G39" s="11"/>
      <c r="H39" s="11"/>
      <c r="I39" s="11"/>
      <c r="J39" s="7"/>
    </row>
    <row r="40" spans="2:20" s="1" customFormat="1" ht="18" hidden="1" customHeight="1" x14ac:dyDescent="0.3">
      <c r="B40" s="96">
        <v>3</v>
      </c>
      <c r="C40" s="548" t="s">
        <v>154</v>
      </c>
      <c r="D40" s="42"/>
      <c r="E40" s="42"/>
      <c r="F40" s="42"/>
      <c r="G40" s="42"/>
      <c r="H40" s="42"/>
      <c r="I40" s="42"/>
      <c r="J40" s="7"/>
    </row>
    <row r="41" spans="2:20" hidden="1" x14ac:dyDescent="0.3">
      <c r="B41" s="161">
        <v>4</v>
      </c>
      <c r="C41" s="547" t="s">
        <v>684</v>
      </c>
      <c r="D41" s="7"/>
      <c r="E41" s="7"/>
      <c r="F41" s="7"/>
      <c r="G41" s="7"/>
      <c r="H41" s="7"/>
      <c r="I41" s="7"/>
      <c r="J41" s="7"/>
    </row>
    <row r="42" spans="2:20" hidden="1" x14ac:dyDescent="0.3">
      <c r="B42" s="161">
        <v>5</v>
      </c>
      <c r="C42" s="547" t="s">
        <v>452</v>
      </c>
      <c r="D42" s="7"/>
      <c r="E42" s="7"/>
      <c r="F42" s="7"/>
      <c r="G42" s="7"/>
      <c r="H42" s="7"/>
      <c r="I42" s="7"/>
      <c r="J42" s="7"/>
    </row>
    <row r="43" spans="2:20" hidden="1" x14ac:dyDescent="0.3">
      <c r="B43" s="161"/>
      <c r="C43" s="547"/>
      <c r="D43" s="7"/>
      <c r="E43" s="7"/>
      <c r="F43" s="7"/>
      <c r="G43" s="7"/>
      <c r="H43" s="7"/>
      <c r="I43" s="7"/>
      <c r="J43" s="7"/>
    </row>
    <row r="44" spans="2:20" hidden="1" x14ac:dyDescent="0.3">
      <c r="B44" s="161"/>
      <c r="C44" s="547"/>
      <c r="D44" s="7"/>
      <c r="E44" s="7"/>
      <c r="F44" s="7"/>
      <c r="G44" s="7"/>
      <c r="H44" s="7"/>
      <c r="I44" s="7"/>
      <c r="J44" s="7"/>
    </row>
    <row r="45" spans="2:20" x14ac:dyDescent="0.3">
      <c r="B45" s="173" t="s">
        <v>1007</v>
      </c>
      <c r="C45" s="547"/>
      <c r="D45" s="7"/>
      <c r="E45" s="347"/>
      <c r="F45" s="7"/>
      <c r="G45" s="7"/>
      <c r="H45" s="7"/>
      <c r="I45" s="7"/>
      <c r="J45" s="7"/>
    </row>
    <row r="46" spans="2:20" s="11" customFormat="1" x14ac:dyDescent="0.3">
      <c r="B46" s="92"/>
      <c r="C46" s="744"/>
      <c r="I46" s="745" t="s">
        <v>10</v>
      </c>
    </row>
    <row r="47" spans="2:20" s="35" customFormat="1" ht="27.65" customHeight="1" x14ac:dyDescent="0.3">
      <c r="B47" s="1792" t="s">
        <v>339</v>
      </c>
      <c r="C47" s="1794" t="s">
        <v>36</v>
      </c>
      <c r="D47" s="1794" t="s">
        <v>144</v>
      </c>
      <c r="E47" s="686" t="s">
        <v>968</v>
      </c>
      <c r="F47" s="686" t="s">
        <v>969</v>
      </c>
      <c r="G47" s="686" t="s">
        <v>970</v>
      </c>
      <c r="H47" s="686" t="s">
        <v>971</v>
      </c>
      <c r="I47" s="710" t="s">
        <v>972</v>
      </c>
      <c r="J47" s="57"/>
      <c r="K47" s="57"/>
      <c r="L47" s="57"/>
      <c r="M47" s="57"/>
      <c r="N47" s="57"/>
      <c r="S47" s="57"/>
      <c r="T47" s="57"/>
    </row>
    <row r="48" spans="2:20" s="36" customFormat="1" ht="37.75" customHeight="1" x14ac:dyDescent="0.25">
      <c r="B48" s="1792"/>
      <c r="C48" s="1794"/>
      <c r="D48" s="1794"/>
      <c r="E48" s="660" t="s">
        <v>21</v>
      </c>
      <c r="F48" s="291" t="s">
        <v>21</v>
      </c>
      <c r="G48" s="660" t="s">
        <v>21</v>
      </c>
      <c r="H48" s="660" t="s">
        <v>21</v>
      </c>
      <c r="I48" s="660" t="s">
        <v>21</v>
      </c>
      <c r="J48" s="667"/>
      <c r="K48" s="667"/>
      <c r="L48" s="667"/>
      <c r="M48" s="667"/>
      <c r="N48" s="667"/>
    </row>
    <row r="49" spans="2:14" s="419" customFormat="1" x14ac:dyDescent="0.3">
      <c r="B49" s="423">
        <v>1</v>
      </c>
      <c r="C49" s="545" t="s">
        <v>451</v>
      </c>
      <c r="D49" s="464"/>
      <c r="E49" s="510"/>
      <c r="F49" s="529"/>
      <c r="G49" s="510"/>
      <c r="H49" s="529"/>
      <c r="I49" s="510"/>
      <c r="J49" s="705"/>
      <c r="K49" s="706"/>
      <c r="L49" s="705"/>
      <c r="M49" s="706"/>
      <c r="N49" s="705"/>
    </row>
    <row r="50" spans="2:14" s="419" customFormat="1" x14ac:dyDescent="0.3">
      <c r="B50" s="423">
        <v>1.1000000000000001</v>
      </c>
      <c r="C50" s="549" t="s">
        <v>644</v>
      </c>
      <c r="D50" s="464"/>
      <c r="E50" s="443"/>
      <c r="F50" s="443"/>
      <c r="G50" s="443"/>
      <c r="H50" s="443"/>
      <c r="I50" s="443"/>
      <c r="J50" s="674"/>
      <c r="K50" s="674"/>
      <c r="L50" s="674"/>
      <c r="M50" s="674"/>
      <c r="N50" s="674"/>
    </row>
    <row r="51" spans="2:14" s="419" customFormat="1" x14ac:dyDescent="0.3">
      <c r="B51" s="423"/>
      <c r="C51" s="549" t="s">
        <v>645</v>
      </c>
      <c r="D51" s="464"/>
      <c r="E51" s="443"/>
      <c r="F51" s="443"/>
      <c r="G51" s="443"/>
      <c r="H51" s="443"/>
      <c r="I51" s="443"/>
      <c r="J51" s="674"/>
      <c r="K51" s="674"/>
      <c r="L51" s="674"/>
      <c r="M51" s="674"/>
      <c r="N51" s="674"/>
    </row>
    <row r="52" spans="2:14" s="419" customFormat="1" x14ac:dyDescent="0.3">
      <c r="B52" s="423"/>
      <c r="C52" s="549" t="s">
        <v>646</v>
      </c>
      <c r="D52" s="464"/>
      <c r="E52" s="443"/>
      <c r="F52" s="443"/>
      <c r="G52" s="443"/>
      <c r="H52" s="443"/>
      <c r="I52" s="443"/>
      <c r="J52" s="674"/>
      <c r="K52" s="674"/>
      <c r="L52" s="674"/>
      <c r="M52" s="674"/>
      <c r="N52" s="674"/>
    </row>
    <row r="53" spans="2:14" s="419" customFormat="1" x14ac:dyDescent="0.3">
      <c r="B53" s="423">
        <v>1.2</v>
      </c>
      <c r="C53" s="549" t="s">
        <v>647</v>
      </c>
      <c r="D53" s="464"/>
      <c r="E53" s="443"/>
      <c r="F53" s="443"/>
      <c r="G53" s="443"/>
      <c r="H53" s="443"/>
      <c r="I53" s="443"/>
      <c r="J53" s="674"/>
      <c r="K53" s="674"/>
      <c r="L53" s="674"/>
      <c r="M53" s="674"/>
      <c r="N53" s="674"/>
    </row>
    <row r="54" spans="2:14" s="419" customFormat="1" x14ac:dyDescent="0.3">
      <c r="B54" s="423"/>
      <c r="C54" s="549" t="s">
        <v>645</v>
      </c>
      <c r="D54" s="464"/>
      <c r="E54" s="443"/>
      <c r="F54" s="443"/>
      <c r="G54" s="443"/>
      <c r="H54" s="443"/>
      <c r="I54" s="443"/>
      <c r="J54" s="674"/>
      <c r="K54" s="674"/>
      <c r="L54" s="674"/>
      <c r="M54" s="674"/>
      <c r="N54" s="674"/>
    </row>
    <row r="55" spans="2:14" s="419" customFormat="1" x14ac:dyDescent="0.3">
      <c r="B55" s="423"/>
      <c r="C55" s="549" t="s">
        <v>646</v>
      </c>
      <c r="D55" s="464"/>
      <c r="E55" s="443"/>
      <c r="F55" s="443"/>
      <c r="G55" s="443"/>
      <c r="H55" s="443"/>
      <c r="I55" s="443"/>
      <c r="J55" s="674"/>
      <c r="K55" s="674"/>
      <c r="L55" s="674"/>
      <c r="M55" s="674"/>
      <c r="N55" s="674"/>
    </row>
    <row r="56" spans="2:14" s="419" customFormat="1" x14ac:dyDescent="0.3">
      <c r="B56" s="423">
        <v>2</v>
      </c>
      <c r="C56" s="545" t="s">
        <v>708</v>
      </c>
      <c r="D56" s="464"/>
      <c r="E56" s="443"/>
      <c r="F56" s="443"/>
      <c r="G56" s="443"/>
      <c r="H56" s="443"/>
      <c r="I56" s="443"/>
      <c r="J56" s="674"/>
      <c r="K56" s="674"/>
      <c r="L56" s="674"/>
      <c r="M56" s="674"/>
      <c r="N56" s="674"/>
    </row>
    <row r="57" spans="2:14" s="419" customFormat="1" x14ac:dyDescent="0.3">
      <c r="B57" s="423">
        <v>3</v>
      </c>
      <c r="C57" s="545" t="s">
        <v>741</v>
      </c>
      <c r="D57" s="464"/>
      <c r="E57" s="443"/>
      <c r="F57" s="443"/>
      <c r="G57" s="443"/>
      <c r="H57" s="443"/>
      <c r="I57" s="443"/>
      <c r="J57" s="674"/>
      <c r="K57" s="674"/>
      <c r="L57" s="674"/>
      <c r="M57" s="674"/>
      <c r="N57" s="674"/>
    </row>
    <row r="58" spans="2:14" s="419" customFormat="1" ht="16" x14ac:dyDescent="0.3">
      <c r="B58" s="423">
        <v>3</v>
      </c>
      <c r="C58" s="545" t="s">
        <v>328</v>
      </c>
      <c r="D58" s="1306">
        <v>20</v>
      </c>
      <c r="E58" s="443">
        <f>SUM('F2.2'!S116:S118)/365*$D58</f>
        <v>105.5663495515016</v>
      </c>
      <c r="F58" s="443">
        <f>SUM('F2.2'!T116:T118)/365*$D58</f>
        <v>110.8485186441409</v>
      </c>
      <c r="G58" s="443">
        <f>SUM('F2.2'!U116:U118)/366*$D58</f>
        <v>116.07293653105739</v>
      </c>
      <c r="H58" s="443">
        <f>SUM('F2.2'!V116:V118)/365*$D58</f>
        <v>122.21473821077365</v>
      </c>
      <c r="I58" s="443">
        <f>SUM('F2.2'!W116:W118)/365*$D58</f>
        <v>128.31655766953492</v>
      </c>
      <c r="J58" s="674"/>
      <c r="K58" s="674"/>
      <c r="L58" s="674"/>
      <c r="M58" s="674"/>
      <c r="N58" s="674"/>
    </row>
    <row r="59" spans="2:14" s="419" customFormat="1" ht="16" x14ac:dyDescent="0.3">
      <c r="B59" s="423">
        <f>B58+1</f>
        <v>4</v>
      </c>
      <c r="C59" s="545" t="s">
        <v>331</v>
      </c>
      <c r="D59" s="1306">
        <v>30</v>
      </c>
      <c r="E59" s="443">
        <f>SUM('F2.2'!S116:S118)/365*$D59</f>
        <v>158.3495243272524</v>
      </c>
      <c r="F59" s="443">
        <f>SUM('F2.2'!T116:T118)/365*$D59</f>
        <v>166.27277796621135</v>
      </c>
      <c r="G59" s="443">
        <f>SUM('F2.2'!U116:U118)/366*$D59</f>
        <v>174.10940479658609</v>
      </c>
      <c r="H59" s="443">
        <f>SUM('F2.2'!V116:V118)/365*$D59</f>
        <v>183.32210731616047</v>
      </c>
      <c r="I59" s="443">
        <f>SUM('F2.2'!W116:W118)/365*$D59</f>
        <v>192.47483650430237</v>
      </c>
      <c r="J59" s="674"/>
      <c r="K59" s="674"/>
      <c r="L59" s="674"/>
      <c r="M59" s="674"/>
      <c r="N59" s="674"/>
    </row>
    <row r="60" spans="2:14" s="419" customFormat="1" ht="16" x14ac:dyDescent="0.3">
      <c r="B60" s="423">
        <f t="shared" ref="B60:B74" si="4">B59+1</f>
        <v>5</v>
      </c>
      <c r="C60" s="91" t="s">
        <v>329</v>
      </c>
      <c r="D60" s="1306"/>
      <c r="E60" s="443"/>
      <c r="F60" s="443"/>
      <c r="G60" s="443"/>
      <c r="H60" s="443"/>
      <c r="I60" s="443"/>
      <c r="J60" s="674"/>
      <c r="K60" s="674"/>
      <c r="L60" s="674"/>
      <c r="M60" s="674"/>
      <c r="N60" s="674"/>
    </row>
    <row r="61" spans="2:14" s="419" customFormat="1" ht="16" x14ac:dyDescent="0.3">
      <c r="B61" s="423">
        <f t="shared" si="4"/>
        <v>6</v>
      </c>
      <c r="C61" s="91" t="s">
        <v>330</v>
      </c>
      <c r="D61" s="1307">
        <v>2</v>
      </c>
      <c r="E61" s="443">
        <f>SUM('F2.2'!S121:S124)/12*$D$61</f>
        <v>1.899559843507842</v>
      </c>
      <c r="F61" s="443">
        <f>SUM('F2.2'!T121:T124)/12*$D$61</f>
        <v>1.9945378356832342</v>
      </c>
      <c r="G61" s="443">
        <f>SUM('F2.2'!U121:U124)/12*$D$61</f>
        <v>2.094264727467396</v>
      </c>
      <c r="H61" s="443">
        <f>SUM('F2.2'!V121:V124)/12*$D$61</f>
        <v>2.198977963840766</v>
      </c>
      <c r="I61" s="443">
        <f>SUM('F2.2'!W121:W124)/12*$D$61</f>
        <v>2.3089268620328043</v>
      </c>
      <c r="J61" s="674"/>
      <c r="K61" s="674"/>
      <c r="L61" s="674"/>
      <c r="M61" s="674"/>
      <c r="N61" s="674"/>
    </row>
    <row r="62" spans="2:14" s="419" customFormat="1" ht="16" x14ac:dyDescent="0.3">
      <c r="B62" s="423">
        <f t="shared" si="4"/>
        <v>7</v>
      </c>
      <c r="C62" s="91" t="s">
        <v>145</v>
      </c>
      <c r="D62" s="4"/>
      <c r="E62" s="443"/>
      <c r="F62" s="443"/>
      <c r="G62" s="443"/>
      <c r="H62" s="443"/>
      <c r="I62" s="443"/>
      <c r="J62" s="674"/>
      <c r="K62" s="674"/>
      <c r="L62" s="674"/>
      <c r="M62" s="674"/>
      <c r="N62" s="674"/>
    </row>
    <row r="63" spans="2:14" s="419" customFormat="1" ht="16" x14ac:dyDescent="0.3">
      <c r="B63" s="423">
        <f t="shared" si="4"/>
        <v>8</v>
      </c>
      <c r="C63" s="91" t="s">
        <v>146</v>
      </c>
      <c r="D63" s="4"/>
      <c r="E63" s="443"/>
      <c r="F63" s="443"/>
      <c r="G63" s="443"/>
      <c r="H63" s="443"/>
      <c r="I63" s="443"/>
      <c r="J63" s="674"/>
      <c r="K63" s="674"/>
      <c r="L63" s="674"/>
      <c r="M63" s="674"/>
      <c r="N63" s="674"/>
    </row>
    <row r="64" spans="2:14" s="419" customFormat="1" ht="16" x14ac:dyDescent="0.3">
      <c r="B64" s="423">
        <f t="shared" si="4"/>
        <v>9</v>
      </c>
      <c r="C64" s="91" t="s">
        <v>147</v>
      </c>
      <c r="D64" s="4"/>
      <c r="E64" s="443"/>
      <c r="F64" s="443"/>
      <c r="G64" s="443"/>
      <c r="H64" s="443"/>
      <c r="I64" s="443"/>
      <c r="J64" s="674"/>
      <c r="K64" s="674"/>
      <c r="L64" s="674"/>
      <c r="M64" s="674"/>
      <c r="N64" s="674"/>
    </row>
    <row r="65" spans="2:19" s="419" customFormat="1" x14ac:dyDescent="0.3">
      <c r="B65" s="423">
        <f t="shared" si="4"/>
        <v>10</v>
      </c>
      <c r="C65" s="545" t="s">
        <v>172</v>
      </c>
      <c r="D65" s="1308">
        <v>1</v>
      </c>
      <c r="E65" s="443">
        <f>('F1'!S13+'F1'!S21)/12*$D$65</f>
        <v>26.343548896195816</v>
      </c>
      <c r="F65" s="443">
        <f>('F1'!T13+'F1'!T21)/12*$D$65</f>
        <v>27.154899380782393</v>
      </c>
      <c r="G65" s="443">
        <f>('F1'!U13+'F1'!U21)/12*$D$65</f>
        <v>28.002437534781865</v>
      </c>
      <c r="H65" s="443">
        <f>('F1'!V13+'F1'!V21)/12*$D$65</f>
        <v>28.8862877108912</v>
      </c>
      <c r="I65" s="443">
        <f>('F1'!W13+'F1'!W21)/12*$D$65</f>
        <v>29.80657967938706</v>
      </c>
      <c r="J65" s="674"/>
      <c r="K65" s="674"/>
      <c r="L65" s="674"/>
      <c r="M65" s="674"/>
      <c r="N65" s="674"/>
    </row>
    <row r="66" spans="2:19" s="419" customFormat="1" x14ac:dyDescent="0.3">
      <c r="B66" s="423">
        <f t="shared" si="4"/>
        <v>11</v>
      </c>
      <c r="C66" s="545" t="s">
        <v>148</v>
      </c>
      <c r="D66" s="1309">
        <v>0.01</v>
      </c>
      <c r="E66" s="443">
        <f>'F3.4'!I23*$D$66</f>
        <v>31.754840086812006</v>
      </c>
      <c r="F66" s="443">
        <f>'F3.4'!J23*$D$66</f>
        <v>33.651440086812002</v>
      </c>
      <c r="G66" s="443">
        <f>'F3.4'!K23*$D$66</f>
        <v>34.848940086812</v>
      </c>
      <c r="H66" s="443">
        <f>'F3.4'!L23*$D$66</f>
        <v>35.678440086811996</v>
      </c>
      <c r="I66" s="443">
        <f>'F3.4'!M23*$D$66</f>
        <v>39.095840086812004</v>
      </c>
      <c r="J66" s="674"/>
      <c r="K66" s="674"/>
      <c r="L66" s="674"/>
      <c r="M66" s="674"/>
      <c r="N66" s="674"/>
    </row>
    <row r="67" spans="2:19" s="419" customFormat="1" x14ac:dyDescent="0.3">
      <c r="B67" s="423">
        <f t="shared" si="4"/>
        <v>12</v>
      </c>
      <c r="C67" s="545" t="s">
        <v>149</v>
      </c>
      <c r="D67" s="1310">
        <v>45</v>
      </c>
      <c r="E67" s="443">
        <f ca="1">'F1'!S27/365*$D$67</f>
        <v>337.97494833451094</v>
      </c>
      <c r="F67" s="443">
        <f ca="1">'F1'!T27/365*$D$67</f>
        <v>360.91652726160584</v>
      </c>
      <c r="G67" s="443">
        <f ca="1">'F1'!U27/366*$D$67</f>
        <v>374.946559934844</v>
      </c>
      <c r="H67" s="443">
        <f ca="1">'F1'!V27/365*$D$67</f>
        <v>393.72958238520766</v>
      </c>
      <c r="I67" s="443">
        <f ca="1">'F1'!W27/365*$D$67</f>
        <v>412.02737160612747</v>
      </c>
      <c r="J67" s="674"/>
      <c r="K67" s="674"/>
      <c r="L67" s="674"/>
      <c r="M67" s="674"/>
      <c r="N67" s="674"/>
    </row>
    <row r="68" spans="2:19" s="419" customFormat="1" ht="16" x14ac:dyDescent="0.3">
      <c r="B68" s="423">
        <f t="shared" si="4"/>
        <v>13</v>
      </c>
      <c r="C68" s="545" t="s">
        <v>548</v>
      </c>
      <c r="D68" s="1310">
        <v>30</v>
      </c>
      <c r="E68" s="319">
        <f>SUM('F2.2'!S121:S124)/365*$D$68</f>
        <v>0.93676923789427824</v>
      </c>
      <c r="F68" s="319">
        <f>SUM('F2.2'!T121:T124)/365*$D$68</f>
        <v>0.98360769978899221</v>
      </c>
      <c r="G68" s="319">
        <f>SUM('F2.2'!U121:U124)/366*$D$68</f>
        <v>1.0299662594101948</v>
      </c>
      <c r="H68" s="319">
        <f>SUM('F2.2'!V121:V124)/365*$D$68</f>
        <v>1.084427489017364</v>
      </c>
      <c r="I68" s="319">
        <f>SUM('F2.2'!W121:W124)/365*$D$68</f>
        <v>1.1386488634682324</v>
      </c>
      <c r="J68" s="324"/>
      <c r="K68" s="324"/>
      <c r="L68" s="324"/>
      <c r="M68" s="324"/>
      <c r="N68" s="324"/>
      <c r="O68" s="57"/>
      <c r="P68" s="57"/>
      <c r="Q68" s="57"/>
      <c r="R68" s="57"/>
      <c r="S68" s="57"/>
    </row>
    <row r="69" spans="2:19" s="11" customFormat="1" x14ac:dyDescent="0.3">
      <c r="B69" s="423">
        <f t="shared" si="4"/>
        <v>14</v>
      </c>
      <c r="C69" s="176" t="s">
        <v>150</v>
      </c>
      <c r="D69" s="3"/>
      <c r="E69" s="741">
        <f ca="1">SUM(E58:E67)-E68</f>
        <v>660.95200180188635</v>
      </c>
      <c r="F69" s="741">
        <f ca="1">SUM(F58:F67)-F68</f>
        <v>699.85509347544667</v>
      </c>
      <c r="G69" s="741">
        <f t="shared" ref="G69:I69" ca="1" si="5">SUM(G58:G67)-G68</f>
        <v>729.0445773521385</v>
      </c>
      <c r="H69" s="741">
        <f t="shared" ca="1" si="5"/>
        <v>764.94570618466844</v>
      </c>
      <c r="I69" s="741">
        <f t="shared" ca="1" si="5"/>
        <v>802.89146354472837</v>
      </c>
      <c r="J69" s="707"/>
      <c r="K69" s="707"/>
      <c r="L69" s="707"/>
      <c r="M69" s="707"/>
      <c r="N69" s="707"/>
    </row>
    <row r="70" spans="2:19" s="11" customFormat="1" x14ac:dyDescent="0.3">
      <c r="B70" s="490"/>
      <c r="C70" s="550"/>
      <c r="D70" s="3"/>
      <c r="E70" s="319"/>
      <c r="F70" s="319"/>
      <c r="G70" s="319"/>
      <c r="H70" s="319"/>
      <c r="I70" s="319"/>
      <c r="J70" s="674"/>
      <c r="K70" s="674"/>
      <c r="L70" s="674"/>
      <c r="M70" s="674"/>
      <c r="N70" s="674"/>
    </row>
    <row r="71" spans="2:19" s="11" customFormat="1" x14ac:dyDescent="0.3">
      <c r="B71" s="423">
        <v>13</v>
      </c>
      <c r="C71" s="178" t="s">
        <v>376</v>
      </c>
      <c r="D71" s="3"/>
      <c r="E71" s="319"/>
      <c r="F71" s="319"/>
      <c r="G71" s="319"/>
      <c r="H71" s="319"/>
      <c r="I71" s="319"/>
      <c r="J71" s="674"/>
      <c r="K71" s="674"/>
      <c r="L71" s="674"/>
      <c r="M71" s="674"/>
      <c r="N71" s="674"/>
    </row>
    <row r="72" spans="2:19" s="2" customFormat="1" x14ac:dyDescent="0.3">
      <c r="B72" s="423">
        <f t="shared" si="4"/>
        <v>14</v>
      </c>
      <c r="C72" s="545" t="s">
        <v>377</v>
      </c>
      <c r="D72" s="3"/>
      <c r="E72" s="1104">
        <v>0.1045</v>
      </c>
      <c r="F72" s="1104">
        <v>0.1045</v>
      </c>
      <c r="G72" s="1104">
        <v>0.1045</v>
      </c>
      <c r="H72" s="1104">
        <v>0.1045</v>
      </c>
      <c r="I72" s="1104">
        <v>0.1045</v>
      </c>
      <c r="J72" s="708"/>
      <c r="K72" s="709"/>
      <c r="L72" s="709"/>
      <c r="M72" s="709"/>
      <c r="N72" s="709"/>
    </row>
    <row r="73" spans="2:19" s="2" customFormat="1" x14ac:dyDescent="0.3">
      <c r="B73" s="239">
        <f t="shared" si="4"/>
        <v>15</v>
      </c>
      <c r="C73" s="176" t="s">
        <v>86</v>
      </c>
      <c r="D73" s="3"/>
      <c r="E73" s="742">
        <f ca="1">E69*E72</f>
        <v>69.069484188297125</v>
      </c>
      <c r="F73" s="742">
        <f ca="1">F69*F72</f>
        <v>73.134857268184177</v>
      </c>
      <c r="G73" s="742">
        <f ca="1">G69*G72</f>
        <v>76.185158333298475</v>
      </c>
      <c r="H73" s="742">
        <f ca="1">H69*H72</f>
        <v>79.936826296297852</v>
      </c>
      <c r="I73" s="742">
        <f ca="1">I69*I72</f>
        <v>83.902157940424104</v>
      </c>
      <c r="J73" s="707"/>
      <c r="K73" s="707"/>
      <c r="L73" s="707"/>
      <c r="M73" s="707"/>
      <c r="N73" s="707"/>
    </row>
    <row r="74" spans="2:19" s="2" customFormat="1" x14ac:dyDescent="0.3">
      <c r="B74" s="239">
        <f t="shared" si="4"/>
        <v>16</v>
      </c>
      <c r="C74" s="176" t="s">
        <v>953</v>
      </c>
      <c r="D74" s="3"/>
      <c r="E74" s="1105">
        <v>0</v>
      </c>
      <c r="F74" s="1105">
        <v>0</v>
      </c>
      <c r="G74" s="1105">
        <v>0</v>
      </c>
      <c r="H74" s="1105">
        <v>0</v>
      </c>
      <c r="I74" s="1105">
        <v>0</v>
      </c>
      <c r="J74" s="707"/>
      <c r="K74" s="707"/>
      <c r="L74" s="707"/>
      <c r="M74" s="707"/>
      <c r="N74" s="707"/>
    </row>
    <row r="75" spans="2:19" s="1" customFormat="1" x14ac:dyDescent="0.3">
      <c r="B75" s="173"/>
      <c r="C75" s="7"/>
      <c r="D75" s="7"/>
      <c r="E75" s="7"/>
      <c r="F75" s="7"/>
      <c r="G75" s="7"/>
      <c r="H75" s="7"/>
      <c r="I75" s="7"/>
      <c r="J75" s="7"/>
    </row>
    <row r="76" spans="2:19" s="1" customFormat="1" x14ac:dyDescent="0.3">
      <c r="B76" s="96"/>
      <c r="C76" s="1135" t="s">
        <v>1508</v>
      </c>
      <c r="D76" s="48"/>
      <c r="E76" s="48"/>
      <c r="F76" s="11"/>
      <c r="G76" s="11"/>
      <c r="H76" s="11"/>
      <c r="I76" s="11"/>
      <c r="J76" s="7"/>
    </row>
    <row r="77" spans="2:19" s="1" customFormat="1" x14ac:dyDescent="0.3">
      <c r="B77" s="96"/>
      <c r="C77" s="1796" t="s">
        <v>36</v>
      </c>
      <c r="D77" s="1760" t="s">
        <v>923</v>
      </c>
      <c r="E77" s="1207" t="s">
        <v>508</v>
      </c>
      <c r="F77" s="1126" t="s">
        <v>968</v>
      </c>
      <c r="G77" s="1126" t="s">
        <v>969</v>
      </c>
      <c r="H77" s="1126" t="s">
        <v>970</v>
      </c>
      <c r="I77" s="1126" t="s">
        <v>971</v>
      </c>
      <c r="J77" s="1126" t="s">
        <v>972</v>
      </c>
    </row>
    <row r="78" spans="2:19" s="1" customFormat="1" ht="18" customHeight="1" x14ac:dyDescent="0.3">
      <c r="B78" s="96"/>
      <c r="C78" s="1797"/>
      <c r="D78" s="1795"/>
      <c r="E78" s="1207" t="s">
        <v>21</v>
      </c>
      <c r="F78" s="1126" t="s">
        <v>21</v>
      </c>
      <c r="G78" s="1126" t="s">
        <v>21</v>
      </c>
      <c r="H78" s="1126" t="s">
        <v>21</v>
      </c>
      <c r="I78" s="1126" t="s">
        <v>21</v>
      </c>
      <c r="J78" s="1126" t="s">
        <v>21</v>
      </c>
    </row>
    <row r="79" spans="2:19" x14ac:dyDescent="0.3">
      <c r="C79" s="1136" t="s">
        <v>1509</v>
      </c>
      <c r="D79" s="1137">
        <v>20</v>
      </c>
      <c r="E79" s="1066">
        <f>'F2.2'!D198/365*$D79</f>
        <v>0</v>
      </c>
      <c r="F79" s="1066">
        <f>'F2.2'!E198/365*$D79</f>
        <v>9.7071086608480499</v>
      </c>
      <c r="G79" s="1066">
        <f>'F2.2'!F198/365*$D79</f>
        <v>12.931450851374628</v>
      </c>
      <c r="H79" s="1066">
        <f>'F2.2'!G198/366*$D79</f>
        <v>12.896119018447376</v>
      </c>
      <c r="I79" s="1066">
        <f>'F2.2'!H198/365*$D79</f>
        <v>12.931899289575764</v>
      </c>
      <c r="J79" s="1066">
        <f>'F2.2'!I198/365*$D79</f>
        <v>12.931002413173498</v>
      </c>
    </row>
    <row r="80" spans="2:19" x14ac:dyDescent="0.3">
      <c r="C80" s="1136" t="s">
        <v>1510</v>
      </c>
      <c r="D80" s="1137">
        <v>30</v>
      </c>
      <c r="E80" s="1066">
        <f>'F2.2'!D198/365*$D80</f>
        <v>0</v>
      </c>
      <c r="F80" s="1066">
        <f>'F2.2'!E198/365*$D80</f>
        <v>14.560662991272075</v>
      </c>
      <c r="G80" s="1066">
        <f>'F2.2'!F198/365*$D80</f>
        <v>19.397176277061941</v>
      </c>
      <c r="H80" s="1066">
        <f>'F2.2'!G198/366*$D80</f>
        <v>19.344178527671065</v>
      </c>
      <c r="I80" s="1066">
        <f>'F2.2'!H198/365*$D80</f>
        <v>19.397848934363644</v>
      </c>
      <c r="J80" s="1066">
        <f>'F2.2'!I198/365*$D80</f>
        <v>19.396503619760246</v>
      </c>
    </row>
    <row r="81" spans="3:10" x14ac:dyDescent="0.3">
      <c r="C81" s="1136" t="s">
        <v>1511</v>
      </c>
      <c r="D81" s="1138">
        <v>1</v>
      </c>
      <c r="E81" s="1066">
        <f>'F3'!D24/12*$D81</f>
        <v>0</v>
      </c>
      <c r="F81" s="1066">
        <f>'F3'!E24/12*$D81</f>
        <v>0.19287598173515985</v>
      </c>
      <c r="G81" s="1066">
        <f>'F3'!F24/12*$D81</f>
        <v>0.26805854666666667</v>
      </c>
      <c r="H81" s="1066">
        <f>'F3'!G24/12*$D81</f>
        <v>0.2796654817373333</v>
      </c>
      <c r="I81" s="1066">
        <f>'F3'!H24/12*$D81</f>
        <v>0.2917749970965598</v>
      </c>
      <c r="J81" s="1066">
        <f>'F3'!I24/12*$D81</f>
        <v>0.30440885447084087</v>
      </c>
    </row>
    <row r="82" spans="3:10" x14ac:dyDescent="0.3">
      <c r="C82" s="1139" t="s">
        <v>1512</v>
      </c>
      <c r="D82" s="1140">
        <v>0.01</v>
      </c>
      <c r="E82" s="1066">
        <f>'F3'!D23*$D82</f>
        <v>0</v>
      </c>
      <c r="F82" s="1066">
        <f>'F3'!E23*$D82</f>
        <v>1.5416000000000001</v>
      </c>
      <c r="G82" s="1066">
        <f>'F3'!F23*$D82</f>
        <v>1.5416000000000001</v>
      </c>
      <c r="H82" s="1066">
        <f>'F3'!G23*$D82</f>
        <v>1.5416000000000001</v>
      </c>
      <c r="I82" s="1066">
        <f>'F3'!H23*$D82</f>
        <v>1.5416000000000001</v>
      </c>
      <c r="J82" s="1066">
        <f>'F3'!I23*$D82</f>
        <v>1.5416000000000001</v>
      </c>
    </row>
    <row r="83" spans="3:10" ht="14.5" x14ac:dyDescent="0.35">
      <c r="C83" s="1141" t="s">
        <v>1513</v>
      </c>
      <c r="D83" s="1142"/>
      <c r="E83" s="1143">
        <f>SUM(E79:E82)</f>
        <v>0</v>
      </c>
      <c r="F83" s="1143">
        <f>SUM(F79:F82)</f>
        <v>26.002247633855283</v>
      </c>
      <c r="G83" s="1143">
        <f t="shared" ref="G83:J83" si="6">SUM(G79:G82)</f>
        <v>34.138285675103234</v>
      </c>
      <c r="H83" s="1143">
        <f t="shared" si="6"/>
        <v>34.061563027855776</v>
      </c>
      <c r="I83" s="1143">
        <f t="shared" si="6"/>
        <v>34.163123221035967</v>
      </c>
      <c r="J83" s="1143">
        <f t="shared" si="6"/>
        <v>34.173514887404586</v>
      </c>
    </row>
    <row r="84" spans="3:10" ht="14.5" x14ac:dyDescent="0.35">
      <c r="C84" s="1144" t="s">
        <v>1514</v>
      </c>
      <c r="D84" s="1145" t="s">
        <v>98</v>
      </c>
      <c r="E84" s="1146">
        <f>J33</f>
        <v>0.1045</v>
      </c>
      <c r="F84" s="1146">
        <f>E72</f>
        <v>0.1045</v>
      </c>
      <c r="G84" s="1146">
        <f>F72</f>
        <v>0.1045</v>
      </c>
      <c r="H84" s="1146">
        <f>G72</f>
        <v>0.1045</v>
      </c>
      <c r="I84" s="1146">
        <f>H72</f>
        <v>0.1045</v>
      </c>
      <c r="J84" s="1146">
        <f>I72</f>
        <v>0.1045</v>
      </c>
    </row>
    <row r="85" spans="3:10" ht="14.5" x14ac:dyDescent="0.35">
      <c r="C85" s="1144" t="s">
        <v>1507</v>
      </c>
      <c r="D85" s="1147"/>
      <c r="E85" s="1148">
        <f>E83*E84</f>
        <v>0</v>
      </c>
      <c r="F85" s="1148">
        <f>F83*F84</f>
        <v>2.717234877737877</v>
      </c>
      <c r="G85" s="1148">
        <f t="shared" ref="G85:J85" si="7">G83*G84</f>
        <v>3.5674508530482876</v>
      </c>
      <c r="H85" s="1148">
        <f t="shared" si="7"/>
        <v>3.5594333364109283</v>
      </c>
      <c r="I85" s="1148">
        <f t="shared" si="7"/>
        <v>3.5700463765982584</v>
      </c>
      <c r="J85" s="1148">
        <f t="shared" si="7"/>
        <v>3.5711323057337792</v>
      </c>
    </row>
    <row r="86" spans="3:10" x14ac:dyDescent="0.3">
      <c r="C86" s="9"/>
      <c r="D86" s="9"/>
      <c r="E86" s="9"/>
      <c r="F86" s="9"/>
      <c r="G86" s="9"/>
      <c r="H86" s="9"/>
      <c r="I86" s="9"/>
    </row>
    <row r="87" spans="3:10" x14ac:dyDescent="0.3">
      <c r="C87" s="9"/>
      <c r="D87" s="9"/>
      <c r="E87" s="9"/>
      <c r="F87" s="9"/>
      <c r="G87" s="9"/>
      <c r="H87" s="9"/>
      <c r="I87" s="9"/>
    </row>
  </sheetData>
  <mergeCells count="14">
    <mergeCell ref="G8:H8"/>
    <mergeCell ref="I8:J8"/>
    <mergeCell ref="C77:C78"/>
    <mergeCell ref="D77:D78"/>
    <mergeCell ref="B2:F2"/>
    <mergeCell ref="B3:F3"/>
    <mergeCell ref="B4:F4"/>
    <mergeCell ref="E8:F8"/>
    <mergeCell ref="B8:B9"/>
    <mergeCell ref="C8:C9"/>
    <mergeCell ref="D8:D9"/>
    <mergeCell ref="B47:B48"/>
    <mergeCell ref="C47:C48"/>
    <mergeCell ref="D47:D48"/>
  </mergeCells>
  <pageMargins left="0.74803149606299213" right="0.74803149606299213" top="0.98425196850393704" bottom="0.98425196850393704" header="0.51181102362204722" footer="0.51181102362204722"/>
  <pageSetup paperSize="9" scale="46"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G26" sqref="G26"/>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758" t="str">
        <f>Index!B2</f>
        <v xml:space="preserve">      Maharashtra State Power Generation Company Ltd.</v>
      </c>
      <c r="C2" s="1758"/>
      <c r="D2" s="1758"/>
      <c r="E2" s="1758"/>
      <c r="F2" s="1758"/>
      <c r="G2" s="1758"/>
      <c r="H2" s="1758"/>
      <c r="I2" s="1758"/>
      <c r="J2" s="1758"/>
      <c r="K2" s="1791" t="str">
        <f>B2</f>
        <v xml:space="preserve">      Maharashtra State Power Generation Company Ltd.</v>
      </c>
      <c r="L2" s="1791"/>
      <c r="M2" s="1791"/>
      <c r="N2" s="1791"/>
      <c r="O2" s="1791"/>
      <c r="P2" s="1791"/>
      <c r="Q2" s="1791"/>
      <c r="R2" s="1791"/>
      <c r="S2" s="1791"/>
      <c r="T2" s="1791"/>
    </row>
    <row r="3" spans="2:20" x14ac:dyDescent="0.3">
      <c r="B3" s="1758" t="str">
        <f>Index!B3</f>
        <v>MYT Petition Formats for Parli Units 6 &amp; 7</v>
      </c>
      <c r="C3" s="1758"/>
      <c r="D3" s="1758"/>
      <c r="E3" s="1758"/>
      <c r="F3" s="1758"/>
      <c r="G3" s="1758"/>
      <c r="H3" s="1758"/>
      <c r="I3" s="1758"/>
      <c r="J3" s="1758"/>
      <c r="K3" s="1791" t="str">
        <f>B3</f>
        <v>MYT Petition Formats for Parli Units 6 &amp; 7</v>
      </c>
      <c r="L3" s="1791"/>
      <c r="M3" s="1791"/>
      <c r="N3" s="1791"/>
      <c r="O3" s="1791"/>
      <c r="P3" s="1791"/>
      <c r="Q3" s="1791"/>
      <c r="R3" s="1791"/>
      <c r="S3" s="1791"/>
      <c r="T3" s="1791"/>
    </row>
    <row r="4" spans="2:20" x14ac:dyDescent="0.3">
      <c r="B4" s="1758" t="s">
        <v>384</v>
      </c>
      <c r="C4" s="1758"/>
      <c r="D4" s="1758"/>
      <c r="E4" s="1758"/>
      <c r="F4" s="1758"/>
      <c r="G4" s="1758"/>
      <c r="H4" s="1758"/>
      <c r="I4" s="1758"/>
      <c r="J4" s="1758"/>
      <c r="K4" s="1791" t="str">
        <f>B4</f>
        <v>Form 2.5: Operational Parameters - Hydel Generation</v>
      </c>
      <c r="L4" s="1791"/>
      <c r="M4" s="1791"/>
      <c r="N4" s="1791"/>
      <c r="O4" s="1791"/>
      <c r="P4" s="1791"/>
      <c r="Q4" s="1791"/>
      <c r="R4" s="1791"/>
      <c r="S4" s="1791"/>
      <c r="T4" s="1791"/>
    </row>
    <row r="5" spans="2:20" x14ac:dyDescent="0.3">
      <c r="B5" s="1758"/>
      <c r="C5" s="1811"/>
      <c r="D5" s="1811"/>
      <c r="E5" s="1811"/>
      <c r="F5" s="1811"/>
      <c r="G5" s="1811"/>
      <c r="H5" s="1811"/>
      <c r="I5" s="1811"/>
      <c r="J5" s="1811"/>
      <c r="K5" s="1811"/>
      <c r="L5" s="1811"/>
      <c r="M5" s="1811"/>
      <c r="N5" s="1811"/>
      <c r="O5" s="1811"/>
      <c r="P5" s="1811"/>
      <c r="Q5" s="1811"/>
      <c r="R5" s="1811"/>
      <c r="S5" s="1811"/>
      <c r="T5" s="1811"/>
    </row>
    <row r="6" spans="2:20" x14ac:dyDescent="0.3">
      <c r="B6" s="134"/>
      <c r="C6" s="133"/>
      <c r="D6" s="133"/>
      <c r="E6" s="225"/>
      <c r="F6" s="225"/>
      <c r="G6" s="225"/>
      <c r="H6" s="286"/>
      <c r="I6" s="286"/>
      <c r="J6" s="286"/>
      <c r="K6" s="206"/>
      <c r="L6" s="133"/>
      <c r="M6" s="133"/>
      <c r="N6" s="133"/>
      <c r="O6" s="666"/>
      <c r="P6" s="666"/>
      <c r="Q6" s="666"/>
      <c r="R6" s="666"/>
      <c r="S6" s="666"/>
      <c r="T6" s="133"/>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752" t="s">
        <v>339</v>
      </c>
      <c r="C8" s="1812" t="s">
        <v>36</v>
      </c>
      <c r="D8" s="1812" t="s">
        <v>93</v>
      </c>
      <c r="E8" s="1754" t="s">
        <v>506</v>
      </c>
      <c r="F8" s="1755"/>
      <c r="G8" s="1756"/>
      <c r="H8" s="1754" t="s">
        <v>507</v>
      </c>
      <c r="I8" s="1755"/>
      <c r="J8" s="1756"/>
      <c r="K8" s="1754" t="s">
        <v>508</v>
      </c>
      <c r="L8" s="1755"/>
      <c r="M8" s="1755"/>
      <c r="N8" s="1755"/>
      <c r="O8" s="1757" t="s">
        <v>967</v>
      </c>
      <c r="P8" s="1757"/>
      <c r="Q8" s="1757"/>
      <c r="R8" s="1757"/>
      <c r="S8" s="1757"/>
      <c r="T8" s="1752" t="s">
        <v>26</v>
      </c>
    </row>
    <row r="9" spans="2:20" s="36" customFormat="1" ht="30" customHeight="1" x14ac:dyDescent="0.25">
      <c r="B9" s="1812"/>
      <c r="C9" s="1812"/>
      <c r="D9" s="1812"/>
      <c r="E9" s="369" t="s">
        <v>813</v>
      </c>
      <c r="F9" s="291" t="s">
        <v>78</v>
      </c>
      <c r="G9" s="291" t="s">
        <v>449</v>
      </c>
      <c r="H9" s="369" t="s">
        <v>973</v>
      </c>
      <c r="I9" s="291" t="s">
        <v>78</v>
      </c>
      <c r="J9" s="291" t="s">
        <v>449</v>
      </c>
      <c r="K9" s="369" t="s">
        <v>973</v>
      </c>
      <c r="L9" s="291" t="s">
        <v>443</v>
      </c>
      <c r="M9" s="291" t="s">
        <v>447</v>
      </c>
      <c r="N9" s="291" t="s">
        <v>79</v>
      </c>
      <c r="O9" s="672" t="s">
        <v>968</v>
      </c>
      <c r="P9" s="672" t="s">
        <v>969</v>
      </c>
      <c r="Q9" s="672" t="s">
        <v>970</v>
      </c>
      <c r="R9" s="672" t="s">
        <v>971</v>
      </c>
      <c r="S9" s="672" t="s">
        <v>972</v>
      </c>
      <c r="T9" s="1752"/>
    </row>
    <row r="10" spans="2:20" s="36" customFormat="1" ht="20" customHeight="1" x14ac:dyDescent="0.25">
      <c r="B10" s="1793"/>
      <c r="C10" s="1793"/>
      <c r="D10" s="1793"/>
      <c r="E10" s="291" t="s">
        <v>80</v>
      </c>
      <c r="F10" s="291" t="s">
        <v>81</v>
      </c>
      <c r="G10" s="291" t="s">
        <v>676</v>
      </c>
      <c r="H10" s="291" t="s">
        <v>390</v>
      </c>
      <c r="I10" s="291" t="s">
        <v>408</v>
      </c>
      <c r="J10" s="291" t="s">
        <v>454</v>
      </c>
      <c r="K10" s="291" t="s">
        <v>654</v>
      </c>
      <c r="L10" s="291" t="s">
        <v>590</v>
      </c>
      <c r="M10" s="291" t="s">
        <v>591</v>
      </c>
      <c r="N10" s="291" t="s">
        <v>678</v>
      </c>
      <c r="O10" s="660" t="s">
        <v>21</v>
      </c>
      <c r="P10" s="660" t="s">
        <v>21</v>
      </c>
      <c r="Q10" s="660" t="s">
        <v>21</v>
      </c>
      <c r="R10" s="660" t="s">
        <v>21</v>
      </c>
      <c r="S10" s="660" t="s">
        <v>21</v>
      </c>
      <c r="T10" s="1753"/>
    </row>
    <row r="11" spans="2:20" s="36" customFormat="1" ht="42" customHeight="1" x14ac:dyDescent="0.25">
      <c r="B11" s="39">
        <v>1</v>
      </c>
      <c r="C11" s="142" t="s">
        <v>94</v>
      </c>
      <c r="D11" s="143"/>
      <c r="E11" s="1802" t="s">
        <v>772</v>
      </c>
      <c r="F11" s="1803"/>
      <c r="G11" s="1803"/>
      <c r="H11" s="1803"/>
      <c r="I11" s="1803"/>
      <c r="J11" s="1803"/>
      <c r="K11" s="1803" t="str">
        <f>E11</f>
        <v>Not Applicable for Thermal Power Plant</v>
      </c>
      <c r="L11" s="1803"/>
      <c r="M11" s="1803"/>
      <c r="N11" s="1803"/>
      <c r="O11" s="1803"/>
      <c r="P11" s="1803"/>
      <c r="Q11" s="1803"/>
      <c r="R11" s="1803"/>
      <c r="S11" s="1803"/>
      <c r="T11" s="1808"/>
    </row>
    <row r="12" spans="2:20" s="36" customFormat="1" x14ac:dyDescent="0.25">
      <c r="B12" s="144">
        <v>1.1000000000000001</v>
      </c>
      <c r="C12" s="146" t="s">
        <v>95</v>
      </c>
      <c r="D12" s="144" t="s">
        <v>96</v>
      </c>
      <c r="E12" s="1804"/>
      <c r="F12" s="1805"/>
      <c r="G12" s="1805"/>
      <c r="H12" s="1805"/>
      <c r="I12" s="1805"/>
      <c r="J12" s="1805"/>
      <c r="K12" s="1805"/>
      <c r="L12" s="1805"/>
      <c r="M12" s="1805"/>
      <c r="N12" s="1805"/>
      <c r="O12" s="1805"/>
      <c r="P12" s="1805"/>
      <c r="Q12" s="1805"/>
      <c r="R12" s="1805"/>
      <c r="S12" s="1805"/>
      <c r="T12" s="1809"/>
    </row>
    <row r="13" spans="2:20" s="36" customFormat="1" x14ac:dyDescent="0.25">
      <c r="B13" s="144">
        <v>1.2</v>
      </c>
      <c r="C13" s="145" t="s">
        <v>155</v>
      </c>
      <c r="D13" s="144" t="s">
        <v>98</v>
      </c>
      <c r="E13" s="1804"/>
      <c r="F13" s="1805"/>
      <c r="G13" s="1805"/>
      <c r="H13" s="1805"/>
      <c r="I13" s="1805"/>
      <c r="J13" s="1805"/>
      <c r="K13" s="1805"/>
      <c r="L13" s="1805"/>
      <c r="M13" s="1805"/>
      <c r="N13" s="1805"/>
      <c r="O13" s="1805"/>
      <c r="P13" s="1805"/>
      <c r="Q13" s="1805"/>
      <c r="R13" s="1805"/>
      <c r="S13" s="1805"/>
      <c r="T13" s="1809"/>
    </row>
    <row r="14" spans="2:20" s="36" customFormat="1" x14ac:dyDescent="0.25">
      <c r="B14" s="144">
        <v>1.3</v>
      </c>
      <c r="C14" s="145" t="s">
        <v>319</v>
      </c>
      <c r="D14" s="144" t="s">
        <v>98</v>
      </c>
      <c r="E14" s="1804"/>
      <c r="F14" s="1805"/>
      <c r="G14" s="1805"/>
      <c r="H14" s="1805"/>
      <c r="I14" s="1805"/>
      <c r="J14" s="1805"/>
      <c r="K14" s="1805"/>
      <c r="L14" s="1805"/>
      <c r="M14" s="1805"/>
      <c r="N14" s="1805"/>
      <c r="O14" s="1805"/>
      <c r="P14" s="1805"/>
      <c r="Q14" s="1805"/>
      <c r="R14" s="1805"/>
      <c r="S14" s="1805"/>
      <c r="T14" s="1809"/>
    </row>
    <row r="15" spans="2:20" s="36" customFormat="1" x14ac:dyDescent="0.25">
      <c r="B15" s="144">
        <v>1.4</v>
      </c>
      <c r="C15" s="145" t="s">
        <v>156</v>
      </c>
      <c r="D15" s="144" t="s">
        <v>100</v>
      </c>
      <c r="E15" s="1804"/>
      <c r="F15" s="1805"/>
      <c r="G15" s="1805"/>
      <c r="H15" s="1805"/>
      <c r="I15" s="1805"/>
      <c r="J15" s="1805"/>
      <c r="K15" s="1805"/>
      <c r="L15" s="1805"/>
      <c r="M15" s="1805"/>
      <c r="N15" s="1805"/>
      <c r="O15" s="1805"/>
      <c r="P15" s="1805"/>
      <c r="Q15" s="1805"/>
      <c r="R15" s="1805"/>
      <c r="S15" s="1805"/>
      <c r="T15" s="1809"/>
    </row>
    <row r="16" spans="2:20" s="36" customFormat="1" x14ac:dyDescent="0.25">
      <c r="B16" s="144">
        <v>1.5</v>
      </c>
      <c r="C16" s="151" t="s">
        <v>157</v>
      </c>
      <c r="D16" s="144" t="s">
        <v>100</v>
      </c>
      <c r="E16" s="1804"/>
      <c r="F16" s="1805"/>
      <c r="G16" s="1805"/>
      <c r="H16" s="1805"/>
      <c r="I16" s="1805"/>
      <c r="J16" s="1805"/>
      <c r="K16" s="1805"/>
      <c r="L16" s="1805"/>
      <c r="M16" s="1805"/>
      <c r="N16" s="1805"/>
      <c r="O16" s="1805"/>
      <c r="P16" s="1805"/>
      <c r="Q16" s="1805"/>
      <c r="R16" s="1805"/>
      <c r="S16" s="1805"/>
      <c r="T16" s="1809"/>
    </row>
    <row r="17" spans="2:20" s="36" customFormat="1" x14ac:dyDescent="0.25">
      <c r="B17" s="144">
        <v>1.6</v>
      </c>
      <c r="C17" s="151" t="s">
        <v>158</v>
      </c>
      <c r="D17" s="144" t="s">
        <v>98</v>
      </c>
      <c r="E17" s="1804"/>
      <c r="F17" s="1805"/>
      <c r="G17" s="1805"/>
      <c r="H17" s="1805"/>
      <c r="I17" s="1805"/>
      <c r="J17" s="1805"/>
      <c r="K17" s="1805"/>
      <c r="L17" s="1805"/>
      <c r="M17" s="1805"/>
      <c r="N17" s="1805"/>
      <c r="O17" s="1805"/>
      <c r="P17" s="1805"/>
      <c r="Q17" s="1805"/>
      <c r="R17" s="1805"/>
      <c r="S17" s="1805"/>
      <c r="T17" s="1809"/>
    </row>
    <row r="18" spans="2:20" s="36" customFormat="1" x14ac:dyDescent="0.25">
      <c r="B18" s="144">
        <v>1.7</v>
      </c>
      <c r="C18" s="152" t="s">
        <v>158</v>
      </c>
      <c r="D18" s="144" t="s">
        <v>100</v>
      </c>
      <c r="E18" s="1804"/>
      <c r="F18" s="1805"/>
      <c r="G18" s="1805"/>
      <c r="H18" s="1805"/>
      <c r="I18" s="1805"/>
      <c r="J18" s="1805"/>
      <c r="K18" s="1805"/>
      <c r="L18" s="1805"/>
      <c r="M18" s="1805"/>
      <c r="N18" s="1805"/>
      <c r="O18" s="1805"/>
      <c r="P18" s="1805"/>
      <c r="Q18" s="1805"/>
      <c r="R18" s="1805"/>
      <c r="S18" s="1805"/>
      <c r="T18" s="1809"/>
    </row>
    <row r="19" spans="2:20" s="36" customFormat="1" x14ac:dyDescent="0.25">
      <c r="B19" s="95">
        <v>1.8</v>
      </c>
      <c r="C19" s="151" t="s">
        <v>101</v>
      </c>
      <c r="D19" s="144" t="s">
        <v>100</v>
      </c>
      <c r="E19" s="1806"/>
      <c r="F19" s="1807"/>
      <c r="G19" s="1807"/>
      <c r="H19" s="1807"/>
      <c r="I19" s="1807"/>
      <c r="J19" s="1807"/>
      <c r="K19" s="1807"/>
      <c r="L19" s="1807"/>
      <c r="M19" s="1807"/>
      <c r="N19" s="1807"/>
      <c r="O19" s="1807"/>
      <c r="P19" s="1807"/>
      <c r="Q19" s="1807"/>
      <c r="R19" s="1807"/>
      <c r="S19" s="1807"/>
      <c r="T19" s="1810"/>
    </row>
    <row r="20" spans="2:20" s="1" customFormat="1" ht="16" x14ac:dyDescent="0.3">
      <c r="B20" s="41"/>
      <c r="C20" s="42"/>
      <c r="D20" s="43"/>
      <c r="E20" s="43"/>
      <c r="F20" s="43"/>
      <c r="G20" s="43"/>
      <c r="H20" s="43"/>
      <c r="I20" s="43"/>
      <c r="J20" s="43"/>
      <c r="K20" s="48"/>
      <c r="L20" s="48"/>
      <c r="M20" s="11"/>
      <c r="N20" s="11"/>
      <c r="O20" s="11"/>
      <c r="P20" s="11"/>
      <c r="Q20" s="11"/>
      <c r="R20" s="11"/>
      <c r="S20" s="11"/>
    </row>
    <row r="21" spans="2:20" s="1" customFormat="1" ht="16" x14ac:dyDescent="0.3">
      <c r="B21" s="44"/>
      <c r="C21" s="45"/>
      <c r="D21" s="46"/>
      <c r="E21" s="46"/>
      <c r="F21" s="46"/>
      <c r="G21" s="46"/>
      <c r="H21" s="46"/>
      <c r="I21" s="46"/>
      <c r="J21" s="46"/>
      <c r="K21" s="45"/>
      <c r="L21" s="45"/>
      <c r="M21" s="45"/>
      <c r="N21" s="45"/>
      <c r="O21" s="45"/>
      <c r="P21" s="45"/>
      <c r="Q21" s="45"/>
      <c r="R21" s="45"/>
      <c r="S21" s="45"/>
    </row>
    <row r="22" spans="2:20" s="1" customFormat="1" ht="16" x14ac:dyDescent="0.3">
      <c r="B22" s="162"/>
      <c r="C22" s="45"/>
      <c r="D22" s="46"/>
      <c r="E22" s="46"/>
      <c r="F22" s="46"/>
      <c r="G22" s="46"/>
      <c r="H22" s="46"/>
      <c r="I22" s="46"/>
      <c r="J22" s="46"/>
      <c r="K22" s="45"/>
      <c r="L22" s="45"/>
      <c r="M22" s="45"/>
      <c r="N22" s="45"/>
      <c r="O22" s="45"/>
      <c r="P22" s="45"/>
      <c r="Q22" s="45"/>
      <c r="R22" s="45"/>
      <c r="S22" s="45"/>
    </row>
    <row r="23" spans="2:20" s="1" customFormat="1" x14ac:dyDescent="0.3">
      <c r="B23" s="7"/>
      <c r="C23" s="51"/>
      <c r="D23" s="49"/>
      <c r="E23" s="49"/>
      <c r="F23" s="49"/>
      <c r="G23" s="49"/>
      <c r="H23" s="49"/>
      <c r="I23" s="49"/>
      <c r="J23" s="49"/>
      <c r="K23" s="51"/>
      <c r="L23" s="51"/>
      <c r="M23" s="51"/>
      <c r="N23" s="51"/>
      <c r="O23" s="51"/>
      <c r="P23" s="51"/>
      <c r="Q23" s="51"/>
      <c r="R23" s="51"/>
      <c r="S23" s="51"/>
    </row>
    <row r="24" spans="2:20" x14ac:dyDescent="0.3">
      <c r="M24" s="52"/>
    </row>
  </sheetData>
  <mergeCells count="17">
    <mergeCell ref="K2:T2"/>
    <mergeCell ref="K3:T3"/>
    <mergeCell ref="K4:T4"/>
    <mergeCell ref="B5:T5"/>
    <mergeCell ref="B8:B10"/>
    <mergeCell ref="C8:C10"/>
    <mergeCell ref="D8:D10"/>
    <mergeCell ref="K8:N8"/>
    <mergeCell ref="E8:G8"/>
    <mergeCell ref="H8:J8"/>
    <mergeCell ref="T8:T10"/>
    <mergeCell ref="B2:J2"/>
    <mergeCell ref="O8:S8"/>
    <mergeCell ref="E11:J19"/>
    <mergeCell ref="K11:T19"/>
    <mergeCell ref="B3:J3"/>
    <mergeCell ref="B4:J4"/>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35</vt:i4>
      </vt:variant>
    </vt:vector>
  </HeadingPairs>
  <TitlesOfParts>
    <vt:vector size="84"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 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F4.1!Print_Titles</vt:lpstr>
      <vt:lpstr>F4.2!Print_Titles</vt:lpstr>
      <vt:lpstr>F4.3!Print_Titles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2022-10-27T06:45:42Z</cp:lastPrinted>
  <dcterms:created xsi:type="dcterms:W3CDTF">2004-07-28T05:30:50Z</dcterms:created>
  <dcterms:modified xsi:type="dcterms:W3CDTF">2024-12-06T05:38:53Z</dcterms:modified>
</cp:coreProperties>
</file>